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enjaminshih/Desktop/Net-Worth-Planning/"/>
    </mc:Choice>
  </mc:AlternateContent>
  <xr:revisionPtr revIDLastSave="0" documentId="13_ncr:1_{D4CC21CE-C0E4-B947-82FB-FDDB20893982}" xr6:coauthVersionLast="47" xr6:coauthVersionMax="47" xr10:uidLastSave="{00000000-0000-0000-0000-000000000000}"/>
  <bookViews>
    <workbookView xWindow="400" yWindow="1440" windowWidth="29440" windowHeight="17800" activeTab="4" xr2:uid="{00000000-000D-0000-FFFF-FFFF00000000}"/>
  </bookViews>
  <sheets>
    <sheet name="Financial Dashboard" sheetId="1" r:id="rId1"/>
    <sheet name="Model Inputs" sheetId="2" r:id="rId2"/>
    <sheet name="Savings Projection" sheetId="3" r:id="rId3"/>
    <sheet name="Scenario Lab" sheetId="4" r:id="rId4"/>
    <sheet name="IC Switch Scenarios" sheetId="5" r:id="rId5"/>
    <sheet name="PM After Switch" sheetId="6" r:id="rId6"/>
    <sheet name="Tax Assumption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69" i="6" l="1"/>
  <c r="N769" i="6"/>
  <c r="M769" i="6"/>
  <c r="O769" i="6" s="1"/>
  <c r="L769" i="6"/>
  <c r="K769" i="6"/>
  <c r="I769" i="6"/>
  <c r="D769" i="6"/>
  <c r="B769" i="6"/>
  <c r="A769" i="6"/>
  <c r="Z768" i="6"/>
  <c r="N768" i="6"/>
  <c r="M768" i="6"/>
  <c r="L768" i="6"/>
  <c r="K768" i="6"/>
  <c r="I768" i="6"/>
  <c r="D768" i="6"/>
  <c r="B768" i="6"/>
  <c r="A768" i="6"/>
  <c r="Z767" i="6"/>
  <c r="N767" i="6"/>
  <c r="M767" i="6"/>
  <c r="L767" i="6"/>
  <c r="K767" i="6"/>
  <c r="I767" i="6"/>
  <c r="D767" i="6"/>
  <c r="B767" i="6"/>
  <c r="A767" i="6"/>
  <c r="Z766" i="6"/>
  <c r="N766" i="6"/>
  <c r="M766" i="6"/>
  <c r="O766" i="6" s="1"/>
  <c r="L766" i="6"/>
  <c r="K766" i="6"/>
  <c r="I766" i="6"/>
  <c r="D766" i="6"/>
  <c r="B766" i="6"/>
  <c r="A766" i="6"/>
  <c r="Z765" i="6"/>
  <c r="N765" i="6"/>
  <c r="M765" i="6"/>
  <c r="O765" i="6" s="1"/>
  <c r="L765" i="6"/>
  <c r="K765" i="6"/>
  <c r="I765" i="6"/>
  <c r="D765" i="6"/>
  <c r="B765" i="6"/>
  <c r="A765" i="6"/>
  <c r="Z764" i="6"/>
  <c r="N764" i="6"/>
  <c r="M764" i="6"/>
  <c r="L764" i="6"/>
  <c r="K764" i="6"/>
  <c r="I764" i="6"/>
  <c r="D764" i="6"/>
  <c r="B764" i="6"/>
  <c r="A764" i="6"/>
  <c r="Z763" i="6"/>
  <c r="N763" i="6"/>
  <c r="M763" i="6"/>
  <c r="L763" i="6"/>
  <c r="K763" i="6"/>
  <c r="I763" i="6"/>
  <c r="D763" i="6"/>
  <c r="B763" i="6"/>
  <c r="A763" i="6"/>
  <c r="Z762" i="6"/>
  <c r="N762" i="6"/>
  <c r="M762" i="6"/>
  <c r="O762" i="6" s="1"/>
  <c r="L762" i="6"/>
  <c r="K762" i="6"/>
  <c r="I762" i="6"/>
  <c r="D762" i="6"/>
  <c r="B762" i="6"/>
  <c r="A762" i="6"/>
  <c r="Z761" i="6"/>
  <c r="N761" i="6"/>
  <c r="M761" i="6"/>
  <c r="O761" i="6" s="1"/>
  <c r="L761" i="6"/>
  <c r="K761" i="6"/>
  <c r="I761" i="6"/>
  <c r="D761" i="6"/>
  <c r="B761" i="6"/>
  <c r="A761" i="6"/>
  <c r="Z760" i="6"/>
  <c r="N760" i="6"/>
  <c r="M760" i="6"/>
  <c r="L760" i="6"/>
  <c r="K760" i="6"/>
  <c r="I760" i="6"/>
  <c r="D760" i="6"/>
  <c r="B760" i="6"/>
  <c r="A760" i="6"/>
  <c r="Z759" i="6"/>
  <c r="N759" i="6"/>
  <c r="M759" i="6"/>
  <c r="O759" i="6" s="1"/>
  <c r="L759" i="6"/>
  <c r="K759" i="6"/>
  <c r="I759" i="6"/>
  <c r="D759" i="6"/>
  <c r="B759" i="6"/>
  <c r="A759" i="6"/>
  <c r="Z758" i="6"/>
  <c r="N758" i="6"/>
  <c r="M758" i="6"/>
  <c r="L758" i="6"/>
  <c r="K758" i="6"/>
  <c r="I758" i="6"/>
  <c r="D758" i="6"/>
  <c r="B758" i="6"/>
  <c r="A758" i="6"/>
  <c r="Z757" i="6"/>
  <c r="N757" i="6"/>
  <c r="M757" i="6"/>
  <c r="O757" i="6" s="1"/>
  <c r="L757" i="6"/>
  <c r="K757" i="6"/>
  <c r="I757" i="6"/>
  <c r="D757" i="6"/>
  <c r="B757" i="6"/>
  <c r="A757" i="6"/>
  <c r="Z756" i="6"/>
  <c r="N756" i="6"/>
  <c r="M756" i="6"/>
  <c r="L756" i="6"/>
  <c r="K756" i="6"/>
  <c r="I756" i="6"/>
  <c r="D756" i="6"/>
  <c r="B756" i="6"/>
  <c r="A756" i="6"/>
  <c r="Z755" i="6"/>
  <c r="N755" i="6"/>
  <c r="M755" i="6"/>
  <c r="O755" i="6" s="1"/>
  <c r="L755" i="6"/>
  <c r="K755" i="6"/>
  <c r="I755" i="6"/>
  <c r="D755" i="6"/>
  <c r="B755" i="6"/>
  <c r="A755" i="6"/>
  <c r="Z754" i="6"/>
  <c r="N754" i="6"/>
  <c r="M754" i="6"/>
  <c r="O754" i="6" s="1"/>
  <c r="L754" i="6"/>
  <c r="K754" i="6"/>
  <c r="I754" i="6"/>
  <c r="D754" i="6"/>
  <c r="B754" i="6"/>
  <c r="A754" i="6"/>
  <c r="Z753" i="6"/>
  <c r="N753" i="6"/>
  <c r="M753" i="6"/>
  <c r="L753" i="6"/>
  <c r="K753" i="6"/>
  <c r="I753" i="6"/>
  <c r="D753" i="6"/>
  <c r="B753" i="6"/>
  <c r="A753" i="6"/>
  <c r="Z752" i="6"/>
  <c r="N752" i="6"/>
  <c r="M752" i="6"/>
  <c r="O752" i="6" s="1"/>
  <c r="L752" i="6"/>
  <c r="K752" i="6"/>
  <c r="I752" i="6"/>
  <c r="D752" i="6"/>
  <c r="B752" i="6"/>
  <c r="A752" i="6"/>
  <c r="Z751" i="6"/>
  <c r="N751" i="6"/>
  <c r="M751" i="6"/>
  <c r="L751" i="6"/>
  <c r="K751" i="6"/>
  <c r="I751" i="6"/>
  <c r="D751" i="6"/>
  <c r="B751" i="6"/>
  <c r="A751" i="6"/>
  <c r="Z750" i="6"/>
  <c r="N750" i="6"/>
  <c r="M750" i="6"/>
  <c r="L750" i="6"/>
  <c r="K750" i="6"/>
  <c r="I750" i="6"/>
  <c r="D750" i="6"/>
  <c r="B750" i="6"/>
  <c r="A750" i="6"/>
  <c r="Z749" i="6"/>
  <c r="N749" i="6"/>
  <c r="M749" i="6"/>
  <c r="L749" i="6"/>
  <c r="K749" i="6"/>
  <c r="I749" i="6"/>
  <c r="D749" i="6"/>
  <c r="B749" i="6"/>
  <c r="A749" i="6"/>
  <c r="Z748" i="6"/>
  <c r="N748" i="6"/>
  <c r="M748" i="6"/>
  <c r="O748" i="6" s="1"/>
  <c r="L748" i="6"/>
  <c r="K748" i="6"/>
  <c r="I748" i="6"/>
  <c r="D748" i="6"/>
  <c r="B748" i="6"/>
  <c r="A748" i="6"/>
  <c r="Z747" i="6"/>
  <c r="N747" i="6"/>
  <c r="M747" i="6"/>
  <c r="O747" i="6" s="1"/>
  <c r="L747" i="6"/>
  <c r="K747" i="6"/>
  <c r="I747" i="6"/>
  <c r="D747" i="6"/>
  <c r="B747" i="6"/>
  <c r="A747" i="6"/>
  <c r="Z746" i="6"/>
  <c r="N746" i="6"/>
  <c r="M746" i="6"/>
  <c r="L746" i="6"/>
  <c r="K746" i="6"/>
  <c r="I746" i="6"/>
  <c r="D746" i="6"/>
  <c r="B746" i="6"/>
  <c r="A746" i="6"/>
  <c r="Z745" i="6"/>
  <c r="N745" i="6"/>
  <c r="M745" i="6"/>
  <c r="O745" i="6" s="1"/>
  <c r="L745" i="6"/>
  <c r="K745" i="6"/>
  <c r="I745" i="6"/>
  <c r="D745" i="6"/>
  <c r="B745" i="6"/>
  <c r="A745" i="6"/>
  <c r="Z744" i="6"/>
  <c r="N744" i="6"/>
  <c r="M744" i="6"/>
  <c r="O744" i="6" s="1"/>
  <c r="L744" i="6"/>
  <c r="K744" i="6"/>
  <c r="I744" i="6"/>
  <c r="D744" i="6"/>
  <c r="B744" i="6"/>
  <c r="A744" i="6"/>
  <c r="Z743" i="6"/>
  <c r="N743" i="6"/>
  <c r="M743" i="6"/>
  <c r="L743" i="6"/>
  <c r="K743" i="6"/>
  <c r="I743" i="6"/>
  <c r="D743" i="6"/>
  <c r="B743" i="6"/>
  <c r="A743" i="6"/>
  <c r="Z742" i="6"/>
  <c r="N742" i="6"/>
  <c r="M742" i="6"/>
  <c r="O742" i="6" s="1"/>
  <c r="L742" i="6"/>
  <c r="K742" i="6"/>
  <c r="I742" i="6"/>
  <c r="D742" i="6"/>
  <c r="B742" i="6"/>
  <c r="A742" i="6"/>
  <c r="Z741" i="6"/>
  <c r="N741" i="6"/>
  <c r="M741" i="6"/>
  <c r="O741" i="6" s="1"/>
  <c r="L741" i="6"/>
  <c r="K741" i="6"/>
  <c r="I741" i="6"/>
  <c r="D741" i="6"/>
  <c r="B741" i="6"/>
  <c r="A741" i="6"/>
  <c r="Z740" i="6"/>
  <c r="P740" i="6"/>
  <c r="N740" i="6"/>
  <c r="M740" i="6"/>
  <c r="O740" i="6" s="1"/>
  <c r="P741" i="6" s="1"/>
  <c r="L740" i="6"/>
  <c r="Q740" i="6" s="1"/>
  <c r="R740" i="6" s="1"/>
  <c r="K740" i="6"/>
  <c r="I740" i="6"/>
  <c r="D740" i="6"/>
  <c r="B740" i="6"/>
  <c r="A740" i="6"/>
  <c r="Z739" i="6"/>
  <c r="N739" i="6"/>
  <c r="M739" i="6"/>
  <c r="L739" i="6"/>
  <c r="K739" i="6"/>
  <c r="I739" i="6"/>
  <c r="D739" i="6"/>
  <c r="B739" i="6"/>
  <c r="A739" i="6"/>
  <c r="Z738" i="6"/>
  <c r="N738" i="6"/>
  <c r="M738" i="6"/>
  <c r="O738" i="6" s="1"/>
  <c r="L738" i="6"/>
  <c r="K738" i="6"/>
  <c r="I738" i="6"/>
  <c r="D738" i="6"/>
  <c r="B738" i="6"/>
  <c r="A738" i="6"/>
  <c r="Z737" i="6"/>
  <c r="N737" i="6"/>
  <c r="O737" i="6" s="1"/>
  <c r="M737" i="6"/>
  <c r="L737" i="6"/>
  <c r="K737" i="6"/>
  <c r="I737" i="6"/>
  <c r="D737" i="6"/>
  <c r="B737" i="6"/>
  <c r="A737" i="6"/>
  <c r="Z736" i="6"/>
  <c r="N736" i="6"/>
  <c r="M736" i="6"/>
  <c r="O736" i="6" s="1"/>
  <c r="L736" i="6"/>
  <c r="K736" i="6"/>
  <c r="I736" i="6"/>
  <c r="D736" i="6"/>
  <c r="B736" i="6"/>
  <c r="A736" i="6"/>
  <c r="Z735" i="6"/>
  <c r="N735" i="6"/>
  <c r="M735" i="6"/>
  <c r="L735" i="6"/>
  <c r="K735" i="6"/>
  <c r="I735" i="6"/>
  <c r="D735" i="6"/>
  <c r="B735" i="6"/>
  <c r="A735" i="6"/>
  <c r="Z734" i="6"/>
  <c r="N734" i="6"/>
  <c r="M734" i="6"/>
  <c r="O734" i="6" s="1"/>
  <c r="L734" i="6"/>
  <c r="K734" i="6"/>
  <c r="I734" i="6"/>
  <c r="D734" i="6"/>
  <c r="B734" i="6"/>
  <c r="A734" i="6"/>
  <c r="Z733" i="6"/>
  <c r="N733" i="6"/>
  <c r="M733" i="6"/>
  <c r="O733" i="6" s="1"/>
  <c r="L733" i="6"/>
  <c r="K733" i="6"/>
  <c r="I733" i="6"/>
  <c r="D733" i="6"/>
  <c r="B733" i="6"/>
  <c r="A733" i="6"/>
  <c r="Z732" i="6"/>
  <c r="N732" i="6"/>
  <c r="M732" i="6"/>
  <c r="L732" i="6"/>
  <c r="K732" i="6"/>
  <c r="I732" i="6"/>
  <c r="D732" i="6"/>
  <c r="B732" i="6"/>
  <c r="A732" i="6"/>
  <c r="Z731" i="6"/>
  <c r="N731" i="6"/>
  <c r="M731" i="6"/>
  <c r="L731" i="6"/>
  <c r="K731" i="6"/>
  <c r="I731" i="6"/>
  <c r="D731" i="6"/>
  <c r="B731" i="6"/>
  <c r="A731" i="6"/>
  <c r="Z730" i="6"/>
  <c r="N730" i="6"/>
  <c r="M730" i="6"/>
  <c r="O730" i="6" s="1"/>
  <c r="L730" i="6"/>
  <c r="K730" i="6"/>
  <c r="I730" i="6"/>
  <c r="D730" i="6"/>
  <c r="B730" i="6"/>
  <c r="A730" i="6"/>
  <c r="Z729" i="6"/>
  <c r="N729" i="6"/>
  <c r="M729" i="6"/>
  <c r="L729" i="6"/>
  <c r="K729" i="6"/>
  <c r="I729" i="6"/>
  <c r="D729" i="6"/>
  <c r="B729" i="6"/>
  <c r="A729" i="6"/>
  <c r="Z728" i="6"/>
  <c r="N728" i="6"/>
  <c r="M728" i="6"/>
  <c r="O728" i="6" s="1"/>
  <c r="L728" i="6"/>
  <c r="K728" i="6"/>
  <c r="I728" i="6"/>
  <c r="D728" i="6"/>
  <c r="B728" i="6"/>
  <c r="A728" i="6"/>
  <c r="Z727" i="6"/>
  <c r="N727" i="6"/>
  <c r="O727" i="6" s="1"/>
  <c r="M727" i="6"/>
  <c r="L727" i="6"/>
  <c r="K727" i="6"/>
  <c r="I727" i="6"/>
  <c r="D727" i="6"/>
  <c r="B727" i="6"/>
  <c r="A727" i="6"/>
  <c r="Z726" i="6"/>
  <c r="N726" i="6"/>
  <c r="M726" i="6"/>
  <c r="O726" i="6" s="1"/>
  <c r="L726" i="6"/>
  <c r="K726" i="6"/>
  <c r="I726" i="6"/>
  <c r="D726" i="6"/>
  <c r="B726" i="6"/>
  <c r="A726" i="6"/>
  <c r="Z725" i="6"/>
  <c r="N725" i="6"/>
  <c r="M725" i="6"/>
  <c r="L725" i="6"/>
  <c r="K725" i="6"/>
  <c r="I725" i="6"/>
  <c r="D725" i="6"/>
  <c r="B725" i="6"/>
  <c r="A725" i="6"/>
  <c r="Z724" i="6"/>
  <c r="N724" i="6"/>
  <c r="M724" i="6"/>
  <c r="O724" i="6" s="1"/>
  <c r="P725" i="6" s="1"/>
  <c r="L724" i="6"/>
  <c r="K724" i="6"/>
  <c r="I724" i="6"/>
  <c r="D724" i="6"/>
  <c r="B724" i="6"/>
  <c r="A724" i="6"/>
  <c r="Z723" i="6"/>
  <c r="N723" i="6"/>
  <c r="M723" i="6"/>
  <c r="O723" i="6" s="1"/>
  <c r="L723" i="6"/>
  <c r="K723" i="6"/>
  <c r="I723" i="6"/>
  <c r="D723" i="6"/>
  <c r="B723" i="6"/>
  <c r="A723" i="6"/>
  <c r="Z722" i="6"/>
  <c r="N722" i="6"/>
  <c r="M722" i="6"/>
  <c r="O722" i="6" s="1"/>
  <c r="L722" i="6"/>
  <c r="K722" i="6"/>
  <c r="I722" i="6"/>
  <c r="D722" i="6"/>
  <c r="B722" i="6"/>
  <c r="A722" i="6"/>
  <c r="Z721" i="6"/>
  <c r="N721" i="6"/>
  <c r="M721" i="6"/>
  <c r="O721" i="6" s="1"/>
  <c r="P722" i="6" s="1"/>
  <c r="L721" i="6"/>
  <c r="K721" i="6"/>
  <c r="I721" i="6"/>
  <c r="D721" i="6"/>
  <c r="B721" i="6"/>
  <c r="A721" i="6"/>
  <c r="Z720" i="6"/>
  <c r="N720" i="6"/>
  <c r="M720" i="6"/>
  <c r="O720" i="6" s="1"/>
  <c r="L720" i="6"/>
  <c r="K720" i="6"/>
  <c r="I720" i="6"/>
  <c r="D720" i="6"/>
  <c r="B720" i="6"/>
  <c r="A720" i="6"/>
  <c r="Z719" i="6"/>
  <c r="N719" i="6"/>
  <c r="M719" i="6"/>
  <c r="L719" i="6"/>
  <c r="K719" i="6"/>
  <c r="I719" i="6"/>
  <c r="D719" i="6"/>
  <c r="B719" i="6"/>
  <c r="A719" i="6"/>
  <c r="Z718" i="6"/>
  <c r="N718" i="6"/>
  <c r="M718" i="6"/>
  <c r="L718" i="6"/>
  <c r="K718" i="6"/>
  <c r="I718" i="6"/>
  <c r="D718" i="6"/>
  <c r="B718" i="6"/>
  <c r="A718" i="6"/>
  <c r="Z717" i="6"/>
  <c r="N717" i="6"/>
  <c r="M717" i="6"/>
  <c r="L717" i="6"/>
  <c r="K717" i="6"/>
  <c r="I717" i="6"/>
  <c r="D717" i="6"/>
  <c r="B717" i="6"/>
  <c r="A717" i="6"/>
  <c r="Z716" i="6"/>
  <c r="N716" i="6"/>
  <c r="M716" i="6"/>
  <c r="O716" i="6" s="1"/>
  <c r="L716" i="6"/>
  <c r="K716" i="6"/>
  <c r="I716" i="6"/>
  <c r="D716" i="6"/>
  <c r="B716" i="6"/>
  <c r="A716" i="6"/>
  <c r="Z715" i="6"/>
  <c r="N715" i="6"/>
  <c r="M715" i="6"/>
  <c r="L715" i="6"/>
  <c r="K715" i="6"/>
  <c r="I715" i="6"/>
  <c r="D715" i="6"/>
  <c r="B715" i="6"/>
  <c r="A715" i="6"/>
  <c r="Z714" i="6"/>
  <c r="N714" i="6"/>
  <c r="M714" i="6"/>
  <c r="O714" i="6" s="1"/>
  <c r="L714" i="6"/>
  <c r="K714" i="6"/>
  <c r="I714" i="6"/>
  <c r="D714" i="6"/>
  <c r="B714" i="6"/>
  <c r="A714" i="6"/>
  <c r="Z713" i="6"/>
  <c r="N713" i="6"/>
  <c r="M713" i="6"/>
  <c r="O713" i="6" s="1"/>
  <c r="P714" i="6" s="1"/>
  <c r="L713" i="6"/>
  <c r="K713" i="6"/>
  <c r="I713" i="6"/>
  <c r="D713" i="6"/>
  <c r="B713" i="6"/>
  <c r="A713" i="6"/>
  <c r="Z712" i="6"/>
  <c r="N712" i="6"/>
  <c r="M712" i="6"/>
  <c r="O712" i="6" s="1"/>
  <c r="L712" i="6"/>
  <c r="K712" i="6"/>
  <c r="I712" i="6"/>
  <c r="D712" i="6"/>
  <c r="B712" i="6"/>
  <c r="A712" i="6"/>
  <c r="Z711" i="6"/>
  <c r="N711" i="6"/>
  <c r="M711" i="6"/>
  <c r="O711" i="6" s="1"/>
  <c r="L711" i="6"/>
  <c r="Q711" i="6" s="1"/>
  <c r="R711" i="6" s="1"/>
  <c r="K711" i="6"/>
  <c r="I711" i="6"/>
  <c r="D711" i="6"/>
  <c r="B711" i="6"/>
  <c r="A711" i="6"/>
  <c r="Z710" i="6"/>
  <c r="P710" i="6"/>
  <c r="N710" i="6"/>
  <c r="M710" i="6"/>
  <c r="O710" i="6" s="1"/>
  <c r="P711" i="6" s="1"/>
  <c r="L710" i="6"/>
  <c r="K710" i="6"/>
  <c r="I710" i="6"/>
  <c r="D710" i="6"/>
  <c r="B710" i="6"/>
  <c r="A710" i="6"/>
  <c r="Z709" i="6"/>
  <c r="N709" i="6"/>
  <c r="M709" i="6"/>
  <c r="O709" i="6" s="1"/>
  <c r="L709" i="6"/>
  <c r="K709" i="6"/>
  <c r="I709" i="6"/>
  <c r="D709" i="6"/>
  <c r="B709" i="6"/>
  <c r="A709" i="6"/>
  <c r="Z708" i="6"/>
  <c r="N708" i="6"/>
  <c r="M708" i="6"/>
  <c r="L708" i="6"/>
  <c r="K708" i="6"/>
  <c r="I708" i="6"/>
  <c r="D708" i="6"/>
  <c r="B708" i="6"/>
  <c r="A708" i="6"/>
  <c r="Z707" i="6"/>
  <c r="N707" i="6"/>
  <c r="M707" i="6"/>
  <c r="L707" i="6"/>
  <c r="K707" i="6"/>
  <c r="I707" i="6"/>
  <c r="D707" i="6"/>
  <c r="B707" i="6"/>
  <c r="A707" i="6"/>
  <c r="Z706" i="6"/>
  <c r="N706" i="6"/>
  <c r="M706" i="6"/>
  <c r="L706" i="6"/>
  <c r="K706" i="6"/>
  <c r="I706" i="6"/>
  <c r="D706" i="6"/>
  <c r="B706" i="6"/>
  <c r="A706" i="6"/>
  <c r="Z705" i="6"/>
  <c r="N705" i="6"/>
  <c r="M705" i="6"/>
  <c r="O705" i="6" s="1"/>
  <c r="L705" i="6"/>
  <c r="K705" i="6"/>
  <c r="I705" i="6"/>
  <c r="D705" i="6"/>
  <c r="B705" i="6"/>
  <c r="A705" i="6"/>
  <c r="Z704" i="6"/>
  <c r="N704" i="6"/>
  <c r="M704" i="6"/>
  <c r="L704" i="6"/>
  <c r="K704" i="6"/>
  <c r="I704" i="6"/>
  <c r="D704" i="6"/>
  <c r="B704" i="6"/>
  <c r="A704" i="6"/>
  <c r="Z703" i="6"/>
  <c r="N703" i="6"/>
  <c r="M703" i="6"/>
  <c r="L703" i="6"/>
  <c r="K703" i="6"/>
  <c r="I703" i="6"/>
  <c r="D703" i="6"/>
  <c r="B703" i="6"/>
  <c r="A703" i="6"/>
  <c r="Z702" i="6"/>
  <c r="N702" i="6"/>
  <c r="M702" i="6"/>
  <c r="L702" i="6"/>
  <c r="K702" i="6"/>
  <c r="I702" i="6"/>
  <c r="D702" i="6"/>
  <c r="B702" i="6"/>
  <c r="A702" i="6"/>
  <c r="Z701" i="6"/>
  <c r="N701" i="6"/>
  <c r="M701" i="6"/>
  <c r="L701" i="6"/>
  <c r="K701" i="6"/>
  <c r="I701" i="6"/>
  <c r="D701" i="6"/>
  <c r="B701" i="6"/>
  <c r="A701" i="6"/>
  <c r="Z700" i="6"/>
  <c r="N700" i="6"/>
  <c r="M700" i="6"/>
  <c r="O700" i="6" s="1"/>
  <c r="L700" i="6"/>
  <c r="K700" i="6"/>
  <c r="I700" i="6"/>
  <c r="D700" i="6"/>
  <c r="B700" i="6"/>
  <c r="A700" i="6"/>
  <c r="Z699" i="6"/>
  <c r="N699" i="6"/>
  <c r="M699" i="6"/>
  <c r="O699" i="6" s="1"/>
  <c r="L699" i="6"/>
  <c r="K699" i="6"/>
  <c r="I699" i="6"/>
  <c r="D699" i="6"/>
  <c r="B699" i="6"/>
  <c r="A699" i="6"/>
  <c r="Z698" i="6"/>
  <c r="N698" i="6"/>
  <c r="M698" i="6"/>
  <c r="L698" i="6"/>
  <c r="K698" i="6"/>
  <c r="I698" i="6"/>
  <c r="D698" i="6"/>
  <c r="B698" i="6"/>
  <c r="A698" i="6"/>
  <c r="Z697" i="6"/>
  <c r="N697" i="6"/>
  <c r="M697" i="6"/>
  <c r="L697" i="6"/>
  <c r="K697" i="6"/>
  <c r="I697" i="6"/>
  <c r="D697" i="6"/>
  <c r="B697" i="6"/>
  <c r="A697" i="6"/>
  <c r="Z696" i="6"/>
  <c r="N696" i="6"/>
  <c r="M696" i="6"/>
  <c r="L696" i="6"/>
  <c r="K696" i="6"/>
  <c r="I696" i="6"/>
  <c r="D696" i="6"/>
  <c r="B696" i="6"/>
  <c r="A696" i="6"/>
  <c r="Z695" i="6"/>
  <c r="N695" i="6"/>
  <c r="M695" i="6"/>
  <c r="O695" i="6" s="1"/>
  <c r="L695" i="6"/>
  <c r="K695" i="6"/>
  <c r="I695" i="6"/>
  <c r="D695" i="6"/>
  <c r="B695" i="6"/>
  <c r="A695" i="6"/>
  <c r="Z694" i="6"/>
  <c r="N694" i="6"/>
  <c r="M694" i="6"/>
  <c r="L694" i="6"/>
  <c r="K694" i="6"/>
  <c r="I694" i="6"/>
  <c r="D694" i="6"/>
  <c r="B694" i="6"/>
  <c r="A694" i="6"/>
  <c r="Z693" i="6"/>
  <c r="N693" i="6"/>
  <c r="M693" i="6"/>
  <c r="O693" i="6" s="1"/>
  <c r="L693" i="6"/>
  <c r="K693" i="6"/>
  <c r="I693" i="6"/>
  <c r="D693" i="6"/>
  <c r="B693" i="6"/>
  <c r="A693" i="6"/>
  <c r="Z692" i="6"/>
  <c r="N692" i="6"/>
  <c r="M692" i="6"/>
  <c r="L692" i="6"/>
  <c r="K692" i="6"/>
  <c r="I692" i="6"/>
  <c r="D692" i="6"/>
  <c r="B692" i="6"/>
  <c r="A692" i="6"/>
  <c r="Z691" i="6"/>
  <c r="N691" i="6"/>
  <c r="M691" i="6"/>
  <c r="O691" i="6" s="1"/>
  <c r="L691" i="6"/>
  <c r="K691" i="6"/>
  <c r="I691" i="6"/>
  <c r="D691" i="6"/>
  <c r="B691" i="6"/>
  <c r="A691" i="6"/>
  <c r="Z690" i="6"/>
  <c r="N690" i="6"/>
  <c r="M690" i="6"/>
  <c r="L690" i="6"/>
  <c r="K690" i="6"/>
  <c r="I690" i="6"/>
  <c r="D690" i="6"/>
  <c r="B690" i="6"/>
  <c r="A690" i="6"/>
  <c r="Z689" i="6"/>
  <c r="N689" i="6"/>
  <c r="M689" i="6"/>
  <c r="O689" i="6" s="1"/>
  <c r="L689" i="6"/>
  <c r="K689" i="6"/>
  <c r="I689" i="6"/>
  <c r="D689" i="6"/>
  <c r="B689" i="6"/>
  <c r="A689" i="6"/>
  <c r="Z688" i="6"/>
  <c r="N688" i="6"/>
  <c r="M688" i="6"/>
  <c r="L688" i="6"/>
  <c r="K688" i="6"/>
  <c r="I688" i="6"/>
  <c r="D688" i="6"/>
  <c r="B688" i="6"/>
  <c r="A688" i="6"/>
  <c r="Z687" i="6"/>
  <c r="N687" i="6"/>
  <c r="M687" i="6"/>
  <c r="L687" i="6"/>
  <c r="K687" i="6"/>
  <c r="I687" i="6"/>
  <c r="D687" i="6"/>
  <c r="B687" i="6"/>
  <c r="A687" i="6"/>
  <c r="Z686" i="6"/>
  <c r="N686" i="6"/>
  <c r="M686" i="6"/>
  <c r="L686" i="6"/>
  <c r="K686" i="6"/>
  <c r="I686" i="6"/>
  <c r="D686" i="6"/>
  <c r="B686" i="6"/>
  <c r="A686" i="6"/>
  <c r="Z685" i="6"/>
  <c r="N685" i="6"/>
  <c r="M685" i="6"/>
  <c r="O685" i="6" s="1"/>
  <c r="L685" i="6"/>
  <c r="K685" i="6"/>
  <c r="I685" i="6"/>
  <c r="D685" i="6"/>
  <c r="B685" i="6"/>
  <c r="A685" i="6"/>
  <c r="Z684" i="6"/>
  <c r="N684" i="6"/>
  <c r="M684" i="6"/>
  <c r="L684" i="6"/>
  <c r="K684" i="6"/>
  <c r="I684" i="6"/>
  <c r="D684" i="6"/>
  <c r="B684" i="6"/>
  <c r="A684" i="6"/>
  <c r="Z683" i="6"/>
  <c r="N683" i="6"/>
  <c r="M683" i="6"/>
  <c r="L683" i="6"/>
  <c r="K683" i="6"/>
  <c r="I683" i="6"/>
  <c r="D683" i="6"/>
  <c r="B683" i="6"/>
  <c r="A683" i="6"/>
  <c r="Z682" i="6"/>
  <c r="N682" i="6"/>
  <c r="M682" i="6"/>
  <c r="L682" i="6"/>
  <c r="K682" i="6"/>
  <c r="I682" i="6"/>
  <c r="D682" i="6"/>
  <c r="B682" i="6"/>
  <c r="A682" i="6"/>
  <c r="Z681" i="6"/>
  <c r="N681" i="6"/>
  <c r="M681" i="6"/>
  <c r="O681" i="6" s="1"/>
  <c r="L681" i="6"/>
  <c r="K681" i="6"/>
  <c r="I681" i="6"/>
  <c r="D681" i="6"/>
  <c r="B681" i="6"/>
  <c r="A681" i="6"/>
  <c r="Z680" i="6"/>
  <c r="P680" i="6"/>
  <c r="N680" i="6"/>
  <c r="M680" i="6"/>
  <c r="L680" i="6"/>
  <c r="K680" i="6"/>
  <c r="I680" i="6"/>
  <c r="D680" i="6"/>
  <c r="B680" i="6"/>
  <c r="A680" i="6"/>
  <c r="Z679" i="6"/>
  <c r="N679" i="6"/>
  <c r="M679" i="6"/>
  <c r="L679" i="6"/>
  <c r="K679" i="6"/>
  <c r="I679" i="6"/>
  <c r="D679" i="6"/>
  <c r="B679" i="6"/>
  <c r="A679" i="6"/>
  <c r="Z678" i="6"/>
  <c r="N678" i="6"/>
  <c r="M678" i="6"/>
  <c r="L678" i="6"/>
  <c r="K678" i="6"/>
  <c r="I678" i="6"/>
  <c r="D678" i="6"/>
  <c r="B678" i="6"/>
  <c r="A678" i="6"/>
  <c r="Z677" i="6"/>
  <c r="N677" i="6"/>
  <c r="M677" i="6"/>
  <c r="L677" i="6"/>
  <c r="K677" i="6"/>
  <c r="I677" i="6"/>
  <c r="D677" i="6"/>
  <c r="B677" i="6"/>
  <c r="A677" i="6"/>
  <c r="Z676" i="6"/>
  <c r="N676" i="6"/>
  <c r="M676" i="6"/>
  <c r="L676" i="6"/>
  <c r="K676" i="6"/>
  <c r="I676" i="6"/>
  <c r="D676" i="6"/>
  <c r="B676" i="6"/>
  <c r="A676" i="6"/>
  <c r="Z675" i="6"/>
  <c r="N675" i="6"/>
  <c r="M675" i="6"/>
  <c r="L675" i="6"/>
  <c r="K675" i="6"/>
  <c r="I675" i="6"/>
  <c r="D675" i="6"/>
  <c r="B675" i="6"/>
  <c r="A675" i="6"/>
  <c r="Z674" i="6"/>
  <c r="N674" i="6"/>
  <c r="M674" i="6"/>
  <c r="L674" i="6"/>
  <c r="K674" i="6"/>
  <c r="I674" i="6"/>
  <c r="D674" i="6"/>
  <c r="B674" i="6"/>
  <c r="A674" i="6"/>
  <c r="Z673" i="6"/>
  <c r="N673" i="6"/>
  <c r="M673" i="6"/>
  <c r="L673" i="6"/>
  <c r="K673" i="6"/>
  <c r="I673" i="6"/>
  <c r="D673" i="6"/>
  <c r="B673" i="6"/>
  <c r="A673" i="6"/>
  <c r="Z672" i="6"/>
  <c r="N672" i="6"/>
  <c r="M672" i="6"/>
  <c r="O672" i="6" s="1"/>
  <c r="L672" i="6"/>
  <c r="K672" i="6"/>
  <c r="I672" i="6"/>
  <c r="D672" i="6"/>
  <c r="B672" i="6"/>
  <c r="A672" i="6"/>
  <c r="Z671" i="6"/>
  <c r="N671" i="6"/>
  <c r="M671" i="6"/>
  <c r="O671" i="6" s="1"/>
  <c r="L671" i="6"/>
  <c r="K671" i="6"/>
  <c r="I671" i="6"/>
  <c r="D671" i="6"/>
  <c r="B671" i="6"/>
  <c r="A671" i="6"/>
  <c r="Z670" i="6"/>
  <c r="N670" i="6"/>
  <c r="M670" i="6"/>
  <c r="L670" i="6"/>
  <c r="K670" i="6"/>
  <c r="I670" i="6"/>
  <c r="D670" i="6"/>
  <c r="B670" i="6"/>
  <c r="A670" i="6"/>
  <c r="Z669" i="6"/>
  <c r="N669" i="6"/>
  <c r="M669" i="6"/>
  <c r="O669" i="6" s="1"/>
  <c r="L669" i="6"/>
  <c r="K669" i="6"/>
  <c r="I669" i="6"/>
  <c r="D669" i="6"/>
  <c r="B669" i="6"/>
  <c r="A669" i="6"/>
  <c r="Z668" i="6"/>
  <c r="N668" i="6"/>
  <c r="M668" i="6"/>
  <c r="O668" i="6" s="1"/>
  <c r="L668" i="6"/>
  <c r="K668" i="6"/>
  <c r="I668" i="6"/>
  <c r="D668" i="6"/>
  <c r="B668" i="6"/>
  <c r="A668" i="6"/>
  <c r="Z667" i="6"/>
  <c r="N667" i="6"/>
  <c r="M667" i="6"/>
  <c r="L667" i="6"/>
  <c r="K667" i="6"/>
  <c r="I667" i="6"/>
  <c r="D667" i="6"/>
  <c r="B667" i="6"/>
  <c r="A667" i="6"/>
  <c r="Z666" i="6"/>
  <c r="N666" i="6"/>
  <c r="M666" i="6"/>
  <c r="L666" i="6"/>
  <c r="K666" i="6"/>
  <c r="I666" i="6"/>
  <c r="D666" i="6"/>
  <c r="B666" i="6"/>
  <c r="A666" i="6"/>
  <c r="Z665" i="6"/>
  <c r="N665" i="6"/>
  <c r="M665" i="6"/>
  <c r="L665" i="6"/>
  <c r="K665" i="6"/>
  <c r="I665" i="6"/>
  <c r="D665" i="6"/>
  <c r="B665" i="6"/>
  <c r="A665" i="6"/>
  <c r="Z664" i="6"/>
  <c r="N664" i="6"/>
  <c r="M664" i="6"/>
  <c r="L664" i="6"/>
  <c r="K664" i="6"/>
  <c r="I664" i="6"/>
  <c r="D664" i="6"/>
  <c r="B664" i="6"/>
  <c r="A664" i="6"/>
  <c r="Z663" i="6"/>
  <c r="N663" i="6"/>
  <c r="M663" i="6"/>
  <c r="L663" i="6"/>
  <c r="K663" i="6"/>
  <c r="I663" i="6"/>
  <c r="D663" i="6"/>
  <c r="B663" i="6"/>
  <c r="A663" i="6"/>
  <c r="Z662" i="6"/>
  <c r="N662" i="6"/>
  <c r="M662" i="6"/>
  <c r="L662" i="6"/>
  <c r="K662" i="6"/>
  <c r="I662" i="6"/>
  <c r="D662" i="6"/>
  <c r="B662" i="6"/>
  <c r="A662" i="6"/>
  <c r="Z661" i="6"/>
  <c r="N661" i="6"/>
  <c r="M661" i="6"/>
  <c r="O661" i="6" s="1"/>
  <c r="L661" i="6"/>
  <c r="K661" i="6"/>
  <c r="I661" i="6"/>
  <c r="D661" i="6"/>
  <c r="B661" i="6"/>
  <c r="A661" i="6"/>
  <c r="Z660" i="6"/>
  <c r="N660" i="6"/>
  <c r="M660" i="6"/>
  <c r="L660" i="6"/>
  <c r="K660" i="6"/>
  <c r="I660" i="6"/>
  <c r="D660" i="6"/>
  <c r="B660" i="6"/>
  <c r="A660" i="6"/>
  <c r="Z659" i="6"/>
  <c r="N659" i="6"/>
  <c r="M659" i="6"/>
  <c r="O659" i="6" s="1"/>
  <c r="L659" i="6"/>
  <c r="K659" i="6"/>
  <c r="I659" i="6"/>
  <c r="D659" i="6"/>
  <c r="B659" i="6"/>
  <c r="A659" i="6"/>
  <c r="Z658" i="6"/>
  <c r="N658" i="6"/>
  <c r="M658" i="6"/>
  <c r="L658" i="6"/>
  <c r="K658" i="6"/>
  <c r="I658" i="6"/>
  <c r="D658" i="6"/>
  <c r="B658" i="6"/>
  <c r="A658" i="6"/>
  <c r="Z657" i="6"/>
  <c r="N657" i="6"/>
  <c r="M657" i="6"/>
  <c r="L657" i="6"/>
  <c r="K657" i="6"/>
  <c r="I657" i="6"/>
  <c r="D657" i="6"/>
  <c r="B657" i="6"/>
  <c r="A657" i="6"/>
  <c r="Z656" i="6"/>
  <c r="N656" i="6"/>
  <c r="M656" i="6"/>
  <c r="O656" i="6" s="1"/>
  <c r="L656" i="6"/>
  <c r="K656" i="6"/>
  <c r="I656" i="6"/>
  <c r="D656" i="6"/>
  <c r="B656" i="6"/>
  <c r="A656" i="6"/>
  <c r="Z655" i="6"/>
  <c r="N655" i="6"/>
  <c r="M655" i="6"/>
  <c r="L655" i="6"/>
  <c r="K655" i="6"/>
  <c r="I655" i="6"/>
  <c r="D655" i="6"/>
  <c r="B655" i="6"/>
  <c r="A655" i="6"/>
  <c r="Z654" i="6"/>
  <c r="N654" i="6"/>
  <c r="M654" i="6"/>
  <c r="O654" i="6" s="1"/>
  <c r="L654" i="6"/>
  <c r="K654" i="6"/>
  <c r="I654" i="6"/>
  <c r="D654" i="6"/>
  <c r="B654" i="6"/>
  <c r="A654" i="6"/>
  <c r="Z653" i="6"/>
  <c r="N653" i="6"/>
  <c r="M653" i="6"/>
  <c r="L653" i="6"/>
  <c r="K653" i="6"/>
  <c r="I653" i="6"/>
  <c r="D653" i="6"/>
  <c r="B653" i="6"/>
  <c r="A653" i="6"/>
  <c r="Z652" i="6"/>
  <c r="N652" i="6"/>
  <c r="M652" i="6"/>
  <c r="O652" i="6" s="1"/>
  <c r="L652" i="6"/>
  <c r="K652" i="6"/>
  <c r="I652" i="6"/>
  <c r="D652" i="6"/>
  <c r="B652" i="6"/>
  <c r="A652" i="6"/>
  <c r="Z651" i="6"/>
  <c r="N651" i="6"/>
  <c r="M651" i="6"/>
  <c r="L651" i="6"/>
  <c r="K651" i="6"/>
  <c r="I651" i="6"/>
  <c r="D651" i="6"/>
  <c r="B651" i="6"/>
  <c r="A651" i="6"/>
  <c r="Z650" i="6"/>
  <c r="P650" i="6"/>
  <c r="N650" i="6"/>
  <c r="M650" i="6"/>
  <c r="L650" i="6"/>
  <c r="K650" i="6"/>
  <c r="I650" i="6"/>
  <c r="D650" i="6"/>
  <c r="B650" i="6"/>
  <c r="A650" i="6"/>
  <c r="Z649" i="6"/>
  <c r="N649" i="6"/>
  <c r="M649" i="6"/>
  <c r="L649" i="6"/>
  <c r="K649" i="6"/>
  <c r="I649" i="6"/>
  <c r="D649" i="6"/>
  <c r="B649" i="6"/>
  <c r="A649" i="6"/>
  <c r="Z648" i="6"/>
  <c r="N648" i="6"/>
  <c r="M648" i="6"/>
  <c r="L648" i="6"/>
  <c r="K648" i="6"/>
  <c r="I648" i="6"/>
  <c r="D648" i="6"/>
  <c r="B648" i="6"/>
  <c r="A648" i="6"/>
  <c r="Z647" i="6"/>
  <c r="N647" i="6"/>
  <c r="M647" i="6"/>
  <c r="L647" i="6"/>
  <c r="K647" i="6"/>
  <c r="I647" i="6"/>
  <c r="D647" i="6"/>
  <c r="B647" i="6"/>
  <c r="A647" i="6"/>
  <c r="Z646" i="6"/>
  <c r="N646" i="6"/>
  <c r="M646" i="6"/>
  <c r="L646" i="6"/>
  <c r="K646" i="6"/>
  <c r="I646" i="6"/>
  <c r="D646" i="6"/>
  <c r="B646" i="6"/>
  <c r="A646" i="6"/>
  <c r="Z645" i="6"/>
  <c r="N645" i="6"/>
  <c r="M645" i="6"/>
  <c r="L645" i="6"/>
  <c r="K645" i="6"/>
  <c r="I645" i="6"/>
  <c r="D645" i="6"/>
  <c r="B645" i="6"/>
  <c r="A645" i="6"/>
  <c r="Z644" i="6"/>
  <c r="N644" i="6"/>
  <c r="M644" i="6"/>
  <c r="L644" i="6"/>
  <c r="K644" i="6"/>
  <c r="I644" i="6"/>
  <c r="D644" i="6"/>
  <c r="B644" i="6"/>
  <c r="A644" i="6"/>
  <c r="Z643" i="6"/>
  <c r="N643" i="6"/>
  <c r="M643" i="6"/>
  <c r="O643" i="6" s="1"/>
  <c r="L643" i="6"/>
  <c r="K643" i="6"/>
  <c r="I643" i="6"/>
  <c r="D643" i="6"/>
  <c r="B643" i="6"/>
  <c r="A643" i="6"/>
  <c r="Z642" i="6"/>
  <c r="N642" i="6"/>
  <c r="M642" i="6"/>
  <c r="L642" i="6"/>
  <c r="K642" i="6"/>
  <c r="I642" i="6"/>
  <c r="D642" i="6"/>
  <c r="B642" i="6"/>
  <c r="A642" i="6"/>
  <c r="Z641" i="6"/>
  <c r="N641" i="6"/>
  <c r="M641" i="6"/>
  <c r="O641" i="6" s="1"/>
  <c r="L641" i="6"/>
  <c r="K641" i="6"/>
  <c r="I641" i="6"/>
  <c r="D641" i="6"/>
  <c r="B641" i="6"/>
  <c r="A641" i="6"/>
  <c r="Z640" i="6"/>
  <c r="N640" i="6"/>
  <c r="M640" i="6"/>
  <c r="L640" i="6"/>
  <c r="K640" i="6"/>
  <c r="I640" i="6"/>
  <c r="D640" i="6"/>
  <c r="B640" i="6"/>
  <c r="A640" i="6"/>
  <c r="Z639" i="6"/>
  <c r="N639" i="6"/>
  <c r="M639" i="6"/>
  <c r="O639" i="6" s="1"/>
  <c r="L639" i="6"/>
  <c r="K639" i="6"/>
  <c r="I639" i="6"/>
  <c r="D639" i="6"/>
  <c r="B639" i="6"/>
  <c r="A639" i="6"/>
  <c r="Z638" i="6"/>
  <c r="N638" i="6"/>
  <c r="M638" i="6"/>
  <c r="L638" i="6"/>
  <c r="K638" i="6"/>
  <c r="I638" i="6"/>
  <c r="D638" i="6"/>
  <c r="B638" i="6"/>
  <c r="A638" i="6"/>
  <c r="Z637" i="6"/>
  <c r="N637" i="6"/>
  <c r="M637" i="6"/>
  <c r="L637" i="6"/>
  <c r="K637" i="6"/>
  <c r="I637" i="6"/>
  <c r="D637" i="6"/>
  <c r="B637" i="6"/>
  <c r="A637" i="6"/>
  <c r="Z636" i="6"/>
  <c r="N636" i="6"/>
  <c r="M636" i="6"/>
  <c r="O636" i="6" s="1"/>
  <c r="L636" i="6"/>
  <c r="K636" i="6"/>
  <c r="I636" i="6"/>
  <c r="D636" i="6"/>
  <c r="B636" i="6"/>
  <c r="A636" i="6"/>
  <c r="Z635" i="6"/>
  <c r="N635" i="6"/>
  <c r="M635" i="6"/>
  <c r="L635" i="6"/>
  <c r="K635" i="6"/>
  <c r="I635" i="6"/>
  <c r="D635" i="6"/>
  <c r="B635" i="6"/>
  <c r="A635" i="6"/>
  <c r="Z634" i="6"/>
  <c r="N634" i="6"/>
  <c r="M634" i="6"/>
  <c r="O634" i="6" s="1"/>
  <c r="L634" i="6"/>
  <c r="K634" i="6"/>
  <c r="I634" i="6"/>
  <c r="D634" i="6"/>
  <c r="B634" i="6"/>
  <c r="A634" i="6"/>
  <c r="Z633" i="6"/>
  <c r="N633" i="6"/>
  <c r="M633" i="6"/>
  <c r="L633" i="6"/>
  <c r="K633" i="6"/>
  <c r="I633" i="6"/>
  <c r="D633" i="6"/>
  <c r="B633" i="6"/>
  <c r="A633" i="6"/>
  <c r="Z632" i="6"/>
  <c r="N632" i="6"/>
  <c r="M632" i="6"/>
  <c r="L632" i="6"/>
  <c r="K632" i="6"/>
  <c r="I632" i="6"/>
  <c r="D632" i="6"/>
  <c r="B632" i="6"/>
  <c r="A632" i="6"/>
  <c r="Z631" i="6"/>
  <c r="N631" i="6"/>
  <c r="M631" i="6"/>
  <c r="L631" i="6"/>
  <c r="K631" i="6"/>
  <c r="I631" i="6"/>
  <c r="D631" i="6"/>
  <c r="B631" i="6"/>
  <c r="A631" i="6"/>
  <c r="Z630" i="6"/>
  <c r="N630" i="6"/>
  <c r="M630" i="6"/>
  <c r="L630" i="6"/>
  <c r="K630" i="6"/>
  <c r="I630" i="6"/>
  <c r="D630" i="6"/>
  <c r="B630" i="6"/>
  <c r="A630" i="6"/>
  <c r="Z629" i="6"/>
  <c r="N629" i="6"/>
  <c r="M629" i="6"/>
  <c r="L629" i="6"/>
  <c r="K629" i="6"/>
  <c r="I629" i="6"/>
  <c r="D629" i="6"/>
  <c r="B629" i="6"/>
  <c r="A629" i="6"/>
  <c r="Z628" i="6"/>
  <c r="N628" i="6"/>
  <c r="M628" i="6"/>
  <c r="O628" i="6" s="1"/>
  <c r="L628" i="6"/>
  <c r="K628" i="6"/>
  <c r="I628" i="6"/>
  <c r="D628" i="6"/>
  <c r="B628" i="6"/>
  <c r="A628" i="6"/>
  <c r="Z627" i="6"/>
  <c r="N627" i="6"/>
  <c r="M627" i="6"/>
  <c r="O627" i="6" s="1"/>
  <c r="P628" i="6" s="1"/>
  <c r="L627" i="6"/>
  <c r="K627" i="6"/>
  <c r="I627" i="6"/>
  <c r="D627" i="6"/>
  <c r="B627" i="6"/>
  <c r="A627" i="6"/>
  <c r="Z626" i="6"/>
  <c r="N626" i="6"/>
  <c r="M626" i="6"/>
  <c r="O626" i="6" s="1"/>
  <c r="L626" i="6"/>
  <c r="K626" i="6"/>
  <c r="I626" i="6"/>
  <c r="D626" i="6"/>
  <c r="B626" i="6"/>
  <c r="A626" i="6"/>
  <c r="Z625" i="6"/>
  <c r="N625" i="6"/>
  <c r="M625" i="6"/>
  <c r="L625" i="6"/>
  <c r="K625" i="6"/>
  <c r="I625" i="6"/>
  <c r="D625" i="6"/>
  <c r="B625" i="6"/>
  <c r="A625" i="6"/>
  <c r="Z624" i="6"/>
  <c r="N624" i="6"/>
  <c r="M624" i="6"/>
  <c r="L624" i="6"/>
  <c r="K624" i="6"/>
  <c r="I624" i="6"/>
  <c r="D624" i="6"/>
  <c r="B624" i="6"/>
  <c r="A624" i="6"/>
  <c r="Z623" i="6"/>
  <c r="N623" i="6"/>
  <c r="O623" i="6" s="1"/>
  <c r="M623" i="6"/>
  <c r="L623" i="6"/>
  <c r="K623" i="6"/>
  <c r="I623" i="6"/>
  <c r="D623" i="6"/>
  <c r="B623" i="6"/>
  <c r="A623" i="6"/>
  <c r="Z622" i="6"/>
  <c r="N622" i="6"/>
  <c r="M622" i="6"/>
  <c r="L622" i="6"/>
  <c r="K622" i="6"/>
  <c r="I622" i="6"/>
  <c r="D622" i="6"/>
  <c r="B622" i="6"/>
  <c r="A622" i="6"/>
  <c r="Z621" i="6"/>
  <c r="N621" i="6"/>
  <c r="M621" i="6"/>
  <c r="L621" i="6"/>
  <c r="K621" i="6"/>
  <c r="I621" i="6"/>
  <c r="D621" i="6"/>
  <c r="B621" i="6"/>
  <c r="A621" i="6"/>
  <c r="Z620" i="6"/>
  <c r="P620" i="6"/>
  <c r="N620" i="6"/>
  <c r="O620" i="6" s="1"/>
  <c r="P621" i="6" s="1"/>
  <c r="M620" i="6"/>
  <c r="L620" i="6"/>
  <c r="K620" i="6"/>
  <c r="I620" i="6"/>
  <c r="D620" i="6"/>
  <c r="B620" i="6"/>
  <c r="A620" i="6"/>
  <c r="Z619" i="6"/>
  <c r="N619" i="6"/>
  <c r="M619" i="6"/>
  <c r="O619" i="6" s="1"/>
  <c r="L619" i="6"/>
  <c r="K619" i="6"/>
  <c r="I619" i="6"/>
  <c r="D619" i="6"/>
  <c r="B619" i="6"/>
  <c r="A619" i="6"/>
  <c r="Z618" i="6"/>
  <c r="N618" i="6"/>
  <c r="M618" i="6"/>
  <c r="L618" i="6"/>
  <c r="K618" i="6"/>
  <c r="I618" i="6"/>
  <c r="D618" i="6"/>
  <c r="B618" i="6"/>
  <c r="A618" i="6"/>
  <c r="Z617" i="6"/>
  <c r="N617" i="6"/>
  <c r="M617" i="6"/>
  <c r="L617" i="6"/>
  <c r="K617" i="6"/>
  <c r="I617" i="6"/>
  <c r="D617" i="6"/>
  <c r="B617" i="6"/>
  <c r="A617" i="6"/>
  <c r="Z616" i="6"/>
  <c r="N616" i="6"/>
  <c r="M616" i="6"/>
  <c r="L616" i="6"/>
  <c r="K616" i="6"/>
  <c r="I616" i="6"/>
  <c r="D616" i="6"/>
  <c r="B616" i="6"/>
  <c r="A616" i="6"/>
  <c r="Z615" i="6"/>
  <c r="N615" i="6"/>
  <c r="M615" i="6"/>
  <c r="O615" i="6" s="1"/>
  <c r="L615" i="6"/>
  <c r="K615" i="6"/>
  <c r="I615" i="6"/>
  <c r="D615" i="6"/>
  <c r="B615" i="6"/>
  <c r="A615" i="6"/>
  <c r="Z614" i="6"/>
  <c r="N614" i="6"/>
  <c r="M614" i="6"/>
  <c r="L614" i="6"/>
  <c r="K614" i="6"/>
  <c r="I614" i="6"/>
  <c r="D614" i="6"/>
  <c r="B614" i="6"/>
  <c r="A614" i="6"/>
  <c r="Z613" i="6"/>
  <c r="N613" i="6"/>
  <c r="M613" i="6"/>
  <c r="L613" i="6"/>
  <c r="K613" i="6"/>
  <c r="I613" i="6"/>
  <c r="D613" i="6"/>
  <c r="B613" i="6"/>
  <c r="A613" i="6"/>
  <c r="Z612" i="6"/>
  <c r="N612" i="6"/>
  <c r="M612" i="6"/>
  <c r="L612" i="6"/>
  <c r="K612" i="6"/>
  <c r="I612" i="6"/>
  <c r="D612" i="6"/>
  <c r="B612" i="6"/>
  <c r="A612" i="6"/>
  <c r="Z611" i="6"/>
  <c r="N611" i="6"/>
  <c r="M611" i="6"/>
  <c r="O611" i="6" s="1"/>
  <c r="L611" i="6"/>
  <c r="K611" i="6"/>
  <c r="I611" i="6"/>
  <c r="D611" i="6"/>
  <c r="B611" i="6"/>
  <c r="A611" i="6"/>
  <c r="Z610" i="6"/>
  <c r="N610" i="6"/>
  <c r="M610" i="6"/>
  <c r="L610" i="6"/>
  <c r="K610" i="6"/>
  <c r="I610" i="6"/>
  <c r="D610" i="6"/>
  <c r="B610" i="6"/>
  <c r="A610" i="6"/>
  <c r="Z609" i="6"/>
  <c r="N609" i="6"/>
  <c r="M609" i="6"/>
  <c r="L609" i="6"/>
  <c r="K609" i="6"/>
  <c r="I609" i="6"/>
  <c r="D609" i="6"/>
  <c r="B609" i="6"/>
  <c r="A609" i="6"/>
  <c r="Z608" i="6"/>
  <c r="N608" i="6"/>
  <c r="O608" i="6" s="1"/>
  <c r="M608" i="6"/>
  <c r="L608" i="6"/>
  <c r="K608" i="6"/>
  <c r="I608" i="6"/>
  <c r="D608" i="6"/>
  <c r="B608" i="6"/>
  <c r="A608" i="6"/>
  <c r="Z607" i="6"/>
  <c r="N607" i="6"/>
  <c r="M607" i="6"/>
  <c r="O607" i="6" s="1"/>
  <c r="L607" i="6"/>
  <c r="K607" i="6"/>
  <c r="I607" i="6"/>
  <c r="D607" i="6"/>
  <c r="B607" i="6"/>
  <c r="A607" i="6"/>
  <c r="Z606" i="6"/>
  <c r="N606" i="6"/>
  <c r="M606" i="6"/>
  <c r="L606" i="6"/>
  <c r="K606" i="6"/>
  <c r="I606" i="6"/>
  <c r="D606" i="6"/>
  <c r="B606" i="6"/>
  <c r="A606" i="6"/>
  <c r="Z605" i="6"/>
  <c r="N605" i="6"/>
  <c r="M605" i="6"/>
  <c r="L605" i="6"/>
  <c r="K605" i="6"/>
  <c r="I605" i="6"/>
  <c r="D605" i="6"/>
  <c r="B605" i="6"/>
  <c r="A605" i="6"/>
  <c r="Z604" i="6"/>
  <c r="N604" i="6"/>
  <c r="M604" i="6"/>
  <c r="O604" i="6" s="1"/>
  <c r="L604" i="6"/>
  <c r="K604" i="6"/>
  <c r="I604" i="6"/>
  <c r="D604" i="6"/>
  <c r="B604" i="6"/>
  <c r="A604" i="6"/>
  <c r="Z603" i="6"/>
  <c r="N603" i="6"/>
  <c r="M603" i="6"/>
  <c r="L603" i="6"/>
  <c r="K603" i="6"/>
  <c r="I603" i="6"/>
  <c r="D603" i="6"/>
  <c r="B603" i="6"/>
  <c r="A603" i="6"/>
  <c r="Z602" i="6"/>
  <c r="N602" i="6"/>
  <c r="M602" i="6"/>
  <c r="O602" i="6" s="1"/>
  <c r="L602" i="6"/>
  <c r="K602" i="6"/>
  <c r="I602" i="6"/>
  <c r="D602" i="6"/>
  <c r="B602" i="6"/>
  <c r="A602" i="6"/>
  <c r="Z601" i="6"/>
  <c r="N601" i="6"/>
  <c r="M601" i="6"/>
  <c r="L601" i="6"/>
  <c r="K601" i="6"/>
  <c r="I601" i="6"/>
  <c r="D601" i="6"/>
  <c r="B601" i="6"/>
  <c r="A601" i="6"/>
  <c r="Z600" i="6"/>
  <c r="N600" i="6"/>
  <c r="O600" i="6" s="1"/>
  <c r="M600" i="6"/>
  <c r="L600" i="6"/>
  <c r="K600" i="6"/>
  <c r="I600" i="6"/>
  <c r="D600" i="6"/>
  <c r="B600" i="6"/>
  <c r="A600" i="6"/>
  <c r="Z599" i="6"/>
  <c r="N599" i="6"/>
  <c r="M599" i="6"/>
  <c r="L599" i="6"/>
  <c r="K599" i="6"/>
  <c r="I599" i="6"/>
  <c r="D599" i="6"/>
  <c r="B599" i="6"/>
  <c r="A599" i="6"/>
  <c r="Z598" i="6"/>
  <c r="N598" i="6"/>
  <c r="M598" i="6"/>
  <c r="L598" i="6"/>
  <c r="K598" i="6"/>
  <c r="I598" i="6"/>
  <c r="D598" i="6"/>
  <c r="B598" i="6"/>
  <c r="A598" i="6"/>
  <c r="Z597" i="6"/>
  <c r="N597" i="6"/>
  <c r="M597" i="6"/>
  <c r="L597" i="6"/>
  <c r="K597" i="6"/>
  <c r="I597" i="6"/>
  <c r="D597" i="6"/>
  <c r="B597" i="6"/>
  <c r="A597" i="6"/>
  <c r="Z596" i="6"/>
  <c r="N596" i="6"/>
  <c r="M596" i="6"/>
  <c r="L596" i="6"/>
  <c r="K596" i="6"/>
  <c r="I596" i="6"/>
  <c r="D596" i="6"/>
  <c r="B596" i="6"/>
  <c r="A596" i="6"/>
  <c r="Z595" i="6"/>
  <c r="N595" i="6"/>
  <c r="M595" i="6"/>
  <c r="L595" i="6"/>
  <c r="K595" i="6"/>
  <c r="I595" i="6"/>
  <c r="D595" i="6"/>
  <c r="B595" i="6"/>
  <c r="A595" i="6"/>
  <c r="Z594" i="6"/>
  <c r="N594" i="6"/>
  <c r="M594" i="6"/>
  <c r="O594" i="6" s="1"/>
  <c r="L594" i="6"/>
  <c r="K594" i="6"/>
  <c r="I594" i="6"/>
  <c r="D594" i="6"/>
  <c r="B594" i="6"/>
  <c r="A594" i="6"/>
  <c r="Z593" i="6"/>
  <c r="N593" i="6"/>
  <c r="M593" i="6"/>
  <c r="L593" i="6"/>
  <c r="K593" i="6"/>
  <c r="I593" i="6"/>
  <c r="D593" i="6"/>
  <c r="B593" i="6"/>
  <c r="A593" i="6"/>
  <c r="Z592" i="6"/>
  <c r="N592" i="6"/>
  <c r="M592" i="6"/>
  <c r="O592" i="6" s="1"/>
  <c r="L592" i="6"/>
  <c r="K592" i="6"/>
  <c r="I592" i="6"/>
  <c r="D592" i="6"/>
  <c r="B592" i="6"/>
  <c r="A592" i="6"/>
  <c r="Z591" i="6"/>
  <c r="N591" i="6"/>
  <c r="M591" i="6"/>
  <c r="L591" i="6"/>
  <c r="K591" i="6"/>
  <c r="I591" i="6"/>
  <c r="D591" i="6"/>
  <c r="B591" i="6"/>
  <c r="A591" i="6"/>
  <c r="Z590" i="6"/>
  <c r="P590" i="6"/>
  <c r="N590" i="6"/>
  <c r="M590" i="6"/>
  <c r="L590" i="6"/>
  <c r="Q590" i="6" s="1"/>
  <c r="K590" i="6"/>
  <c r="I590" i="6"/>
  <c r="D590" i="6"/>
  <c r="B590" i="6"/>
  <c r="A590" i="6"/>
  <c r="Z589" i="6"/>
  <c r="N589" i="6"/>
  <c r="M589" i="6"/>
  <c r="L589" i="6"/>
  <c r="K589" i="6"/>
  <c r="I589" i="6"/>
  <c r="D589" i="6"/>
  <c r="B589" i="6"/>
  <c r="A589" i="6"/>
  <c r="Z588" i="6"/>
  <c r="N588" i="6"/>
  <c r="M588" i="6"/>
  <c r="L588" i="6"/>
  <c r="K588" i="6"/>
  <c r="I588" i="6"/>
  <c r="D588" i="6"/>
  <c r="B588" i="6"/>
  <c r="A588" i="6"/>
  <c r="Z587" i="6"/>
  <c r="N587" i="6"/>
  <c r="M587" i="6"/>
  <c r="L587" i="6"/>
  <c r="K587" i="6"/>
  <c r="I587" i="6"/>
  <c r="D587" i="6"/>
  <c r="B587" i="6"/>
  <c r="A587" i="6"/>
  <c r="Z586" i="6"/>
  <c r="N586" i="6"/>
  <c r="M586" i="6"/>
  <c r="O586" i="6" s="1"/>
  <c r="L586" i="6"/>
  <c r="K586" i="6"/>
  <c r="I586" i="6"/>
  <c r="D586" i="6"/>
  <c r="B586" i="6"/>
  <c r="A586" i="6"/>
  <c r="Z585" i="6"/>
  <c r="N585" i="6"/>
  <c r="M585" i="6"/>
  <c r="L585" i="6"/>
  <c r="K585" i="6"/>
  <c r="I585" i="6"/>
  <c r="D585" i="6"/>
  <c r="B585" i="6"/>
  <c r="A585" i="6"/>
  <c r="Z584" i="6"/>
  <c r="N584" i="6"/>
  <c r="M584" i="6"/>
  <c r="L584" i="6"/>
  <c r="K584" i="6"/>
  <c r="I584" i="6"/>
  <c r="D584" i="6"/>
  <c r="B584" i="6"/>
  <c r="A584" i="6"/>
  <c r="Z583" i="6"/>
  <c r="N583" i="6"/>
  <c r="M583" i="6"/>
  <c r="L583" i="6"/>
  <c r="Q583" i="6" s="1"/>
  <c r="K583" i="6"/>
  <c r="I583" i="6"/>
  <c r="D583" i="6"/>
  <c r="B583" i="6"/>
  <c r="A583" i="6"/>
  <c r="Z582" i="6"/>
  <c r="N582" i="6"/>
  <c r="M582" i="6"/>
  <c r="O582" i="6" s="1"/>
  <c r="P583" i="6" s="1"/>
  <c r="L582" i="6"/>
  <c r="K582" i="6"/>
  <c r="I582" i="6"/>
  <c r="D582" i="6"/>
  <c r="B582" i="6"/>
  <c r="A582" i="6"/>
  <c r="Z581" i="6"/>
  <c r="N581" i="6"/>
  <c r="M581" i="6"/>
  <c r="O581" i="6" s="1"/>
  <c r="L581" i="6"/>
  <c r="K581" i="6"/>
  <c r="I581" i="6"/>
  <c r="D581" i="6"/>
  <c r="B581" i="6"/>
  <c r="A581" i="6"/>
  <c r="Z580" i="6"/>
  <c r="N580" i="6"/>
  <c r="M580" i="6"/>
  <c r="O580" i="6" s="1"/>
  <c r="L580" i="6"/>
  <c r="K580" i="6"/>
  <c r="I580" i="6"/>
  <c r="D580" i="6"/>
  <c r="B580" i="6"/>
  <c r="A580" i="6"/>
  <c r="Z579" i="6"/>
  <c r="N579" i="6"/>
  <c r="M579" i="6"/>
  <c r="L579" i="6"/>
  <c r="K579" i="6"/>
  <c r="I579" i="6"/>
  <c r="D579" i="6"/>
  <c r="B579" i="6"/>
  <c r="A579" i="6"/>
  <c r="Z578" i="6"/>
  <c r="N578" i="6"/>
  <c r="M578" i="6"/>
  <c r="L578" i="6"/>
  <c r="K578" i="6"/>
  <c r="I578" i="6"/>
  <c r="D578" i="6"/>
  <c r="B578" i="6"/>
  <c r="A578" i="6"/>
  <c r="Z577" i="6"/>
  <c r="N577" i="6"/>
  <c r="M577" i="6"/>
  <c r="O577" i="6" s="1"/>
  <c r="L577" i="6"/>
  <c r="K577" i="6"/>
  <c r="I577" i="6"/>
  <c r="D577" i="6"/>
  <c r="B577" i="6"/>
  <c r="A577" i="6"/>
  <c r="Z576" i="6"/>
  <c r="N576" i="6"/>
  <c r="O576" i="6" s="1"/>
  <c r="M576" i="6"/>
  <c r="L576" i="6"/>
  <c r="K576" i="6"/>
  <c r="I576" i="6"/>
  <c r="D576" i="6"/>
  <c r="B576" i="6"/>
  <c r="A576" i="6"/>
  <c r="Z575" i="6"/>
  <c r="N575" i="6"/>
  <c r="M575" i="6"/>
  <c r="O575" i="6" s="1"/>
  <c r="L575" i="6"/>
  <c r="K575" i="6"/>
  <c r="I575" i="6"/>
  <c r="D575" i="6"/>
  <c r="B575" i="6"/>
  <c r="A575" i="6"/>
  <c r="Z574" i="6"/>
  <c r="N574" i="6"/>
  <c r="M574" i="6"/>
  <c r="L574" i="6"/>
  <c r="K574" i="6"/>
  <c r="I574" i="6"/>
  <c r="D574" i="6"/>
  <c r="B574" i="6"/>
  <c r="A574" i="6"/>
  <c r="Z573" i="6"/>
  <c r="N573" i="6"/>
  <c r="M573" i="6"/>
  <c r="O573" i="6" s="1"/>
  <c r="L573" i="6"/>
  <c r="K573" i="6"/>
  <c r="I573" i="6"/>
  <c r="D573" i="6"/>
  <c r="B573" i="6"/>
  <c r="A573" i="6"/>
  <c r="Z572" i="6"/>
  <c r="N572" i="6"/>
  <c r="M572" i="6"/>
  <c r="L572" i="6"/>
  <c r="K572" i="6"/>
  <c r="I572" i="6"/>
  <c r="D572" i="6"/>
  <c r="B572" i="6"/>
  <c r="A572" i="6"/>
  <c r="Z571" i="6"/>
  <c r="N571" i="6"/>
  <c r="M571" i="6"/>
  <c r="O571" i="6" s="1"/>
  <c r="L571" i="6"/>
  <c r="K571" i="6"/>
  <c r="I571" i="6"/>
  <c r="D571" i="6"/>
  <c r="B571" i="6"/>
  <c r="A571" i="6"/>
  <c r="Z570" i="6"/>
  <c r="N570" i="6"/>
  <c r="M570" i="6"/>
  <c r="L570" i="6"/>
  <c r="K570" i="6"/>
  <c r="I570" i="6"/>
  <c r="D570" i="6"/>
  <c r="B570" i="6"/>
  <c r="A570" i="6"/>
  <c r="Z569" i="6"/>
  <c r="N569" i="6"/>
  <c r="M569" i="6"/>
  <c r="O569" i="6" s="1"/>
  <c r="L569" i="6"/>
  <c r="K569" i="6"/>
  <c r="I569" i="6"/>
  <c r="D569" i="6"/>
  <c r="B569" i="6"/>
  <c r="A569" i="6"/>
  <c r="Z568" i="6"/>
  <c r="N568" i="6"/>
  <c r="O568" i="6" s="1"/>
  <c r="M568" i="6"/>
  <c r="L568" i="6"/>
  <c r="K568" i="6"/>
  <c r="I568" i="6"/>
  <c r="D568" i="6"/>
  <c r="B568" i="6"/>
  <c r="A568" i="6"/>
  <c r="Z567" i="6"/>
  <c r="N567" i="6"/>
  <c r="M567" i="6"/>
  <c r="O567" i="6" s="1"/>
  <c r="L567" i="6"/>
  <c r="K567" i="6"/>
  <c r="I567" i="6"/>
  <c r="D567" i="6"/>
  <c r="B567" i="6"/>
  <c r="A567" i="6"/>
  <c r="Z566" i="6"/>
  <c r="N566" i="6"/>
  <c r="M566" i="6"/>
  <c r="L566" i="6"/>
  <c r="K566" i="6"/>
  <c r="I566" i="6"/>
  <c r="D566" i="6"/>
  <c r="B566" i="6"/>
  <c r="A566" i="6"/>
  <c r="Z565" i="6"/>
  <c r="N565" i="6"/>
  <c r="M565" i="6"/>
  <c r="L565" i="6"/>
  <c r="K565" i="6"/>
  <c r="I565" i="6"/>
  <c r="D565" i="6"/>
  <c r="B565" i="6"/>
  <c r="A565" i="6"/>
  <c r="Z564" i="6"/>
  <c r="N564" i="6"/>
  <c r="M564" i="6"/>
  <c r="L564" i="6"/>
  <c r="K564" i="6"/>
  <c r="I564" i="6"/>
  <c r="D564" i="6"/>
  <c r="B564" i="6"/>
  <c r="A564" i="6"/>
  <c r="Z563" i="6"/>
  <c r="N563" i="6"/>
  <c r="M563" i="6"/>
  <c r="L563" i="6"/>
  <c r="K563" i="6"/>
  <c r="I563" i="6"/>
  <c r="D563" i="6"/>
  <c r="B563" i="6"/>
  <c r="A563" i="6"/>
  <c r="Z562" i="6"/>
  <c r="N562" i="6"/>
  <c r="M562" i="6"/>
  <c r="L562" i="6"/>
  <c r="K562" i="6"/>
  <c r="I562" i="6"/>
  <c r="D562" i="6"/>
  <c r="B562" i="6"/>
  <c r="A562" i="6"/>
  <c r="Z561" i="6"/>
  <c r="N561" i="6"/>
  <c r="M561" i="6"/>
  <c r="O561" i="6" s="1"/>
  <c r="L561" i="6"/>
  <c r="K561" i="6"/>
  <c r="I561" i="6"/>
  <c r="D561" i="6"/>
  <c r="B561" i="6"/>
  <c r="A561" i="6"/>
  <c r="Z560" i="6"/>
  <c r="P560" i="6"/>
  <c r="N560" i="6"/>
  <c r="M560" i="6"/>
  <c r="O560" i="6" s="1"/>
  <c r="P561" i="6" s="1"/>
  <c r="L560" i="6"/>
  <c r="Q560" i="6" s="1"/>
  <c r="R560" i="6" s="1"/>
  <c r="K560" i="6"/>
  <c r="I560" i="6"/>
  <c r="D560" i="6"/>
  <c r="B560" i="6"/>
  <c r="A560" i="6"/>
  <c r="Z559" i="6"/>
  <c r="N559" i="6"/>
  <c r="M559" i="6"/>
  <c r="L559" i="6"/>
  <c r="K559" i="6"/>
  <c r="I559" i="6"/>
  <c r="D559" i="6"/>
  <c r="B559" i="6"/>
  <c r="A559" i="6"/>
  <c r="Z558" i="6"/>
  <c r="N558" i="6"/>
  <c r="M558" i="6"/>
  <c r="L558" i="6"/>
  <c r="K558" i="6"/>
  <c r="I558" i="6"/>
  <c r="D558" i="6"/>
  <c r="B558" i="6"/>
  <c r="A558" i="6"/>
  <c r="Z557" i="6"/>
  <c r="N557" i="6"/>
  <c r="M557" i="6"/>
  <c r="L557" i="6"/>
  <c r="K557" i="6"/>
  <c r="I557" i="6"/>
  <c r="D557" i="6"/>
  <c r="B557" i="6"/>
  <c r="A557" i="6"/>
  <c r="Z556" i="6"/>
  <c r="N556" i="6"/>
  <c r="M556" i="6"/>
  <c r="L556" i="6"/>
  <c r="K556" i="6"/>
  <c r="I556" i="6"/>
  <c r="D556" i="6"/>
  <c r="B556" i="6"/>
  <c r="A556" i="6"/>
  <c r="Z555" i="6"/>
  <c r="N555" i="6"/>
  <c r="M555" i="6"/>
  <c r="L555" i="6"/>
  <c r="K555" i="6"/>
  <c r="I555" i="6"/>
  <c r="D555" i="6"/>
  <c r="B555" i="6"/>
  <c r="A555" i="6"/>
  <c r="Z554" i="6"/>
  <c r="N554" i="6"/>
  <c r="M554" i="6"/>
  <c r="L554" i="6"/>
  <c r="K554" i="6"/>
  <c r="I554" i="6"/>
  <c r="D554" i="6"/>
  <c r="B554" i="6"/>
  <c r="A554" i="6"/>
  <c r="Z553" i="6"/>
  <c r="N553" i="6"/>
  <c r="M553" i="6"/>
  <c r="L553" i="6"/>
  <c r="K553" i="6"/>
  <c r="I553" i="6"/>
  <c r="D553" i="6"/>
  <c r="B553" i="6"/>
  <c r="A553" i="6"/>
  <c r="Z552" i="6"/>
  <c r="N552" i="6"/>
  <c r="M552" i="6"/>
  <c r="L552" i="6"/>
  <c r="K552" i="6"/>
  <c r="I552" i="6"/>
  <c r="D552" i="6"/>
  <c r="B552" i="6"/>
  <c r="A552" i="6"/>
  <c r="Z551" i="6"/>
  <c r="N551" i="6"/>
  <c r="M551" i="6"/>
  <c r="L551" i="6"/>
  <c r="K551" i="6"/>
  <c r="I551" i="6"/>
  <c r="D551" i="6"/>
  <c r="B551" i="6"/>
  <c r="A551" i="6"/>
  <c r="Z550" i="6"/>
  <c r="N550" i="6"/>
  <c r="M550" i="6"/>
  <c r="O550" i="6" s="1"/>
  <c r="L550" i="6"/>
  <c r="K550" i="6"/>
  <c r="I550" i="6"/>
  <c r="D550" i="6"/>
  <c r="B550" i="6"/>
  <c r="A550" i="6"/>
  <c r="Z549" i="6"/>
  <c r="N549" i="6"/>
  <c r="M549" i="6"/>
  <c r="L549" i="6"/>
  <c r="K549" i="6"/>
  <c r="I549" i="6"/>
  <c r="D549" i="6"/>
  <c r="B549" i="6"/>
  <c r="A549" i="6"/>
  <c r="Z548" i="6"/>
  <c r="N548" i="6"/>
  <c r="M548" i="6"/>
  <c r="O548" i="6" s="1"/>
  <c r="L548" i="6"/>
  <c r="K548" i="6"/>
  <c r="I548" i="6"/>
  <c r="D548" i="6"/>
  <c r="B548" i="6"/>
  <c r="A548" i="6"/>
  <c r="Z547" i="6"/>
  <c r="N547" i="6"/>
  <c r="M547" i="6"/>
  <c r="L547" i="6"/>
  <c r="K547" i="6"/>
  <c r="I547" i="6"/>
  <c r="D547" i="6"/>
  <c r="B547" i="6"/>
  <c r="A547" i="6"/>
  <c r="Z546" i="6"/>
  <c r="N546" i="6"/>
  <c r="M546" i="6"/>
  <c r="L546" i="6"/>
  <c r="K546" i="6"/>
  <c r="I546" i="6"/>
  <c r="D546" i="6"/>
  <c r="B546" i="6"/>
  <c r="A546" i="6"/>
  <c r="Z545" i="6"/>
  <c r="N545" i="6"/>
  <c r="M545" i="6"/>
  <c r="L545" i="6"/>
  <c r="K545" i="6"/>
  <c r="I545" i="6"/>
  <c r="D545" i="6"/>
  <c r="B545" i="6"/>
  <c r="A545" i="6"/>
  <c r="Z544" i="6"/>
  <c r="N544" i="6"/>
  <c r="M544" i="6"/>
  <c r="L544" i="6"/>
  <c r="K544" i="6"/>
  <c r="I544" i="6"/>
  <c r="D544" i="6"/>
  <c r="B544" i="6"/>
  <c r="A544" i="6"/>
  <c r="Z543" i="6"/>
  <c r="N543" i="6"/>
  <c r="M543" i="6"/>
  <c r="L543" i="6"/>
  <c r="K543" i="6"/>
  <c r="I543" i="6"/>
  <c r="D543" i="6"/>
  <c r="B543" i="6"/>
  <c r="A543" i="6"/>
  <c r="Z542" i="6"/>
  <c r="N542" i="6"/>
  <c r="M542" i="6"/>
  <c r="L542" i="6"/>
  <c r="K542" i="6"/>
  <c r="I542" i="6"/>
  <c r="D542" i="6"/>
  <c r="B542" i="6"/>
  <c r="A542" i="6"/>
  <c r="Z541" i="6"/>
  <c r="N541" i="6"/>
  <c r="M541" i="6"/>
  <c r="L541" i="6"/>
  <c r="K541" i="6"/>
  <c r="I541" i="6"/>
  <c r="D541" i="6"/>
  <c r="B541" i="6"/>
  <c r="A541" i="6"/>
  <c r="Z540" i="6"/>
  <c r="N540" i="6"/>
  <c r="M540" i="6"/>
  <c r="L540" i="6"/>
  <c r="K540" i="6"/>
  <c r="I540" i="6"/>
  <c r="D540" i="6"/>
  <c r="B540" i="6"/>
  <c r="A540" i="6"/>
  <c r="Z539" i="6"/>
  <c r="N539" i="6"/>
  <c r="M539" i="6"/>
  <c r="O539" i="6" s="1"/>
  <c r="L539" i="6"/>
  <c r="K539" i="6"/>
  <c r="I539" i="6"/>
  <c r="D539" i="6"/>
  <c r="B539" i="6"/>
  <c r="A539" i="6"/>
  <c r="Z538" i="6"/>
  <c r="N538" i="6"/>
  <c r="M538" i="6"/>
  <c r="L538" i="6"/>
  <c r="K538" i="6"/>
  <c r="I538" i="6"/>
  <c r="D538" i="6"/>
  <c r="B538" i="6"/>
  <c r="A538" i="6"/>
  <c r="Z537" i="6"/>
  <c r="N537" i="6"/>
  <c r="M537" i="6"/>
  <c r="L537" i="6"/>
  <c r="K537" i="6"/>
  <c r="I537" i="6"/>
  <c r="D537" i="6"/>
  <c r="B537" i="6"/>
  <c r="A537" i="6"/>
  <c r="Z536" i="6"/>
  <c r="N536" i="6"/>
  <c r="M536" i="6"/>
  <c r="O536" i="6" s="1"/>
  <c r="L536" i="6"/>
  <c r="K536" i="6"/>
  <c r="I536" i="6"/>
  <c r="D536" i="6"/>
  <c r="B536" i="6"/>
  <c r="A536" i="6"/>
  <c r="Z535" i="6"/>
  <c r="N535" i="6"/>
  <c r="M535" i="6"/>
  <c r="L535" i="6"/>
  <c r="K535" i="6"/>
  <c r="I535" i="6"/>
  <c r="D535" i="6"/>
  <c r="B535" i="6"/>
  <c r="A535" i="6"/>
  <c r="Z534" i="6"/>
  <c r="N534" i="6"/>
  <c r="M534" i="6"/>
  <c r="O534" i="6" s="1"/>
  <c r="L534" i="6"/>
  <c r="K534" i="6"/>
  <c r="I534" i="6"/>
  <c r="D534" i="6"/>
  <c r="B534" i="6"/>
  <c r="A534" i="6"/>
  <c r="Z533" i="6"/>
  <c r="N533" i="6"/>
  <c r="O533" i="6" s="1"/>
  <c r="M533" i="6"/>
  <c r="L533" i="6"/>
  <c r="K533" i="6"/>
  <c r="I533" i="6"/>
  <c r="D533" i="6"/>
  <c r="B533" i="6"/>
  <c r="A533" i="6"/>
  <c r="Z532" i="6"/>
  <c r="N532" i="6"/>
  <c r="M532" i="6"/>
  <c r="O532" i="6" s="1"/>
  <c r="L532" i="6"/>
  <c r="K532" i="6"/>
  <c r="I532" i="6"/>
  <c r="D532" i="6"/>
  <c r="B532" i="6"/>
  <c r="A532" i="6"/>
  <c r="Z531" i="6"/>
  <c r="N531" i="6"/>
  <c r="M531" i="6"/>
  <c r="L531" i="6"/>
  <c r="K531" i="6"/>
  <c r="I531" i="6"/>
  <c r="D531" i="6"/>
  <c r="B531" i="6"/>
  <c r="A531" i="6"/>
  <c r="Z530" i="6"/>
  <c r="P530" i="6"/>
  <c r="N530" i="6"/>
  <c r="M530" i="6"/>
  <c r="O530" i="6" s="1"/>
  <c r="P531" i="6" s="1"/>
  <c r="L530" i="6"/>
  <c r="Q530" i="6" s="1"/>
  <c r="K530" i="6"/>
  <c r="I530" i="6"/>
  <c r="D530" i="6"/>
  <c r="B530" i="6"/>
  <c r="A530" i="6"/>
  <c r="Z529" i="6"/>
  <c r="N529" i="6"/>
  <c r="M529" i="6"/>
  <c r="L529" i="6"/>
  <c r="K529" i="6"/>
  <c r="I529" i="6"/>
  <c r="D529" i="6"/>
  <c r="B529" i="6"/>
  <c r="A529" i="6"/>
  <c r="Z528" i="6"/>
  <c r="N528" i="6"/>
  <c r="M528" i="6"/>
  <c r="O528" i="6" s="1"/>
  <c r="L528" i="6"/>
  <c r="K528" i="6"/>
  <c r="I528" i="6"/>
  <c r="D528" i="6"/>
  <c r="B528" i="6"/>
  <c r="A528" i="6"/>
  <c r="Z527" i="6"/>
  <c r="N527" i="6"/>
  <c r="M527" i="6"/>
  <c r="L527" i="6"/>
  <c r="K527" i="6"/>
  <c r="I527" i="6"/>
  <c r="D527" i="6"/>
  <c r="B527" i="6"/>
  <c r="A527" i="6"/>
  <c r="Z526" i="6"/>
  <c r="N526" i="6"/>
  <c r="M526" i="6"/>
  <c r="O526" i="6" s="1"/>
  <c r="L526" i="6"/>
  <c r="K526" i="6"/>
  <c r="I526" i="6"/>
  <c r="D526" i="6"/>
  <c r="B526" i="6"/>
  <c r="A526" i="6"/>
  <c r="Z525" i="6"/>
  <c r="N525" i="6"/>
  <c r="M525" i="6"/>
  <c r="L525" i="6"/>
  <c r="K525" i="6"/>
  <c r="I525" i="6"/>
  <c r="D525" i="6"/>
  <c r="B525" i="6"/>
  <c r="A525" i="6"/>
  <c r="Z524" i="6"/>
  <c r="N524" i="6"/>
  <c r="M524" i="6"/>
  <c r="L524" i="6"/>
  <c r="K524" i="6"/>
  <c r="I524" i="6"/>
  <c r="D524" i="6"/>
  <c r="B524" i="6"/>
  <c r="A524" i="6"/>
  <c r="Z523" i="6"/>
  <c r="N523" i="6"/>
  <c r="M523" i="6"/>
  <c r="L523" i="6"/>
  <c r="K523" i="6"/>
  <c r="I523" i="6"/>
  <c r="D523" i="6"/>
  <c r="B523" i="6"/>
  <c r="A523" i="6"/>
  <c r="Z522" i="6"/>
  <c r="N522" i="6"/>
  <c r="M522" i="6"/>
  <c r="L522" i="6"/>
  <c r="K522" i="6"/>
  <c r="I522" i="6"/>
  <c r="D522" i="6"/>
  <c r="B522" i="6"/>
  <c r="A522" i="6"/>
  <c r="Z521" i="6"/>
  <c r="N521" i="6"/>
  <c r="O521" i="6" s="1"/>
  <c r="M521" i="6"/>
  <c r="L521" i="6"/>
  <c r="K521" i="6"/>
  <c r="I521" i="6"/>
  <c r="D521" i="6"/>
  <c r="B521" i="6"/>
  <c r="A521" i="6"/>
  <c r="Z520" i="6"/>
  <c r="N520" i="6"/>
  <c r="O520" i="6" s="1"/>
  <c r="M520" i="6"/>
  <c r="L520" i="6"/>
  <c r="K520" i="6"/>
  <c r="I520" i="6"/>
  <c r="D520" i="6"/>
  <c r="B520" i="6"/>
  <c r="A520" i="6"/>
  <c r="Z519" i="6"/>
  <c r="N519" i="6"/>
  <c r="M519" i="6"/>
  <c r="L519" i="6"/>
  <c r="K519" i="6"/>
  <c r="I519" i="6"/>
  <c r="D519" i="6"/>
  <c r="B519" i="6"/>
  <c r="A519" i="6"/>
  <c r="Z518" i="6"/>
  <c r="N518" i="6"/>
  <c r="M518" i="6"/>
  <c r="O518" i="6" s="1"/>
  <c r="L518" i="6"/>
  <c r="K518" i="6"/>
  <c r="I518" i="6"/>
  <c r="D518" i="6"/>
  <c r="B518" i="6"/>
  <c r="A518" i="6"/>
  <c r="Z517" i="6"/>
  <c r="N517" i="6"/>
  <c r="M517" i="6"/>
  <c r="L517" i="6"/>
  <c r="K517" i="6"/>
  <c r="I517" i="6"/>
  <c r="D517" i="6"/>
  <c r="B517" i="6"/>
  <c r="A517" i="6"/>
  <c r="Z516" i="6"/>
  <c r="N516" i="6"/>
  <c r="M516" i="6"/>
  <c r="L516" i="6"/>
  <c r="K516" i="6"/>
  <c r="I516" i="6"/>
  <c r="D516" i="6"/>
  <c r="B516" i="6"/>
  <c r="A516" i="6"/>
  <c r="Z515" i="6"/>
  <c r="N515" i="6"/>
  <c r="M515" i="6"/>
  <c r="L515" i="6"/>
  <c r="K515" i="6"/>
  <c r="I515" i="6"/>
  <c r="D515" i="6"/>
  <c r="B515" i="6"/>
  <c r="A515" i="6"/>
  <c r="Z514" i="6"/>
  <c r="N514" i="6"/>
  <c r="M514" i="6"/>
  <c r="O514" i="6" s="1"/>
  <c r="L514" i="6"/>
  <c r="K514" i="6"/>
  <c r="I514" i="6"/>
  <c r="D514" i="6"/>
  <c r="B514" i="6"/>
  <c r="A514" i="6"/>
  <c r="Z513" i="6"/>
  <c r="N513" i="6"/>
  <c r="M513" i="6"/>
  <c r="O513" i="6" s="1"/>
  <c r="L513" i="6"/>
  <c r="K513" i="6"/>
  <c r="I513" i="6"/>
  <c r="D513" i="6"/>
  <c r="B513" i="6"/>
  <c r="A513" i="6"/>
  <c r="Z512" i="6"/>
  <c r="N512" i="6"/>
  <c r="M512" i="6"/>
  <c r="L512" i="6"/>
  <c r="K512" i="6"/>
  <c r="I512" i="6"/>
  <c r="D512" i="6"/>
  <c r="B512" i="6"/>
  <c r="A512" i="6"/>
  <c r="Z511" i="6"/>
  <c r="N511" i="6"/>
  <c r="M511" i="6"/>
  <c r="L511" i="6"/>
  <c r="K511" i="6"/>
  <c r="I511" i="6"/>
  <c r="D511" i="6"/>
  <c r="B511" i="6"/>
  <c r="A511" i="6"/>
  <c r="Z510" i="6"/>
  <c r="N510" i="6"/>
  <c r="O510" i="6" s="1"/>
  <c r="M510" i="6"/>
  <c r="L510" i="6"/>
  <c r="K510" i="6"/>
  <c r="I510" i="6"/>
  <c r="D510" i="6"/>
  <c r="B510" i="6"/>
  <c r="A510" i="6"/>
  <c r="Z509" i="6"/>
  <c r="N509" i="6"/>
  <c r="M509" i="6"/>
  <c r="L509" i="6"/>
  <c r="K509" i="6"/>
  <c r="I509" i="6"/>
  <c r="D509" i="6"/>
  <c r="B509" i="6"/>
  <c r="A509" i="6"/>
  <c r="Z508" i="6"/>
  <c r="N508" i="6"/>
  <c r="M508" i="6"/>
  <c r="L508" i="6"/>
  <c r="K508" i="6"/>
  <c r="I508" i="6"/>
  <c r="D508" i="6"/>
  <c r="B508" i="6"/>
  <c r="A508" i="6"/>
  <c r="Z507" i="6"/>
  <c r="N507" i="6"/>
  <c r="M507" i="6"/>
  <c r="O507" i="6" s="1"/>
  <c r="L507" i="6"/>
  <c r="K507" i="6"/>
  <c r="I507" i="6"/>
  <c r="D507" i="6"/>
  <c r="B507" i="6"/>
  <c r="A507" i="6"/>
  <c r="Z506" i="6"/>
  <c r="N506" i="6"/>
  <c r="M506" i="6"/>
  <c r="O506" i="6" s="1"/>
  <c r="L506" i="6"/>
  <c r="K506" i="6"/>
  <c r="I506" i="6"/>
  <c r="D506" i="6"/>
  <c r="B506" i="6"/>
  <c r="A506" i="6"/>
  <c r="Z505" i="6"/>
  <c r="N505" i="6"/>
  <c r="M505" i="6"/>
  <c r="L505" i="6"/>
  <c r="K505" i="6"/>
  <c r="I505" i="6"/>
  <c r="D505" i="6"/>
  <c r="B505" i="6"/>
  <c r="A505" i="6"/>
  <c r="Z504" i="6"/>
  <c r="N504" i="6"/>
  <c r="M504" i="6"/>
  <c r="L504" i="6"/>
  <c r="K504" i="6"/>
  <c r="I504" i="6"/>
  <c r="D504" i="6"/>
  <c r="B504" i="6"/>
  <c r="A504" i="6"/>
  <c r="Z503" i="6"/>
  <c r="N503" i="6"/>
  <c r="M503" i="6"/>
  <c r="O503" i="6" s="1"/>
  <c r="L503" i="6"/>
  <c r="K503" i="6"/>
  <c r="I503" i="6"/>
  <c r="D503" i="6"/>
  <c r="B503" i="6"/>
  <c r="A503" i="6"/>
  <c r="Z502" i="6"/>
  <c r="N502" i="6"/>
  <c r="M502" i="6"/>
  <c r="O502" i="6" s="1"/>
  <c r="L502" i="6"/>
  <c r="K502" i="6"/>
  <c r="I502" i="6"/>
  <c r="D502" i="6"/>
  <c r="B502" i="6"/>
  <c r="A502" i="6"/>
  <c r="Z501" i="6"/>
  <c r="N501" i="6"/>
  <c r="M501" i="6"/>
  <c r="L501" i="6"/>
  <c r="K501" i="6"/>
  <c r="I501" i="6"/>
  <c r="D501" i="6"/>
  <c r="B501" i="6"/>
  <c r="A501" i="6"/>
  <c r="Z500" i="6"/>
  <c r="P500" i="6"/>
  <c r="Q500" i="6" s="1"/>
  <c r="N500" i="6"/>
  <c r="M500" i="6"/>
  <c r="L500" i="6"/>
  <c r="K500" i="6"/>
  <c r="I500" i="6"/>
  <c r="D500" i="6"/>
  <c r="B500" i="6"/>
  <c r="A500" i="6"/>
  <c r="Z499" i="6"/>
  <c r="O499" i="6"/>
  <c r="N499" i="6"/>
  <c r="M499" i="6"/>
  <c r="L499" i="6"/>
  <c r="K499" i="6"/>
  <c r="I499" i="6"/>
  <c r="D499" i="6"/>
  <c r="B499" i="6"/>
  <c r="A499" i="6"/>
  <c r="Z498" i="6"/>
  <c r="N498" i="6"/>
  <c r="O498" i="6" s="1"/>
  <c r="M498" i="6"/>
  <c r="L498" i="6"/>
  <c r="K498" i="6"/>
  <c r="I498" i="6"/>
  <c r="D498" i="6"/>
  <c r="B498" i="6"/>
  <c r="A498" i="6"/>
  <c r="Z497" i="6"/>
  <c r="N497" i="6"/>
  <c r="M497" i="6"/>
  <c r="L497" i="6"/>
  <c r="K497" i="6"/>
  <c r="I497" i="6"/>
  <c r="D497" i="6"/>
  <c r="B497" i="6"/>
  <c r="A497" i="6"/>
  <c r="Z496" i="6"/>
  <c r="N496" i="6"/>
  <c r="M496" i="6"/>
  <c r="L496" i="6"/>
  <c r="K496" i="6"/>
  <c r="I496" i="6"/>
  <c r="D496" i="6"/>
  <c r="B496" i="6"/>
  <c r="A496" i="6"/>
  <c r="Z495" i="6"/>
  <c r="N495" i="6"/>
  <c r="M495" i="6"/>
  <c r="O495" i="6" s="1"/>
  <c r="L495" i="6"/>
  <c r="K495" i="6"/>
  <c r="I495" i="6"/>
  <c r="D495" i="6"/>
  <c r="B495" i="6"/>
  <c r="A495" i="6"/>
  <c r="Z494" i="6"/>
  <c r="N494" i="6"/>
  <c r="M494" i="6"/>
  <c r="L494" i="6"/>
  <c r="K494" i="6"/>
  <c r="I494" i="6"/>
  <c r="D494" i="6"/>
  <c r="B494" i="6"/>
  <c r="A494" i="6"/>
  <c r="Z493" i="6"/>
  <c r="N493" i="6"/>
  <c r="M493" i="6"/>
  <c r="L493" i="6"/>
  <c r="K493" i="6"/>
  <c r="I493" i="6"/>
  <c r="D493" i="6"/>
  <c r="B493" i="6"/>
  <c r="A493" i="6"/>
  <c r="Z492" i="6"/>
  <c r="N492" i="6"/>
  <c r="M492" i="6"/>
  <c r="L492" i="6"/>
  <c r="K492" i="6"/>
  <c r="I492" i="6"/>
  <c r="D492" i="6"/>
  <c r="B492" i="6"/>
  <c r="A492" i="6"/>
  <c r="Z491" i="6"/>
  <c r="N491" i="6"/>
  <c r="M491" i="6"/>
  <c r="O491" i="6" s="1"/>
  <c r="L491" i="6"/>
  <c r="K491" i="6"/>
  <c r="I491" i="6"/>
  <c r="D491" i="6"/>
  <c r="B491" i="6"/>
  <c r="A491" i="6"/>
  <c r="Z490" i="6"/>
  <c r="N490" i="6"/>
  <c r="M490" i="6"/>
  <c r="O490" i="6" s="1"/>
  <c r="L490" i="6"/>
  <c r="K490" i="6"/>
  <c r="I490" i="6"/>
  <c r="D490" i="6"/>
  <c r="B490" i="6"/>
  <c r="A490" i="6"/>
  <c r="Z489" i="6"/>
  <c r="N489" i="6"/>
  <c r="M489" i="6"/>
  <c r="O489" i="6" s="1"/>
  <c r="L489" i="6"/>
  <c r="K489" i="6"/>
  <c r="I489" i="6"/>
  <c r="D489" i="6"/>
  <c r="B489" i="6"/>
  <c r="A489" i="6"/>
  <c r="Z488" i="6"/>
  <c r="N488" i="6"/>
  <c r="M488" i="6"/>
  <c r="L488" i="6"/>
  <c r="K488" i="6"/>
  <c r="I488" i="6"/>
  <c r="D488" i="6"/>
  <c r="B488" i="6"/>
  <c r="A488" i="6"/>
  <c r="Z487" i="6"/>
  <c r="N487" i="6"/>
  <c r="M487" i="6"/>
  <c r="O487" i="6" s="1"/>
  <c r="L487" i="6"/>
  <c r="K487" i="6"/>
  <c r="I487" i="6"/>
  <c r="D487" i="6"/>
  <c r="B487" i="6"/>
  <c r="A487" i="6"/>
  <c r="Z486" i="6"/>
  <c r="N486" i="6"/>
  <c r="M486" i="6"/>
  <c r="L486" i="6"/>
  <c r="K486" i="6"/>
  <c r="I486" i="6"/>
  <c r="D486" i="6"/>
  <c r="B486" i="6"/>
  <c r="A486" i="6"/>
  <c r="Z485" i="6"/>
  <c r="N485" i="6"/>
  <c r="M485" i="6"/>
  <c r="L485" i="6"/>
  <c r="K485" i="6"/>
  <c r="I485" i="6"/>
  <c r="D485" i="6"/>
  <c r="B485" i="6"/>
  <c r="A485" i="6"/>
  <c r="Z484" i="6"/>
  <c r="N484" i="6"/>
  <c r="M484" i="6"/>
  <c r="L484" i="6"/>
  <c r="K484" i="6"/>
  <c r="I484" i="6"/>
  <c r="D484" i="6"/>
  <c r="B484" i="6"/>
  <c r="A484" i="6"/>
  <c r="Z483" i="6"/>
  <c r="N483" i="6"/>
  <c r="M483" i="6"/>
  <c r="O483" i="6" s="1"/>
  <c r="L483" i="6"/>
  <c r="K483" i="6"/>
  <c r="I483" i="6"/>
  <c r="D483" i="6"/>
  <c r="B483" i="6"/>
  <c r="A483" i="6"/>
  <c r="Z482" i="6"/>
  <c r="N482" i="6"/>
  <c r="M482" i="6"/>
  <c r="L482" i="6"/>
  <c r="K482" i="6"/>
  <c r="I482" i="6"/>
  <c r="D482" i="6"/>
  <c r="B482" i="6"/>
  <c r="A482" i="6"/>
  <c r="Z481" i="6"/>
  <c r="N481" i="6"/>
  <c r="M481" i="6"/>
  <c r="L481" i="6"/>
  <c r="K481" i="6"/>
  <c r="I481" i="6"/>
  <c r="D481" i="6"/>
  <c r="B481" i="6"/>
  <c r="A481" i="6"/>
  <c r="Z480" i="6"/>
  <c r="N480" i="6"/>
  <c r="M480" i="6"/>
  <c r="O480" i="6" s="1"/>
  <c r="L480" i="6"/>
  <c r="K480" i="6"/>
  <c r="I480" i="6"/>
  <c r="D480" i="6"/>
  <c r="B480" i="6"/>
  <c r="A480" i="6"/>
  <c r="Z479" i="6"/>
  <c r="N479" i="6"/>
  <c r="M479" i="6"/>
  <c r="O479" i="6" s="1"/>
  <c r="L479" i="6"/>
  <c r="K479" i="6"/>
  <c r="I479" i="6"/>
  <c r="D479" i="6"/>
  <c r="B479" i="6"/>
  <c r="A479" i="6"/>
  <c r="Z478" i="6"/>
  <c r="N478" i="6"/>
  <c r="M478" i="6"/>
  <c r="L478" i="6"/>
  <c r="K478" i="6"/>
  <c r="I478" i="6"/>
  <c r="D478" i="6"/>
  <c r="B478" i="6"/>
  <c r="A478" i="6"/>
  <c r="Z477" i="6"/>
  <c r="N477" i="6"/>
  <c r="M477" i="6"/>
  <c r="L477" i="6"/>
  <c r="K477" i="6"/>
  <c r="I477" i="6"/>
  <c r="D477" i="6"/>
  <c r="B477" i="6"/>
  <c r="A477" i="6"/>
  <c r="Z476" i="6"/>
  <c r="N476" i="6"/>
  <c r="O476" i="6" s="1"/>
  <c r="M476" i="6"/>
  <c r="L476" i="6"/>
  <c r="K476" i="6"/>
  <c r="I476" i="6"/>
  <c r="D476" i="6"/>
  <c r="B476" i="6"/>
  <c r="A476" i="6"/>
  <c r="Z475" i="6"/>
  <c r="N475" i="6"/>
  <c r="M475" i="6"/>
  <c r="L475" i="6"/>
  <c r="K475" i="6"/>
  <c r="I475" i="6"/>
  <c r="D475" i="6"/>
  <c r="B475" i="6"/>
  <c r="A475" i="6"/>
  <c r="Z474" i="6"/>
  <c r="N474" i="6"/>
  <c r="M474" i="6"/>
  <c r="L474" i="6"/>
  <c r="K474" i="6"/>
  <c r="I474" i="6"/>
  <c r="D474" i="6"/>
  <c r="B474" i="6"/>
  <c r="A474" i="6"/>
  <c r="Z473" i="6"/>
  <c r="N473" i="6"/>
  <c r="O473" i="6" s="1"/>
  <c r="M473" i="6"/>
  <c r="L473" i="6"/>
  <c r="K473" i="6"/>
  <c r="I473" i="6"/>
  <c r="D473" i="6"/>
  <c r="B473" i="6"/>
  <c r="A473" i="6"/>
  <c r="Z472" i="6"/>
  <c r="N472" i="6"/>
  <c r="M472" i="6"/>
  <c r="L472" i="6"/>
  <c r="K472" i="6"/>
  <c r="I472" i="6"/>
  <c r="D472" i="6"/>
  <c r="B472" i="6"/>
  <c r="A472" i="6"/>
  <c r="Z471" i="6"/>
  <c r="N471" i="6"/>
  <c r="M471" i="6"/>
  <c r="O471" i="6" s="1"/>
  <c r="L471" i="6"/>
  <c r="K471" i="6"/>
  <c r="I471" i="6"/>
  <c r="D471" i="6"/>
  <c r="B471" i="6"/>
  <c r="A471" i="6"/>
  <c r="Z470" i="6"/>
  <c r="P470" i="6"/>
  <c r="N470" i="6"/>
  <c r="M470" i="6"/>
  <c r="L470" i="6"/>
  <c r="K470" i="6"/>
  <c r="I470" i="6"/>
  <c r="D470" i="6"/>
  <c r="B470" i="6"/>
  <c r="A470" i="6"/>
  <c r="Z469" i="6"/>
  <c r="N469" i="6"/>
  <c r="M469" i="6"/>
  <c r="L469" i="6"/>
  <c r="K469" i="6"/>
  <c r="I469" i="6"/>
  <c r="D469" i="6"/>
  <c r="B469" i="6"/>
  <c r="A469" i="6"/>
  <c r="Z468" i="6"/>
  <c r="N468" i="6"/>
  <c r="M468" i="6"/>
  <c r="L468" i="6"/>
  <c r="K468" i="6"/>
  <c r="I468" i="6"/>
  <c r="D468" i="6"/>
  <c r="B468" i="6"/>
  <c r="A468" i="6"/>
  <c r="Z467" i="6"/>
  <c r="N467" i="6"/>
  <c r="M467" i="6"/>
  <c r="O467" i="6" s="1"/>
  <c r="L467" i="6"/>
  <c r="K467" i="6"/>
  <c r="I467" i="6"/>
  <c r="D467" i="6"/>
  <c r="B467" i="6"/>
  <c r="A467" i="6"/>
  <c r="Z466" i="6"/>
  <c r="N466" i="6"/>
  <c r="M466" i="6"/>
  <c r="O466" i="6" s="1"/>
  <c r="L466" i="6"/>
  <c r="K466" i="6"/>
  <c r="I466" i="6"/>
  <c r="D466" i="6"/>
  <c r="B466" i="6"/>
  <c r="A466" i="6"/>
  <c r="Z465" i="6"/>
  <c r="N465" i="6"/>
  <c r="M465" i="6"/>
  <c r="O465" i="6" s="1"/>
  <c r="L465" i="6"/>
  <c r="K465" i="6"/>
  <c r="I465" i="6"/>
  <c r="D465" i="6"/>
  <c r="B465" i="6"/>
  <c r="A465" i="6"/>
  <c r="Z464" i="6"/>
  <c r="N464" i="6"/>
  <c r="M464" i="6"/>
  <c r="L464" i="6"/>
  <c r="K464" i="6"/>
  <c r="I464" i="6"/>
  <c r="D464" i="6"/>
  <c r="B464" i="6"/>
  <c r="A464" i="6"/>
  <c r="Z463" i="6"/>
  <c r="N463" i="6"/>
  <c r="M463" i="6"/>
  <c r="O463" i="6" s="1"/>
  <c r="L463" i="6"/>
  <c r="K463" i="6"/>
  <c r="I463" i="6"/>
  <c r="D463" i="6"/>
  <c r="B463" i="6"/>
  <c r="A463" i="6"/>
  <c r="Z462" i="6"/>
  <c r="N462" i="6"/>
  <c r="M462" i="6"/>
  <c r="L462" i="6"/>
  <c r="K462" i="6"/>
  <c r="I462" i="6"/>
  <c r="D462" i="6"/>
  <c r="B462" i="6"/>
  <c r="A462" i="6"/>
  <c r="Z461" i="6"/>
  <c r="N461" i="6"/>
  <c r="M461" i="6"/>
  <c r="O461" i="6" s="1"/>
  <c r="L461" i="6"/>
  <c r="K461" i="6"/>
  <c r="I461" i="6"/>
  <c r="D461" i="6"/>
  <c r="B461" i="6"/>
  <c r="A461" i="6"/>
  <c r="Z460" i="6"/>
  <c r="N460" i="6"/>
  <c r="M460" i="6"/>
  <c r="O460" i="6" s="1"/>
  <c r="L460" i="6"/>
  <c r="K460" i="6"/>
  <c r="I460" i="6"/>
  <c r="D460" i="6"/>
  <c r="B460" i="6"/>
  <c r="A460" i="6"/>
  <c r="Z459" i="6"/>
  <c r="N459" i="6"/>
  <c r="M459" i="6"/>
  <c r="L459" i="6"/>
  <c r="K459" i="6"/>
  <c r="I459" i="6"/>
  <c r="D459" i="6"/>
  <c r="B459" i="6"/>
  <c r="A459" i="6"/>
  <c r="Z458" i="6"/>
  <c r="N458" i="6"/>
  <c r="M458" i="6"/>
  <c r="L458" i="6"/>
  <c r="K458" i="6"/>
  <c r="I458" i="6"/>
  <c r="D458" i="6"/>
  <c r="B458" i="6"/>
  <c r="A458" i="6"/>
  <c r="Z457" i="6"/>
  <c r="N457" i="6"/>
  <c r="M457" i="6"/>
  <c r="L457" i="6"/>
  <c r="K457" i="6"/>
  <c r="I457" i="6"/>
  <c r="D457" i="6"/>
  <c r="B457" i="6"/>
  <c r="A457" i="6"/>
  <c r="Z456" i="6"/>
  <c r="N456" i="6"/>
  <c r="M456" i="6"/>
  <c r="O456" i="6" s="1"/>
  <c r="L456" i="6"/>
  <c r="K456" i="6"/>
  <c r="I456" i="6"/>
  <c r="D456" i="6"/>
  <c r="B456" i="6"/>
  <c r="A456" i="6"/>
  <c r="Z455" i="6"/>
  <c r="N455" i="6"/>
  <c r="M455" i="6"/>
  <c r="O455" i="6" s="1"/>
  <c r="L455" i="6"/>
  <c r="K455" i="6"/>
  <c r="I455" i="6"/>
  <c r="D455" i="6"/>
  <c r="B455" i="6"/>
  <c r="A455" i="6"/>
  <c r="Z454" i="6"/>
  <c r="N454" i="6"/>
  <c r="M454" i="6"/>
  <c r="L454" i="6"/>
  <c r="K454" i="6"/>
  <c r="I454" i="6"/>
  <c r="D454" i="6"/>
  <c r="B454" i="6"/>
  <c r="A454" i="6"/>
  <c r="Z453" i="6"/>
  <c r="N453" i="6"/>
  <c r="M453" i="6"/>
  <c r="O453" i="6" s="1"/>
  <c r="L453" i="6"/>
  <c r="K453" i="6"/>
  <c r="I453" i="6"/>
  <c r="D453" i="6"/>
  <c r="B453" i="6"/>
  <c r="A453" i="6"/>
  <c r="Z452" i="6"/>
  <c r="N452" i="6"/>
  <c r="O452" i="6" s="1"/>
  <c r="M452" i="6"/>
  <c r="L452" i="6"/>
  <c r="K452" i="6"/>
  <c r="I452" i="6"/>
  <c r="D452" i="6"/>
  <c r="B452" i="6"/>
  <c r="A452" i="6"/>
  <c r="Z451" i="6"/>
  <c r="N451" i="6"/>
  <c r="M451" i="6"/>
  <c r="O451" i="6" s="1"/>
  <c r="L451" i="6"/>
  <c r="K451" i="6"/>
  <c r="I451" i="6"/>
  <c r="D451" i="6"/>
  <c r="B451" i="6"/>
  <c r="A451" i="6"/>
  <c r="Z450" i="6"/>
  <c r="N450" i="6"/>
  <c r="M450" i="6"/>
  <c r="L450" i="6"/>
  <c r="K450" i="6"/>
  <c r="I450" i="6"/>
  <c r="D450" i="6"/>
  <c r="B450" i="6"/>
  <c r="A450" i="6"/>
  <c r="Z449" i="6"/>
  <c r="N449" i="6"/>
  <c r="M449" i="6"/>
  <c r="O449" i="6" s="1"/>
  <c r="L449" i="6"/>
  <c r="K449" i="6"/>
  <c r="I449" i="6"/>
  <c r="D449" i="6"/>
  <c r="B449" i="6"/>
  <c r="A449" i="6"/>
  <c r="Z448" i="6"/>
  <c r="N448" i="6"/>
  <c r="M448" i="6"/>
  <c r="O448" i="6" s="1"/>
  <c r="L448" i="6"/>
  <c r="K448" i="6"/>
  <c r="I448" i="6"/>
  <c r="D448" i="6"/>
  <c r="B448" i="6"/>
  <c r="A448" i="6"/>
  <c r="Z447" i="6"/>
  <c r="N447" i="6"/>
  <c r="M447" i="6"/>
  <c r="O447" i="6" s="1"/>
  <c r="L447" i="6"/>
  <c r="K447" i="6"/>
  <c r="I447" i="6"/>
  <c r="D447" i="6"/>
  <c r="B447" i="6"/>
  <c r="A447" i="6"/>
  <c r="Z446" i="6"/>
  <c r="N446" i="6"/>
  <c r="M446" i="6"/>
  <c r="L446" i="6"/>
  <c r="K446" i="6"/>
  <c r="I446" i="6"/>
  <c r="D446" i="6"/>
  <c r="B446" i="6"/>
  <c r="A446" i="6"/>
  <c r="Z445" i="6"/>
  <c r="N445" i="6"/>
  <c r="M445" i="6"/>
  <c r="O445" i="6" s="1"/>
  <c r="L445" i="6"/>
  <c r="K445" i="6"/>
  <c r="I445" i="6"/>
  <c r="D445" i="6"/>
  <c r="B445" i="6"/>
  <c r="A445" i="6"/>
  <c r="Z444" i="6"/>
  <c r="N444" i="6"/>
  <c r="M444" i="6"/>
  <c r="L444" i="6"/>
  <c r="K444" i="6"/>
  <c r="I444" i="6"/>
  <c r="D444" i="6"/>
  <c r="B444" i="6"/>
  <c r="A444" i="6"/>
  <c r="Z443" i="6"/>
  <c r="N443" i="6"/>
  <c r="M443" i="6"/>
  <c r="O443" i="6" s="1"/>
  <c r="L443" i="6"/>
  <c r="K443" i="6"/>
  <c r="I443" i="6"/>
  <c r="D443" i="6"/>
  <c r="B443" i="6"/>
  <c r="A443" i="6"/>
  <c r="Z442" i="6"/>
  <c r="N442" i="6"/>
  <c r="M442" i="6"/>
  <c r="L442" i="6"/>
  <c r="K442" i="6"/>
  <c r="I442" i="6"/>
  <c r="D442" i="6"/>
  <c r="B442" i="6"/>
  <c r="A442" i="6"/>
  <c r="Z441" i="6"/>
  <c r="N441" i="6"/>
  <c r="M441" i="6"/>
  <c r="L441" i="6"/>
  <c r="K441" i="6"/>
  <c r="I441" i="6"/>
  <c r="D441" i="6"/>
  <c r="B441" i="6"/>
  <c r="A441" i="6"/>
  <c r="Z440" i="6"/>
  <c r="P440" i="6"/>
  <c r="N440" i="6"/>
  <c r="M440" i="6"/>
  <c r="L440" i="6"/>
  <c r="K440" i="6"/>
  <c r="I440" i="6"/>
  <c r="D440" i="6"/>
  <c r="B440" i="6"/>
  <c r="A440" i="6"/>
  <c r="Z439" i="6"/>
  <c r="N439" i="6"/>
  <c r="M439" i="6"/>
  <c r="O439" i="6" s="1"/>
  <c r="L439" i="6"/>
  <c r="K439" i="6"/>
  <c r="I439" i="6"/>
  <c r="D439" i="6"/>
  <c r="B439" i="6"/>
  <c r="A439" i="6"/>
  <c r="Z438" i="6"/>
  <c r="N438" i="6"/>
  <c r="M438" i="6"/>
  <c r="L438" i="6"/>
  <c r="K438" i="6"/>
  <c r="I438" i="6"/>
  <c r="D438" i="6"/>
  <c r="B438" i="6"/>
  <c r="A438" i="6"/>
  <c r="Z437" i="6"/>
  <c r="N437" i="6"/>
  <c r="M437" i="6"/>
  <c r="L437" i="6"/>
  <c r="K437" i="6"/>
  <c r="I437" i="6"/>
  <c r="D437" i="6"/>
  <c r="B437" i="6"/>
  <c r="A437" i="6"/>
  <c r="Z436" i="6"/>
  <c r="N436" i="6"/>
  <c r="M436" i="6"/>
  <c r="O436" i="6" s="1"/>
  <c r="L436" i="6"/>
  <c r="K436" i="6"/>
  <c r="I436" i="6"/>
  <c r="D436" i="6"/>
  <c r="B436" i="6"/>
  <c r="A436" i="6"/>
  <c r="Z435" i="6"/>
  <c r="N435" i="6"/>
  <c r="M435" i="6"/>
  <c r="O435" i="6" s="1"/>
  <c r="L435" i="6"/>
  <c r="K435" i="6"/>
  <c r="I435" i="6"/>
  <c r="D435" i="6"/>
  <c r="B435" i="6"/>
  <c r="A435" i="6"/>
  <c r="Z434" i="6"/>
  <c r="N434" i="6"/>
  <c r="M434" i="6"/>
  <c r="L434" i="6"/>
  <c r="K434" i="6"/>
  <c r="I434" i="6"/>
  <c r="D434" i="6"/>
  <c r="B434" i="6"/>
  <c r="A434" i="6"/>
  <c r="Z433" i="6"/>
  <c r="N433" i="6"/>
  <c r="M433" i="6"/>
  <c r="L433" i="6"/>
  <c r="K433" i="6"/>
  <c r="I433" i="6"/>
  <c r="D433" i="6"/>
  <c r="B433" i="6"/>
  <c r="A433" i="6"/>
  <c r="Z432" i="6"/>
  <c r="N432" i="6"/>
  <c r="M432" i="6"/>
  <c r="L432" i="6"/>
  <c r="K432" i="6"/>
  <c r="I432" i="6"/>
  <c r="D432" i="6"/>
  <c r="B432" i="6"/>
  <c r="A432" i="6"/>
  <c r="Z431" i="6"/>
  <c r="N431" i="6"/>
  <c r="M431" i="6"/>
  <c r="L431" i="6"/>
  <c r="K431" i="6"/>
  <c r="I431" i="6"/>
  <c r="D431" i="6"/>
  <c r="B431" i="6"/>
  <c r="A431" i="6"/>
  <c r="Z430" i="6"/>
  <c r="N430" i="6"/>
  <c r="M430" i="6"/>
  <c r="L430" i="6"/>
  <c r="K430" i="6"/>
  <c r="I430" i="6"/>
  <c r="D430" i="6"/>
  <c r="B430" i="6"/>
  <c r="A430" i="6"/>
  <c r="Z429" i="6"/>
  <c r="N429" i="6"/>
  <c r="M429" i="6"/>
  <c r="O429" i="6" s="1"/>
  <c r="L429" i="6"/>
  <c r="K429" i="6"/>
  <c r="I429" i="6"/>
  <c r="D429" i="6"/>
  <c r="B429" i="6"/>
  <c r="A429" i="6"/>
  <c r="Z428" i="6"/>
  <c r="N428" i="6"/>
  <c r="M428" i="6"/>
  <c r="O428" i="6" s="1"/>
  <c r="L428" i="6"/>
  <c r="K428" i="6"/>
  <c r="I428" i="6"/>
  <c r="D428" i="6"/>
  <c r="B428" i="6"/>
  <c r="A428" i="6"/>
  <c r="Z427" i="6"/>
  <c r="N427" i="6"/>
  <c r="M427" i="6"/>
  <c r="L427" i="6"/>
  <c r="K427" i="6"/>
  <c r="I427" i="6"/>
  <c r="D427" i="6"/>
  <c r="B427" i="6"/>
  <c r="A427" i="6"/>
  <c r="Z426" i="6"/>
  <c r="N426" i="6"/>
  <c r="M426" i="6"/>
  <c r="O426" i="6" s="1"/>
  <c r="L426" i="6"/>
  <c r="K426" i="6"/>
  <c r="I426" i="6"/>
  <c r="D426" i="6"/>
  <c r="B426" i="6"/>
  <c r="A426" i="6"/>
  <c r="Z425" i="6"/>
  <c r="N425" i="6"/>
  <c r="M425" i="6"/>
  <c r="O425" i="6" s="1"/>
  <c r="L425" i="6"/>
  <c r="K425" i="6"/>
  <c r="I425" i="6"/>
  <c r="D425" i="6"/>
  <c r="B425" i="6"/>
  <c r="A425" i="6"/>
  <c r="Z424" i="6"/>
  <c r="N424" i="6"/>
  <c r="M424" i="6"/>
  <c r="O424" i="6" s="1"/>
  <c r="L424" i="6"/>
  <c r="K424" i="6"/>
  <c r="I424" i="6"/>
  <c r="D424" i="6"/>
  <c r="B424" i="6"/>
  <c r="A424" i="6"/>
  <c r="Z423" i="6"/>
  <c r="N423" i="6"/>
  <c r="O423" i="6" s="1"/>
  <c r="M423" i="6"/>
  <c r="L423" i="6"/>
  <c r="K423" i="6"/>
  <c r="I423" i="6"/>
  <c r="D423" i="6"/>
  <c r="B423" i="6"/>
  <c r="A423" i="6"/>
  <c r="Z422" i="6"/>
  <c r="N422" i="6"/>
  <c r="M422" i="6"/>
  <c r="O422" i="6" s="1"/>
  <c r="L422" i="6"/>
  <c r="K422" i="6"/>
  <c r="I422" i="6"/>
  <c r="D422" i="6"/>
  <c r="B422" i="6"/>
  <c r="A422" i="6"/>
  <c r="Z421" i="6"/>
  <c r="N421" i="6"/>
  <c r="M421" i="6"/>
  <c r="L421" i="6"/>
  <c r="K421" i="6"/>
  <c r="I421" i="6"/>
  <c r="D421" i="6"/>
  <c r="B421" i="6"/>
  <c r="A421" i="6"/>
  <c r="Z420" i="6"/>
  <c r="N420" i="6"/>
  <c r="M420" i="6"/>
  <c r="L420" i="6"/>
  <c r="K420" i="6"/>
  <c r="I420" i="6"/>
  <c r="D420" i="6"/>
  <c r="B420" i="6"/>
  <c r="A420" i="6"/>
  <c r="Z419" i="6"/>
  <c r="N419" i="6"/>
  <c r="M419" i="6"/>
  <c r="O419" i="6" s="1"/>
  <c r="L419" i="6"/>
  <c r="K419" i="6"/>
  <c r="I419" i="6"/>
  <c r="D419" i="6"/>
  <c r="B419" i="6"/>
  <c r="A419" i="6"/>
  <c r="Z418" i="6"/>
  <c r="N418" i="6"/>
  <c r="M418" i="6"/>
  <c r="L418" i="6"/>
  <c r="K418" i="6"/>
  <c r="I418" i="6"/>
  <c r="D418" i="6"/>
  <c r="B418" i="6"/>
  <c r="A418" i="6"/>
  <c r="Z417" i="6"/>
  <c r="N417" i="6"/>
  <c r="M417" i="6"/>
  <c r="O417" i="6" s="1"/>
  <c r="L417" i="6"/>
  <c r="K417" i="6"/>
  <c r="I417" i="6"/>
  <c r="D417" i="6"/>
  <c r="B417" i="6"/>
  <c r="A417" i="6"/>
  <c r="Z416" i="6"/>
  <c r="N416" i="6"/>
  <c r="M416" i="6"/>
  <c r="L416" i="6"/>
  <c r="K416" i="6"/>
  <c r="I416" i="6"/>
  <c r="D416" i="6"/>
  <c r="B416" i="6"/>
  <c r="A416" i="6"/>
  <c r="Z415" i="6"/>
  <c r="N415" i="6"/>
  <c r="M415" i="6"/>
  <c r="L415" i="6"/>
  <c r="K415" i="6"/>
  <c r="I415" i="6"/>
  <c r="D415" i="6"/>
  <c r="B415" i="6"/>
  <c r="A415" i="6"/>
  <c r="Z414" i="6"/>
  <c r="N414" i="6"/>
  <c r="M414" i="6"/>
  <c r="O414" i="6" s="1"/>
  <c r="L414" i="6"/>
  <c r="K414" i="6"/>
  <c r="I414" i="6"/>
  <c r="D414" i="6"/>
  <c r="B414" i="6"/>
  <c r="A414" i="6"/>
  <c r="Z413" i="6"/>
  <c r="N413" i="6"/>
  <c r="M413" i="6"/>
  <c r="O413" i="6" s="1"/>
  <c r="L413" i="6"/>
  <c r="K413" i="6"/>
  <c r="I413" i="6"/>
  <c r="D413" i="6"/>
  <c r="B413" i="6"/>
  <c r="A413" i="6"/>
  <c r="Z412" i="6"/>
  <c r="N412" i="6"/>
  <c r="M412" i="6"/>
  <c r="L412" i="6"/>
  <c r="K412" i="6"/>
  <c r="I412" i="6"/>
  <c r="D412" i="6"/>
  <c r="B412" i="6"/>
  <c r="A412" i="6"/>
  <c r="Z411" i="6"/>
  <c r="P411" i="6"/>
  <c r="N411" i="6"/>
  <c r="M411" i="6"/>
  <c r="L411" i="6"/>
  <c r="K411" i="6"/>
  <c r="I411" i="6"/>
  <c r="D411" i="6"/>
  <c r="B411" i="6"/>
  <c r="A411" i="6"/>
  <c r="Z410" i="6"/>
  <c r="P410" i="6"/>
  <c r="Q410" i="6" s="1"/>
  <c r="N410" i="6"/>
  <c r="M410" i="6"/>
  <c r="O410" i="6" s="1"/>
  <c r="L410" i="6"/>
  <c r="K410" i="6"/>
  <c r="I410" i="6"/>
  <c r="D410" i="6"/>
  <c r="B410" i="6"/>
  <c r="R410" i="6" s="1"/>
  <c r="A410" i="6"/>
  <c r="Z409" i="6"/>
  <c r="N409" i="6"/>
  <c r="M409" i="6"/>
  <c r="L409" i="6"/>
  <c r="K409" i="6"/>
  <c r="I409" i="6"/>
  <c r="D409" i="6"/>
  <c r="B409" i="6"/>
  <c r="A409" i="6"/>
  <c r="Z408" i="6"/>
  <c r="N408" i="6"/>
  <c r="M408" i="6"/>
  <c r="L408" i="6"/>
  <c r="K408" i="6"/>
  <c r="I408" i="6"/>
  <c r="D408" i="6"/>
  <c r="B408" i="6"/>
  <c r="A408" i="6"/>
  <c r="Z407" i="6"/>
  <c r="N407" i="6"/>
  <c r="M407" i="6"/>
  <c r="L407" i="6"/>
  <c r="K407" i="6"/>
  <c r="I407" i="6"/>
  <c r="D407" i="6"/>
  <c r="B407" i="6"/>
  <c r="A407" i="6"/>
  <c r="Z406" i="6"/>
  <c r="N406" i="6"/>
  <c r="M406" i="6"/>
  <c r="L406" i="6"/>
  <c r="K406" i="6"/>
  <c r="I406" i="6"/>
  <c r="D406" i="6"/>
  <c r="B406" i="6"/>
  <c r="A406" i="6"/>
  <c r="Z405" i="6"/>
  <c r="N405" i="6"/>
  <c r="M405" i="6"/>
  <c r="L405" i="6"/>
  <c r="K405" i="6"/>
  <c r="I405" i="6"/>
  <c r="D405" i="6"/>
  <c r="B405" i="6"/>
  <c r="A405" i="6"/>
  <c r="Z404" i="6"/>
  <c r="N404" i="6"/>
  <c r="M404" i="6"/>
  <c r="L404" i="6"/>
  <c r="K404" i="6"/>
  <c r="I404" i="6"/>
  <c r="D404" i="6"/>
  <c r="B404" i="6"/>
  <c r="A404" i="6"/>
  <c r="Z403" i="6"/>
  <c r="N403" i="6"/>
  <c r="M403" i="6"/>
  <c r="L403" i="6"/>
  <c r="K403" i="6"/>
  <c r="I403" i="6"/>
  <c r="D403" i="6"/>
  <c r="B403" i="6"/>
  <c r="A403" i="6"/>
  <c r="Z402" i="6"/>
  <c r="N402" i="6"/>
  <c r="M402" i="6"/>
  <c r="L402" i="6"/>
  <c r="K402" i="6"/>
  <c r="I402" i="6"/>
  <c r="D402" i="6"/>
  <c r="B402" i="6"/>
  <c r="A402" i="6"/>
  <c r="Z401" i="6"/>
  <c r="N401" i="6"/>
  <c r="M401" i="6"/>
  <c r="O401" i="6" s="1"/>
  <c r="L401" i="6"/>
  <c r="K401" i="6"/>
  <c r="I401" i="6"/>
  <c r="D401" i="6"/>
  <c r="B401" i="6"/>
  <c r="A401" i="6"/>
  <c r="Z400" i="6"/>
  <c r="N400" i="6"/>
  <c r="M400" i="6"/>
  <c r="L400" i="6"/>
  <c r="K400" i="6"/>
  <c r="I400" i="6"/>
  <c r="D400" i="6"/>
  <c r="B400" i="6"/>
  <c r="A400" i="6"/>
  <c r="Z399" i="6"/>
  <c r="N399" i="6"/>
  <c r="M399" i="6"/>
  <c r="L399" i="6"/>
  <c r="K399" i="6"/>
  <c r="I399" i="6"/>
  <c r="D399" i="6"/>
  <c r="B399" i="6"/>
  <c r="A399" i="6"/>
  <c r="Z398" i="6"/>
  <c r="N398" i="6"/>
  <c r="M398" i="6"/>
  <c r="L398" i="6"/>
  <c r="K398" i="6"/>
  <c r="I398" i="6"/>
  <c r="D398" i="6"/>
  <c r="B398" i="6"/>
  <c r="A398" i="6"/>
  <c r="Z397" i="6"/>
  <c r="N397" i="6"/>
  <c r="M397" i="6"/>
  <c r="L397" i="6"/>
  <c r="K397" i="6"/>
  <c r="I397" i="6"/>
  <c r="D397" i="6"/>
  <c r="B397" i="6"/>
  <c r="A397" i="6"/>
  <c r="Z396" i="6"/>
  <c r="N396" i="6"/>
  <c r="M396" i="6"/>
  <c r="O396" i="6" s="1"/>
  <c r="L396" i="6"/>
  <c r="K396" i="6"/>
  <c r="I396" i="6"/>
  <c r="D396" i="6"/>
  <c r="B396" i="6"/>
  <c r="A396" i="6"/>
  <c r="Z395" i="6"/>
  <c r="N395" i="6"/>
  <c r="M395" i="6"/>
  <c r="L395" i="6"/>
  <c r="K395" i="6"/>
  <c r="I395" i="6"/>
  <c r="D395" i="6"/>
  <c r="B395" i="6"/>
  <c r="A395" i="6"/>
  <c r="Z394" i="6"/>
  <c r="N394" i="6"/>
  <c r="M394" i="6"/>
  <c r="L394" i="6"/>
  <c r="K394" i="6"/>
  <c r="I394" i="6"/>
  <c r="D394" i="6"/>
  <c r="B394" i="6"/>
  <c r="A394" i="6"/>
  <c r="Z393" i="6"/>
  <c r="N393" i="6"/>
  <c r="M393" i="6"/>
  <c r="L393" i="6"/>
  <c r="K393" i="6"/>
  <c r="I393" i="6"/>
  <c r="D393" i="6"/>
  <c r="B393" i="6"/>
  <c r="A393" i="6"/>
  <c r="Z392" i="6"/>
  <c r="N392" i="6"/>
  <c r="M392" i="6"/>
  <c r="L392" i="6"/>
  <c r="K392" i="6"/>
  <c r="I392" i="6"/>
  <c r="D392" i="6"/>
  <c r="B392" i="6"/>
  <c r="A392" i="6"/>
  <c r="Z391" i="6"/>
  <c r="N391" i="6"/>
  <c r="M391" i="6"/>
  <c r="O391" i="6" s="1"/>
  <c r="L391" i="6"/>
  <c r="K391" i="6"/>
  <c r="I391" i="6"/>
  <c r="D391" i="6"/>
  <c r="B391" i="6"/>
  <c r="A391" i="6"/>
  <c r="Z390" i="6"/>
  <c r="N390" i="6"/>
  <c r="M390" i="6"/>
  <c r="L390" i="6"/>
  <c r="K390" i="6"/>
  <c r="I390" i="6"/>
  <c r="D390" i="6"/>
  <c r="B390" i="6"/>
  <c r="A390" i="6"/>
  <c r="Z389" i="6"/>
  <c r="N389" i="6"/>
  <c r="M389" i="6"/>
  <c r="L389" i="6"/>
  <c r="K389" i="6"/>
  <c r="I389" i="6"/>
  <c r="D389" i="6"/>
  <c r="B389" i="6"/>
  <c r="A389" i="6"/>
  <c r="Z388" i="6"/>
  <c r="N388" i="6"/>
  <c r="M388" i="6"/>
  <c r="L388" i="6"/>
  <c r="K388" i="6"/>
  <c r="I388" i="6"/>
  <c r="D388" i="6"/>
  <c r="B388" i="6"/>
  <c r="A388" i="6"/>
  <c r="Z387" i="6"/>
  <c r="N387" i="6"/>
  <c r="M387" i="6"/>
  <c r="L387" i="6"/>
  <c r="K387" i="6"/>
  <c r="I387" i="6"/>
  <c r="D387" i="6"/>
  <c r="B387" i="6"/>
  <c r="A387" i="6"/>
  <c r="Z386" i="6"/>
  <c r="N386" i="6"/>
  <c r="M386" i="6"/>
  <c r="L386" i="6"/>
  <c r="K386" i="6"/>
  <c r="I386" i="6"/>
  <c r="D386" i="6"/>
  <c r="B386" i="6"/>
  <c r="A386" i="6"/>
  <c r="Z385" i="6"/>
  <c r="N385" i="6"/>
  <c r="M385" i="6"/>
  <c r="L385" i="6"/>
  <c r="K385" i="6"/>
  <c r="I385" i="6"/>
  <c r="D385" i="6"/>
  <c r="B385" i="6"/>
  <c r="A385" i="6"/>
  <c r="Z384" i="6"/>
  <c r="N384" i="6"/>
  <c r="M384" i="6"/>
  <c r="O384" i="6" s="1"/>
  <c r="P385" i="6" s="1"/>
  <c r="L384" i="6"/>
  <c r="K384" i="6"/>
  <c r="I384" i="6"/>
  <c r="D384" i="6"/>
  <c r="B384" i="6"/>
  <c r="A384" i="6"/>
  <c r="Z383" i="6"/>
  <c r="N383" i="6"/>
  <c r="M383" i="6"/>
  <c r="O383" i="6" s="1"/>
  <c r="L383" i="6"/>
  <c r="K383" i="6"/>
  <c r="I383" i="6"/>
  <c r="D383" i="6"/>
  <c r="B383" i="6"/>
  <c r="A383" i="6"/>
  <c r="Z382" i="6"/>
  <c r="N382" i="6"/>
  <c r="M382" i="6"/>
  <c r="L382" i="6"/>
  <c r="K382" i="6"/>
  <c r="I382" i="6"/>
  <c r="D382" i="6"/>
  <c r="B382" i="6"/>
  <c r="A382" i="6"/>
  <c r="Z381" i="6"/>
  <c r="N381" i="6"/>
  <c r="M381" i="6"/>
  <c r="O381" i="6" s="1"/>
  <c r="L381" i="6"/>
  <c r="K381" i="6"/>
  <c r="I381" i="6"/>
  <c r="D381" i="6"/>
  <c r="B381" i="6"/>
  <c r="A381" i="6"/>
  <c r="Z380" i="6"/>
  <c r="P380" i="6"/>
  <c r="N380" i="6"/>
  <c r="M380" i="6"/>
  <c r="L380" i="6"/>
  <c r="Q380" i="6" s="1"/>
  <c r="K380" i="6"/>
  <c r="I380" i="6"/>
  <c r="D380" i="6"/>
  <c r="B380" i="6"/>
  <c r="A380" i="6"/>
  <c r="Z379" i="6"/>
  <c r="N379" i="6"/>
  <c r="M379" i="6"/>
  <c r="L379" i="6"/>
  <c r="K379" i="6"/>
  <c r="I379" i="6"/>
  <c r="D379" i="6"/>
  <c r="B379" i="6"/>
  <c r="A379" i="6"/>
  <c r="Z378" i="6"/>
  <c r="N378" i="6"/>
  <c r="M378" i="6"/>
  <c r="L378" i="6"/>
  <c r="K378" i="6"/>
  <c r="I378" i="6"/>
  <c r="D378" i="6"/>
  <c r="B378" i="6"/>
  <c r="A378" i="6"/>
  <c r="Z377" i="6"/>
  <c r="N377" i="6"/>
  <c r="M377" i="6"/>
  <c r="L377" i="6"/>
  <c r="K377" i="6"/>
  <c r="I377" i="6"/>
  <c r="D377" i="6"/>
  <c r="B377" i="6"/>
  <c r="A377" i="6"/>
  <c r="Z376" i="6"/>
  <c r="N376" i="6"/>
  <c r="M376" i="6"/>
  <c r="L376" i="6"/>
  <c r="K376" i="6"/>
  <c r="I376" i="6"/>
  <c r="D376" i="6"/>
  <c r="B376" i="6"/>
  <c r="A376" i="6"/>
  <c r="Z375" i="6"/>
  <c r="N375" i="6"/>
  <c r="M375" i="6"/>
  <c r="L375" i="6"/>
  <c r="K375" i="6"/>
  <c r="I375" i="6"/>
  <c r="D375" i="6"/>
  <c r="B375" i="6"/>
  <c r="A375" i="6"/>
  <c r="Z374" i="6"/>
  <c r="N374" i="6"/>
  <c r="M374" i="6"/>
  <c r="L374" i="6"/>
  <c r="K374" i="6"/>
  <c r="I374" i="6"/>
  <c r="D374" i="6"/>
  <c r="B374" i="6"/>
  <c r="A374" i="6"/>
  <c r="Z373" i="6"/>
  <c r="N373" i="6"/>
  <c r="M373" i="6"/>
  <c r="L373" i="6"/>
  <c r="K373" i="6"/>
  <c r="I373" i="6"/>
  <c r="D373" i="6"/>
  <c r="B373" i="6"/>
  <c r="A373" i="6"/>
  <c r="Z372" i="6"/>
  <c r="N372" i="6"/>
  <c r="M372" i="6"/>
  <c r="L372" i="6"/>
  <c r="K372" i="6"/>
  <c r="I372" i="6"/>
  <c r="D372" i="6"/>
  <c r="B372" i="6"/>
  <c r="A372" i="6"/>
  <c r="Z371" i="6"/>
  <c r="N371" i="6"/>
  <c r="M371" i="6"/>
  <c r="O371" i="6" s="1"/>
  <c r="L371" i="6"/>
  <c r="K371" i="6"/>
  <c r="I371" i="6"/>
  <c r="D371" i="6"/>
  <c r="B371" i="6"/>
  <c r="A371" i="6"/>
  <c r="Z370" i="6"/>
  <c r="N370" i="6"/>
  <c r="M370" i="6"/>
  <c r="L370" i="6"/>
  <c r="K370" i="6"/>
  <c r="I370" i="6"/>
  <c r="D370" i="6"/>
  <c r="B370" i="6"/>
  <c r="A370" i="6"/>
  <c r="Z369" i="6"/>
  <c r="N369" i="6"/>
  <c r="M369" i="6"/>
  <c r="L369" i="6"/>
  <c r="K369" i="6"/>
  <c r="I369" i="6"/>
  <c r="D369" i="6"/>
  <c r="B369" i="6"/>
  <c r="A369" i="6"/>
  <c r="Z368" i="6"/>
  <c r="N368" i="6"/>
  <c r="M368" i="6"/>
  <c r="L368" i="6"/>
  <c r="K368" i="6"/>
  <c r="I368" i="6"/>
  <c r="D368" i="6"/>
  <c r="B368" i="6"/>
  <c r="A368" i="6"/>
  <c r="Z367" i="6"/>
  <c r="N367" i="6"/>
  <c r="M367" i="6"/>
  <c r="L367" i="6"/>
  <c r="K367" i="6"/>
  <c r="I367" i="6"/>
  <c r="D367" i="6"/>
  <c r="B367" i="6"/>
  <c r="A367" i="6"/>
  <c r="Z366" i="6"/>
  <c r="N366" i="6"/>
  <c r="M366" i="6"/>
  <c r="L366" i="6"/>
  <c r="K366" i="6"/>
  <c r="I366" i="6"/>
  <c r="D366" i="6"/>
  <c r="B366" i="6"/>
  <c r="A366" i="6"/>
  <c r="Z365" i="6"/>
  <c r="N365" i="6"/>
  <c r="O365" i="6" s="1"/>
  <c r="M365" i="6"/>
  <c r="L365" i="6"/>
  <c r="K365" i="6"/>
  <c r="I365" i="6"/>
  <c r="D365" i="6"/>
  <c r="B365" i="6"/>
  <c r="A365" i="6"/>
  <c r="Z364" i="6"/>
  <c r="N364" i="6"/>
  <c r="M364" i="6"/>
  <c r="L364" i="6"/>
  <c r="K364" i="6"/>
  <c r="I364" i="6"/>
  <c r="D364" i="6"/>
  <c r="B364" i="6"/>
  <c r="A364" i="6"/>
  <c r="Z363" i="6"/>
  <c r="N363" i="6"/>
  <c r="M363" i="6"/>
  <c r="L363" i="6"/>
  <c r="K363" i="6"/>
  <c r="I363" i="6"/>
  <c r="D363" i="6"/>
  <c r="B363" i="6"/>
  <c r="A363" i="6"/>
  <c r="Z362" i="6"/>
  <c r="N362" i="6"/>
  <c r="M362" i="6"/>
  <c r="O362" i="6" s="1"/>
  <c r="L362" i="6"/>
  <c r="K362" i="6"/>
  <c r="I362" i="6"/>
  <c r="D362" i="6"/>
  <c r="B362" i="6"/>
  <c r="A362" i="6"/>
  <c r="Z361" i="6"/>
  <c r="N361" i="6"/>
  <c r="M361" i="6"/>
  <c r="L361" i="6"/>
  <c r="K361" i="6"/>
  <c r="I361" i="6"/>
  <c r="D361" i="6"/>
  <c r="B361" i="6"/>
  <c r="A361" i="6"/>
  <c r="Z360" i="6"/>
  <c r="N360" i="6"/>
  <c r="M360" i="6"/>
  <c r="L360" i="6"/>
  <c r="K360" i="6"/>
  <c r="I360" i="6"/>
  <c r="D360" i="6"/>
  <c r="B360" i="6"/>
  <c r="A360" i="6"/>
  <c r="Z359" i="6"/>
  <c r="N359" i="6"/>
  <c r="M359" i="6"/>
  <c r="O359" i="6" s="1"/>
  <c r="L359" i="6"/>
  <c r="K359" i="6"/>
  <c r="I359" i="6"/>
  <c r="D359" i="6"/>
  <c r="B359" i="6"/>
  <c r="A359" i="6"/>
  <c r="Z358" i="6"/>
  <c r="N358" i="6"/>
  <c r="M358" i="6"/>
  <c r="O358" i="6" s="1"/>
  <c r="L358" i="6"/>
  <c r="K358" i="6"/>
  <c r="I358" i="6"/>
  <c r="D358" i="6"/>
  <c r="B358" i="6"/>
  <c r="A358" i="6"/>
  <c r="Z357" i="6"/>
  <c r="N357" i="6"/>
  <c r="M357" i="6"/>
  <c r="L357" i="6"/>
  <c r="K357" i="6"/>
  <c r="I357" i="6"/>
  <c r="D357" i="6"/>
  <c r="B357" i="6"/>
  <c r="A357" i="6"/>
  <c r="Z356" i="6"/>
  <c r="N356" i="6"/>
  <c r="M356" i="6"/>
  <c r="L356" i="6"/>
  <c r="K356" i="6"/>
  <c r="I356" i="6"/>
  <c r="D356" i="6"/>
  <c r="B356" i="6"/>
  <c r="A356" i="6"/>
  <c r="Z355" i="6"/>
  <c r="N355" i="6"/>
  <c r="M355" i="6"/>
  <c r="L355" i="6"/>
  <c r="K355" i="6"/>
  <c r="I355" i="6"/>
  <c r="D355" i="6"/>
  <c r="B355" i="6"/>
  <c r="A355" i="6"/>
  <c r="Z354" i="6"/>
  <c r="N354" i="6"/>
  <c r="M354" i="6"/>
  <c r="L354" i="6"/>
  <c r="K354" i="6"/>
  <c r="I354" i="6"/>
  <c r="D354" i="6"/>
  <c r="B354" i="6"/>
  <c r="A354" i="6"/>
  <c r="Z353" i="6"/>
  <c r="N353" i="6"/>
  <c r="M353" i="6"/>
  <c r="O353" i="6" s="1"/>
  <c r="L353" i="6"/>
  <c r="K353" i="6"/>
  <c r="I353" i="6"/>
  <c r="D353" i="6"/>
  <c r="B353" i="6"/>
  <c r="A353" i="6"/>
  <c r="Z352" i="6"/>
  <c r="N352" i="6"/>
  <c r="M352" i="6"/>
  <c r="L352" i="6"/>
  <c r="K352" i="6"/>
  <c r="I352" i="6"/>
  <c r="D352" i="6"/>
  <c r="B352" i="6"/>
  <c r="A352" i="6"/>
  <c r="Z351" i="6"/>
  <c r="N351" i="6"/>
  <c r="M351" i="6"/>
  <c r="L351" i="6"/>
  <c r="K351" i="6"/>
  <c r="I351" i="6"/>
  <c r="D351" i="6"/>
  <c r="B351" i="6"/>
  <c r="A351" i="6"/>
  <c r="Z350" i="6"/>
  <c r="P350" i="6"/>
  <c r="N350" i="6"/>
  <c r="M350" i="6"/>
  <c r="L350" i="6"/>
  <c r="K350" i="6"/>
  <c r="I350" i="6"/>
  <c r="D350" i="6"/>
  <c r="B350" i="6"/>
  <c r="A350" i="6"/>
  <c r="Z349" i="6"/>
  <c r="N349" i="6"/>
  <c r="M349" i="6"/>
  <c r="L349" i="6"/>
  <c r="K349" i="6"/>
  <c r="I349" i="6"/>
  <c r="D349" i="6"/>
  <c r="B349" i="6"/>
  <c r="A349" i="6"/>
  <c r="Z348" i="6"/>
  <c r="N348" i="6"/>
  <c r="M348" i="6"/>
  <c r="L348" i="6"/>
  <c r="K348" i="6"/>
  <c r="I348" i="6"/>
  <c r="D348" i="6"/>
  <c r="B348" i="6"/>
  <c r="A348" i="6"/>
  <c r="Z347" i="6"/>
  <c r="N347" i="6"/>
  <c r="M347" i="6"/>
  <c r="O347" i="6" s="1"/>
  <c r="L347" i="6"/>
  <c r="K347" i="6"/>
  <c r="I347" i="6"/>
  <c r="D347" i="6"/>
  <c r="B347" i="6"/>
  <c r="A347" i="6"/>
  <c r="Z346" i="6"/>
  <c r="N346" i="6"/>
  <c r="M346" i="6"/>
  <c r="L346" i="6"/>
  <c r="K346" i="6"/>
  <c r="I346" i="6"/>
  <c r="D346" i="6"/>
  <c r="B346" i="6"/>
  <c r="A346" i="6"/>
  <c r="Z345" i="6"/>
  <c r="N345" i="6"/>
  <c r="M345" i="6"/>
  <c r="L345" i="6"/>
  <c r="K345" i="6"/>
  <c r="I345" i="6"/>
  <c r="D345" i="6"/>
  <c r="B345" i="6"/>
  <c r="A345" i="6"/>
  <c r="Z344" i="6"/>
  <c r="N344" i="6"/>
  <c r="M344" i="6"/>
  <c r="L344" i="6"/>
  <c r="K344" i="6"/>
  <c r="I344" i="6"/>
  <c r="D344" i="6"/>
  <c r="B344" i="6"/>
  <c r="A344" i="6"/>
  <c r="Z343" i="6"/>
  <c r="N343" i="6"/>
  <c r="M343" i="6"/>
  <c r="O343" i="6" s="1"/>
  <c r="L343" i="6"/>
  <c r="K343" i="6"/>
  <c r="I343" i="6"/>
  <c r="D343" i="6"/>
  <c r="B343" i="6"/>
  <c r="A343" i="6"/>
  <c r="Z342" i="6"/>
  <c r="N342" i="6"/>
  <c r="M342" i="6"/>
  <c r="O342" i="6" s="1"/>
  <c r="L342" i="6"/>
  <c r="K342" i="6"/>
  <c r="I342" i="6"/>
  <c r="D342" i="6"/>
  <c r="B342" i="6"/>
  <c r="A342" i="6"/>
  <c r="Z341" i="6"/>
  <c r="N341" i="6"/>
  <c r="M341" i="6"/>
  <c r="L341" i="6"/>
  <c r="K341" i="6"/>
  <c r="I341" i="6"/>
  <c r="D341" i="6"/>
  <c r="B341" i="6"/>
  <c r="A341" i="6"/>
  <c r="Z340" i="6"/>
  <c r="N340" i="6"/>
  <c r="M340" i="6"/>
  <c r="L340" i="6"/>
  <c r="K340" i="6"/>
  <c r="I340" i="6"/>
  <c r="D340" i="6"/>
  <c r="B340" i="6"/>
  <c r="A340" i="6"/>
  <c r="Z339" i="6"/>
  <c r="N339" i="6"/>
  <c r="M339" i="6"/>
  <c r="L339" i="6"/>
  <c r="K339" i="6"/>
  <c r="I339" i="6"/>
  <c r="D339" i="6"/>
  <c r="B339" i="6"/>
  <c r="A339" i="6"/>
  <c r="Z338" i="6"/>
  <c r="N338" i="6"/>
  <c r="M338" i="6"/>
  <c r="L338" i="6"/>
  <c r="K338" i="6"/>
  <c r="I338" i="6"/>
  <c r="D338" i="6"/>
  <c r="B338" i="6"/>
  <c r="A338" i="6"/>
  <c r="Z337" i="6"/>
  <c r="N337" i="6"/>
  <c r="M337" i="6"/>
  <c r="O337" i="6" s="1"/>
  <c r="L337" i="6"/>
  <c r="K337" i="6"/>
  <c r="I337" i="6"/>
  <c r="D337" i="6"/>
  <c r="B337" i="6"/>
  <c r="A337" i="6"/>
  <c r="Z336" i="6"/>
  <c r="N336" i="6"/>
  <c r="M336" i="6"/>
  <c r="L336" i="6"/>
  <c r="K336" i="6"/>
  <c r="I336" i="6"/>
  <c r="D336" i="6"/>
  <c r="B336" i="6"/>
  <c r="A336" i="6"/>
  <c r="Z335" i="6"/>
  <c r="N335" i="6"/>
  <c r="M335" i="6"/>
  <c r="O335" i="6" s="1"/>
  <c r="L335" i="6"/>
  <c r="K335" i="6"/>
  <c r="I335" i="6"/>
  <c r="D335" i="6"/>
  <c r="B335" i="6"/>
  <c r="A335" i="6"/>
  <c r="Z334" i="6"/>
  <c r="N334" i="6"/>
  <c r="M334" i="6"/>
  <c r="L334" i="6"/>
  <c r="K334" i="6"/>
  <c r="I334" i="6"/>
  <c r="D334" i="6"/>
  <c r="B334" i="6"/>
  <c r="A334" i="6"/>
  <c r="Z333" i="6"/>
  <c r="N333" i="6"/>
  <c r="M333" i="6"/>
  <c r="O333" i="6" s="1"/>
  <c r="L333" i="6"/>
  <c r="K333" i="6"/>
  <c r="I333" i="6"/>
  <c r="D333" i="6"/>
  <c r="B333" i="6"/>
  <c r="A333" i="6"/>
  <c r="Z332" i="6"/>
  <c r="N332" i="6"/>
  <c r="M332" i="6"/>
  <c r="L332" i="6"/>
  <c r="K332" i="6"/>
  <c r="I332" i="6"/>
  <c r="D332" i="6"/>
  <c r="B332" i="6"/>
  <c r="A332" i="6"/>
  <c r="Z331" i="6"/>
  <c r="N331" i="6"/>
  <c r="M331" i="6"/>
  <c r="O331" i="6" s="1"/>
  <c r="L331" i="6"/>
  <c r="K331" i="6"/>
  <c r="I331" i="6"/>
  <c r="D331" i="6"/>
  <c r="B331" i="6"/>
  <c r="A331" i="6"/>
  <c r="Z330" i="6"/>
  <c r="N330" i="6"/>
  <c r="M330" i="6"/>
  <c r="L330" i="6"/>
  <c r="K330" i="6"/>
  <c r="I330" i="6"/>
  <c r="D330" i="6"/>
  <c r="B330" i="6"/>
  <c r="A330" i="6"/>
  <c r="Z329" i="6"/>
  <c r="N329" i="6"/>
  <c r="M329" i="6"/>
  <c r="O329" i="6" s="1"/>
  <c r="L329" i="6"/>
  <c r="K329" i="6"/>
  <c r="I329" i="6"/>
  <c r="D329" i="6"/>
  <c r="B329" i="6"/>
  <c r="A329" i="6"/>
  <c r="Z328" i="6"/>
  <c r="N328" i="6"/>
  <c r="M328" i="6"/>
  <c r="L328" i="6"/>
  <c r="K328" i="6"/>
  <c r="I328" i="6"/>
  <c r="D328" i="6"/>
  <c r="B328" i="6"/>
  <c r="A328" i="6"/>
  <c r="Z327" i="6"/>
  <c r="N327" i="6"/>
  <c r="M327" i="6"/>
  <c r="O327" i="6" s="1"/>
  <c r="L327" i="6"/>
  <c r="K327" i="6"/>
  <c r="I327" i="6"/>
  <c r="D327" i="6"/>
  <c r="B327" i="6"/>
  <c r="A327" i="6"/>
  <c r="Z326" i="6"/>
  <c r="N326" i="6"/>
  <c r="M326" i="6"/>
  <c r="L326" i="6"/>
  <c r="K326" i="6"/>
  <c r="I326" i="6"/>
  <c r="D326" i="6"/>
  <c r="B326" i="6"/>
  <c r="A326" i="6"/>
  <c r="Z325" i="6"/>
  <c r="N325" i="6"/>
  <c r="O325" i="6" s="1"/>
  <c r="M325" i="6"/>
  <c r="L325" i="6"/>
  <c r="K325" i="6"/>
  <c r="I325" i="6"/>
  <c r="D325" i="6"/>
  <c r="B325" i="6"/>
  <c r="A325" i="6"/>
  <c r="Z324" i="6"/>
  <c r="N324" i="6"/>
  <c r="M324" i="6"/>
  <c r="O324" i="6" s="1"/>
  <c r="L324" i="6"/>
  <c r="K324" i="6"/>
  <c r="I324" i="6"/>
  <c r="D324" i="6"/>
  <c r="B324" i="6"/>
  <c r="A324" i="6"/>
  <c r="Z323" i="6"/>
  <c r="N323" i="6"/>
  <c r="M323" i="6"/>
  <c r="L323" i="6"/>
  <c r="K323" i="6"/>
  <c r="I323" i="6"/>
  <c r="D323" i="6"/>
  <c r="B323" i="6"/>
  <c r="A323" i="6"/>
  <c r="Z322" i="6"/>
  <c r="N322" i="6"/>
  <c r="M322" i="6"/>
  <c r="L322" i="6"/>
  <c r="K322" i="6"/>
  <c r="I322" i="6"/>
  <c r="D322" i="6"/>
  <c r="B322" i="6"/>
  <c r="A322" i="6"/>
  <c r="Z321" i="6"/>
  <c r="N321" i="6"/>
  <c r="M321" i="6"/>
  <c r="O321" i="6" s="1"/>
  <c r="L321" i="6"/>
  <c r="K321" i="6"/>
  <c r="I321" i="6"/>
  <c r="D321" i="6"/>
  <c r="B321" i="6"/>
  <c r="A321" i="6"/>
  <c r="Z320" i="6"/>
  <c r="P320" i="6"/>
  <c r="N320" i="6"/>
  <c r="M320" i="6"/>
  <c r="L320" i="6"/>
  <c r="K320" i="6"/>
  <c r="I320" i="6"/>
  <c r="D320" i="6"/>
  <c r="B320" i="6"/>
  <c r="A320" i="6"/>
  <c r="Z319" i="6"/>
  <c r="N319" i="6"/>
  <c r="M319" i="6"/>
  <c r="O319" i="6" s="1"/>
  <c r="L319" i="6"/>
  <c r="K319" i="6"/>
  <c r="I319" i="6"/>
  <c r="D319" i="6"/>
  <c r="B319" i="6"/>
  <c r="A319" i="6"/>
  <c r="Z318" i="6"/>
  <c r="N318" i="6"/>
  <c r="M318" i="6"/>
  <c r="L318" i="6"/>
  <c r="K318" i="6"/>
  <c r="I318" i="6"/>
  <c r="D318" i="6"/>
  <c r="B318" i="6"/>
  <c r="A318" i="6"/>
  <c r="Z317" i="6"/>
  <c r="N317" i="6"/>
  <c r="M317" i="6"/>
  <c r="O317" i="6" s="1"/>
  <c r="L317" i="6"/>
  <c r="K317" i="6"/>
  <c r="I317" i="6"/>
  <c r="D317" i="6"/>
  <c r="B317" i="6"/>
  <c r="A317" i="6"/>
  <c r="Z316" i="6"/>
  <c r="N316" i="6"/>
  <c r="M316" i="6"/>
  <c r="L316" i="6"/>
  <c r="K316" i="6"/>
  <c r="I316" i="6"/>
  <c r="D316" i="6"/>
  <c r="B316" i="6"/>
  <c r="A316" i="6"/>
  <c r="Z315" i="6"/>
  <c r="N315" i="6"/>
  <c r="M315" i="6"/>
  <c r="L315" i="6"/>
  <c r="K315" i="6"/>
  <c r="I315" i="6"/>
  <c r="D315" i="6"/>
  <c r="B315" i="6"/>
  <c r="A315" i="6"/>
  <c r="Z314" i="6"/>
  <c r="N314" i="6"/>
  <c r="M314" i="6"/>
  <c r="L314" i="6"/>
  <c r="K314" i="6"/>
  <c r="I314" i="6"/>
  <c r="D314" i="6"/>
  <c r="B314" i="6"/>
  <c r="A314" i="6"/>
  <c r="Z313" i="6"/>
  <c r="N313" i="6"/>
  <c r="M313" i="6"/>
  <c r="L313" i="6"/>
  <c r="K313" i="6"/>
  <c r="I313" i="6"/>
  <c r="D313" i="6"/>
  <c r="B313" i="6"/>
  <c r="A313" i="6"/>
  <c r="Z312" i="6"/>
  <c r="N312" i="6"/>
  <c r="O312" i="6" s="1"/>
  <c r="M312" i="6"/>
  <c r="L312" i="6"/>
  <c r="K312" i="6"/>
  <c r="I312" i="6"/>
  <c r="D312" i="6"/>
  <c r="B312" i="6"/>
  <c r="A312" i="6"/>
  <c r="Z311" i="6"/>
  <c r="N311" i="6"/>
  <c r="M311" i="6"/>
  <c r="L311" i="6"/>
  <c r="K311" i="6"/>
  <c r="I311" i="6"/>
  <c r="D311" i="6"/>
  <c r="B311" i="6"/>
  <c r="A311" i="6"/>
  <c r="Z310" i="6"/>
  <c r="N310" i="6"/>
  <c r="M310" i="6"/>
  <c r="L310" i="6"/>
  <c r="K310" i="6"/>
  <c r="I310" i="6"/>
  <c r="D310" i="6"/>
  <c r="B310" i="6"/>
  <c r="A310" i="6"/>
  <c r="Z309" i="6"/>
  <c r="N309" i="6"/>
  <c r="M309" i="6"/>
  <c r="O309" i="6" s="1"/>
  <c r="L309" i="6"/>
  <c r="K309" i="6"/>
  <c r="I309" i="6"/>
  <c r="D309" i="6"/>
  <c r="B309" i="6"/>
  <c r="A309" i="6"/>
  <c r="Z308" i="6"/>
  <c r="N308" i="6"/>
  <c r="M308" i="6"/>
  <c r="O308" i="6" s="1"/>
  <c r="L308" i="6"/>
  <c r="K308" i="6"/>
  <c r="I308" i="6"/>
  <c r="D308" i="6"/>
  <c r="B308" i="6"/>
  <c r="A308" i="6"/>
  <c r="Z307" i="6"/>
  <c r="N307" i="6"/>
  <c r="M307" i="6"/>
  <c r="O307" i="6" s="1"/>
  <c r="L307" i="6"/>
  <c r="K307" i="6"/>
  <c r="I307" i="6"/>
  <c r="D307" i="6"/>
  <c r="B307" i="6"/>
  <c r="A307" i="6"/>
  <c r="Z306" i="6"/>
  <c r="N306" i="6"/>
  <c r="M306" i="6"/>
  <c r="L306" i="6"/>
  <c r="K306" i="6"/>
  <c r="I306" i="6"/>
  <c r="D306" i="6"/>
  <c r="B306" i="6"/>
  <c r="A306" i="6"/>
  <c r="Z305" i="6"/>
  <c r="N305" i="6"/>
  <c r="M305" i="6"/>
  <c r="O305" i="6" s="1"/>
  <c r="L305" i="6"/>
  <c r="K305" i="6"/>
  <c r="I305" i="6"/>
  <c r="D305" i="6"/>
  <c r="B305" i="6"/>
  <c r="A305" i="6"/>
  <c r="Z304" i="6"/>
  <c r="N304" i="6"/>
  <c r="M304" i="6"/>
  <c r="L304" i="6"/>
  <c r="K304" i="6"/>
  <c r="I304" i="6"/>
  <c r="D304" i="6"/>
  <c r="B304" i="6"/>
  <c r="A304" i="6"/>
  <c r="Z303" i="6"/>
  <c r="N303" i="6"/>
  <c r="M303" i="6"/>
  <c r="O303" i="6" s="1"/>
  <c r="P304" i="6" s="1"/>
  <c r="L303" i="6"/>
  <c r="K303" i="6"/>
  <c r="I303" i="6"/>
  <c r="D303" i="6"/>
  <c r="B303" i="6"/>
  <c r="A303" i="6"/>
  <c r="Z302" i="6"/>
  <c r="N302" i="6"/>
  <c r="M302" i="6"/>
  <c r="O302" i="6" s="1"/>
  <c r="L302" i="6"/>
  <c r="K302" i="6"/>
  <c r="I302" i="6"/>
  <c r="D302" i="6"/>
  <c r="B302" i="6"/>
  <c r="A302" i="6"/>
  <c r="Z301" i="6"/>
  <c r="N301" i="6"/>
  <c r="M301" i="6"/>
  <c r="O301" i="6" s="1"/>
  <c r="L301" i="6"/>
  <c r="K301" i="6"/>
  <c r="I301" i="6"/>
  <c r="D301" i="6"/>
  <c r="B301" i="6"/>
  <c r="A301" i="6"/>
  <c r="Z300" i="6"/>
  <c r="N300" i="6"/>
  <c r="M300" i="6"/>
  <c r="O300" i="6" s="1"/>
  <c r="P301" i="6" s="1"/>
  <c r="L300" i="6"/>
  <c r="K300" i="6"/>
  <c r="I300" i="6"/>
  <c r="D300" i="6"/>
  <c r="B300" i="6"/>
  <c r="A300" i="6"/>
  <c r="Z299" i="6"/>
  <c r="N299" i="6"/>
  <c r="M299" i="6"/>
  <c r="O299" i="6" s="1"/>
  <c r="L299" i="6"/>
  <c r="K299" i="6"/>
  <c r="I299" i="6"/>
  <c r="D299" i="6"/>
  <c r="B299" i="6"/>
  <c r="A299" i="6"/>
  <c r="Z298" i="6"/>
  <c r="N298" i="6"/>
  <c r="O298" i="6" s="1"/>
  <c r="M298" i="6"/>
  <c r="L298" i="6"/>
  <c r="K298" i="6"/>
  <c r="I298" i="6"/>
  <c r="D298" i="6"/>
  <c r="B298" i="6"/>
  <c r="A298" i="6"/>
  <c r="Z297" i="6"/>
  <c r="N297" i="6"/>
  <c r="M297" i="6"/>
  <c r="O297" i="6" s="1"/>
  <c r="L297" i="6"/>
  <c r="K297" i="6"/>
  <c r="I297" i="6"/>
  <c r="D297" i="6"/>
  <c r="B297" i="6"/>
  <c r="A297" i="6"/>
  <c r="Z296" i="6"/>
  <c r="N296" i="6"/>
  <c r="M296" i="6"/>
  <c r="L296" i="6"/>
  <c r="K296" i="6"/>
  <c r="I296" i="6"/>
  <c r="D296" i="6"/>
  <c r="B296" i="6"/>
  <c r="A296" i="6"/>
  <c r="Z295" i="6"/>
  <c r="N295" i="6"/>
  <c r="O295" i="6" s="1"/>
  <c r="M295" i="6"/>
  <c r="L295" i="6"/>
  <c r="K295" i="6"/>
  <c r="I295" i="6"/>
  <c r="D295" i="6"/>
  <c r="B295" i="6"/>
  <c r="A295" i="6"/>
  <c r="Z294" i="6"/>
  <c r="N294" i="6"/>
  <c r="M294" i="6"/>
  <c r="L294" i="6"/>
  <c r="K294" i="6"/>
  <c r="I294" i="6"/>
  <c r="D294" i="6"/>
  <c r="B294" i="6"/>
  <c r="A294" i="6"/>
  <c r="Z293" i="6"/>
  <c r="N293" i="6"/>
  <c r="O293" i="6" s="1"/>
  <c r="M293" i="6"/>
  <c r="L293" i="6"/>
  <c r="K293" i="6"/>
  <c r="I293" i="6"/>
  <c r="D293" i="6"/>
  <c r="B293" i="6"/>
  <c r="A293" i="6"/>
  <c r="Z292" i="6"/>
  <c r="N292" i="6"/>
  <c r="M292" i="6"/>
  <c r="L292" i="6"/>
  <c r="K292" i="6"/>
  <c r="I292" i="6"/>
  <c r="D292" i="6"/>
  <c r="B292" i="6"/>
  <c r="A292" i="6"/>
  <c r="Z291" i="6"/>
  <c r="P291" i="6"/>
  <c r="Q291" i="6" s="1"/>
  <c r="N291" i="6"/>
  <c r="O291" i="6" s="1"/>
  <c r="M291" i="6"/>
  <c r="L291" i="6"/>
  <c r="K291" i="6"/>
  <c r="I291" i="6"/>
  <c r="D291" i="6"/>
  <c r="B291" i="6"/>
  <c r="A291" i="6"/>
  <c r="Z290" i="6"/>
  <c r="P290" i="6"/>
  <c r="O290" i="6"/>
  <c r="N290" i="6"/>
  <c r="M290" i="6"/>
  <c r="L290" i="6"/>
  <c r="K290" i="6"/>
  <c r="I290" i="6"/>
  <c r="D290" i="6"/>
  <c r="B290" i="6"/>
  <c r="A290" i="6"/>
  <c r="Z289" i="6"/>
  <c r="O289" i="6"/>
  <c r="N289" i="6"/>
  <c r="M289" i="6"/>
  <c r="L289" i="6"/>
  <c r="K289" i="6"/>
  <c r="I289" i="6"/>
  <c r="D289" i="6"/>
  <c r="B289" i="6"/>
  <c r="A289" i="6"/>
  <c r="Z288" i="6"/>
  <c r="N288" i="6"/>
  <c r="O288" i="6" s="1"/>
  <c r="M288" i="6"/>
  <c r="L288" i="6"/>
  <c r="K288" i="6"/>
  <c r="I288" i="6"/>
  <c r="D288" i="6"/>
  <c r="B288" i="6"/>
  <c r="A288" i="6"/>
  <c r="Z287" i="6"/>
  <c r="O287" i="6"/>
  <c r="N287" i="6"/>
  <c r="M287" i="6"/>
  <c r="L287" i="6"/>
  <c r="K287" i="6"/>
  <c r="I287" i="6"/>
  <c r="D287" i="6"/>
  <c r="B287" i="6"/>
  <c r="A287" i="6"/>
  <c r="Z286" i="6"/>
  <c r="N286" i="6"/>
  <c r="M286" i="6"/>
  <c r="L286" i="6"/>
  <c r="K286" i="6"/>
  <c r="I286" i="6"/>
  <c r="D286" i="6"/>
  <c r="B286" i="6"/>
  <c r="A286" i="6"/>
  <c r="Z285" i="6"/>
  <c r="O285" i="6"/>
  <c r="N285" i="6"/>
  <c r="M285" i="6"/>
  <c r="L285" i="6"/>
  <c r="K285" i="6"/>
  <c r="I285" i="6"/>
  <c r="D285" i="6"/>
  <c r="B285" i="6"/>
  <c r="A285" i="6"/>
  <c r="Z284" i="6"/>
  <c r="N284" i="6"/>
  <c r="M284" i="6"/>
  <c r="L284" i="6"/>
  <c r="K284" i="6"/>
  <c r="I284" i="6"/>
  <c r="D284" i="6"/>
  <c r="B284" i="6"/>
  <c r="A284" i="6"/>
  <c r="Z283" i="6"/>
  <c r="O283" i="6"/>
  <c r="N283" i="6"/>
  <c r="M283" i="6"/>
  <c r="L283" i="6"/>
  <c r="K283" i="6"/>
  <c r="I283" i="6"/>
  <c r="D283" i="6"/>
  <c r="B283" i="6"/>
  <c r="A283" i="6"/>
  <c r="Z282" i="6"/>
  <c r="O282" i="6"/>
  <c r="N282" i="6"/>
  <c r="M282" i="6"/>
  <c r="L282" i="6"/>
  <c r="K282" i="6"/>
  <c r="I282" i="6"/>
  <c r="D282" i="6"/>
  <c r="B282" i="6"/>
  <c r="A282" i="6"/>
  <c r="Z281" i="6"/>
  <c r="O281" i="6"/>
  <c r="N281" i="6"/>
  <c r="M281" i="6"/>
  <c r="L281" i="6"/>
  <c r="K281" i="6"/>
  <c r="I281" i="6"/>
  <c r="D281" i="6"/>
  <c r="B281" i="6"/>
  <c r="A281" i="6"/>
  <c r="Z280" i="6"/>
  <c r="N280" i="6"/>
  <c r="O280" i="6" s="1"/>
  <c r="M280" i="6"/>
  <c r="L280" i="6"/>
  <c r="K280" i="6"/>
  <c r="I280" i="6"/>
  <c r="D280" i="6"/>
  <c r="B280" i="6"/>
  <c r="A280" i="6"/>
  <c r="Z279" i="6"/>
  <c r="N279" i="6"/>
  <c r="M279" i="6"/>
  <c r="L279" i="6"/>
  <c r="K279" i="6"/>
  <c r="I279" i="6"/>
  <c r="D279" i="6"/>
  <c r="B279" i="6"/>
  <c r="A279" i="6"/>
  <c r="Z278" i="6"/>
  <c r="N278" i="6"/>
  <c r="M278" i="6"/>
  <c r="L278" i="6"/>
  <c r="K278" i="6"/>
  <c r="I278" i="6"/>
  <c r="D278" i="6"/>
  <c r="B278" i="6"/>
  <c r="A278" i="6"/>
  <c r="Z277" i="6"/>
  <c r="N277" i="6"/>
  <c r="M277" i="6"/>
  <c r="O277" i="6" s="1"/>
  <c r="L277" i="6"/>
  <c r="K277" i="6"/>
  <c r="I277" i="6"/>
  <c r="D277" i="6"/>
  <c r="B277" i="6"/>
  <c r="A277" i="6"/>
  <c r="Z276" i="6"/>
  <c r="N276" i="6"/>
  <c r="M276" i="6"/>
  <c r="L276" i="6"/>
  <c r="K276" i="6"/>
  <c r="I276" i="6"/>
  <c r="D276" i="6"/>
  <c r="B276" i="6"/>
  <c r="A276" i="6"/>
  <c r="Z275" i="6"/>
  <c r="N275" i="6"/>
  <c r="M275" i="6"/>
  <c r="O275" i="6" s="1"/>
  <c r="L275" i="6"/>
  <c r="K275" i="6"/>
  <c r="I275" i="6"/>
  <c r="D275" i="6"/>
  <c r="B275" i="6"/>
  <c r="A275" i="6"/>
  <c r="Z274" i="6"/>
  <c r="N274" i="6"/>
  <c r="M274" i="6"/>
  <c r="L274" i="6"/>
  <c r="K274" i="6"/>
  <c r="I274" i="6"/>
  <c r="D274" i="6"/>
  <c r="B274" i="6"/>
  <c r="A274" i="6"/>
  <c r="Z273" i="6"/>
  <c r="N273" i="6"/>
  <c r="O273" i="6" s="1"/>
  <c r="M273" i="6"/>
  <c r="L273" i="6"/>
  <c r="K273" i="6"/>
  <c r="I273" i="6"/>
  <c r="D273" i="6"/>
  <c r="B273" i="6"/>
  <c r="A273" i="6"/>
  <c r="Z272" i="6"/>
  <c r="N272" i="6"/>
  <c r="M272" i="6"/>
  <c r="L272" i="6"/>
  <c r="K272" i="6"/>
  <c r="I272" i="6"/>
  <c r="D272" i="6"/>
  <c r="B272" i="6"/>
  <c r="A272" i="6"/>
  <c r="Z271" i="6"/>
  <c r="N271" i="6"/>
  <c r="M271" i="6"/>
  <c r="L271" i="6"/>
  <c r="K271" i="6"/>
  <c r="I271" i="6"/>
  <c r="D271" i="6"/>
  <c r="B271" i="6"/>
  <c r="A271" i="6"/>
  <c r="Z270" i="6"/>
  <c r="N270" i="6"/>
  <c r="M270" i="6"/>
  <c r="O270" i="6" s="1"/>
  <c r="L270" i="6"/>
  <c r="K270" i="6"/>
  <c r="I270" i="6"/>
  <c r="D270" i="6"/>
  <c r="B270" i="6"/>
  <c r="A270" i="6"/>
  <c r="Z269" i="6"/>
  <c r="O269" i="6"/>
  <c r="N269" i="6"/>
  <c r="M269" i="6"/>
  <c r="L269" i="6"/>
  <c r="K269" i="6"/>
  <c r="I269" i="6"/>
  <c r="D269" i="6"/>
  <c r="B269" i="6"/>
  <c r="A269" i="6"/>
  <c r="Z268" i="6"/>
  <c r="N268" i="6"/>
  <c r="O268" i="6" s="1"/>
  <c r="M268" i="6"/>
  <c r="L268" i="6"/>
  <c r="K268" i="6"/>
  <c r="I268" i="6"/>
  <c r="D268" i="6"/>
  <c r="B268" i="6"/>
  <c r="A268" i="6"/>
  <c r="Z267" i="6"/>
  <c r="N267" i="6"/>
  <c r="O267" i="6" s="1"/>
  <c r="M267" i="6"/>
  <c r="L267" i="6"/>
  <c r="K267" i="6"/>
  <c r="I267" i="6"/>
  <c r="D267" i="6"/>
  <c r="B267" i="6"/>
  <c r="A267" i="6"/>
  <c r="Z266" i="6"/>
  <c r="N266" i="6"/>
  <c r="M266" i="6"/>
  <c r="L266" i="6"/>
  <c r="K266" i="6"/>
  <c r="I266" i="6"/>
  <c r="D266" i="6"/>
  <c r="B266" i="6"/>
  <c r="A266" i="6"/>
  <c r="Z265" i="6"/>
  <c r="N265" i="6"/>
  <c r="M265" i="6"/>
  <c r="O265" i="6" s="1"/>
  <c r="L265" i="6"/>
  <c r="K265" i="6"/>
  <c r="I265" i="6"/>
  <c r="D265" i="6"/>
  <c r="B265" i="6"/>
  <c r="A265" i="6"/>
  <c r="Z264" i="6"/>
  <c r="N264" i="6"/>
  <c r="M264" i="6"/>
  <c r="L264" i="6"/>
  <c r="K264" i="6"/>
  <c r="I264" i="6"/>
  <c r="D264" i="6"/>
  <c r="B264" i="6"/>
  <c r="A264" i="6"/>
  <c r="Z263" i="6"/>
  <c r="N263" i="6"/>
  <c r="M263" i="6"/>
  <c r="L263" i="6"/>
  <c r="K263" i="6"/>
  <c r="I263" i="6"/>
  <c r="D263" i="6"/>
  <c r="B263" i="6"/>
  <c r="A263" i="6"/>
  <c r="Z262" i="6"/>
  <c r="N262" i="6"/>
  <c r="O262" i="6" s="1"/>
  <c r="M262" i="6"/>
  <c r="L262" i="6"/>
  <c r="K262" i="6"/>
  <c r="I262" i="6"/>
  <c r="D262" i="6"/>
  <c r="B262" i="6"/>
  <c r="A262" i="6"/>
  <c r="Z261" i="6"/>
  <c r="N261" i="6"/>
  <c r="M261" i="6"/>
  <c r="L261" i="6"/>
  <c r="K261" i="6"/>
  <c r="I261" i="6"/>
  <c r="D261" i="6"/>
  <c r="B261" i="6"/>
  <c r="A261" i="6"/>
  <c r="Z260" i="6"/>
  <c r="P260" i="6"/>
  <c r="N260" i="6"/>
  <c r="M260" i="6"/>
  <c r="L260" i="6"/>
  <c r="K260" i="6"/>
  <c r="I260" i="6"/>
  <c r="D260" i="6"/>
  <c r="B260" i="6"/>
  <c r="A260" i="6"/>
  <c r="Z259" i="6"/>
  <c r="N259" i="6"/>
  <c r="M259" i="6"/>
  <c r="L259" i="6"/>
  <c r="K259" i="6"/>
  <c r="I259" i="6"/>
  <c r="D259" i="6"/>
  <c r="B259" i="6"/>
  <c r="A259" i="6"/>
  <c r="Z258" i="6"/>
  <c r="N258" i="6"/>
  <c r="O258" i="6" s="1"/>
  <c r="M258" i="6"/>
  <c r="L258" i="6"/>
  <c r="K258" i="6"/>
  <c r="I258" i="6"/>
  <c r="D258" i="6"/>
  <c r="B258" i="6"/>
  <c r="A258" i="6"/>
  <c r="Z257" i="6"/>
  <c r="N257" i="6"/>
  <c r="O257" i="6" s="1"/>
  <c r="M257" i="6"/>
  <c r="L257" i="6"/>
  <c r="K257" i="6"/>
  <c r="I257" i="6"/>
  <c r="D257" i="6"/>
  <c r="B257" i="6"/>
  <c r="A257" i="6"/>
  <c r="Z256" i="6"/>
  <c r="N256" i="6"/>
  <c r="M256" i="6"/>
  <c r="O256" i="6" s="1"/>
  <c r="L256" i="6"/>
  <c r="K256" i="6"/>
  <c r="I256" i="6"/>
  <c r="D256" i="6"/>
  <c r="B256" i="6"/>
  <c r="A256" i="6"/>
  <c r="Z255" i="6"/>
  <c r="N255" i="6"/>
  <c r="O255" i="6" s="1"/>
  <c r="M255" i="6"/>
  <c r="L255" i="6"/>
  <c r="K255" i="6"/>
  <c r="I255" i="6"/>
  <c r="D255" i="6"/>
  <c r="B255" i="6"/>
  <c r="A255" i="6"/>
  <c r="Z254" i="6"/>
  <c r="N254" i="6"/>
  <c r="O254" i="6" s="1"/>
  <c r="P255" i="6" s="1"/>
  <c r="Q255" i="6" s="1"/>
  <c r="M254" i="6"/>
  <c r="L254" i="6"/>
  <c r="K254" i="6"/>
  <c r="I254" i="6"/>
  <c r="D254" i="6"/>
  <c r="B254" i="6"/>
  <c r="A254" i="6"/>
  <c r="Z253" i="6"/>
  <c r="N253" i="6"/>
  <c r="O253" i="6" s="1"/>
  <c r="P254" i="6" s="1"/>
  <c r="M253" i="6"/>
  <c r="L253" i="6"/>
  <c r="K253" i="6"/>
  <c r="I253" i="6"/>
  <c r="D253" i="6"/>
  <c r="B253" i="6"/>
  <c r="A253" i="6"/>
  <c r="Z252" i="6"/>
  <c r="N252" i="6"/>
  <c r="O252" i="6" s="1"/>
  <c r="M252" i="6"/>
  <c r="L252" i="6"/>
  <c r="K252" i="6"/>
  <c r="I252" i="6"/>
  <c r="D252" i="6"/>
  <c r="B252" i="6"/>
  <c r="A252" i="6"/>
  <c r="Z251" i="6"/>
  <c r="N251" i="6"/>
  <c r="O251" i="6" s="1"/>
  <c r="M251" i="6"/>
  <c r="L251" i="6"/>
  <c r="K251" i="6"/>
  <c r="I251" i="6"/>
  <c r="D251" i="6"/>
  <c r="B251" i="6"/>
  <c r="A251" i="6"/>
  <c r="Z250" i="6"/>
  <c r="N250" i="6"/>
  <c r="O250" i="6" s="1"/>
  <c r="M250" i="6"/>
  <c r="L250" i="6"/>
  <c r="K250" i="6"/>
  <c r="I250" i="6"/>
  <c r="D250" i="6"/>
  <c r="B250" i="6"/>
  <c r="A250" i="6"/>
  <c r="Z249" i="6"/>
  <c r="N249" i="6"/>
  <c r="O249" i="6" s="1"/>
  <c r="M249" i="6"/>
  <c r="L249" i="6"/>
  <c r="K249" i="6"/>
  <c r="I249" i="6"/>
  <c r="D249" i="6"/>
  <c r="B249" i="6"/>
  <c r="A249" i="6"/>
  <c r="Z248" i="6"/>
  <c r="N248" i="6"/>
  <c r="M248" i="6"/>
  <c r="L248" i="6"/>
  <c r="K248" i="6"/>
  <c r="I248" i="6"/>
  <c r="D248" i="6"/>
  <c r="B248" i="6"/>
  <c r="A248" i="6"/>
  <c r="Z247" i="6"/>
  <c r="N247" i="6"/>
  <c r="M247" i="6"/>
  <c r="L247" i="6"/>
  <c r="K247" i="6"/>
  <c r="I247" i="6"/>
  <c r="D247" i="6"/>
  <c r="B247" i="6"/>
  <c r="A247" i="6"/>
  <c r="Z246" i="6"/>
  <c r="N246" i="6"/>
  <c r="M246" i="6"/>
  <c r="O246" i="6" s="1"/>
  <c r="L246" i="6"/>
  <c r="K246" i="6"/>
  <c r="I246" i="6"/>
  <c r="D246" i="6"/>
  <c r="B246" i="6"/>
  <c r="A246" i="6"/>
  <c r="Z245" i="6"/>
  <c r="N245" i="6"/>
  <c r="M245" i="6"/>
  <c r="L245" i="6"/>
  <c r="K245" i="6"/>
  <c r="I245" i="6"/>
  <c r="D245" i="6"/>
  <c r="B245" i="6"/>
  <c r="A245" i="6"/>
  <c r="Z244" i="6"/>
  <c r="N244" i="6"/>
  <c r="M244" i="6"/>
  <c r="O244" i="6" s="1"/>
  <c r="L244" i="6"/>
  <c r="K244" i="6"/>
  <c r="I244" i="6"/>
  <c r="D244" i="6"/>
  <c r="B244" i="6"/>
  <c r="A244" i="6"/>
  <c r="Z243" i="6"/>
  <c r="N243" i="6"/>
  <c r="M243" i="6"/>
  <c r="O243" i="6" s="1"/>
  <c r="L243" i="6"/>
  <c r="K243" i="6"/>
  <c r="I243" i="6"/>
  <c r="D243" i="6"/>
  <c r="B243" i="6"/>
  <c r="A243" i="6"/>
  <c r="Z242" i="6"/>
  <c r="N242" i="6"/>
  <c r="M242" i="6"/>
  <c r="O242" i="6" s="1"/>
  <c r="L242" i="6"/>
  <c r="K242" i="6"/>
  <c r="I242" i="6"/>
  <c r="D242" i="6"/>
  <c r="B242" i="6"/>
  <c r="A242" i="6"/>
  <c r="Z241" i="6"/>
  <c r="N241" i="6"/>
  <c r="M241" i="6"/>
  <c r="L241" i="6"/>
  <c r="K241" i="6"/>
  <c r="I241" i="6"/>
  <c r="D241" i="6"/>
  <c r="B241" i="6"/>
  <c r="A241" i="6"/>
  <c r="Z240" i="6"/>
  <c r="N240" i="6"/>
  <c r="M240" i="6"/>
  <c r="L240" i="6"/>
  <c r="K240" i="6"/>
  <c r="I240" i="6"/>
  <c r="D240" i="6"/>
  <c r="B240" i="6"/>
  <c r="A240" i="6"/>
  <c r="Z239" i="6"/>
  <c r="N239" i="6"/>
  <c r="M239" i="6"/>
  <c r="L239" i="6"/>
  <c r="K239" i="6"/>
  <c r="I239" i="6"/>
  <c r="D239" i="6"/>
  <c r="B239" i="6"/>
  <c r="A239" i="6"/>
  <c r="Z238" i="6"/>
  <c r="N238" i="6"/>
  <c r="M238" i="6"/>
  <c r="L238" i="6"/>
  <c r="K238" i="6"/>
  <c r="I238" i="6"/>
  <c r="D238" i="6"/>
  <c r="B238" i="6"/>
  <c r="A238" i="6"/>
  <c r="Z237" i="6"/>
  <c r="N237" i="6"/>
  <c r="M237" i="6"/>
  <c r="L237" i="6"/>
  <c r="K237" i="6"/>
  <c r="I237" i="6"/>
  <c r="D237" i="6"/>
  <c r="B237" i="6"/>
  <c r="A237" i="6"/>
  <c r="Z236" i="6"/>
  <c r="N236" i="6"/>
  <c r="M236" i="6"/>
  <c r="L236" i="6"/>
  <c r="K236" i="6"/>
  <c r="I236" i="6"/>
  <c r="D236" i="6"/>
  <c r="B236" i="6"/>
  <c r="A236" i="6"/>
  <c r="Z235" i="6"/>
  <c r="N235" i="6"/>
  <c r="M235" i="6"/>
  <c r="L235" i="6"/>
  <c r="K235" i="6"/>
  <c r="I235" i="6"/>
  <c r="D235" i="6"/>
  <c r="B235" i="6"/>
  <c r="A235" i="6"/>
  <c r="Z234" i="6"/>
  <c r="N234" i="6"/>
  <c r="M234" i="6"/>
  <c r="O234" i="6" s="1"/>
  <c r="L234" i="6"/>
  <c r="K234" i="6"/>
  <c r="I234" i="6"/>
  <c r="D234" i="6"/>
  <c r="B234" i="6"/>
  <c r="A234" i="6"/>
  <c r="Z233" i="6"/>
  <c r="N233" i="6"/>
  <c r="M233" i="6"/>
  <c r="L233" i="6"/>
  <c r="K233" i="6"/>
  <c r="I233" i="6"/>
  <c r="D233" i="6"/>
  <c r="B233" i="6"/>
  <c r="A233" i="6"/>
  <c r="Z232" i="6"/>
  <c r="N232" i="6"/>
  <c r="M232" i="6"/>
  <c r="O232" i="6" s="1"/>
  <c r="L232" i="6"/>
  <c r="K232" i="6"/>
  <c r="I232" i="6"/>
  <c r="D232" i="6"/>
  <c r="B232" i="6"/>
  <c r="A232" i="6"/>
  <c r="Z231" i="6"/>
  <c r="N231" i="6"/>
  <c r="M231" i="6"/>
  <c r="L231" i="6"/>
  <c r="K231" i="6"/>
  <c r="I231" i="6"/>
  <c r="D231" i="6"/>
  <c r="B231" i="6"/>
  <c r="A231" i="6"/>
  <c r="Z230" i="6"/>
  <c r="P230" i="6"/>
  <c r="N230" i="6"/>
  <c r="M230" i="6"/>
  <c r="L230" i="6"/>
  <c r="K230" i="6"/>
  <c r="I230" i="6"/>
  <c r="D230" i="6"/>
  <c r="B230" i="6"/>
  <c r="A230" i="6"/>
  <c r="Z229" i="6"/>
  <c r="N229" i="6"/>
  <c r="M229" i="6"/>
  <c r="L229" i="6"/>
  <c r="K229" i="6"/>
  <c r="I229" i="6"/>
  <c r="D229" i="6"/>
  <c r="B229" i="6"/>
  <c r="A229" i="6"/>
  <c r="Z228" i="6"/>
  <c r="N228" i="6"/>
  <c r="O228" i="6" s="1"/>
  <c r="M228" i="6"/>
  <c r="L228" i="6"/>
  <c r="K228" i="6"/>
  <c r="I228" i="6"/>
  <c r="D228" i="6"/>
  <c r="B228" i="6"/>
  <c r="A228" i="6"/>
  <c r="Z227" i="6"/>
  <c r="N227" i="6"/>
  <c r="M227" i="6"/>
  <c r="L227" i="6"/>
  <c r="K227" i="6"/>
  <c r="I227" i="6"/>
  <c r="D227" i="6"/>
  <c r="B227" i="6"/>
  <c r="A227" i="6"/>
  <c r="Z226" i="6"/>
  <c r="N226" i="6"/>
  <c r="M226" i="6"/>
  <c r="O226" i="6" s="1"/>
  <c r="L226" i="6"/>
  <c r="K226" i="6"/>
  <c r="I226" i="6"/>
  <c r="D226" i="6"/>
  <c r="B226" i="6"/>
  <c r="A226" i="6"/>
  <c r="Z225" i="6"/>
  <c r="N225" i="6"/>
  <c r="M225" i="6"/>
  <c r="O225" i="6" s="1"/>
  <c r="L225" i="6"/>
  <c r="K225" i="6"/>
  <c r="I225" i="6"/>
  <c r="D225" i="6"/>
  <c r="B225" i="6"/>
  <c r="A225" i="6"/>
  <c r="Z224" i="6"/>
  <c r="N224" i="6"/>
  <c r="M224" i="6"/>
  <c r="O224" i="6" s="1"/>
  <c r="L224" i="6"/>
  <c r="K224" i="6"/>
  <c r="I224" i="6"/>
  <c r="D224" i="6"/>
  <c r="B224" i="6"/>
  <c r="A224" i="6"/>
  <c r="Z223" i="6"/>
  <c r="N223" i="6"/>
  <c r="M223" i="6"/>
  <c r="L223" i="6"/>
  <c r="K223" i="6"/>
  <c r="I223" i="6"/>
  <c r="D223" i="6"/>
  <c r="B223" i="6"/>
  <c r="A223" i="6"/>
  <c r="Z222" i="6"/>
  <c r="N222" i="6"/>
  <c r="M222" i="6"/>
  <c r="O222" i="6" s="1"/>
  <c r="L222" i="6"/>
  <c r="K222" i="6"/>
  <c r="I222" i="6"/>
  <c r="D222" i="6"/>
  <c r="B222" i="6"/>
  <c r="A222" i="6"/>
  <c r="Z221" i="6"/>
  <c r="N221" i="6"/>
  <c r="M221" i="6"/>
  <c r="L221" i="6"/>
  <c r="K221" i="6"/>
  <c r="I221" i="6"/>
  <c r="D221" i="6"/>
  <c r="B221" i="6"/>
  <c r="A221" i="6"/>
  <c r="Z220" i="6"/>
  <c r="N220" i="6"/>
  <c r="M220" i="6"/>
  <c r="O220" i="6" s="1"/>
  <c r="L220" i="6"/>
  <c r="K220" i="6"/>
  <c r="I220" i="6"/>
  <c r="D220" i="6"/>
  <c r="B220" i="6"/>
  <c r="A220" i="6"/>
  <c r="Z219" i="6"/>
  <c r="N219" i="6"/>
  <c r="M219" i="6"/>
  <c r="L219" i="6"/>
  <c r="K219" i="6"/>
  <c r="I219" i="6"/>
  <c r="D219" i="6"/>
  <c r="B219" i="6"/>
  <c r="A219" i="6"/>
  <c r="Z218" i="6"/>
  <c r="N218" i="6"/>
  <c r="M218" i="6"/>
  <c r="L218" i="6"/>
  <c r="K218" i="6"/>
  <c r="I218" i="6"/>
  <c r="D218" i="6"/>
  <c r="B218" i="6"/>
  <c r="A218" i="6"/>
  <c r="Z217" i="6"/>
  <c r="N217" i="6"/>
  <c r="M217" i="6"/>
  <c r="L217" i="6"/>
  <c r="K217" i="6"/>
  <c r="I217" i="6"/>
  <c r="D217" i="6"/>
  <c r="B217" i="6"/>
  <c r="A217" i="6"/>
  <c r="Z216" i="6"/>
  <c r="N216" i="6"/>
  <c r="M216" i="6"/>
  <c r="L216" i="6"/>
  <c r="K216" i="6"/>
  <c r="I216" i="6"/>
  <c r="D216" i="6"/>
  <c r="B216" i="6"/>
  <c r="A216" i="6"/>
  <c r="Z215" i="6"/>
  <c r="N215" i="6"/>
  <c r="M215" i="6"/>
  <c r="O215" i="6" s="1"/>
  <c r="P216" i="6" s="1"/>
  <c r="Q216" i="6" s="1"/>
  <c r="L215" i="6"/>
  <c r="K215" i="6"/>
  <c r="I215" i="6"/>
  <c r="D215" i="6"/>
  <c r="B215" i="6"/>
  <c r="A215" i="6"/>
  <c r="Z214" i="6"/>
  <c r="N214" i="6"/>
  <c r="M214" i="6"/>
  <c r="O214" i="6" s="1"/>
  <c r="P215" i="6" s="1"/>
  <c r="Q215" i="6" s="1"/>
  <c r="L214" i="6"/>
  <c r="K214" i="6"/>
  <c r="I214" i="6"/>
  <c r="D214" i="6"/>
  <c r="B214" i="6"/>
  <c r="A214" i="6"/>
  <c r="Z213" i="6"/>
  <c r="N213" i="6"/>
  <c r="M213" i="6"/>
  <c r="O213" i="6" s="1"/>
  <c r="L213" i="6"/>
  <c r="K213" i="6"/>
  <c r="I213" i="6"/>
  <c r="D213" i="6"/>
  <c r="B213" i="6"/>
  <c r="A213" i="6"/>
  <c r="Z212" i="6"/>
  <c r="N212" i="6"/>
  <c r="M212" i="6"/>
  <c r="O212" i="6" s="1"/>
  <c r="L212" i="6"/>
  <c r="K212" i="6"/>
  <c r="I212" i="6"/>
  <c r="D212" i="6"/>
  <c r="B212" i="6"/>
  <c r="A212" i="6"/>
  <c r="Z211" i="6"/>
  <c r="N211" i="6"/>
  <c r="M211" i="6"/>
  <c r="L211" i="6"/>
  <c r="K211" i="6"/>
  <c r="I211" i="6"/>
  <c r="D211" i="6"/>
  <c r="B211" i="6"/>
  <c r="A211" i="6"/>
  <c r="Z210" i="6"/>
  <c r="N210" i="6"/>
  <c r="M210" i="6"/>
  <c r="O210" i="6" s="1"/>
  <c r="L210" i="6"/>
  <c r="K210" i="6"/>
  <c r="I210" i="6"/>
  <c r="D210" i="6"/>
  <c r="B210" i="6"/>
  <c r="A210" i="6"/>
  <c r="Z209" i="6"/>
  <c r="N209" i="6"/>
  <c r="M209" i="6"/>
  <c r="L209" i="6"/>
  <c r="K209" i="6"/>
  <c r="I209" i="6"/>
  <c r="D209" i="6"/>
  <c r="B209" i="6"/>
  <c r="A209" i="6"/>
  <c r="Z208" i="6"/>
  <c r="N208" i="6"/>
  <c r="M208" i="6"/>
  <c r="L208" i="6"/>
  <c r="K208" i="6"/>
  <c r="I208" i="6"/>
  <c r="D208" i="6"/>
  <c r="B208" i="6"/>
  <c r="A208" i="6"/>
  <c r="Z207" i="6"/>
  <c r="N207" i="6"/>
  <c r="M207" i="6"/>
  <c r="O207" i="6" s="1"/>
  <c r="L207" i="6"/>
  <c r="K207" i="6"/>
  <c r="I207" i="6"/>
  <c r="D207" i="6"/>
  <c r="B207" i="6"/>
  <c r="A207" i="6"/>
  <c r="Z206" i="6"/>
  <c r="N206" i="6"/>
  <c r="M206" i="6"/>
  <c r="L206" i="6"/>
  <c r="K206" i="6"/>
  <c r="I206" i="6"/>
  <c r="D206" i="6"/>
  <c r="B206" i="6"/>
  <c r="A206" i="6"/>
  <c r="Z205" i="6"/>
  <c r="N205" i="6"/>
  <c r="M205" i="6"/>
  <c r="O205" i="6" s="1"/>
  <c r="L205" i="6"/>
  <c r="K205" i="6"/>
  <c r="I205" i="6"/>
  <c r="D205" i="6"/>
  <c r="B205" i="6"/>
  <c r="A205" i="6"/>
  <c r="Z204" i="6"/>
  <c r="N204" i="6"/>
  <c r="M204" i="6"/>
  <c r="L204" i="6"/>
  <c r="K204" i="6"/>
  <c r="I204" i="6"/>
  <c r="D204" i="6"/>
  <c r="B204" i="6"/>
  <c r="A204" i="6"/>
  <c r="Z203" i="6"/>
  <c r="N203" i="6"/>
  <c r="M203" i="6"/>
  <c r="O203" i="6" s="1"/>
  <c r="L203" i="6"/>
  <c r="K203" i="6"/>
  <c r="I203" i="6"/>
  <c r="D203" i="6"/>
  <c r="B203" i="6"/>
  <c r="A203" i="6"/>
  <c r="Z202" i="6"/>
  <c r="N202" i="6"/>
  <c r="M202" i="6"/>
  <c r="L202" i="6"/>
  <c r="K202" i="6"/>
  <c r="I202" i="6"/>
  <c r="D202" i="6"/>
  <c r="B202" i="6"/>
  <c r="A202" i="6"/>
  <c r="Z201" i="6"/>
  <c r="N201" i="6"/>
  <c r="M201" i="6"/>
  <c r="L201" i="6"/>
  <c r="K201" i="6"/>
  <c r="I201" i="6"/>
  <c r="D201" i="6"/>
  <c r="B201" i="6"/>
  <c r="A201" i="6"/>
  <c r="Z200" i="6"/>
  <c r="P200" i="6"/>
  <c r="N200" i="6"/>
  <c r="M200" i="6"/>
  <c r="O200" i="6" s="1"/>
  <c r="P201" i="6" s="1"/>
  <c r="L200" i="6"/>
  <c r="Q200" i="6" s="1"/>
  <c r="K200" i="6"/>
  <c r="I200" i="6"/>
  <c r="D200" i="6"/>
  <c r="B200" i="6"/>
  <c r="A200" i="6"/>
  <c r="Z199" i="6"/>
  <c r="N199" i="6"/>
  <c r="M199" i="6"/>
  <c r="O199" i="6" s="1"/>
  <c r="L199" i="6"/>
  <c r="K199" i="6"/>
  <c r="I199" i="6"/>
  <c r="D199" i="6"/>
  <c r="B199" i="6"/>
  <c r="A199" i="6"/>
  <c r="Z198" i="6"/>
  <c r="N198" i="6"/>
  <c r="M198" i="6"/>
  <c r="L198" i="6"/>
  <c r="K198" i="6"/>
  <c r="I198" i="6"/>
  <c r="D198" i="6"/>
  <c r="B198" i="6"/>
  <c r="A198" i="6"/>
  <c r="Z197" i="6"/>
  <c r="N197" i="6"/>
  <c r="M197" i="6"/>
  <c r="O197" i="6" s="1"/>
  <c r="L197" i="6"/>
  <c r="K197" i="6"/>
  <c r="I197" i="6"/>
  <c r="D197" i="6"/>
  <c r="B197" i="6"/>
  <c r="A197" i="6"/>
  <c r="Z196" i="6"/>
  <c r="N196" i="6"/>
  <c r="M196" i="6"/>
  <c r="L196" i="6"/>
  <c r="K196" i="6"/>
  <c r="I196" i="6"/>
  <c r="D196" i="6"/>
  <c r="B196" i="6"/>
  <c r="A196" i="6"/>
  <c r="Z195" i="6"/>
  <c r="N195" i="6"/>
  <c r="M195" i="6"/>
  <c r="O195" i="6" s="1"/>
  <c r="L195" i="6"/>
  <c r="K195" i="6"/>
  <c r="I195" i="6"/>
  <c r="D195" i="6"/>
  <c r="B195" i="6"/>
  <c r="A195" i="6"/>
  <c r="Z194" i="6"/>
  <c r="N194" i="6"/>
  <c r="M194" i="6"/>
  <c r="L194" i="6"/>
  <c r="K194" i="6"/>
  <c r="I194" i="6"/>
  <c r="D194" i="6"/>
  <c r="B194" i="6"/>
  <c r="A194" i="6"/>
  <c r="Z193" i="6"/>
  <c r="N193" i="6"/>
  <c r="M193" i="6"/>
  <c r="L193" i="6"/>
  <c r="K193" i="6"/>
  <c r="I193" i="6"/>
  <c r="D193" i="6"/>
  <c r="B193" i="6"/>
  <c r="A193" i="6"/>
  <c r="Z192" i="6"/>
  <c r="N192" i="6"/>
  <c r="M192" i="6"/>
  <c r="L192" i="6"/>
  <c r="K192" i="6"/>
  <c r="I192" i="6"/>
  <c r="D192" i="6"/>
  <c r="B192" i="6"/>
  <c r="A192" i="6"/>
  <c r="Z191" i="6"/>
  <c r="N191" i="6"/>
  <c r="M191" i="6"/>
  <c r="O191" i="6" s="1"/>
  <c r="L191" i="6"/>
  <c r="K191" i="6"/>
  <c r="I191" i="6"/>
  <c r="D191" i="6"/>
  <c r="B191" i="6"/>
  <c r="A191" i="6"/>
  <c r="Z190" i="6"/>
  <c r="N190" i="6"/>
  <c r="M190" i="6"/>
  <c r="L190" i="6"/>
  <c r="K190" i="6"/>
  <c r="I190" i="6"/>
  <c r="D190" i="6"/>
  <c r="B190" i="6"/>
  <c r="A190" i="6"/>
  <c r="Z189" i="6"/>
  <c r="N189" i="6"/>
  <c r="M189" i="6"/>
  <c r="O189" i="6" s="1"/>
  <c r="L189" i="6"/>
  <c r="K189" i="6"/>
  <c r="I189" i="6"/>
  <c r="D189" i="6"/>
  <c r="B189" i="6"/>
  <c r="A189" i="6"/>
  <c r="Z188" i="6"/>
  <c r="N188" i="6"/>
  <c r="M188" i="6"/>
  <c r="L188" i="6"/>
  <c r="K188" i="6"/>
  <c r="I188" i="6"/>
  <c r="D188" i="6"/>
  <c r="B188" i="6"/>
  <c r="A188" i="6"/>
  <c r="Z187" i="6"/>
  <c r="N187" i="6"/>
  <c r="M187" i="6"/>
  <c r="L187" i="6"/>
  <c r="K187" i="6"/>
  <c r="I187" i="6"/>
  <c r="D187" i="6"/>
  <c r="B187" i="6"/>
  <c r="A187" i="6"/>
  <c r="Z186" i="6"/>
  <c r="N186" i="6"/>
  <c r="M186" i="6"/>
  <c r="O186" i="6" s="1"/>
  <c r="L186" i="6"/>
  <c r="K186" i="6"/>
  <c r="I186" i="6"/>
  <c r="D186" i="6"/>
  <c r="B186" i="6"/>
  <c r="A186" i="6"/>
  <c r="Z185" i="6"/>
  <c r="N185" i="6"/>
  <c r="M185" i="6"/>
  <c r="L185" i="6"/>
  <c r="K185" i="6"/>
  <c r="I185" i="6"/>
  <c r="D185" i="6"/>
  <c r="B185" i="6"/>
  <c r="A185" i="6"/>
  <c r="Z184" i="6"/>
  <c r="N184" i="6"/>
  <c r="O184" i="6" s="1"/>
  <c r="M184" i="6"/>
  <c r="L184" i="6"/>
  <c r="K184" i="6"/>
  <c r="I184" i="6"/>
  <c r="D184" i="6"/>
  <c r="B184" i="6"/>
  <c r="A184" i="6"/>
  <c r="Z183" i="6"/>
  <c r="N183" i="6"/>
  <c r="M183" i="6"/>
  <c r="O183" i="6" s="1"/>
  <c r="L183" i="6"/>
  <c r="K183" i="6"/>
  <c r="I183" i="6"/>
  <c r="D183" i="6"/>
  <c r="B183" i="6"/>
  <c r="A183" i="6"/>
  <c r="Z182" i="6"/>
  <c r="N182" i="6"/>
  <c r="M182" i="6"/>
  <c r="L182" i="6"/>
  <c r="K182" i="6"/>
  <c r="I182" i="6"/>
  <c r="D182" i="6"/>
  <c r="B182" i="6"/>
  <c r="A182" i="6"/>
  <c r="Z181" i="6"/>
  <c r="N181" i="6"/>
  <c r="M181" i="6"/>
  <c r="O181" i="6" s="1"/>
  <c r="L181" i="6"/>
  <c r="K181" i="6"/>
  <c r="I181" i="6"/>
  <c r="D181" i="6"/>
  <c r="B181" i="6"/>
  <c r="A181" i="6"/>
  <c r="Z180" i="6"/>
  <c r="N180" i="6"/>
  <c r="M180" i="6"/>
  <c r="O180" i="6" s="1"/>
  <c r="P181" i="6" s="1"/>
  <c r="L180" i="6"/>
  <c r="K180" i="6"/>
  <c r="I180" i="6"/>
  <c r="D180" i="6"/>
  <c r="B180" i="6"/>
  <c r="A180" i="6"/>
  <c r="Z179" i="6"/>
  <c r="N179" i="6"/>
  <c r="M179" i="6"/>
  <c r="O179" i="6" s="1"/>
  <c r="L179" i="6"/>
  <c r="K179" i="6"/>
  <c r="I179" i="6"/>
  <c r="D179" i="6"/>
  <c r="B179" i="6"/>
  <c r="A179" i="6"/>
  <c r="Z178" i="6"/>
  <c r="N178" i="6"/>
  <c r="M178" i="6"/>
  <c r="L178" i="6"/>
  <c r="K178" i="6"/>
  <c r="I178" i="6"/>
  <c r="D178" i="6"/>
  <c r="B178" i="6"/>
  <c r="A178" i="6"/>
  <c r="Z177" i="6"/>
  <c r="N177" i="6"/>
  <c r="M177" i="6"/>
  <c r="O177" i="6" s="1"/>
  <c r="L177" i="6"/>
  <c r="K177" i="6"/>
  <c r="I177" i="6"/>
  <c r="D177" i="6"/>
  <c r="B177" i="6"/>
  <c r="A177" i="6"/>
  <c r="Z176" i="6"/>
  <c r="N176" i="6"/>
  <c r="M176" i="6"/>
  <c r="L176" i="6"/>
  <c r="K176" i="6"/>
  <c r="I176" i="6"/>
  <c r="D176" i="6"/>
  <c r="B176" i="6"/>
  <c r="A176" i="6"/>
  <c r="Z175" i="6"/>
  <c r="N175" i="6"/>
  <c r="M175" i="6"/>
  <c r="O175" i="6" s="1"/>
  <c r="L175" i="6"/>
  <c r="K175" i="6"/>
  <c r="I175" i="6"/>
  <c r="D175" i="6"/>
  <c r="B175" i="6"/>
  <c r="A175" i="6"/>
  <c r="Z174" i="6"/>
  <c r="N174" i="6"/>
  <c r="M174" i="6"/>
  <c r="L174" i="6"/>
  <c r="K174" i="6"/>
  <c r="I174" i="6"/>
  <c r="D174" i="6"/>
  <c r="B174" i="6"/>
  <c r="A174" i="6"/>
  <c r="Z173" i="6"/>
  <c r="N173" i="6"/>
  <c r="M173" i="6"/>
  <c r="L173" i="6"/>
  <c r="K173" i="6"/>
  <c r="I173" i="6"/>
  <c r="D173" i="6"/>
  <c r="B173" i="6"/>
  <c r="A173" i="6"/>
  <c r="Z172" i="6"/>
  <c r="N172" i="6"/>
  <c r="M172" i="6"/>
  <c r="L172" i="6"/>
  <c r="K172" i="6"/>
  <c r="I172" i="6"/>
  <c r="D172" i="6"/>
  <c r="B172" i="6"/>
  <c r="A172" i="6"/>
  <c r="Z171" i="6"/>
  <c r="N171" i="6"/>
  <c r="M171" i="6"/>
  <c r="L171" i="6"/>
  <c r="K171" i="6"/>
  <c r="I171" i="6"/>
  <c r="D171" i="6"/>
  <c r="B171" i="6"/>
  <c r="A171" i="6"/>
  <c r="Z170" i="6"/>
  <c r="P170" i="6"/>
  <c r="Q170" i="6" s="1"/>
  <c r="N170" i="6"/>
  <c r="M170" i="6"/>
  <c r="L170" i="6"/>
  <c r="K170" i="6"/>
  <c r="I170" i="6"/>
  <c r="D170" i="6"/>
  <c r="B170" i="6"/>
  <c r="A170" i="6"/>
  <c r="Z169" i="6"/>
  <c r="N169" i="6"/>
  <c r="M169" i="6"/>
  <c r="L169" i="6"/>
  <c r="K169" i="6"/>
  <c r="I169" i="6"/>
  <c r="D169" i="6"/>
  <c r="B169" i="6"/>
  <c r="A169" i="6"/>
  <c r="Z168" i="6"/>
  <c r="N168" i="6"/>
  <c r="M168" i="6"/>
  <c r="L168" i="6"/>
  <c r="K168" i="6"/>
  <c r="I168" i="6"/>
  <c r="D168" i="6"/>
  <c r="B168" i="6"/>
  <c r="A168" i="6"/>
  <c r="Z167" i="6"/>
  <c r="N167" i="6"/>
  <c r="M167" i="6"/>
  <c r="O167" i="6" s="1"/>
  <c r="L167" i="6"/>
  <c r="K167" i="6"/>
  <c r="I167" i="6"/>
  <c r="D167" i="6"/>
  <c r="B167" i="6"/>
  <c r="A167" i="6"/>
  <c r="Z166" i="6"/>
  <c r="N166" i="6"/>
  <c r="M166" i="6"/>
  <c r="L166" i="6"/>
  <c r="K166" i="6"/>
  <c r="I166" i="6"/>
  <c r="D166" i="6"/>
  <c r="B166" i="6"/>
  <c r="A166" i="6"/>
  <c r="Z165" i="6"/>
  <c r="N165" i="6"/>
  <c r="M165" i="6"/>
  <c r="O165" i="6" s="1"/>
  <c r="L165" i="6"/>
  <c r="K165" i="6"/>
  <c r="I165" i="6"/>
  <c r="D165" i="6"/>
  <c r="B165" i="6"/>
  <c r="A165" i="6"/>
  <c r="Z164" i="6"/>
  <c r="N164" i="6"/>
  <c r="M164" i="6"/>
  <c r="O164" i="6" s="1"/>
  <c r="L164" i="6"/>
  <c r="K164" i="6"/>
  <c r="I164" i="6"/>
  <c r="D164" i="6"/>
  <c r="B164" i="6"/>
  <c r="A164" i="6"/>
  <c r="Z163" i="6"/>
  <c r="N163" i="6"/>
  <c r="M163" i="6"/>
  <c r="L163" i="6"/>
  <c r="K163" i="6"/>
  <c r="I163" i="6"/>
  <c r="D163" i="6"/>
  <c r="B163" i="6"/>
  <c r="A163" i="6"/>
  <c r="Z162" i="6"/>
  <c r="N162" i="6"/>
  <c r="M162" i="6"/>
  <c r="L162" i="6"/>
  <c r="K162" i="6"/>
  <c r="I162" i="6"/>
  <c r="D162" i="6"/>
  <c r="B162" i="6"/>
  <c r="A162" i="6"/>
  <c r="Z161" i="6"/>
  <c r="N161" i="6"/>
  <c r="M161" i="6"/>
  <c r="L161" i="6"/>
  <c r="K161" i="6"/>
  <c r="I161" i="6"/>
  <c r="D161" i="6"/>
  <c r="B161" i="6"/>
  <c r="A161" i="6"/>
  <c r="Z160" i="6"/>
  <c r="N160" i="6"/>
  <c r="M160" i="6"/>
  <c r="O160" i="6" s="1"/>
  <c r="L160" i="6"/>
  <c r="K160" i="6"/>
  <c r="I160" i="6"/>
  <c r="D160" i="6"/>
  <c r="B160" i="6"/>
  <c r="A160" i="6"/>
  <c r="Z159" i="6"/>
  <c r="N159" i="6"/>
  <c r="M159" i="6"/>
  <c r="L159" i="6"/>
  <c r="K159" i="6"/>
  <c r="I159" i="6"/>
  <c r="D159" i="6"/>
  <c r="B159" i="6"/>
  <c r="A159" i="6"/>
  <c r="Z158" i="6"/>
  <c r="N158" i="6"/>
  <c r="M158" i="6"/>
  <c r="L158" i="6"/>
  <c r="K158" i="6"/>
  <c r="I158" i="6"/>
  <c r="D158" i="6"/>
  <c r="B158" i="6"/>
  <c r="A158" i="6"/>
  <c r="Z157" i="6"/>
  <c r="N157" i="6"/>
  <c r="M157" i="6"/>
  <c r="L157" i="6"/>
  <c r="K157" i="6"/>
  <c r="I157" i="6"/>
  <c r="D157" i="6"/>
  <c r="B157" i="6"/>
  <c r="A157" i="6"/>
  <c r="Z156" i="6"/>
  <c r="N156" i="6"/>
  <c r="M156" i="6"/>
  <c r="L156" i="6"/>
  <c r="K156" i="6"/>
  <c r="I156" i="6"/>
  <c r="D156" i="6"/>
  <c r="B156" i="6"/>
  <c r="A156" i="6"/>
  <c r="Z155" i="6"/>
  <c r="N155" i="6"/>
  <c r="M155" i="6"/>
  <c r="O155" i="6" s="1"/>
  <c r="L155" i="6"/>
  <c r="K155" i="6"/>
  <c r="I155" i="6"/>
  <c r="D155" i="6"/>
  <c r="B155" i="6"/>
  <c r="A155" i="6"/>
  <c r="Z154" i="6"/>
  <c r="N154" i="6"/>
  <c r="M154" i="6"/>
  <c r="O154" i="6" s="1"/>
  <c r="P155" i="6" s="1"/>
  <c r="Q155" i="6" s="1"/>
  <c r="L154" i="6"/>
  <c r="K154" i="6"/>
  <c r="I154" i="6"/>
  <c r="D154" i="6"/>
  <c r="B154" i="6"/>
  <c r="A154" i="6"/>
  <c r="Z153" i="6"/>
  <c r="N153" i="6"/>
  <c r="M153" i="6"/>
  <c r="O153" i="6" s="1"/>
  <c r="L153" i="6"/>
  <c r="K153" i="6"/>
  <c r="I153" i="6"/>
  <c r="D153" i="6"/>
  <c r="B153" i="6"/>
  <c r="A153" i="6"/>
  <c r="Z152" i="6"/>
  <c r="N152" i="6"/>
  <c r="M152" i="6"/>
  <c r="L152" i="6"/>
  <c r="K152" i="6"/>
  <c r="I152" i="6"/>
  <c r="D152" i="6"/>
  <c r="B152" i="6"/>
  <c r="A152" i="6"/>
  <c r="Z151" i="6"/>
  <c r="N151" i="6"/>
  <c r="M151" i="6"/>
  <c r="L151" i="6"/>
  <c r="K151" i="6"/>
  <c r="I151" i="6"/>
  <c r="D151" i="6"/>
  <c r="B151" i="6"/>
  <c r="A151" i="6"/>
  <c r="Z150" i="6"/>
  <c r="N150" i="6"/>
  <c r="M150" i="6"/>
  <c r="L150" i="6"/>
  <c r="K150" i="6"/>
  <c r="I150" i="6"/>
  <c r="D150" i="6"/>
  <c r="B150" i="6"/>
  <c r="A150" i="6"/>
  <c r="Z149" i="6"/>
  <c r="N149" i="6"/>
  <c r="M149" i="6"/>
  <c r="L149" i="6"/>
  <c r="K149" i="6"/>
  <c r="I149" i="6"/>
  <c r="D149" i="6"/>
  <c r="B149" i="6"/>
  <c r="A149" i="6"/>
  <c r="Z148" i="6"/>
  <c r="N148" i="6"/>
  <c r="M148" i="6"/>
  <c r="L148" i="6"/>
  <c r="K148" i="6"/>
  <c r="I148" i="6"/>
  <c r="D148" i="6"/>
  <c r="B148" i="6"/>
  <c r="A148" i="6"/>
  <c r="Z147" i="6"/>
  <c r="N147" i="6"/>
  <c r="M147" i="6"/>
  <c r="O147" i="6" s="1"/>
  <c r="L147" i="6"/>
  <c r="K147" i="6"/>
  <c r="I147" i="6"/>
  <c r="D147" i="6"/>
  <c r="B147" i="6"/>
  <c r="A147" i="6"/>
  <c r="Z146" i="6"/>
  <c r="N146" i="6"/>
  <c r="M146" i="6"/>
  <c r="L146" i="6"/>
  <c r="K146" i="6"/>
  <c r="I146" i="6"/>
  <c r="D146" i="6"/>
  <c r="B146" i="6"/>
  <c r="A146" i="6"/>
  <c r="Z145" i="6"/>
  <c r="N145" i="6"/>
  <c r="M145" i="6"/>
  <c r="L145" i="6"/>
  <c r="K145" i="6"/>
  <c r="I145" i="6"/>
  <c r="D145" i="6"/>
  <c r="B145" i="6"/>
  <c r="A145" i="6"/>
  <c r="Z144" i="6"/>
  <c r="N144" i="6"/>
  <c r="M144" i="6"/>
  <c r="O144" i="6" s="1"/>
  <c r="P145" i="6" s="1"/>
  <c r="L144" i="6"/>
  <c r="K144" i="6"/>
  <c r="I144" i="6"/>
  <c r="D144" i="6"/>
  <c r="B144" i="6"/>
  <c r="A144" i="6"/>
  <c r="Z143" i="6"/>
  <c r="N143" i="6"/>
  <c r="M143" i="6"/>
  <c r="O143" i="6" s="1"/>
  <c r="L143" i="6"/>
  <c r="K143" i="6"/>
  <c r="I143" i="6"/>
  <c r="D143" i="6"/>
  <c r="B143" i="6"/>
  <c r="A143" i="6"/>
  <c r="Z142" i="6"/>
  <c r="N142" i="6"/>
  <c r="M142" i="6"/>
  <c r="L142" i="6"/>
  <c r="K142" i="6"/>
  <c r="I142" i="6"/>
  <c r="D142" i="6"/>
  <c r="B142" i="6"/>
  <c r="A142" i="6"/>
  <c r="Z141" i="6"/>
  <c r="N141" i="6"/>
  <c r="M141" i="6"/>
  <c r="L141" i="6"/>
  <c r="K141" i="6"/>
  <c r="I141" i="6"/>
  <c r="D141" i="6"/>
  <c r="B141" i="6"/>
  <c r="A141" i="6"/>
  <c r="Z140" i="6"/>
  <c r="P140" i="6"/>
  <c r="N140" i="6"/>
  <c r="M140" i="6"/>
  <c r="L140" i="6"/>
  <c r="K140" i="6"/>
  <c r="I140" i="6"/>
  <c r="D140" i="6"/>
  <c r="B140" i="6"/>
  <c r="A140" i="6"/>
  <c r="Z139" i="6"/>
  <c r="N139" i="6"/>
  <c r="M139" i="6"/>
  <c r="L139" i="6"/>
  <c r="K139" i="6"/>
  <c r="I139" i="6"/>
  <c r="D139" i="6"/>
  <c r="B139" i="6"/>
  <c r="A139" i="6"/>
  <c r="Z138" i="6"/>
  <c r="N138" i="6"/>
  <c r="M138" i="6"/>
  <c r="L138" i="6"/>
  <c r="K138" i="6"/>
  <c r="I138" i="6"/>
  <c r="D138" i="6"/>
  <c r="B138" i="6"/>
  <c r="A138" i="6"/>
  <c r="Z137" i="6"/>
  <c r="N137" i="6"/>
  <c r="M137" i="6"/>
  <c r="L137" i="6"/>
  <c r="K137" i="6"/>
  <c r="I137" i="6"/>
  <c r="D137" i="6"/>
  <c r="B137" i="6"/>
  <c r="A137" i="6"/>
  <c r="Z136" i="6"/>
  <c r="N136" i="6"/>
  <c r="M136" i="6"/>
  <c r="L136" i="6"/>
  <c r="K136" i="6"/>
  <c r="I136" i="6"/>
  <c r="D136" i="6"/>
  <c r="B136" i="6"/>
  <c r="A136" i="6"/>
  <c r="Z135" i="6"/>
  <c r="N135" i="6"/>
  <c r="M135" i="6"/>
  <c r="L135" i="6"/>
  <c r="K135" i="6"/>
  <c r="I135" i="6"/>
  <c r="D135" i="6"/>
  <c r="B135" i="6"/>
  <c r="A135" i="6"/>
  <c r="Z134" i="6"/>
  <c r="N134" i="6"/>
  <c r="M134" i="6"/>
  <c r="O134" i="6" s="1"/>
  <c r="L134" i="6"/>
  <c r="K134" i="6"/>
  <c r="I134" i="6"/>
  <c r="D134" i="6"/>
  <c r="B134" i="6"/>
  <c r="A134" i="6"/>
  <c r="Z133" i="6"/>
  <c r="N133" i="6"/>
  <c r="M133" i="6"/>
  <c r="O133" i="6" s="1"/>
  <c r="L133" i="6"/>
  <c r="K133" i="6"/>
  <c r="I133" i="6"/>
  <c r="D133" i="6"/>
  <c r="B133" i="6"/>
  <c r="A133" i="6"/>
  <c r="Z132" i="6"/>
  <c r="N132" i="6"/>
  <c r="M132" i="6"/>
  <c r="O132" i="6" s="1"/>
  <c r="L132" i="6"/>
  <c r="K132" i="6"/>
  <c r="I132" i="6"/>
  <c r="D132" i="6"/>
  <c r="B132" i="6"/>
  <c r="A132" i="6"/>
  <c r="Z131" i="6"/>
  <c r="N131" i="6"/>
  <c r="M131" i="6"/>
  <c r="L131" i="6"/>
  <c r="K131" i="6"/>
  <c r="I131" i="6"/>
  <c r="D131" i="6"/>
  <c r="B131" i="6"/>
  <c r="A131" i="6"/>
  <c r="Z130" i="6"/>
  <c r="N130" i="6"/>
  <c r="M130" i="6"/>
  <c r="L130" i="6"/>
  <c r="K130" i="6"/>
  <c r="I130" i="6"/>
  <c r="D130" i="6"/>
  <c r="B130" i="6"/>
  <c r="A130" i="6"/>
  <c r="Z129" i="6"/>
  <c r="N129" i="6"/>
  <c r="M129" i="6"/>
  <c r="O129" i="6" s="1"/>
  <c r="L129" i="6"/>
  <c r="K129" i="6"/>
  <c r="I129" i="6"/>
  <c r="D129" i="6"/>
  <c r="B129" i="6"/>
  <c r="A129" i="6"/>
  <c r="Z128" i="6"/>
  <c r="N128" i="6"/>
  <c r="M128" i="6"/>
  <c r="O128" i="6" s="1"/>
  <c r="L128" i="6"/>
  <c r="K128" i="6"/>
  <c r="I128" i="6"/>
  <c r="D128" i="6"/>
  <c r="B128" i="6"/>
  <c r="A128" i="6"/>
  <c r="Z127" i="6"/>
  <c r="N127" i="6"/>
  <c r="M127" i="6"/>
  <c r="L127" i="6"/>
  <c r="K127" i="6"/>
  <c r="I127" i="6"/>
  <c r="D127" i="6"/>
  <c r="B127" i="6"/>
  <c r="A127" i="6"/>
  <c r="Z126" i="6"/>
  <c r="N126" i="6"/>
  <c r="M126" i="6"/>
  <c r="L126" i="6"/>
  <c r="K126" i="6"/>
  <c r="I126" i="6"/>
  <c r="D126" i="6"/>
  <c r="B126" i="6"/>
  <c r="A126" i="6"/>
  <c r="Z125" i="6"/>
  <c r="N125" i="6"/>
  <c r="O125" i="6" s="1"/>
  <c r="M125" i="6"/>
  <c r="L125" i="6"/>
  <c r="K125" i="6"/>
  <c r="I125" i="6"/>
  <c r="D125" i="6"/>
  <c r="B125" i="6"/>
  <c r="A125" i="6"/>
  <c r="Z124" i="6"/>
  <c r="N124" i="6"/>
  <c r="M124" i="6"/>
  <c r="L124" i="6"/>
  <c r="K124" i="6"/>
  <c r="I124" i="6"/>
  <c r="D124" i="6"/>
  <c r="B124" i="6"/>
  <c r="A124" i="6"/>
  <c r="Z123" i="6"/>
  <c r="N123" i="6"/>
  <c r="M123" i="6"/>
  <c r="O123" i="6" s="1"/>
  <c r="L123" i="6"/>
  <c r="K123" i="6"/>
  <c r="I123" i="6"/>
  <c r="D123" i="6"/>
  <c r="B123" i="6"/>
  <c r="A123" i="6"/>
  <c r="Z122" i="6"/>
  <c r="N122" i="6"/>
  <c r="M122" i="6"/>
  <c r="L122" i="6"/>
  <c r="K122" i="6"/>
  <c r="I122" i="6"/>
  <c r="D122" i="6"/>
  <c r="B122" i="6"/>
  <c r="A122" i="6"/>
  <c r="Z121" i="6"/>
  <c r="N121" i="6"/>
  <c r="M121" i="6"/>
  <c r="L121" i="6"/>
  <c r="K121" i="6"/>
  <c r="I121" i="6"/>
  <c r="D121" i="6"/>
  <c r="B121" i="6"/>
  <c r="A121" i="6"/>
  <c r="Z120" i="6"/>
  <c r="N120" i="6"/>
  <c r="M120" i="6"/>
  <c r="O120" i="6" s="1"/>
  <c r="P121" i="6" s="1"/>
  <c r="L120" i="6"/>
  <c r="K120" i="6"/>
  <c r="I120" i="6"/>
  <c r="D120" i="6"/>
  <c r="B120" i="6"/>
  <c r="A120" i="6"/>
  <c r="Z119" i="6"/>
  <c r="N119" i="6"/>
  <c r="M119" i="6"/>
  <c r="O119" i="6" s="1"/>
  <c r="L119" i="6"/>
  <c r="K119" i="6"/>
  <c r="I119" i="6"/>
  <c r="D119" i="6"/>
  <c r="B119" i="6"/>
  <c r="A119" i="6"/>
  <c r="Z118" i="6"/>
  <c r="N118" i="6"/>
  <c r="M118" i="6"/>
  <c r="L118" i="6"/>
  <c r="K118" i="6"/>
  <c r="I118" i="6"/>
  <c r="D118" i="6"/>
  <c r="B118" i="6"/>
  <c r="A118" i="6"/>
  <c r="Z117" i="6"/>
  <c r="N117" i="6"/>
  <c r="M117" i="6"/>
  <c r="L117" i="6"/>
  <c r="K117" i="6"/>
  <c r="I117" i="6"/>
  <c r="D117" i="6"/>
  <c r="B117" i="6"/>
  <c r="A117" i="6"/>
  <c r="Z116" i="6"/>
  <c r="N116" i="6"/>
  <c r="M116" i="6"/>
  <c r="L116" i="6"/>
  <c r="K116" i="6"/>
  <c r="I116" i="6"/>
  <c r="D116" i="6"/>
  <c r="B116" i="6"/>
  <c r="A116" i="6"/>
  <c r="Z115" i="6"/>
  <c r="N115" i="6"/>
  <c r="M115" i="6"/>
  <c r="L115" i="6"/>
  <c r="K115" i="6"/>
  <c r="I115" i="6"/>
  <c r="D115" i="6"/>
  <c r="B115" i="6"/>
  <c r="A115" i="6"/>
  <c r="Z114" i="6"/>
  <c r="N114" i="6"/>
  <c r="M114" i="6"/>
  <c r="L114" i="6"/>
  <c r="K114" i="6"/>
  <c r="I114" i="6"/>
  <c r="D114" i="6"/>
  <c r="B114" i="6"/>
  <c r="A114" i="6"/>
  <c r="Z113" i="6"/>
  <c r="N113" i="6"/>
  <c r="M113" i="6"/>
  <c r="O113" i="6" s="1"/>
  <c r="L113" i="6"/>
  <c r="K113" i="6"/>
  <c r="I113" i="6"/>
  <c r="D113" i="6"/>
  <c r="B113" i="6"/>
  <c r="A113" i="6"/>
  <c r="Z112" i="6"/>
  <c r="N112" i="6"/>
  <c r="M112" i="6"/>
  <c r="L112" i="6"/>
  <c r="K112" i="6"/>
  <c r="I112" i="6"/>
  <c r="D112" i="6"/>
  <c r="B112" i="6"/>
  <c r="A112" i="6"/>
  <c r="Z111" i="6"/>
  <c r="N111" i="6"/>
  <c r="M111" i="6"/>
  <c r="L111" i="6"/>
  <c r="K111" i="6"/>
  <c r="I111" i="6"/>
  <c r="D111" i="6"/>
  <c r="B111" i="6"/>
  <c r="A111" i="6"/>
  <c r="Z110" i="6"/>
  <c r="P110" i="6"/>
  <c r="N110" i="6"/>
  <c r="M110" i="6"/>
  <c r="L110" i="6"/>
  <c r="K110" i="6"/>
  <c r="I110" i="6"/>
  <c r="D110" i="6"/>
  <c r="B110" i="6"/>
  <c r="A110" i="6"/>
  <c r="Z109" i="6"/>
  <c r="N109" i="6"/>
  <c r="M109" i="6"/>
  <c r="L109" i="6"/>
  <c r="K109" i="6"/>
  <c r="I109" i="6"/>
  <c r="D109" i="6"/>
  <c r="B109" i="6"/>
  <c r="A109" i="6"/>
  <c r="Z108" i="6"/>
  <c r="N108" i="6"/>
  <c r="M108" i="6"/>
  <c r="L108" i="6"/>
  <c r="K108" i="6"/>
  <c r="I108" i="6"/>
  <c r="D108" i="6"/>
  <c r="B108" i="6"/>
  <c r="A108" i="6"/>
  <c r="Z107" i="6"/>
  <c r="N107" i="6"/>
  <c r="M107" i="6"/>
  <c r="O107" i="6" s="1"/>
  <c r="L107" i="6"/>
  <c r="K107" i="6"/>
  <c r="I107" i="6"/>
  <c r="D107" i="6"/>
  <c r="B107" i="6"/>
  <c r="A107" i="6"/>
  <c r="Z106" i="6"/>
  <c r="N106" i="6"/>
  <c r="M106" i="6"/>
  <c r="L106" i="6"/>
  <c r="K106" i="6"/>
  <c r="I106" i="6"/>
  <c r="D106" i="6"/>
  <c r="B106" i="6"/>
  <c r="A106" i="6"/>
  <c r="Z105" i="6"/>
  <c r="N105" i="6"/>
  <c r="O105" i="6" s="1"/>
  <c r="M105" i="6"/>
  <c r="L105" i="6"/>
  <c r="K105" i="6"/>
  <c r="I105" i="6"/>
  <c r="D105" i="6"/>
  <c r="B105" i="6"/>
  <c r="A105" i="6"/>
  <c r="Z104" i="6"/>
  <c r="N104" i="6"/>
  <c r="O104" i="6" s="1"/>
  <c r="M104" i="6"/>
  <c r="L104" i="6"/>
  <c r="K104" i="6"/>
  <c r="I104" i="6"/>
  <c r="D104" i="6"/>
  <c r="B104" i="6"/>
  <c r="A104" i="6"/>
  <c r="Z103" i="6"/>
  <c r="N103" i="6"/>
  <c r="M103" i="6"/>
  <c r="L103" i="6"/>
  <c r="K103" i="6"/>
  <c r="I103" i="6"/>
  <c r="D103" i="6"/>
  <c r="B103" i="6"/>
  <c r="A103" i="6"/>
  <c r="Z102" i="6"/>
  <c r="N102" i="6"/>
  <c r="M102" i="6"/>
  <c r="L102" i="6"/>
  <c r="K102" i="6"/>
  <c r="I102" i="6"/>
  <c r="D102" i="6"/>
  <c r="B102" i="6"/>
  <c r="A102" i="6"/>
  <c r="Z101" i="6"/>
  <c r="N101" i="6"/>
  <c r="M101" i="6"/>
  <c r="L101" i="6"/>
  <c r="K101" i="6"/>
  <c r="I101" i="6"/>
  <c r="D101" i="6"/>
  <c r="B101" i="6"/>
  <c r="A101" i="6"/>
  <c r="Z100" i="6"/>
  <c r="N100" i="6"/>
  <c r="M100" i="6"/>
  <c r="O100" i="6" s="1"/>
  <c r="L100" i="6"/>
  <c r="K100" i="6"/>
  <c r="I100" i="6"/>
  <c r="D100" i="6"/>
  <c r="B100" i="6"/>
  <c r="A100" i="6"/>
  <c r="Z99" i="6"/>
  <c r="N99" i="6"/>
  <c r="M99" i="6"/>
  <c r="O99" i="6" s="1"/>
  <c r="L99" i="6"/>
  <c r="K99" i="6"/>
  <c r="I99" i="6"/>
  <c r="D99" i="6"/>
  <c r="B99" i="6"/>
  <c r="A99" i="6"/>
  <c r="Z98" i="6"/>
  <c r="N98" i="6"/>
  <c r="M98" i="6"/>
  <c r="L98" i="6"/>
  <c r="K98" i="6"/>
  <c r="I98" i="6"/>
  <c r="D98" i="6"/>
  <c r="B98" i="6"/>
  <c r="A98" i="6"/>
  <c r="Z97" i="6"/>
  <c r="N97" i="6"/>
  <c r="M97" i="6"/>
  <c r="O97" i="6" s="1"/>
  <c r="L97" i="6"/>
  <c r="K97" i="6"/>
  <c r="I97" i="6"/>
  <c r="D97" i="6"/>
  <c r="B97" i="6"/>
  <c r="A97" i="6"/>
  <c r="Z96" i="6"/>
  <c r="N96" i="6"/>
  <c r="M96" i="6"/>
  <c r="L96" i="6"/>
  <c r="K96" i="6"/>
  <c r="I96" i="6"/>
  <c r="D96" i="6"/>
  <c r="B96" i="6"/>
  <c r="A96" i="6"/>
  <c r="Z95" i="6"/>
  <c r="N95" i="6"/>
  <c r="M95" i="6"/>
  <c r="L95" i="6"/>
  <c r="K95" i="6"/>
  <c r="I95" i="6"/>
  <c r="D95" i="6"/>
  <c r="B95" i="6"/>
  <c r="A95" i="6"/>
  <c r="Z94" i="6"/>
  <c r="N94" i="6"/>
  <c r="M94" i="6"/>
  <c r="O94" i="6" s="1"/>
  <c r="L94" i="6"/>
  <c r="K94" i="6"/>
  <c r="I94" i="6"/>
  <c r="D94" i="6"/>
  <c r="B94" i="6"/>
  <c r="A94" i="6"/>
  <c r="Z93" i="6"/>
  <c r="N93" i="6"/>
  <c r="M93" i="6"/>
  <c r="L93" i="6"/>
  <c r="K93" i="6"/>
  <c r="I93" i="6"/>
  <c r="D93" i="6"/>
  <c r="B93" i="6"/>
  <c r="A93" i="6"/>
  <c r="Z92" i="6"/>
  <c r="N92" i="6"/>
  <c r="M92" i="6"/>
  <c r="O92" i="6" s="1"/>
  <c r="L92" i="6"/>
  <c r="K92" i="6"/>
  <c r="I92" i="6"/>
  <c r="D92" i="6"/>
  <c r="B92" i="6"/>
  <c r="A92" i="6"/>
  <c r="Z91" i="6"/>
  <c r="O91" i="6"/>
  <c r="N91" i="6"/>
  <c r="M91" i="6"/>
  <c r="L91" i="6"/>
  <c r="K91" i="6"/>
  <c r="I91" i="6"/>
  <c r="D91" i="6"/>
  <c r="B91" i="6"/>
  <c r="A91" i="6"/>
  <c r="Z90" i="6"/>
  <c r="O90" i="6"/>
  <c r="N90" i="6"/>
  <c r="M90" i="6"/>
  <c r="L90" i="6"/>
  <c r="K90" i="6"/>
  <c r="I90" i="6"/>
  <c r="D90" i="6"/>
  <c r="B90" i="6"/>
  <c r="A90" i="6"/>
  <c r="Z89" i="6"/>
  <c r="O89" i="6"/>
  <c r="N89" i="6"/>
  <c r="M89" i="6"/>
  <c r="L89" i="6"/>
  <c r="K89" i="6"/>
  <c r="I89" i="6"/>
  <c r="D89" i="6"/>
  <c r="B89" i="6"/>
  <c r="A89" i="6"/>
  <c r="Z88" i="6"/>
  <c r="O88" i="6"/>
  <c r="N88" i="6"/>
  <c r="M88" i="6"/>
  <c r="L88" i="6"/>
  <c r="K88" i="6"/>
  <c r="I88" i="6"/>
  <c r="D88" i="6"/>
  <c r="B88" i="6"/>
  <c r="A88" i="6"/>
  <c r="Z87" i="6"/>
  <c r="O87" i="6"/>
  <c r="N87" i="6"/>
  <c r="M87" i="6"/>
  <c r="L87" i="6"/>
  <c r="K87" i="6"/>
  <c r="I87" i="6"/>
  <c r="D87" i="6"/>
  <c r="B87" i="6"/>
  <c r="A87" i="6"/>
  <c r="Z86" i="6"/>
  <c r="N86" i="6"/>
  <c r="M86" i="6"/>
  <c r="L86" i="6"/>
  <c r="K86" i="6"/>
  <c r="I86" i="6"/>
  <c r="D86" i="6"/>
  <c r="B86" i="6"/>
  <c r="A86" i="6"/>
  <c r="Z85" i="6"/>
  <c r="N85" i="6"/>
  <c r="O85" i="6" s="1"/>
  <c r="M85" i="6"/>
  <c r="L85" i="6"/>
  <c r="K85" i="6"/>
  <c r="I85" i="6"/>
  <c r="D85" i="6"/>
  <c r="B85" i="6"/>
  <c r="A85" i="6"/>
  <c r="Z84" i="6"/>
  <c r="N84" i="6"/>
  <c r="M84" i="6"/>
  <c r="L84" i="6"/>
  <c r="K84" i="6"/>
  <c r="I84" i="6"/>
  <c r="D84" i="6"/>
  <c r="B84" i="6"/>
  <c r="A84" i="6"/>
  <c r="Z83" i="6"/>
  <c r="N83" i="6"/>
  <c r="M83" i="6"/>
  <c r="O83" i="6" s="1"/>
  <c r="L83" i="6"/>
  <c r="K83" i="6"/>
  <c r="I83" i="6"/>
  <c r="D83" i="6"/>
  <c r="B83" i="6"/>
  <c r="A83" i="6"/>
  <c r="Z82" i="6"/>
  <c r="N82" i="6"/>
  <c r="M82" i="6"/>
  <c r="L82" i="6"/>
  <c r="K82" i="6"/>
  <c r="I82" i="6"/>
  <c r="D82" i="6"/>
  <c r="B82" i="6"/>
  <c r="A82" i="6"/>
  <c r="Z81" i="6"/>
  <c r="N81" i="6"/>
  <c r="M81" i="6"/>
  <c r="L81" i="6"/>
  <c r="K81" i="6"/>
  <c r="I81" i="6"/>
  <c r="D81" i="6"/>
  <c r="B81" i="6"/>
  <c r="A81" i="6"/>
  <c r="Z80" i="6"/>
  <c r="P80" i="6"/>
  <c r="N80" i="6"/>
  <c r="M80" i="6"/>
  <c r="L80" i="6"/>
  <c r="K80" i="6"/>
  <c r="I80" i="6"/>
  <c r="D80" i="6"/>
  <c r="B80" i="6"/>
  <c r="A80" i="6"/>
  <c r="Z79" i="6"/>
  <c r="N79" i="6"/>
  <c r="M79" i="6"/>
  <c r="L79" i="6"/>
  <c r="K79" i="6"/>
  <c r="I79" i="6"/>
  <c r="D79" i="6"/>
  <c r="B79" i="6"/>
  <c r="A79" i="6"/>
  <c r="Z78" i="6"/>
  <c r="N78" i="6"/>
  <c r="M78" i="6"/>
  <c r="O78" i="6" s="1"/>
  <c r="L78" i="6"/>
  <c r="K78" i="6"/>
  <c r="I78" i="6"/>
  <c r="D78" i="6"/>
  <c r="B78" i="6"/>
  <c r="A78" i="6"/>
  <c r="Z77" i="6"/>
  <c r="N77" i="6"/>
  <c r="M77" i="6"/>
  <c r="O77" i="6" s="1"/>
  <c r="L77" i="6"/>
  <c r="K77" i="6"/>
  <c r="I77" i="6"/>
  <c r="D77" i="6"/>
  <c r="B77" i="6"/>
  <c r="A77" i="6"/>
  <c r="Z76" i="6"/>
  <c r="N76" i="6"/>
  <c r="M76" i="6"/>
  <c r="O76" i="6" s="1"/>
  <c r="L76" i="6"/>
  <c r="K76" i="6"/>
  <c r="I76" i="6"/>
  <c r="D76" i="6"/>
  <c r="B76" i="6"/>
  <c r="A76" i="6"/>
  <c r="Z75" i="6"/>
  <c r="N75" i="6"/>
  <c r="M75" i="6"/>
  <c r="L75" i="6"/>
  <c r="K75" i="6"/>
  <c r="I75" i="6"/>
  <c r="D75" i="6"/>
  <c r="B75" i="6"/>
  <c r="A75" i="6"/>
  <c r="Z74" i="6"/>
  <c r="N74" i="6"/>
  <c r="M74" i="6"/>
  <c r="L74" i="6"/>
  <c r="K74" i="6"/>
  <c r="I74" i="6"/>
  <c r="D74" i="6"/>
  <c r="B74" i="6"/>
  <c r="A74" i="6"/>
  <c r="Z73" i="6"/>
  <c r="N73" i="6"/>
  <c r="M73" i="6"/>
  <c r="L73" i="6"/>
  <c r="K73" i="6"/>
  <c r="I73" i="6"/>
  <c r="D73" i="6"/>
  <c r="B73" i="6"/>
  <c r="A73" i="6"/>
  <c r="Z72" i="6"/>
  <c r="N72" i="6"/>
  <c r="M72" i="6"/>
  <c r="L72" i="6"/>
  <c r="K72" i="6"/>
  <c r="I72" i="6"/>
  <c r="D72" i="6"/>
  <c r="B72" i="6"/>
  <c r="A72" i="6"/>
  <c r="Z71" i="6"/>
  <c r="N71" i="6"/>
  <c r="O71" i="6" s="1"/>
  <c r="M71" i="6"/>
  <c r="L71" i="6"/>
  <c r="K71" i="6"/>
  <c r="I71" i="6"/>
  <c r="D71" i="6"/>
  <c r="B71" i="6"/>
  <c r="A71" i="6"/>
  <c r="Z70" i="6"/>
  <c r="N70" i="6"/>
  <c r="M70" i="6"/>
  <c r="L70" i="6"/>
  <c r="K70" i="6"/>
  <c r="I70" i="6"/>
  <c r="D70" i="6"/>
  <c r="B70" i="6"/>
  <c r="A70" i="6"/>
  <c r="Z69" i="6"/>
  <c r="N69" i="6"/>
  <c r="M69" i="6"/>
  <c r="L69" i="6"/>
  <c r="K69" i="6"/>
  <c r="I69" i="6"/>
  <c r="D69" i="6"/>
  <c r="B69" i="6"/>
  <c r="A69" i="6"/>
  <c r="Z68" i="6"/>
  <c r="N68" i="6"/>
  <c r="M68" i="6"/>
  <c r="L68" i="6"/>
  <c r="K68" i="6"/>
  <c r="I68" i="6"/>
  <c r="D68" i="6"/>
  <c r="B68" i="6"/>
  <c r="A68" i="6"/>
  <c r="Z67" i="6"/>
  <c r="N67" i="6"/>
  <c r="O67" i="6" s="1"/>
  <c r="M67" i="6"/>
  <c r="L67" i="6"/>
  <c r="K67" i="6"/>
  <c r="I67" i="6"/>
  <c r="D67" i="6"/>
  <c r="B67" i="6"/>
  <c r="A67" i="6"/>
  <c r="Z66" i="6"/>
  <c r="N66" i="6"/>
  <c r="M66" i="6"/>
  <c r="L66" i="6"/>
  <c r="K66" i="6"/>
  <c r="I66" i="6"/>
  <c r="D66" i="6"/>
  <c r="B66" i="6"/>
  <c r="A66" i="6"/>
  <c r="Z65" i="6"/>
  <c r="N65" i="6"/>
  <c r="M65" i="6"/>
  <c r="L65" i="6"/>
  <c r="K65" i="6"/>
  <c r="I65" i="6"/>
  <c r="D65" i="6"/>
  <c r="B65" i="6"/>
  <c r="A65" i="6"/>
  <c r="Z64" i="6"/>
  <c r="N64" i="6"/>
  <c r="M64" i="6"/>
  <c r="O64" i="6" s="1"/>
  <c r="L64" i="6"/>
  <c r="K64" i="6"/>
  <c r="I64" i="6"/>
  <c r="D64" i="6"/>
  <c r="B64" i="6"/>
  <c r="A64" i="6"/>
  <c r="Z63" i="6"/>
  <c r="N63" i="6"/>
  <c r="M63" i="6"/>
  <c r="L63" i="6"/>
  <c r="K63" i="6"/>
  <c r="I63" i="6"/>
  <c r="D63" i="6"/>
  <c r="B63" i="6"/>
  <c r="A63" i="6"/>
  <c r="Z62" i="6"/>
  <c r="N62" i="6"/>
  <c r="M62" i="6"/>
  <c r="L62" i="6"/>
  <c r="K62" i="6"/>
  <c r="I62" i="6"/>
  <c r="D62" i="6"/>
  <c r="B62" i="6"/>
  <c r="A62" i="6"/>
  <c r="Z61" i="6"/>
  <c r="N61" i="6"/>
  <c r="O61" i="6" s="1"/>
  <c r="M61" i="6"/>
  <c r="L61" i="6"/>
  <c r="K61" i="6"/>
  <c r="I61" i="6"/>
  <c r="D61" i="6"/>
  <c r="B61" i="6"/>
  <c r="A61" i="6"/>
  <c r="Z60" i="6"/>
  <c r="N60" i="6"/>
  <c r="M60" i="6"/>
  <c r="O60" i="6" s="1"/>
  <c r="L60" i="6"/>
  <c r="K60" i="6"/>
  <c r="I60" i="6"/>
  <c r="D60" i="6"/>
  <c r="B60" i="6"/>
  <c r="A60" i="6"/>
  <c r="Z59" i="6"/>
  <c r="N59" i="6"/>
  <c r="M59" i="6"/>
  <c r="O59" i="6" s="1"/>
  <c r="L59" i="6"/>
  <c r="K59" i="6"/>
  <c r="I59" i="6"/>
  <c r="D59" i="6"/>
  <c r="B59" i="6"/>
  <c r="A59" i="6"/>
  <c r="Z58" i="6"/>
  <c r="N58" i="6"/>
  <c r="M58" i="6"/>
  <c r="O58" i="6" s="1"/>
  <c r="L58" i="6"/>
  <c r="K58" i="6"/>
  <c r="I58" i="6"/>
  <c r="D58" i="6"/>
  <c r="B58" i="6"/>
  <c r="A58" i="6"/>
  <c r="Z57" i="6"/>
  <c r="N57" i="6"/>
  <c r="M57" i="6"/>
  <c r="O57" i="6" s="1"/>
  <c r="L57" i="6"/>
  <c r="K57" i="6"/>
  <c r="I57" i="6"/>
  <c r="D57" i="6"/>
  <c r="B57" i="6"/>
  <c r="A57" i="6"/>
  <c r="Z56" i="6"/>
  <c r="N56" i="6"/>
  <c r="M56" i="6"/>
  <c r="L56" i="6"/>
  <c r="K56" i="6"/>
  <c r="I56" i="6"/>
  <c r="D56" i="6"/>
  <c r="B56" i="6"/>
  <c r="A56" i="6"/>
  <c r="Z55" i="6"/>
  <c r="N55" i="6"/>
  <c r="M55" i="6"/>
  <c r="L55" i="6"/>
  <c r="K55" i="6"/>
  <c r="I55" i="6"/>
  <c r="D55" i="6"/>
  <c r="B55" i="6"/>
  <c r="A55" i="6"/>
  <c r="Z54" i="6"/>
  <c r="N54" i="6"/>
  <c r="M54" i="6"/>
  <c r="L54" i="6"/>
  <c r="K54" i="6"/>
  <c r="I54" i="6"/>
  <c r="D54" i="6"/>
  <c r="B54" i="6"/>
  <c r="A54" i="6"/>
  <c r="Z53" i="6"/>
  <c r="N53" i="6"/>
  <c r="M53" i="6"/>
  <c r="L53" i="6"/>
  <c r="K53" i="6"/>
  <c r="I53" i="6"/>
  <c r="D53" i="6"/>
  <c r="B53" i="6"/>
  <c r="A53" i="6"/>
  <c r="Z52" i="6"/>
  <c r="N52" i="6"/>
  <c r="M52" i="6"/>
  <c r="O52" i="6" s="1"/>
  <c r="L52" i="6"/>
  <c r="K52" i="6"/>
  <c r="I52" i="6"/>
  <c r="D52" i="6"/>
  <c r="B52" i="6"/>
  <c r="A52" i="6"/>
  <c r="Z51" i="6"/>
  <c r="N51" i="6"/>
  <c r="M51" i="6"/>
  <c r="L51" i="6"/>
  <c r="K51" i="6"/>
  <c r="I51" i="6"/>
  <c r="D51" i="6"/>
  <c r="B51" i="6"/>
  <c r="A51" i="6"/>
  <c r="Z50" i="6"/>
  <c r="P50" i="6"/>
  <c r="N50" i="6"/>
  <c r="M50" i="6"/>
  <c r="L50" i="6"/>
  <c r="K50" i="6"/>
  <c r="I50" i="6"/>
  <c r="D50" i="6"/>
  <c r="B50" i="6"/>
  <c r="A50" i="6"/>
  <c r="H45" i="6"/>
  <c r="G45" i="6"/>
  <c r="F45" i="6"/>
  <c r="E45" i="6"/>
  <c r="C45" i="6"/>
  <c r="H44" i="6"/>
  <c r="G44" i="6"/>
  <c r="F44" i="6"/>
  <c r="E44" i="6"/>
  <c r="C44" i="6"/>
  <c r="H43" i="6"/>
  <c r="G43" i="6"/>
  <c r="F43" i="6"/>
  <c r="E43" i="6"/>
  <c r="C43" i="6"/>
  <c r="H42" i="6"/>
  <c r="G42" i="6"/>
  <c r="F42" i="6"/>
  <c r="E42" i="6"/>
  <c r="C42" i="6"/>
  <c r="H41" i="6"/>
  <c r="G41" i="6"/>
  <c r="F41" i="6"/>
  <c r="E41" i="6"/>
  <c r="C41" i="6"/>
  <c r="H40" i="6"/>
  <c r="G40" i="6"/>
  <c r="F40" i="6"/>
  <c r="E40" i="6"/>
  <c r="C40" i="6"/>
  <c r="H39" i="6"/>
  <c r="G39" i="6"/>
  <c r="F39" i="6"/>
  <c r="E39" i="6"/>
  <c r="C39" i="6"/>
  <c r="H38" i="6"/>
  <c r="G38" i="6"/>
  <c r="F38" i="6"/>
  <c r="E38" i="6"/>
  <c r="C38" i="6"/>
  <c r="H37" i="6"/>
  <c r="G37" i="6"/>
  <c r="F37" i="6"/>
  <c r="E37" i="6"/>
  <c r="C37" i="6"/>
  <c r="H36" i="6"/>
  <c r="G36" i="6"/>
  <c r="F36" i="6"/>
  <c r="E36" i="6"/>
  <c r="C36" i="6"/>
  <c r="H35" i="6"/>
  <c r="G35" i="6"/>
  <c r="F35" i="6"/>
  <c r="E35" i="6"/>
  <c r="C35" i="6"/>
  <c r="H34" i="6"/>
  <c r="G34" i="6"/>
  <c r="F34" i="6"/>
  <c r="E34" i="6"/>
  <c r="C34" i="6"/>
  <c r="H33" i="6"/>
  <c r="G33" i="6"/>
  <c r="F33" i="6"/>
  <c r="E33" i="6"/>
  <c r="C33" i="6"/>
  <c r="H32" i="6"/>
  <c r="G32" i="6"/>
  <c r="F32" i="6"/>
  <c r="E32" i="6"/>
  <c r="C32" i="6"/>
  <c r="I31" i="6"/>
  <c r="H31" i="6"/>
  <c r="G31" i="6"/>
  <c r="F31" i="6"/>
  <c r="E31" i="6"/>
  <c r="C31" i="6"/>
  <c r="H30" i="6"/>
  <c r="G30" i="6"/>
  <c r="F30" i="6"/>
  <c r="E30" i="6"/>
  <c r="C30" i="6"/>
  <c r="H29" i="6"/>
  <c r="G29" i="6"/>
  <c r="F29" i="6"/>
  <c r="E29" i="6"/>
  <c r="C29" i="6"/>
  <c r="H28" i="6"/>
  <c r="G28" i="6"/>
  <c r="F28" i="6"/>
  <c r="E28" i="6"/>
  <c r="C28" i="6"/>
  <c r="H27" i="6"/>
  <c r="H203" i="6" s="1"/>
  <c r="G27" i="6"/>
  <c r="G229" i="6" s="1"/>
  <c r="F27" i="6"/>
  <c r="E27" i="6"/>
  <c r="C27" i="6"/>
  <c r="C216" i="6" s="1"/>
  <c r="I26" i="6"/>
  <c r="H26" i="6"/>
  <c r="G26" i="6"/>
  <c r="F26" i="6"/>
  <c r="E26" i="6"/>
  <c r="C26" i="6"/>
  <c r="C198" i="6" s="1"/>
  <c r="H25" i="6"/>
  <c r="H159" i="6" s="1"/>
  <c r="G25" i="6"/>
  <c r="G169" i="6" s="1"/>
  <c r="F25" i="6"/>
  <c r="E25" i="6"/>
  <c r="C25" i="6"/>
  <c r="C144" i="6" s="1"/>
  <c r="H24" i="6"/>
  <c r="G24" i="6"/>
  <c r="G119" i="6" s="1"/>
  <c r="F24" i="6"/>
  <c r="E24" i="6"/>
  <c r="E135" i="6" s="1"/>
  <c r="C24" i="6"/>
  <c r="H23" i="6"/>
  <c r="G23" i="6"/>
  <c r="F23" i="6"/>
  <c r="F109" i="6" s="1"/>
  <c r="E23" i="6"/>
  <c r="C23" i="6"/>
  <c r="C88" i="6" s="1"/>
  <c r="H22" i="6"/>
  <c r="G22" i="6"/>
  <c r="G59" i="6" s="1"/>
  <c r="F22" i="6"/>
  <c r="E22" i="6"/>
  <c r="E57" i="6" s="1"/>
  <c r="C22" i="6"/>
  <c r="O18" i="6"/>
  <c r="O17" i="6"/>
  <c r="E17" i="6"/>
  <c r="D17" i="6"/>
  <c r="F17" i="6" s="1"/>
  <c r="O16" i="6"/>
  <c r="E16" i="6"/>
  <c r="D16" i="6"/>
  <c r="F16" i="6" s="1"/>
  <c r="O15" i="6"/>
  <c r="I42" i="6" s="1"/>
  <c r="E15" i="6"/>
  <c r="D15" i="6"/>
  <c r="E14" i="6"/>
  <c r="D14" i="6"/>
  <c r="AE131" i="4"/>
  <c r="AD131" i="4"/>
  <c r="AF131" i="4" s="1"/>
  <c r="AD93" i="4"/>
  <c r="AD87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4" i="4"/>
  <c r="C14" i="4"/>
  <c r="AB107" i="4" s="1"/>
  <c r="B14" i="4"/>
  <c r="D13" i="4"/>
  <c r="C13" i="4"/>
  <c r="B13" i="4"/>
  <c r="D12" i="4"/>
  <c r="C12" i="4"/>
  <c r="B12" i="4"/>
  <c r="I10" i="4"/>
  <c r="D75" i="1" s="1"/>
  <c r="D10" i="4"/>
  <c r="I7" i="4" s="1"/>
  <c r="D73" i="1" s="1"/>
  <c r="C10" i="4"/>
  <c r="H7" i="4" s="1"/>
  <c r="C73" i="1" s="1"/>
  <c r="B10" i="4"/>
  <c r="G7" i="4" s="1"/>
  <c r="B73" i="1" s="1"/>
  <c r="D9" i="4"/>
  <c r="C9" i="4"/>
  <c r="B9" i="4"/>
  <c r="I8" i="4"/>
  <c r="D74" i="1" s="1"/>
  <c r="D8" i="4"/>
  <c r="C8" i="4"/>
  <c r="B8" i="4"/>
  <c r="D7" i="4"/>
  <c r="C7" i="4"/>
  <c r="B7" i="4"/>
  <c r="H6" i="4"/>
  <c r="C72" i="1" s="1"/>
  <c r="D6" i="4"/>
  <c r="I6" i="4" s="1"/>
  <c r="D72" i="1" s="1"/>
  <c r="C6" i="4"/>
  <c r="B6" i="4"/>
  <c r="G6" i="4" s="1"/>
  <c r="D5" i="4"/>
  <c r="C5" i="4"/>
  <c r="B5" i="4"/>
  <c r="F59" i="3"/>
  <c r="E59" i="3"/>
  <c r="AN58" i="3"/>
  <c r="AN57" i="3"/>
  <c r="AZ56" i="3"/>
  <c r="AN56" i="3"/>
  <c r="AQ56" i="3" s="1"/>
  <c r="AP56" i="3" s="1"/>
  <c r="AZ55" i="3"/>
  <c r="AN55" i="3"/>
  <c r="AN54" i="3"/>
  <c r="AN53" i="3"/>
  <c r="AZ52" i="3"/>
  <c r="AO52" i="3"/>
  <c r="AN52" i="3"/>
  <c r="AQ52" i="3" s="1"/>
  <c r="AP52" i="3" s="1"/>
  <c r="AY52" i="3" s="1"/>
  <c r="AN51" i="3"/>
  <c r="AO51" i="3" s="1"/>
  <c r="AN50" i="3"/>
  <c r="AQ50" i="3" s="1"/>
  <c r="AP50" i="3" s="1"/>
  <c r="AN49" i="3"/>
  <c r="AN48" i="3"/>
  <c r="AN47" i="3"/>
  <c r="AO47" i="3" s="1"/>
  <c r="AN46" i="3"/>
  <c r="AN45" i="3"/>
  <c r="AZ45" i="3" s="1"/>
  <c r="AN44" i="3"/>
  <c r="AN43" i="3"/>
  <c r="AQ42" i="3"/>
  <c r="AP42" i="3" s="1"/>
  <c r="AY42" i="3" s="1"/>
  <c r="AN42" i="3"/>
  <c r="AO42" i="3" s="1"/>
  <c r="AN41" i="3"/>
  <c r="AO41" i="3" s="1"/>
  <c r="AN40" i="3"/>
  <c r="AZ40" i="3" s="1"/>
  <c r="AN39" i="3"/>
  <c r="AO39" i="3" s="1"/>
  <c r="AN38" i="3"/>
  <c r="AZ38" i="3" s="1"/>
  <c r="AN37" i="3"/>
  <c r="AN36" i="3"/>
  <c r="AO36" i="3" s="1"/>
  <c r="AN35" i="3"/>
  <c r="AN34" i="3"/>
  <c r="H34" i="3"/>
  <c r="AZ33" i="3"/>
  <c r="AN33" i="3"/>
  <c r="AQ33" i="3" s="1"/>
  <c r="AP33" i="3" s="1"/>
  <c r="AQ32" i="3"/>
  <c r="AP32" i="3" s="1"/>
  <c r="AS32" i="3" s="1"/>
  <c r="AN32" i="3"/>
  <c r="AO32" i="3" s="1"/>
  <c r="AN31" i="3"/>
  <c r="AQ31" i="3" s="1"/>
  <c r="AP31" i="3" s="1"/>
  <c r="BD30" i="3"/>
  <c r="AZ30" i="3"/>
  <c r="AQ30" i="3"/>
  <c r="AP30" i="3" s="1"/>
  <c r="BK30" i="3" s="1"/>
  <c r="AN30" i="3"/>
  <c r="AO30" i="3" s="1"/>
  <c r="BD29" i="3"/>
  <c r="AN29" i="3"/>
  <c r="BD28" i="3"/>
  <c r="AN28" i="3"/>
  <c r="AO28" i="3" s="1"/>
  <c r="BD27" i="3"/>
  <c r="AN27" i="3"/>
  <c r="BD26" i="3"/>
  <c r="AZ26" i="3"/>
  <c r="AU26" i="3"/>
  <c r="AN26" i="3"/>
  <c r="AQ26" i="3" s="1"/>
  <c r="AP26" i="3" s="1"/>
  <c r="BD25" i="3"/>
  <c r="AN25" i="3"/>
  <c r="AO25" i="3" s="1"/>
  <c r="BD24" i="3"/>
  <c r="AN24" i="3"/>
  <c r="AQ24" i="3" s="1"/>
  <c r="AP24" i="3" s="1"/>
  <c r="BD23" i="3"/>
  <c r="AN23" i="3"/>
  <c r="BD22" i="3"/>
  <c r="AN22" i="3"/>
  <c r="AQ22" i="3" s="1"/>
  <c r="AP22" i="3" s="1"/>
  <c r="AU22" i="3" s="1"/>
  <c r="AV22" i="3" s="1"/>
  <c r="BD21" i="3"/>
  <c r="AN21" i="3"/>
  <c r="AZ21" i="3" s="1"/>
  <c r="BD20" i="3"/>
  <c r="AO20" i="3"/>
  <c r="AN20" i="3"/>
  <c r="AZ20" i="3" s="1"/>
  <c r="BD19" i="3"/>
  <c r="AN19" i="3"/>
  <c r="AZ19" i="3" s="1"/>
  <c r="B17" i="3"/>
  <c r="B16" i="3"/>
  <c r="B15" i="3"/>
  <c r="B14" i="3"/>
  <c r="B13" i="3"/>
  <c r="E5" i="1" s="1"/>
  <c r="B10" i="3"/>
  <c r="B9" i="3"/>
  <c r="B8" i="3"/>
  <c r="B7" i="3"/>
  <c r="B6" i="3"/>
  <c r="B5" i="3"/>
  <c r="B72" i="1"/>
  <c r="J65" i="1"/>
  <c r="R305" i="5"/>
  <c r="H305" i="5"/>
  <c r="G305" i="5"/>
  <c r="F305" i="5"/>
  <c r="E305" i="5"/>
  <c r="C305" i="5"/>
  <c r="B305" i="5"/>
  <c r="A305" i="5"/>
  <c r="R304" i="5"/>
  <c r="H304" i="5"/>
  <c r="G304" i="5"/>
  <c r="F304" i="5"/>
  <c r="E304" i="5"/>
  <c r="C304" i="5"/>
  <c r="B304" i="5"/>
  <c r="A304" i="5"/>
  <c r="R303" i="5"/>
  <c r="H303" i="5"/>
  <c r="G303" i="5"/>
  <c r="I303" i="5" s="1"/>
  <c r="F303" i="5"/>
  <c r="E303" i="5"/>
  <c r="C303" i="5"/>
  <c r="B303" i="5"/>
  <c r="A303" i="5"/>
  <c r="R302" i="5"/>
  <c r="H302" i="5"/>
  <c r="G302" i="5"/>
  <c r="F302" i="5"/>
  <c r="E302" i="5"/>
  <c r="C302" i="5"/>
  <c r="B302" i="5"/>
  <c r="A302" i="5"/>
  <c r="R301" i="5"/>
  <c r="H301" i="5"/>
  <c r="G301" i="5"/>
  <c r="I301" i="5" s="1"/>
  <c r="F301" i="5"/>
  <c r="E301" i="5"/>
  <c r="C301" i="5"/>
  <c r="B301" i="5"/>
  <c r="A301" i="5"/>
  <c r="R300" i="5"/>
  <c r="H300" i="5"/>
  <c r="G300" i="5"/>
  <c r="F300" i="5"/>
  <c r="E300" i="5"/>
  <c r="C300" i="5"/>
  <c r="B300" i="5"/>
  <c r="A300" i="5"/>
  <c r="R299" i="5"/>
  <c r="H299" i="5"/>
  <c r="G299" i="5"/>
  <c r="F299" i="5"/>
  <c r="E299" i="5"/>
  <c r="C299" i="5"/>
  <c r="B299" i="5"/>
  <c r="A299" i="5"/>
  <c r="R298" i="5"/>
  <c r="H298" i="5"/>
  <c r="G298" i="5"/>
  <c r="F298" i="5"/>
  <c r="E298" i="5"/>
  <c r="C298" i="5"/>
  <c r="B298" i="5"/>
  <c r="A298" i="5"/>
  <c r="R297" i="5"/>
  <c r="H297" i="5"/>
  <c r="G297" i="5"/>
  <c r="F297" i="5"/>
  <c r="E297" i="5"/>
  <c r="C297" i="5"/>
  <c r="B297" i="5"/>
  <c r="A297" i="5"/>
  <c r="R296" i="5"/>
  <c r="H296" i="5"/>
  <c r="G296" i="5"/>
  <c r="F296" i="5"/>
  <c r="E296" i="5"/>
  <c r="C296" i="5"/>
  <c r="B296" i="5"/>
  <c r="A296" i="5"/>
  <c r="R295" i="5"/>
  <c r="H295" i="5"/>
  <c r="G295" i="5"/>
  <c r="F295" i="5"/>
  <c r="E295" i="5"/>
  <c r="C295" i="5"/>
  <c r="B295" i="5"/>
  <c r="A295" i="5"/>
  <c r="R294" i="5"/>
  <c r="H294" i="5"/>
  <c r="G294" i="5"/>
  <c r="F294" i="5"/>
  <c r="E294" i="5"/>
  <c r="C294" i="5"/>
  <c r="B294" i="5"/>
  <c r="A294" i="5"/>
  <c r="R293" i="5"/>
  <c r="H293" i="5"/>
  <c r="G293" i="5"/>
  <c r="F293" i="5"/>
  <c r="E293" i="5"/>
  <c r="C293" i="5"/>
  <c r="B293" i="5"/>
  <c r="A293" i="5"/>
  <c r="R292" i="5"/>
  <c r="H292" i="5"/>
  <c r="G292" i="5"/>
  <c r="F292" i="5"/>
  <c r="E292" i="5"/>
  <c r="C292" i="5"/>
  <c r="B292" i="5"/>
  <c r="A292" i="5"/>
  <c r="R291" i="5"/>
  <c r="H291" i="5"/>
  <c r="G291" i="5"/>
  <c r="I291" i="5" s="1"/>
  <c r="F291" i="5"/>
  <c r="E291" i="5"/>
  <c r="C291" i="5"/>
  <c r="B291" i="5"/>
  <c r="A291" i="5"/>
  <c r="R290" i="5"/>
  <c r="H290" i="5"/>
  <c r="G290" i="5"/>
  <c r="F290" i="5"/>
  <c r="E290" i="5"/>
  <c r="C290" i="5"/>
  <c r="B290" i="5"/>
  <c r="A290" i="5"/>
  <c r="R289" i="5"/>
  <c r="H289" i="5"/>
  <c r="I289" i="5" s="1"/>
  <c r="G289" i="5"/>
  <c r="F289" i="5"/>
  <c r="E289" i="5"/>
  <c r="C289" i="5"/>
  <c r="B289" i="5"/>
  <c r="A289" i="5"/>
  <c r="R288" i="5"/>
  <c r="H288" i="5"/>
  <c r="G288" i="5"/>
  <c r="F288" i="5"/>
  <c r="E288" i="5"/>
  <c r="C288" i="5"/>
  <c r="B288" i="5"/>
  <c r="A288" i="5"/>
  <c r="R287" i="5"/>
  <c r="H287" i="5"/>
  <c r="G287" i="5"/>
  <c r="F287" i="5"/>
  <c r="E287" i="5"/>
  <c r="C287" i="5"/>
  <c r="B287" i="5"/>
  <c r="A287" i="5"/>
  <c r="R286" i="5"/>
  <c r="H286" i="5"/>
  <c r="G286" i="5"/>
  <c r="F286" i="5"/>
  <c r="E286" i="5"/>
  <c r="C286" i="5"/>
  <c r="B286" i="5"/>
  <c r="A286" i="5"/>
  <c r="R285" i="5"/>
  <c r="H285" i="5"/>
  <c r="G285" i="5"/>
  <c r="F285" i="5"/>
  <c r="E285" i="5"/>
  <c r="C285" i="5"/>
  <c r="B285" i="5"/>
  <c r="A285" i="5"/>
  <c r="R284" i="5"/>
  <c r="H284" i="5"/>
  <c r="G284" i="5"/>
  <c r="F284" i="5"/>
  <c r="E284" i="5"/>
  <c r="C284" i="5"/>
  <c r="B284" i="5"/>
  <c r="A284" i="5"/>
  <c r="R283" i="5"/>
  <c r="H283" i="5"/>
  <c r="G283" i="5"/>
  <c r="F283" i="5"/>
  <c r="E283" i="5"/>
  <c r="C283" i="5"/>
  <c r="B283" i="5"/>
  <c r="A283" i="5"/>
  <c r="R282" i="5"/>
  <c r="H282" i="5"/>
  <c r="G282" i="5"/>
  <c r="F282" i="5"/>
  <c r="E282" i="5"/>
  <c r="C282" i="5"/>
  <c r="B282" i="5"/>
  <c r="A282" i="5"/>
  <c r="R281" i="5"/>
  <c r="H281" i="5"/>
  <c r="G281" i="5"/>
  <c r="F281" i="5"/>
  <c r="E281" i="5"/>
  <c r="C281" i="5"/>
  <c r="B281" i="5"/>
  <c r="A281" i="5"/>
  <c r="R280" i="5"/>
  <c r="H280" i="5"/>
  <c r="G280" i="5"/>
  <c r="F280" i="5"/>
  <c r="E280" i="5"/>
  <c r="C280" i="5"/>
  <c r="B280" i="5"/>
  <c r="A280" i="5"/>
  <c r="R279" i="5"/>
  <c r="H279" i="5"/>
  <c r="G279" i="5"/>
  <c r="F279" i="5"/>
  <c r="E279" i="5"/>
  <c r="C279" i="5"/>
  <c r="B279" i="5"/>
  <c r="A279" i="5"/>
  <c r="R278" i="5"/>
  <c r="H278" i="5"/>
  <c r="G278" i="5"/>
  <c r="F278" i="5"/>
  <c r="E278" i="5"/>
  <c r="C278" i="5"/>
  <c r="B278" i="5"/>
  <c r="A278" i="5"/>
  <c r="R277" i="5"/>
  <c r="H277" i="5"/>
  <c r="G277" i="5"/>
  <c r="I277" i="5" s="1"/>
  <c r="F277" i="5"/>
  <c r="E277" i="5"/>
  <c r="C277" i="5"/>
  <c r="B277" i="5"/>
  <c r="A277" i="5"/>
  <c r="R276" i="5"/>
  <c r="J276" i="5"/>
  <c r="H276" i="5"/>
  <c r="G276" i="5"/>
  <c r="F276" i="5"/>
  <c r="E276" i="5"/>
  <c r="C276" i="5"/>
  <c r="B276" i="5"/>
  <c r="A276" i="5"/>
  <c r="R275" i="5"/>
  <c r="H275" i="5"/>
  <c r="G275" i="5"/>
  <c r="F275" i="5"/>
  <c r="E275" i="5"/>
  <c r="C275" i="5"/>
  <c r="B275" i="5"/>
  <c r="A275" i="5"/>
  <c r="R274" i="5"/>
  <c r="H274" i="5"/>
  <c r="G274" i="5"/>
  <c r="F274" i="5"/>
  <c r="E274" i="5"/>
  <c r="C274" i="5"/>
  <c r="B274" i="5"/>
  <c r="A274" i="5"/>
  <c r="R273" i="5"/>
  <c r="H273" i="5"/>
  <c r="G273" i="5"/>
  <c r="I273" i="5" s="1"/>
  <c r="F273" i="5"/>
  <c r="E273" i="5"/>
  <c r="C273" i="5"/>
  <c r="B273" i="5"/>
  <c r="A273" i="5"/>
  <c r="R272" i="5"/>
  <c r="H272" i="5"/>
  <c r="G272" i="5"/>
  <c r="F272" i="5"/>
  <c r="E272" i="5"/>
  <c r="C272" i="5"/>
  <c r="B272" i="5"/>
  <c r="A272" i="5"/>
  <c r="R271" i="5"/>
  <c r="H271" i="5"/>
  <c r="G271" i="5"/>
  <c r="I271" i="5" s="1"/>
  <c r="F271" i="5"/>
  <c r="E271" i="5"/>
  <c r="C271" i="5"/>
  <c r="B271" i="5"/>
  <c r="A271" i="5"/>
  <c r="R270" i="5"/>
  <c r="H270" i="5"/>
  <c r="G270" i="5"/>
  <c r="F270" i="5"/>
  <c r="E270" i="5"/>
  <c r="C270" i="5"/>
  <c r="B270" i="5"/>
  <c r="A270" i="5"/>
  <c r="R269" i="5"/>
  <c r="H269" i="5"/>
  <c r="G269" i="5"/>
  <c r="F269" i="5"/>
  <c r="E269" i="5"/>
  <c r="C269" i="5"/>
  <c r="B269" i="5"/>
  <c r="A269" i="5"/>
  <c r="R268" i="5"/>
  <c r="H268" i="5"/>
  <c r="G268" i="5"/>
  <c r="F268" i="5"/>
  <c r="E268" i="5"/>
  <c r="C268" i="5"/>
  <c r="B268" i="5"/>
  <c r="A268" i="5"/>
  <c r="R267" i="5"/>
  <c r="H267" i="5"/>
  <c r="G267" i="5"/>
  <c r="F267" i="5"/>
  <c r="E267" i="5"/>
  <c r="C267" i="5"/>
  <c r="B267" i="5"/>
  <c r="A267" i="5"/>
  <c r="R266" i="5"/>
  <c r="H266" i="5"/>
  <c r="G266" i="5"/>
  <c r="I266" i="5" s="1"/>
  <c r="F266" i="5"/>
  <c r="E266" i="5"/>
  <c r="C266" i="5"/>
  <c r="B266" i="5"/>
  <c r="A266" i="5"/>
  <c r="R265" i="5"/>
  <c r="H265" i="5"/>
  <c r="G265" i="5"/>
  <c r="I265" i="5" s="1"/>
  <c r="F265" i="5"/>
  <c r="E265" i="5"/>
  <c r="C265" i="5"/>
  <c r="B265" i="5"/>
  <c r="A265" i="5"/>
  <c r="R264" i="5"/>
  <c r="H264" i="5"/>
  <c r="G264" i="5"/>
  <c r="I264" i="5" s="1"/>
  <c r="F264" i="5"/>
  <c r="E264" i="5"/>
  <c r="C264" i="5"/>
  <c r="B264" i="5"/>
  <c r="A264" i="5"/>
  <c r="R263" i="5"/>
  <c r="H263" i="5"/>
  <c r="G263" i="5"/>
  <c r="F263" i="5"/>
  <c r="E263" i="5"/>
  <c r="C263" i="5"/>
  <c r="B263" i="5"/>
  <c r="A263" i="5"/>
  <c r="R262" i="5"/>
  <c r="H262" i="5"/>
  <c r="G262" i="5"/>
  <c r="F262" i="5"/>
  <c r="E262" i="5"/>
  <c r="C262" i="5"/>
  <c r="B262" i="5"/>
  <c r="A262" i="5"/>
  <c r="R261" i="5"/>
  <c r="H261" i="5"/>
  <c r="G261" i="5"/>
  <c r="I261" i="5" s="1"/>
  <c r="F261" i="5"/>
  <c r="E261" i="5"/>
  <c r="C261" i="5"/>
  <c r="B261" i="5"/>
  <c r="A261" i="5"/>
  <c r="R260" i="5"/>
  <c r="H260" i="5"/>
  <c r="G260" i="5"/>
  <c r="I260" i="5" s="1"/>
  <c r="F260" i="5"/>
  <c r="E260" i="5"/>
  <c r="C260" i="5"/>
  <c r="B260" i="5"/>
  <c r="A260" i="5"/>
  <c r="R259" i="5"/>
  <c r="H259" i="5"/>
  <c r="G259" i="5"/>
  <c r="F259" i="5"/>
  <c r="E259" i="5"/>
  <c r="C259" i="5"/>
  <c r="B259" i="5"/>
  <c r="A259" i="5"/>
  <c r="R258" i="5"/>
  <c r="H258" i="5"/>
  <c r="G258" i="5"/>
  <c r="F258" i="5"/>
  <c r="E258" i="5"/>
  <c r="C258" i="5"/>
  <c r="B258" i="5"/>
  <c r="A258" i="5"/>
  <c r="R257" i="5"/>
  <c r="H257" i="5"/>
  <c r="G257" i="5"/>
  <c r="F257" i="5"/>
  <c r="E257" i="5"/>
  <c r="C257" i="5"/>
  <c r="B257" i="5"/>
  <c r="A257" i="5"/>
  <c r="R256" i="5"/>
  <c r="H256" i="5"/>
  <c r="G256" i="5"/>
  <c r="F256" i="5"/>
  <c r="E256" i="5"/>
  <c r="C256" i="5"/>
  <c r="B256" i="5"/>
  <c r="A256" i="5"/>
  <c r="R255" i="5"/>
  <c r="H255" i="5"/>
  <c r="G255" i="5"/>
  <c r="I255" i="5" s="1"/>
  <c r="F255" i="5"/>
  <c r="E255" i="5"/>
  <c r="C255" i="5"/>
  <c r="B255" i="5"/>
  <c r="A255" i="5"/>
  <c r="R254" i="5"/>
  <c r="H254" i="5"/>
  <c r="G254" i="5"/>
  <c r="I254" i="5" s="1"/>
  <c r="F254" i="5"/>
  <c r="E254" i="5"/>
  <c r="C254" i="5"/>
  <c r="B254" i="5"/>
  <c r="A254" i="5"/>
  <c r="R253" i="5"/>
  <c r="I253" i="5"/>
  <c r="H253" i="5"/>
  <c r="G253" i="5"/>
  <c r="F253" i="5"/>
  <c r="E253" i="5"/>
  <c r="C253" i="5"/>
  <c r="B253" i="5"/>
  <c r="A253" i="5"/>
  <c r="R252" i="5"/>
  <c r="H252" i="5"/>
  <c r="I252" i="5" s="1"/>
  <c r="G252" i="5"/>
  <c r="F252" i="5"/>
  <c r="E252" i="5"/>
  <c r="C252" i="5"/>
  <c r="B252" i="5"/>
  <c r="A252" i="5"/>
  <c r="R251" i="5"/>
  <c r="H251" i="5"/>
  <c r="G251" i="5"/>
  <c r="F251" i="5"/>
  <c r="E251" i="5"/>
  <c r="C251" i="5"/>
  <c r="B251" i="5"/>
  <c r="A251" i="5"/>
  <c r="R250" i="5"/>
  <c r="H250" i="5"/>
  <c r="G250" i="5"/>
  <c r="I250" i="5" s="1"/>
  <c r="J251" i="5" s="1"/>
  <c r="F250" i="5"/>
  <c r="E250" i="5"/>
  <c r="C250" i="5"/>
  <c r="B250" i="5"/>
  <c r="A250" i="5"/>
  <c r="R249" i="5"/>
  <c r="H249" i="5"/>
  <c r="G249" i="5"/>
  <c r="I249" i="5" s="1"/>
  <c r="F249" i="5"/>
  <c r="E249" i="5"/>
  <c r="C249" i="5"/>
  <c r="B249" i="5"/>
  <c r="A249" i="5"/>
  <c r="R248" i="5"/>
  <c r="H248" i="5"/>
  <c r="G248" i="5"/>
  <c r="F248" i="5"/>
  <c r="E248" i="5"/>
  <c r="C248" i="5"/>
  <c r="B248" i="5"/>
  <c r="A248" i="5"/>
  <c r="R247" i="5"/>
  <c r="H247" i="5"/>
  <c r="G247" i="5"/>
  <c r="F247" i="5"/>
  <c r="E247" i="5"/>
  <c r="C247" i="5"/>
  <c r="B247" i="5"/>
  <c r="A247" i="5"/>
  <c r="R246" i="5"/>
  <c r="J246" i="5"/>
  <c r="K246" i="5" s="1"/>
  <c r="H246" i="5"/>
  <c r="G246" i="5"/>
  <c r="F246" i="5"/>
  <c r="E246" i="5"/>
  <c r="C246" i="5"/>
  <c r="B246" i="5"/>
  <c r="A246" i="5"/>
  <c r="R245" i="5"/>
  <c r="H245" i="5"/>
  <c r="G245" i="5"/>
  <c r="I245" i="5" s="1"/>
  <c r="F245" i="5"/>
  <c r="E245" i="5"/>
  <c r="C245" i="5"/>
  <c r="B245" i="5"/>
  <c r="A245" i="5"/>
  <c r="R244" i="5"/>
  <c r="H244" i="5"/>
  <c r="G244" i="5"/>
  <c r="I244" i="5" s="1"/>
  <c r="F244" i="5"/>
  <c r="E244" i="5"/>
  <c r="C244" i="5"/>
  <c r="B244" i="5"/>
  <c r="A244" i="5"/>
  <c r="R243" i="5"/>
  <c r="H243" i="5"/>
  <c r="G243" i="5"/>
  <c r="F243" i="5"/>
  <c r="E243" i="5"/>
  <c r="C243" i="5"/>
  <c r="B243" i="5"/>
  <c r="A243" i="5"/>
  <c r="R242" i="5"/>
  <c r="H242" i="5"/>
  <c r="I242" i="5" s="1"/>
  <c r="G242" i="5"/>
  <c r="F242" i="5"/>
  <c r="E242" i="5"/>
  <c r="C242" i="5"/>
  <c r="B242" i="5"/>
  <c r="A242" i="5"/>
  <c r="R241" i="5"/>
  <c r="H241" i="5"/>
  <c r="G241" i="5"/>
  <c r="I241" i="5" s="1"/>
  <c r="F241" i="5"/>
  <c r="E241" i="5"/>
  <c r="C241" i="5"/>
  <c r="B241" i="5"/>
  <c r="A241" i="5"/>
  <c r="R240" i="5"/>
  <c r="H240" i="5"/>
  <c r="G240" i="5"/>
  <c r="I240" i="5" s="1"/>
  <c r="F240" i="5"/>
  <c r="E240" i="5"/>
  <c r="C240" i="5"/>
  <c r="B240" i="5"/>
  <c r="A240" i="5"/>
  <c r="R239" i="5"/>
  <c r="H239" i="5"/>
  <c r="G239" i="5"/>
  <c r="I239" i="5" s="1"/>
  <c r="F239" i="5"/>
  <c r="E239" i="5"/>
  <c r="C239" i="5"/>
  <c r="B239" i="5"/>
  <c r="A239" i="5"/>
  <c r="R238" i="5"/>
  <c r="H238" i="5"/>
  <c r="G238" i="5"/>
  <c r="I238" i="5" s="1"/>
  <c r="F238" i="5"/>
  <c r="E238" i="5"/>
  <c r="C238" i="5"/>
  <c r="B238" i="5"/>
  <c r="A238" i="5"/>
  <c r="R237" i="5"/>
  <c r="H237" i="5"/>
  <c r="G237" i="5"/>
  <c r="F237" i="5"/>
  <c r="E237" i="5"/>
  <c r="C237" i="5"/>
  <c r="B237" i="5"/>
  <c r="A237" i="5"/>
  <c r="R236" i="5"/>
  <c r="H236" i="5"/>
  <c r="G236" i="5"/>
  <c r="I236" i="5" s="1"/>
  <c r="F236" i="5"/>
  <c r="E236" i="5"/>
  <c r="C236" i="5"/>
  <c r="B236" i="5"/>
  <c r="A236" i="5"/>
  <c r="R235" i="5"/>
  <c r="H235" i="5"/>
  <c r="G235" i="5"/>
  <c r="I235" i="5" s="1"/>
  <c r="F235" i="5"/>
  <c r="E235" i="5"/>
  <c r="C235" i="5"/>
  <c r="B235" i="5"/>
  <c r="A235" i="5"/>
  <c r="R234" i="5"/>
  <c r="H234" i="5"/>
  <c r="G234" i="5"/>
  <c r="F234" i="5"/>
  <c r="E234" i="5"/>
  <c r="C234" i="5"/>
  <c r="B234" i="5"/>
  <c r="A234" i="5"/>
  <c r="R233" i="5"/>
  <c r="H233" i="5"/>
  <c r="G233" i="5"/>
  <c r="I233" i="5" s="1"/>
  <c r="F233" i="5"/>
  <c r="E233" i="5"/>
  <c r="C233" i="5"/>
  <c r="B233" i="5"/>
  <c r="A233" i="5"/>
  <c r="R232" i="5"/>
  <c r="H232" i="5"/>
  <c r="G232" i="5"/>
  <c r="F232" i="5"/>
  <c r="E232" i="5"/>
  <c r="C232" i="5"/>
  <c r="B232" i="5"/>
  <c r="A232" i="5"/>
  <c r="R231" i="5"/>
  <c r="H231" i="5"/>
  <c r="G231" i="5"/>
  <c r="F231" i="5"/>
  <c r="E231" i="5"/>
  <c r="C231" i="5"/>
  <c r="B231" i="5"/>
  <c r="A231" i="5"/>
  <c r="R230" i="5"/>
  <c r="H230" i="5"/>
  <c r="G230" i="5"/>
  <c r="F230" i="5"/>
  <c r="E230" i="5"/>
  <c r="C230" i="5"/>
  <c r="B230" i="5"/>
  <c r="A230" i="5"/>
  <c r="R229" i="5"/>
  <c r="H229" i="5"/>
  <c r="G229" i="5"/>
  <c r="I229" i="5" s="1"/>
  <c r="F229" i="5"/>
  <c r="E229" i="5"/>
  <c r="C229" i="5"/>
  <c r="B229" i="5"/>
  <c r="A229" i="5"/>
  <c r="R228" i="5"/>
  <c r="H228" i="5"/>
  <c r="G228" i="5"/>
  <c r="F228" i="5"/>
  <c r="E228" i="5"/>
  <c r="C228" i="5"/>
  <c r="B228" i="5"/>
  <c r="A228" i="5"/>
  <c r="R227" i="5"/>
  <c r="H227" i="5"/>
  <c r="G227" i="5"/>
  <c r="F227" i="5"/>
  <c r="E227" i="5"/>
  <c r="C227" i="5"/>
  <c r="B227" i="5"/>
  <c r="A227" i="5"/>
  <c r="R226" i="5"/>
  <c r="H226" i="5"/>
  <c r="G226" i="5"/>
  <c r="F226" i="5"/>
  <c r="E226" i="5"/>
  <c r="C226" i="5"/>
  <c r="B226" i="5"/>
  <c r="A226" i="5"/>
  <c r="R225" i="5"/>
  <c r="H225" i="5"/>
  <c r="G225" i="5"/>
  <c r="I225" i="5" s="1"/>
  <c r="F225" i="5"/>
  <c r="E225" i="5"/>
  <c r="C225" i="5"/>
  <c r="B225" i="5"/>
  <c r="A225" i="5"/>
  <c r="R224" i="5"/>
  <c r="H224" i="5"/>
  <c r="G224" i="5"/>
  <c r="F224" i="5"/>
  <c r="E224" i="5"/>
  <c r="C224" i="5"/>
  <c r="B224" i="5"/>
  <c r="A224" i="5"/>
  <c r="R223" i="5"/>
  <c r="H223" i="5"/>
  <c r="G223" i="5"/>
  <c r="I223" i="5" s="1"/>
  <c r="F223" i="5"/>
  <c r="E223" i="5"/>
  <c r="C223" i="5"/>
  <c r="B223" i="5"/>
  <c r="A223" i="5"/>
  <c r="R222" i="5"/>
  <c r="H222" i="5"/>
  <c r="G222" i="5"/>
  <c r="I222" i="5" s="1"/>
  <c r="F222" i="5"/>
  <c r="E222" i="5"/>
  <c r="C222" i="5"/>
  <c r="B222" i="5"/>
  <c r="A222" i="5"/>
  <c r="R221" i="5"/>
  <c r="H221" i="5"/>
  <c r="G221" i="5"/>
  <c r="F221" i="5"/>
  <c r="E221" i="5"/>
  <c r="C221" i="5"/>
  <c r="B221" i="5"/>
  <c r="A221" i="5"/>
  <c r="R220" i="5"/>
  <c r="H220" i="5"/>
  <c r="G220" i="5"/>
  <c r="F220" i="5"/>
  <c r="E220" i="5"/>
  <c r="C220" i="5"/>
  <c r="B220" i="5"/>
  <c r="A220" i="5"/>
  <c r="R219" i="5"/>
  <c r="H219" i="5"/>
  <c r="G219" i="5"/>
  <c r="I219" i="5" s="1"/>
  <c r="F219" i="5"/>
  <c r="E219" i="5"/>
  <c r="C219" i="5"/>
  <c r="B219" i="5"/>
  <c r="A219" i="5"/>
  <c r="R218" i="5"/>
  <c r="H218" i="5"/>
  <c r="G218" i="5"/>
  <c r="I218" i="5" s="1"/>
  <c r="F218" i="5"/>
  <c r="E218" i="5"/>
  <c r="C218" i="5"/>
  <c r="B218" i="5"/>
  <c r="A218" i="5"/>
  <c r="R217" i="5"/>
  <c r="H217" i="5"/>
  <c r="G217" i="5"/>
  <c r="F217" i="5"/>
  <c r="E217" i="5"/>
  <c r="C217" i="5"/>
  <c r="B217" i="5"/>
  <c r="A217" i="5"/>
  <c r="R216" i="5"/>
  <c r="J216" i="5"/>
  <c r="H216" i="5"/>
  <c r="G216" i="5"/>
  <c r="F216" i="5"/>
  <c r="K216" i="5" s="1"/>
  <c r="E216" i="5"/>
  <c r="C216" i="5"/>
  <c r="B216" i="5"/>
  <c r="A216" i="5"/>
  <c r="R215" i="5"/>
  <c r="H215" i="5"/>
  <c r="G215" i="5"/>
  <c r="F215" i="5"/>
  <c r="E215" i="5"/>
  <c r="C215" i="5"/>
  <c r="B215" i="5"/>
  <c r="A215" i="5"/>
  <c r="R214" i="5"/>
  <c r="H214" i="5"/>
  <c r="G214" i="5"/>
  <c r="F214" i="5"/>
  <c r="E214" i="5"/>
  <c r="C214" i="5"/>
  <c r="B214" i="5"/>
  <c r="A214" i="5"/>
  <c r="R213" i="5"/>
  <c r="H213" i="5"/>
  <c r="G213" i="5"/>
  <c r="F213" i="5"/>
  <c r="E213" i="5"/>
  <c r="C213" i="5"/>
  <c r="B213" i="5"/>
  <c r="A213" i="5"/>
  <c r="R212" i="5"/>
  <c r="H212" i="5"/>
  <c r="G212" i="5"/>
  <c r="F212" i="5"/>
  <c r="E212" i="5"/>
  <c r="C212" i="5"/>
  <c r="B212" i="5"/>
  <c r="A212" i="5"/>
  <c r="R211" i="5"/>
  <c r="H211" i="5"/>
  <c r="G211" i="5"/>
  <c r="I211" i="5" s="1"/>
  <c r="F211" i="5"/>
  <c r="E211" i="5"/>
  <c r="C211" i="5"/>
  <c r="B211" i="5"/>
  <c r="A211" i="5"/>
  <c r="R210" i="5"/>
  <c r="H210" i="5"/>
  <c r="G210" i="5"/>
  <c r="F210" i="5"/>
  <c r="E210" i="5"/>
  <c r="C210" i="5"/>
  <c r="B210" i="5"/>
  <c r="A210" i="5"/>
  <c r="R209" i="5"/>
  <c r="H209" i="5"/>
  <c r="I209" i="5" s="1"/>
  <c r="G209" i="5"/>
  <c r="F209" i="5"/>
  <c r="E209" i="5"/>
  <c r="C209" i="5"/>
  <c r="B209" i="5"/>
  <c r="A209" i="5"/>
  <c r="R208" i="5"/>
  <c r="H208" i="5"/>
  <c r="G208" i="5"/>
  <c r="F208" i="5"/>
  <c r="E208" i="5"/>
  <c r="C208" i="5"/>
  <c r="B208" i="5"/>
  <c r="A208" i="5"/>
  <c r="R207" i="5"/>
  <c r="H207" i="5"/>
  <c r="G207" i="5"/>
  <c r="F207" i="5"/>
  <c r="E207" i="5"/>
  <c r="C207" i="5"/>
  <c r="B207" i="5"/>
  <c r="A207" i="5"/>
  <c r="R206" i="5"/>
  <c r="H206" i="5"/>
  <c r="G206" i="5"/>
  <c r="F206" i="5"/>
  <c r="E206" i="5"/>
  <c r="C206" i="5"/>
  <c r="B206" i="5"/>
  <c r="A206" i="5"/>
  <c r="R205" i="5"/>
  <c r="H205" i="5"/>
  <c r="G205" i="5"/>
  <c r="F205" i="5"/>
  <c r="E205" i="5"/>
  <c r="C205" i="5"/>
  <c r="B205" i="5"/>
  <c r="A205" i="5"/>
  <c r="R204" i="5"/>
  <c r="H204" i="5"/>
  <c r="G204" i="5"/>
  <c r="F204" i="5"/>
  <c r="E204" i="5"/>
  <c r="C204" i="5"/>
  <c r="B204" i="5"/>
  <c r="A204" i="5"/>
  <c r="R203" i="5"/>
  <c r="H203" i="5"/>
  <c r="G203" i="5"/>
  <c r="I203" i="5" s="1"/>
  <c r="F203" i="5"/>
  <c r="E203" i="5"/>
  <c r="C203" i="5"/>
  <c r="B203" i="5"/>
  <c r="A203" i="5"/>
  <c r="R202" i="5"/>
  <c r="H202" i="5"/>
  <c r="G202" i="5"/>
  <c r="I202" i="5" s="1"/>
  <c r="F202" i="5"/>
  <c r="E202" i="5"/>
  <c r="C202" i="5"/>
  <c r="B202" i="5"/>
  <c r="A202" i="5"/>
  <c r="R201" i="5"/>
  <c r="H201" i="5"/>
  <c r="G201" i="5"/>
  <c r="F201" i="5"/>
  <c r="E201" i="5"/>
  <c r="C201" i="5"/>
  <c r="B201" i="5"/>
  <c r="A201" i="5"/>
  <c r="R200" i="5"/>
  <c r="H200" i="5"/>
  <c r="G200" i="5"/>
  <c r="I200" i="5" s="1"/>
  <c r="F200" i="5"/>
  <c r="E200" i="5"/>
  <c r="C200" i="5"/>
  <c r="B200" i="5"/>
  <c r="A200" i="5"/>
  <c r="R199" i="5"/>
  <c r="H199" i="5"/>
  <c r="G199" i="5"/>
  <c r="F199" i="5"/>
  <c r="E199" i="5"/>
  <c r="C199" i="5"/>
  <c r="B199" i="5"/>
  <c r="A199" i="5"/>
  <c r="R198" i="5"/>
  <c r="H198" i="5"/>
  <c r="G198" i="5"/>
  <c r="I198" i="5" s="1"/>
  <c r="F198" i="5"/>
  <c r="E198" i="5"/>
  <c r="C198" i="5"/>
  <c r="B198" i="5"/>
  <c r="A198" i="5"/>
  <c r="R197" i="5"/>
  <c r="H197" i="5"/>
  <c r="G197" i="5"/>
  <c r="F197" i="5"/>
  <c r="E197" i="5"/>
  <c r="C197" i="5"/>
  <c r="B197" i="5"/>
  <c r="A197" i="5"/>
  <c r="R196" i="5"/>
  <c r="H196" i="5"/>
  <c r="G196" i="5"/>
  <c r="F196" i="5"/>
  <c r="E196" i="5"/>
  <c r="C196" i="5"/>
  <c r="B196" i="5"/>
  <c r="A196" i="5"/>
  <c r="R195" i="5"/>
  <c r="H195" i="5"/>
  <c r="G195" i="5"/>
  <c r="I195" i="5" s="1"/>
  <c r="F195" i="5"/>
  <c r="E195" i="5"/>
  <c r="C195" i="5"/>
  <c r="B195" i="5"/>
  <c r="A195" i="5"/>
  <c r="R194" i="5"/>
  <c r="H194" i="5"/>
  <c r="G194" i="5"/>
  <c r="F194" i="5"/>
  <c r="E194" i="5"/>
  <c r="C194" i="5"/>
  <c r="B194" i="5"/>
  <c r="A194" i="5"/>
  <c r="R193" i="5"/>
  <c r="H193" i="5"/>
  <c r="G193" i="5"/>
  <c r="I193" i="5" s="1"/>
  <c r="F193" i="5"/>
  <c r="E193" i="5"/>
  <c r="C193" i="5"/>
  <c r="B193" i="5"/>
  <c r="A193" i="5"/>
  <c r="R192" i="5"/>
  <c r="H192" i="5"/>
  <c r="G192" i="5"/>
  <c r="I192" i="5" s="1"/>
  <c r="J193" i="5" s="1"/>
  <c r="F192" i="5"/>
  <c r="E192" i="5"/>
  <c r="C192" i="5"/>
  <c r="B192" i="5"/>
  <c r="A192" i="5"/>
  <c r="R191" i="5"/>
  <c r="H191" i="5"/>
  <c r="G191" i="5"/>
  <c r="I191" i="5" s="1"/>
  <c r="F191" i="5"/>
  <c r="E191" i="5"/>
  <c r="C191" i="5"/>
  <c r="B191" i="5"/>
  <c r="A191" i="5"/>
  <c r="R190" i="5"/>
  <c r="H190" i="5"/>
  <c r="G190" i="5"/>
  <c r="I190" i="5" s="1"/>
  <c r="F190" i="5"/>
  <c r="E190" i="5"/>
  <c r="C190" i="5"/>
  <c r="B190" i="5"/>
  <c r="A190" i="5"/>
  <c r="R189" i="5"/>
  <c r="I189" i="5"/>
  <c r="H189" i="5"/>
  <c r="G189" i="5"/>
  <c r="F189" i="5"/>
  <c r="E189" i="5"/>
  <c r="C189" i="5"/>
  <c r="B189" i="5"/>
  <c r="A189" i="5"/>
  <c r="R188" i="5"/>
  <c r="H188" i="5"/>
  <c r="G188" i="5"/>
  <c r="F188" i="5"/>
  <c r="E188" i="5"/>
  <c r="C188" i="5"/>
  <c r="B188" i="5"/>
  <c r="A188" i="5"/>
  <c r="R187" i="5"/>
  <c r="H187" i="5"/>
  <c r="G187" i="5"/>
  <c r="I187" i="5" s="1"/>
  <c r="F187" i="5"/>
  <c r="E187" i="5"/>
  <c r="C187" i="5"/>
  <c r="B187" i="5"/>
  <c r="A187" i="5"/>
  <c r="R186" i="5"/>
  <c r="J186" i="5"/>
  <c r="H186" i="5"/>
  <c r="G186" i="5"/>
  <c r="F186" i="5"/>
  <c r="E186" i="5"/>
  <c r="C186" i="5"/>
  <c r="B186" i="5"/>
  <c r="A186" i="5"/>
  <c r="R185" i="5"/>
  <c r="H185" i="5"/>
  <c r="G185" i="5"/>
  <c r="F185" i="5"/>
  <c r="E185" i="5"/>
  <c r="C185" i="5"/>
  <c r="B185" i="5"/>
  <c r="A185" i="5"/>
  <c r="R184" i="5"/>
  <c r="H184" i="5"/>
  <c r="G184" i="5"/>
  <c r="F184" i="5"/>
  <c r="E184" i="5"/>
  <c r="C184" i="5"/>
  <c r="B184" i="5"/>
  <c r="A184" i="5"/>
  <c r="R183" i="5"/>
  <c r="H183" i="5"/>
  <c r="G183" i="5"/>
  <c r="F183" i="5"/>
  <c r="E183" i="5"/>
  <c r="C183" i="5"/>
  <c r="B183" i="5"/>
  <c r="A183" i="5"/>
  <c r="R182" i="5"/>
  <c r="H182" i="5"/>
  <c r="G182" i="5"/>
  <c r="F182" i="5"/>
  <c r="E182" i="5"/>
  <c r="C182" i="5"/>
  <c r="B182" i="5"/>
  <c r="A182" i="5"/>
  <c r="R181" i="5"/>
  <c r="H181" i="5"/>
  <c r="G181" i="5"/>
  <c r="I181" i="5" s="1"/>
  <c r="J182" i="5" s="1"/>
  <c r="K182" i="5" s="1"/>
  <c r="L182" i="5" s="1"/>
  <c r="F181" i="5"/>
  <c r="E181" i="5"/>
  <c r="C181" i="5"/>
  <c r="B181" i="5"/>
  <c r="A181" i="5"/>
  <c r="R180" i="5"/>
  <c r="H180" i="5"/>
  <c r="G180" i="5"/>
  <c r="I180" i="5" s="1"/>
  <c r="F180" i="5"/>
  <c r="E180" i="5"/>
  <c r="C180" i="5"/>
  <c r="B180" i="5"/>
  <c r="A180" i="5"/>
  <c r="R179" i="5"/>
  <c r="H179" i="5"/>
  <c r="G179" i="5"/>
  <c r="F179" i="5"/>
  <c r="E179" i="5"/>
  <c r="C179" i="5"/>
  <c r="B179" i="5"/>
  <c r="A179" i="5"/>
  <c r="R178" i="5"/>
  <c r="H178" i="5"/>
  <c r="G178" i="5"/>
  <c r="F178" i="5"/>
  <c r="E178" i="5"/>
  <c r="C178" i="5"/>
  <c r="B178" i="5"/>
  <c r="A178" i="5"/>
  <c r="R177" i="5"/>
  <c r="H177" i="5"/>
  <c r="G177" i="5"/>
  <c r="I177" i="5" s="1"/>
  <c r="F177" i="5"/>
  <c r="E177" i="5"/>
  <c r="C177" i="5"/>
  <c r="B177" i="5"/>
  <c r="A177" i="5"/>
  <c r="R176" i="5"/>
  <c r="H176" i="5"/>
  <c r="G176" i="5"/>
  <c r="F176" i="5"/>
  <c r="E176" i="5"/>
  <c r="C176" i="5"/>
  <c r="B176" i="5"/>
  <c r="A176" i="5"/>
  <c r="R175" i="5"/>
  <c r="H175" i="5"/>
  <c r="G175" i="5"/>
  <c r="I175" i="5" s="1"/>
  <c r="F175" i="5"/>
  <c r="E175" i="5"/>
  <c r="C175" i="5"/>
  <c r="B175" i="5"/>
  <c r="A175" i="5"/>
  <c r="R174" i="5"/>
  <c r="H174" i="5"/>
  <c r="G174" i="5"/>
  <c r="F174" i="5"/>
  <c r="E174" i="5"/>
  <c r="C174" i="5"/>
  <c r="B174" i="5"/>
  <c r="A174" i="5"/>
  <c r="R173" i="5"/>
  <c r="H173" i="5"/>
  <c r="G173" i="5"/>
  <c r="F173" i="5"/>
  <c r="E173" i="5"/>
  <c r="C173" i="5"/>
  <c r="B173" i="5"/>
  <c r="A173" i="5"/>
  <c r="R172" i="5"/>
  <c r="H172" i="5"/>
  <c r="I172" i="5" s="1"/>
  <c r="G172" i="5"/>
  <c r="F172" i="5"/>
  <c r="E172" i="5"/>
  <c r="C172" i="5"/>
  <c r="B172" i="5"/>
  <c r="A172" i="5"/>
  <c r="R171" i="5"/>
  <c r="H171" i="5"/>
  <c r="G171" i="5"/>
  <c r="I171" i="5" s="1"/>
  <c r="F171" i="5"/>
  <c r="E171" i="5"/>
  <c r="C171" i="5"/>
  <c r="B171" i="5"/>
  <c r="A171" i="5"/>
  <c r="R170" i="5"/>
  <c r="H170" i="5"/>
  <c r="G170" i="5"/>
  <c r="F170" i="5"/>
  <c r="E170" i="5"/>
  <c r="C170" i="5"/>
  <c r="B170" i="5"/>
  <c r="A170" i="5"/>
  <c r="R169" i="5"/>
  <c r="H169" i="5"/>
  <c r="G169" i="5"/>
  <c r="I169" i="5" s="1"/>
  <c r="F169" i="5"/>
  <c r="E169" i="5"/>
  <c r="C169" i="5"/>
  <c r="B169" i="5"/>
  <c r="A169" i="5"/>
  <c r="R168" i="5"/>
  <c r="H168" i="5"/>
  <c r="G168" i="5"/>
  <c r="F168" i="5"/>
  <c r="E168" i="5"/>
  <c r="C168" i="5"/>
  <c r="B168" i="5"/>
  <c r="A168" i="5"/>
  <c r="R167" i="5"/>
  <c r="H167" i="5"/>
  <c r="G167" i="5"/>
  <c r="F167" i="5"/>
  <c r="E167" i="5"/>
  <c r="C167" i="5"/>
  <c r="B167" i="5"/>
  <c r="A167" i="5"/>
  <c r="R166" i="5"/>
  <c r="H166" i="5"/>
  <c r="G166" i="5"/>
  <c r="F166" i="5"/>
  <c r="E166" i="5"/>
  <c r="C166" i="5"/>
  <c r="B166" i="5"/>
  <c r="A166" i="5"/>
  <c r="R165" i="5"/>
  <c r="H165" i="5"/>
  <c r="G165" i="5"/>
  <c r="F165" i="5"/>
  <c r="E165" i="5"/>
  <c r="C165" i="5"/>
  <c r="B165" i="5"/>
  <c r="A165" i="5"/>
  <c r="R164" i="5"/>
  <c r="H164" i="5"/>
  <c r="G164" i="5"/>
  <c r="F164" i="5"/>
  <c r="E164" i="5"/>
  <c r="C164" i="5"/>
  <c r="B164" i="5"/>
  <c r="A164" i="5"/>
  <c r="R163" i="5"/>
  <c r="H163" i="5"/>
  <c r="I163" i="5" s="1"/>
  <c r="G163" i="5"/>
  <c r="F163" i="5"/>
  <c r="E163" i="5"/>
  <c r="C163" i="5"/>
  <c r="B163" i="5"/>
  <c r="A163" i="5"/>
  <c r="R162" i="5"/>
  <c r="H162" i="5"/>
  <c r="G162" i="5"/>
  <c r="F162" i="5"/>
  <c r="E162" i="5"/>
  <c r="C162" i="5"/>
  <c r="B162" i="5"/>
  <c r="A162" i="5"/>
  <c r="R161" i="5"/>
  <c r="H161" i="5"/>
  <c r="G161" i="5"/>
  <c r="I161" i="5" s="1"/>
  <c r="F161" i="5"/>
  <c r="E161" i="5"/>
  <c r="C161" i="5"/>
  <c r="B161" i="5"/>
  <c r="A161" i="5"/>
  <c r="R160" i="5"/>
  <c r="H160" i="5"/>
  <c r="G160" i="5"/>
  <c r="I160" i="5" s="1"/>
  <c r="F160" i="5"/>
  <c r="E160" i="5"/>
  <c r="C160" i="5"/>
  <c r="B160" i="5"/>
  <c r="A160" i="5"/>
  <c r="R159" i="5"/>
  <c r="H159" i="5"/>
  <c r="G159" i="5"/>
  <c r="I159" i="5" s="1"/>
  <c r="F159" i="5"/>
  <c r="E159" i="5"/>
  <c r="C159" i="5"/>
  <c r="B159" i="5"/>
  <c r="A159" i="5"/>
  <c r="R158" i="5"/>
  <c r="H158" i="5"/>
  <c r="G158" i="5"/>
  <c r="F158" i="5"/>
  <c r="E158" i="5"/>
  <c r="C158" i="5"/>
  <c r="B158" i="5"/>
  <c r="A158" i="5"/>
  <c r="R157" i="5"/>
  <c r="H157" i="5"/>
  <c r="G157" i="5"/>
  <c r="F157" i="5"/>
  <c r="E157" i="5"/>
  <c r="C157" i="5"/>
  <c r="B157" i="5"/>
  <c r="A157" i="5"/>
  <c r="R156" i="5"/>
  <c r="J156" i="5"/>
  <c r="H156" i="5"/>
  <c r="I156" i="5" s="1"/>
  <c r="J157" i="5" s="1"/>
  <c r="G156" i="5"/>
  <c r="F156" i="5"/>
  <c r="E156" i="5"/>
  <c r="C156" i="5"/>
  <c r="B156" i="5"/>
  <c r="A156" i="5"/>
  <c r="R155" i="5"/>
  <c r="H155" i="5"/>
  <c r="G155" i="5"/>
  <c r="F155" i="5"/>
  <c r="E155" i="5"/>
  <c r="C155" i="5"/>
  <c r="B155" i="5"/>
  <c r="A155" i="5"/>
  <c r="R154" i="5"/>
  <c r="H154" i="5"/>
  <c r="G154" i="5"/>
  <c r="F154" i="5"/>
  <c r="E154" i="5"/>
  <c r="C154" i="5"/>
  <c r="B154" i="5"/>
  <c r="A154" i="5"/>
  <c r="R153" i="5"/>
  <c r="H153" i="5"/>
  <c r="G153" i="5"/>
  <c r="I153" i="5" s="1"/>
  <c r="F153" i="5"/>
  <c r="E153" i="5"/>
  <c r="C153" i="5"/>
  <c r="B153" i="5"/>
  <c r="A153" i="5"/>
  <c r="R152" i="5"/>
  <c r="H152" i="5"/>
  <c r="G152" i="5"/>
  <c r="I152" i="5" s="1"/>
  <c r="F152" i="5"/>
  <c r="E152" i="5"/>
  <c r="C152" i="5"/>
  <c r="B152" i="5"/>
  <c r="A152" i="5"/>
  <c r="R151" i="5"/>
  <c r="H151" i="5"/>
  <c r="I151" i="5" s="1"/>
  <c r="G151" i="5"/>
  <c r="F151" i="5"/>
  <c r="E151" i="5"/>
  <c r="C151" i="5"/>
  <c r="B151" i="5"/>
  <c r="A151" i="5"/>
  <c r="R150" i="5"/>
  <c r="H150" i="5"/>
  <c r="G150" i="5"/>
  <c r="I150" i="5" s="1"/>
  <c r="F150" i="5"/>
  <c r="E150" i="5"/>
  <c r="C150" i="5"/>
  <c r="B150" i="5"/>
  <c r="A150" i="5"/>
  <c r="R149" i="5"/>
  <c r="H149" i="5"/>
  <c r="G149" i="5"/>
  <c r="F149" i="5"/>
  <c r="E149" i="5"/>
  <c r="C149" i="5"/>
  <c r="B149" i="5"/>
  <c r="A149" i="5"/>
  <c r="R148" i="5"/>
  <c r="H148" i="5"/>
  <c r="G148" i="5"/>
  <c r="F148" i="5"/>
  <c r="E148" i="5"/>
  <c r="C148" i="5"/>
  <c r="B148" i="5"/>
  <c r="A148" i="5"/>
  <c r="R147" i="5"/>
  <c r="H147" i="5"/>
  <c r="G147" i="5"/>
  <c r="F147" i="5"/>
  <c r="E147" i="5"/>
  <c r="C147" i="5"/>
  <c r="B147" i="5"/>
  <c r="A147" i="5"/>
  <c r="R146" i="5"/>
  <c r="H146" i="5"/>
  <c r="G146" i="5"/>
  <c r="F146" i="5"/>
  <c r="E146" i="5"/>
  <c r="C146" i="5"/>
  <c r="B146" i="5"/>
  <c r="A146" i="5"/>
  <c r="R145" i="5"/>
  <c r="H145" i="5"/>
  <c r="G145" i="5"/>
  <c r="I145" i="5" s="1"/>
  <c r="F145" i="5"/>
  <c r="E145" i="5"/>
  <c r="C145" i="5"/>
  <c r="B145" i="5"/>
  <c r="A145" i="5"/>
  <c r="R144" i="5"/>
  <c r="H144" i="5"/>
  <c r="G144" i="5"/>
  <c r="F144" i="5"/>
  <c r="E144" i="5"/>
  <c r="C144" i="5"/>
  <c r="B144" i="5"/>
  <c r="A144" i="5"/>
  <c r="R143" i="5"/>
  <c r="H143" i="5"/>
  <c r="G143" i="5"/>
  <c r="I143" i="5" s="1"/>
  <c r="F143" i="5"/>
  <c r="E143" i="5"/>
  <c r="C143" i="5"/>
  <c r="B143" i="5"/>
  <c r="A143" i="5"/>
  <c r="R142" i="5"/>
  <c r="H142" i="5"/>
  <c r="G142" i="5"/>
  <c r="F142" i="5"/>
  <c r="E142" i="5"/>
  <c r="C142" i="5"/>
  <c r="B142" i="5"/>
  <c r="A142" i="5"/>
  <c r="R141" i="5"/>
  <c r="H141" i="5"/>
  <c r="G141" i="5"/>
  <c r="F141" i="5"/>
  <c r="E141" i="5"/>
  <c r="C141" i="5"/>
  <c r="B141" i="5"/>
  <c r="A141" i="5"/>
  <c r="R140" i="5"/>
  <c r="H140" i="5"/>
  <c r="G140" i="5"/>
  <c r="F140" i="5"/>
  <c r="E140" i="5"/>
  <c r="C140" i="5"/>
  <c r="B140" i="5"/>
  <c r="A140" i="5"/>
  <c r="R139" i="5"/>
  <c r="H139" i="5"/>
  <c r="G139" i="5"/>
  <c r="I139" i="5" s="1"/>
  <c r="F139" i="5"/>
  <c r="E139" i="5"/>
  <c r="C139" i="5"/>
  <c r="B139" i="5"/>
  <c r="A139" i="5"/>
  <c r="R138" i="5"/>
  <c r="H138" i="5"/>
  <c r="G138" i="5"/>
  <c r="F138" i="5"/>
  <c r="E138" i="5"/>
  <c r="C138" i="5"/>
  <c r="B138" i="5"/>
  <c r="A138" i="5"/>
  <c r="R137" i="5"/>
  <c r="H137" i="5"/>
  <c r="G137" i="5"/>
  <c r="I137" i="5" s="1"/>
  <c r="F137" i="5"/>
  <c r="E137" i="5"/>
  <c r="C137" i="5"/>
  <c r="B137" i="5"/>
  <c r="A137" i="5"/>
  <c r="R136" i="5"/>
  <c r="H136" i="5"/>
  <c r="G136" i="5"/>
  <c r="F136" i="5"/>
  <c r="E136" i="5"/>
  <c r="C136" i="5"/>
  <c r="B136" i="5"/>
  <c r="A136" i="5"/>
  <c r="R135" i="5"/>
  <c r="H135" i="5"/>
  <c r="G135" i="5"/>
  <c r="F135" i="5"/>
  <c r="E135" i="5"/>
  <c r="C135" i="5"/>
  <c r="B135" i="5"/>
  <c r="A135" i="5"/>
  <c r="R134" i="5"/>
  <c r="H134" i="5"/>
  <c r="G134" i="5"/>
  <c r="F134" i="5"/>
  <c r="E134" i="5"/>
  <c r="C134" i="5"/>
  <c r="B134" i="5"/>
  <c r="A134" i="5"/>
  <c r="R133" i="5"/>
  <c r="H133" i="5"/>
  <c r="G133" i="5"/>
  <c r="I133" i="5" s="1"/>
  <c r="F133" i="5"/>
  <c r="E133" i="5"/>
  <c r="C133" i="5"/>
  <c r="B133" i="5"/>
  <c r="A133" i="5"/>
  <c r="R132" i="5"/>
  <c r="H132" i="5"/>
  <c r="G132" i="5"/>
  <c r="F132" i="5"/>
  <c r="E132" i="5"/>
  <c r="C132" i="5"/>
  <c r="B132" i="5"/>
  <c r="A132" i="5"/>
  <c r="R131" i="5"/>
  <c r="H131" i="5"/>
  <c r="I131" i="5" s="1"/>
  <c r="G131" i="5"/>
  <c r="F131" i="5"/>
  <c r="E131" i="5"/>
  <c r="C131" i="5"/>
  <c r="B131" i="5"/>
  <c r="A131" i="5"/>
  <c r="R130" i="5"/>
  <c r="H130" i="5"/>
  <c r="G130" i="5"/>
  <c r="F130" i="5"/>
  <c r="E130" i="5"/>
  <c r="C130" i="5"/>
  <c r="B130" i="5"/>
  <c r="A130" i="5"/>
  <c r="R129" i="5"/>
  <c r="H129" i="5"/>
  <c r="G129" i="5"/>
  <c r="I129" i="5" s="1"/>
  <c r="F129" i="5"/>
  <c r="E129" i="5"/>
  <c r="C129" i="5"/>
  <c r="B129" i="5"/>
  <c r="A129" i="5"/>
  <c r="R128" i="5"/>
  <c r="H128" i="5"/>
  <c r="G128" i="5"/>
  <c r="F128" i="5"/>
  <c r="E128" i="5"/>
  <c r="C128" i="5"/>
  <c r="B128" i="5"/>
  <c r="A128" i="5"/>
  <c r="R127" i="5"/>
  <c r="H127" i="5"/>
  <c r="G127" i="5"/>
  <c r="I127" i="5" s="1"/>
  <c r="F127" i="5"/>
  <c r="E127" i="5"/>
  <c r="C127" i="5"/>
  <c r="B127" i="5"/>
  <c r="A127" i="5"/>
  <c r="R126" i="5"/>
  <c r="J126" i="5"/>
  <c r="H126" i="5"/>
  <c r="G126" i="5"/>
  <c r="F126" i="5"/>
  <c r="E126" i="5"/>
  <c r="C126" i="5"/>
  <c r="B126" i="5"/>
  <c r="A126" i="5"/>
  <c r="R125" i="5"/>
  <c r="H125" i="5"/>
  <c r="G125" i="5"/>
  <c r="F125" i="5"/>
  <c r="E125" i="5"/>
  <c r="C125" i="5"/>
  <c r="B125" i="5"/>
  <c r="A125" i="5"/>
  <c r="R124" i="5"/>
  <c r="H124" i="5"/>
  <c r="G124" i="5"/>
  <c r="F124" i="5"/>
  <c r="E124" i="5"/>
  <c r="C124" i="5"/>
  <c r="B124" i="5"/>
  <c r="A124" i="5"/>
  <c r="R123" i="5"/>
  <c r="H123" i="5"/>
  <c r="G123" i="5"/>
  <c r="I123" i="5" s="1"/>
  <c r="F123" i="5"/>
  <c r="E123" i="5"/>
  <c r="C123" i="5"/>
  <c r="B123" i="5"/>
  <c r="A123" i="5"/>
  <c r="R122" i="5"/>
  <c r="H122" i="5"/>
  <c r="G122" i="5"/>
  <c r="I122" i="5" s="1"/>
  <c r="F122" i="5"/>
  <c r="E122" i="5"/>
  <c r="C122" i="5"/>
  <c r="B122" i="5"/>
  <c r="A122" i="5"/>
  <c r="R121" i="5"/>
  <c r="H121" i="5"/>
  <c r="G121" i="5"/>
  <c r="I121" i="5" s="1"/>
  <c r="F121" i="5"/>
  <c r="E121" i="5"/>
  <c r="C121" i="5"/>
  <c r="B121" i="5"/>
  <c r="A121" i="5"/>
  <c r="R120" i="5"/>
  <c r="H120" i="5"/>
  <c r="G120" i="5"/>
  <c r="F120" i="5"/>
  <c r="E120" i="5"/>
  <c r="C120" i="5"/>
  <c r="B120" i="5"/>
  <c r="A120" i="5"/>
  <c r="R119" i="5"/>
  <c r="H119" i="5"/>
  <c r="G119" i="5"/>
  <c r="F119" i="5"/>
  <c r="E119" i="5"/>
  <c r="C119" i="5"/>
  <c r="B119" i="5"/>
  <c r="A119" i="5"/>
  <c r="R118" i="5"/>
  <c r="H118" i="5"/>
  <c r="G118" i="5"/>
  <c r="F118" i="5"/>
  <c r="E118" i="5"/>
  <c r="C118" i="5"/>
  <c r="B118" i="5"/>
  <c r="A118" i="5"/>
  <c r="R117" i="5"/>
  <c r="H117" i="5"/>
  <c r="G117" i="5"/>
  <c r="I117" i="5" s="1"/>
  <c r="F117" i="5"/>
  <c r="E117" i="5"/>
  <c r="C117" i="5"/>
  <c r="B117" i="5"/>
  <c r="A117" i="5"/>
  <c r="R116" i="5"/>
  <c r="H116" i="5"/>
  <c r="G116" i="5"/>
  <c r="F116" i="5"/>
  <c r="E116" i="5"/>
  <c r="C116" i="5"/>
  <c r="B116" i="5"/>
  <c r="A116" i="5"/>
  <c r="R115" i="5"/>
  <c r="H115" i="5"/>
  <c r="G115" i="5"/>
  <c r="F115" i="5"/>
  <c r="E115" i="5"/>
  <c r="C115" i="5"/>
  <c r="B115" i="5"/>
  <c r="A115" i="5"/>
  <c r="R114" i="5"/>
  <c r="H114" i="5"/>
  <c r="G114" i="5"/>
  <c r="F114" i="5"/>
  <c r="E114" i="5"/>
  <c r="C114" i="5"/>
  <c r="B114" i="5"/>
  <c r="A114" i="5"/>
  <c r="R113" i="5"/>
  <c r="H113" i="5"/>
  <c r="G113" i="5"/>
  <c r="I113" i="5" s="1"/>
  <c r="F113" i="5"/>
  <c r="E113" i="5"/>
  <c r="C113" i="5"/>
  <c r="B113" i="5"/>
  <c r="A113" i="5"/>
  <c r="R112" i="5"/>
  <c r="H112" i="5"/>
  <c r="G112" i="5"/>
  <c r="F112" i="5"/>
  <c r="E112" i="5"/>
  <c r="C112" i="5"/>
  <c r="B112" i="5"/>
  <c r="A112" i="5"/>
  <c r="R111" i="5"/>
  <c r="H111" i="5"/>
  <c r="G111" i="5"/>
  <c r="I111" i="5" s="1"/>
  <c r="F111" i="5"/>
  <c r="E111" i="5"/>
  <c r="C111" i="5"/>
  <c r="B111" i="5"/>
  <c r="A111" i="5"/>
  <c r="R110" i="5"/>
  <c r="H110" i="5"/>
  <c r="G110" i="5"/>
  <c r="F110" i="5"/>
  <c r="E110" i="5"/>
  <c r="C110" i="5"/>
  <c r="B110" i="5"/>
  <c r="A110" i="5"/>
  <c r="R109" i="5"/>
  <c r="H109" i="5"/>
  <c r="G109" i="5"/>
  <c r="F109" i="5"/>
  <c r="E109" i="5"/>
  <c r="C109" i="5"/>
  <c r="B109" i="5"/>
  <c r="A109" i="5"/>
  <c r="R108" i="5"/>
  <c r="H108" i="5"/>
  <c r="G108" i="5"/>
  <c r="F108" i="5"/>
  <c r="E108" i="5"/>
  <c r="C108" i="5"/>
  <c r="B108" i="5"/>
  <c r="A108" i="5"/>
  <c r="R107" i="5"/>
  <c r="H107" i="5"/>
  <c r="G107" i="5"/>
  <c r="F107" i="5"/>
  <c r="E107" i="5"/>
  <c r="C107" i="5"/>
  <c r="B107" i="5"/>
  <c r="A107" i="5"/>
  <c r="R106" i="5"/>
  <c r="H106" i="5"/>
  <c r="G106" i="5"/>
  <c r="F106" i="5"/>
  <c r="E106" i="5"/>
  <c r="C106" i="5"/>
  <c r="B106" i="5"/>
  <c r="A106" i="5"/>
  <c r="R105" i="5"/>
  <c r="H105" i="5"/>
  <c r="G105" i="5"/>
  <c r="F105" i="5"/>
  <c r="E105" i="5"/>
  <c r="C105" i="5"/>
  <c r="B105" i="5"/>
  <c r="A105" i="5"/>
  <c r="R104" i="5"/>
  <c r="H104" i="5"/>
  <c r="G104" i="5"/>
  <c r="F104" i="5"/>
  <c r="E104" i="5"/>
  <c r="C104" i="5"/>
  <c r="B104" i="5"/>
  <c r="A104" i="5"/>
  <c r="R103" i="5"/>
  <c r="H103" i="5"/>
  <c r="G103" i="5"/>
  <c r="I103" i="5" s="1"/>
  <c r="F103" i="5"/>
  <c r="E103" i="5"/>
  <c r="C103" i="5"/>
  <c r="B103" i="5"/>
  <c r="A103" i="5"/>
  <c r="R102" i="5"/>
  <c r="H102" i="5"/>
  <c r="G102" i="5"/>
  <c r="F102" i="5"/>
  <c r="E102" i="5"/>
  <c r="C102" i="5"/>
  <c r="B102" i="5"/>
  <c r="A102" i="5"/>
  <c r="R101" i="5"/>
  <c r="H101" i="5"/>
  <c r="G101" i="5"/>
  <c r="F101" i="5"/>
  <c r="E101" i="5"/>
  <c r="C101" i="5"/>
  <c r="B101" i="5"/>
  <c r="A101" i="5"/>
  <c r="R100" i="5"/>
  <c r="H100" i="5"/>
  <c r="G100" i="5"/>
  <c r="F100" i="5"/>
  <c r="E100" i="5"/>
  <c r="C100" i="5"/>
  <c r="B100" i="5"/>
  <c r="A100" i="5"/>
  <c r="R99" i="5"/>
  <c r="H99" i="5"/>
  <c r="G99" i="5"/>
  <c r="F99" i="5"/>
  <c r="E99" i="5"/>
  <c r="C99" i="5"/>
  <c r="B99" i="5"/>
  <c r="A99" i="5"/>
  <c r="R98" i="5"/>
  <c r="H98" i="5"/>
  <c r="G98" i="5"/>
  <c r="I98" i="5" s="1"/>
  <c r="F98" i="5"/>
  <c r="E98" i="5"/>
  <c r="C98" i="5"/>
  <c r="B98" i="5"/>
  <c r="A98" i="5"/>
  <c r="R97" i="5"/>
  <c r="H97" i="5"/>
  <c r="G97" i="5"/>
  <c r="F97" i="5"/>
  <c r="E97" i="5"/>
  <c r="C97" i="5"/>
  <c r="B97" i="5"/>
  <c r="A97" i="5"/>
  <c r="R96" i="5"/>
  <c r="J96" i="5"/>
  <c r="H96" i="5"/>
  <c r="G96" i="5"/>
  <c r="F96" i="5"/>
  <c r="K96" i="5" s="1"/>
  <c r="E96" i="5"/>
  <c r="C96" i="5"/>
  <c r="B96" i="5"/>
  <c r="A96" i="5"/>
  <c r="R95" i="5"/>
  <c r="H95" i="5"/>
  <c r="G95" i="5"/>
  <c r="F95" i="5"/>
  <c r="E95" i="5"/>
  <c r="C95" i="5"/>
  <c r="B95" i="5"/>
  <c r="A95" i="5"/>
  <c r="R94" i="5"/>
  <c r="H94" i="5"/>
  <c r="G94" i="5"/>
  <c r="F94" i="5"/>
  <c r="E94" i="5"/>
  <c r="C94" i="5"/>
  <c r="B94" i="5"/>
  <c r="A94" i="5"/>
  <c r="R93" i="5"/>
  <c r="H93" i="5"/>
  <c r="G93" i="5"/>
  <c r="I93" i="5" s="1"/>
  <c r="F93" i="5"/>
  <c r="E93" i="5"/>
  <c r="C93" i="5"/>
  <c r="B93" i="5"/>
  <c r="A93" i="5"/>
  <c r="R92" i="5"/>
  <c r="H92" i="5"/>
  <c r="G92" i="5"/>
  <c r="I92" i="5" s="1"/>
  <c r="F92" i="5"/>
  <c r="E92" i="5"/>
  <c r="C92" i="5"/>
  <c r="B92" i="5"/>
  <c r="A92" i="5"/>
  <c r="R91" i="5"/>
  <c r="H91" i="5"/>
  <c r="G91" i="5"/>
  <c r="I91" i="5" s="1"/>
  <c r="F91" i="5"/>
  <c r="E91" i="5"/>
  <c r="C91" i="5"/>
  <c r="B91" i="5"/>
  <c r="A91" i="5"/>
  <c r="R90" i="5"/>
  <c r="H90" i="5"/>
  <c r="G90" i="5"/>
  <c r="F90" i="5"/>
  <c r="E90" i="5"/>
  <c r="C90" i="5"/>
  <c r="B90" i="5"/>
  <c r="A90" i="5"/>
  <c r="R89" i="5"/>
  <c r="I89" i="5"/>
  <c r="H89" i="5"/>
  <c r="G89" i="5"/>
  <c r="F89" i="5"/>
  <c r="E89" i="5"/>
  <c r="C89" i="5"/>
  <c r="B89" i="5"/>
  <c r="A89" i="5"/>
  <c r="R88" i="5"/>
  <c r="H88" i="5"/>
  <c r="G88" i="5"/>
  <c r="F88" i="5"/>
  <c r="E88" i="5"/>
  <c r="C88" i="5"/>
  <c r="B88" i="5"/>
  <c r="A88" i="5"/>
  <c r="R87" i="5"/>
  <c r="H87" i="5"/>
  <c r="G87" i="5"/>
  <c r="I87" i="5" s="1"/>
  <c r="F87" i="5"/>
  <c r="E87" i="5"/>
  <c r="C87" i="5"/>
  <c r="B87" i="5"/>
  <c r="A87" i="5"/>
  <c r="R86" i="5"/>
  <c r="H86" i="5"/>
  <c r="G86" i="5"/>
  <c r="F86" i="5"/>
  <c r="E86" i="5"/>
  <c r="C86" i="5"/>
  <c r="B86" i="5"/>
  <c r="A86" i="5"/>
  <c r="R85" i="5"/>
  <c r="H85" i="5"/>
  <c r="G85" i="5"/>
  <c r="I85" i="5" s="1"/>
  <c r="F85" i="5"/>
  <c r="E85" i="5"/>
  <c r="C85" i="5"/>
  <c r="B85" i="5"/>
  <c r="A85" i="5"/>
  <c r="R84" i="5"/>
  <c r="H84" i="5"/>
  <c r="G84" i="5"/>
  <c r="F84" i="5"/>
  <c r="E84" i="5"/>
  <c r="C84" i="5"/>
  <c r="B84" i="5"/>
  <c r="A84" i="5"/>
  <c r="R83" i="5"/>
  <c r="I83" i="5"/>
  <c r="H83" i="5"/>
  <c r="G83" i="5"/>
  <c r="F83" i="5"/>
  <c r="E83" i="5"/>
  <c r="C83" i="5"/>
  <c r="B83" i="5"/>
  <c r="A83" i="5"/>
  <c r="R82" i="5"/>
  <c r="H82" i="5"/>
  <c r="G82" i="5"/>
  <c r="F82" i="5"/>
  <c r="E82" i="5"/>
  <c r="C82" i="5"/>
  <c r="B82" i="5"/>
  <c r="A82" i="5"/>
  <c r="R81" i="5"/>
  <c r="H81" i="5"/>
  <c r="G81" i="5"/>
  <c r="F81" i="5"/>
  <c r="E81" i="5"/>
  <c r="C81" i="5"/>
  <c r="B81" i="5"/>
  <c r="A81" i="5"/>
  <c r="R80" i="5"/>
  <c r="H80" i="5"/>
  <c r="G80" i="5"/>
  <c r="I80" i="5" s="1"/>
  <c r="F80" i="5"/>
  <c r="E80" i="5"/>
  <c r="C80" i="5"/>
  <c r="B80" i="5"/>
  <c r="A80" i="5"/>
  <c r="R79" i="5"/>
  <c r="H79" i="5"/>
  <c r="G79" i="5"/>
  <c r="I79" i="5" s="1"/>
  <c r="F79" i="5"/>
  <c r="E79" i="5"/>
  <c r="C79" i="5"/>
  <c r="B79" i="5"/>
  <c r="A79" i="5"/>
  <c r="R78" i="5"/>
  <c r="H78" i="5"/>
  <c r="G78" i="5"/>
  <c r="F78" i="5"/>
  <c r="E78" i="5"/>
  <c r="C78" i="5"/>
  <c r="B78" i="5"/>
  <c r="A78" i="5"/>
  <c r="R77" i="5"/>
  <c r="H77" i="5"/>
  <c r="G77" i="5"/>
  <c r="I77" i="5" s="1"/>
  <c r="F77" i="5"/>
  <c r="E77" i="5"/>
  <c r="C77" i="5"/>
  <c r="B77" i="5"/>
  <c r="A77" i="5"/>
  <c r="R76" i="5"/>
  <c r="H76" i="5"/>
  <c r="G76" i="5"/>
  <c r="F76" i="5"/>
  <c r="E76" i="5"/>
  <c r="C76" i="5"/>
  <c r="B76" i="5"/>
  <c r="A76" i="5"/>
  <c r="R75" i="5"/>
  <c r="H75" i="5"/>
  <c r="G75" i="5"/>
  <c r="F75" i="5"/>
  <c r="E75" i="5"/>
  <c r="C75" i="5"/>
  <c r="B75" i="5"/>
  <c r="A75" i="5"/>
  <c r="R74" i="5"/>
  <c r="H74" i="5"/>
  <c r="G74" i="5"/>
  <c r="F74" i="5"/>
  <c r="E74" i="5"/>
  <c r="C74" i="5"/>
  <c r="B74" i="5"/>
  <c r="A74" i="5"/>
  <c r="R73" i="5"/>
  <c r="H73" i="5"/>
  <c r="G73" i="5"/>
  <c r="F73" i="5"/>
  <c r="E73" i="5"/>
  <c r="C73" i="5"/>
  <c r="B73" i="5"/>
  <c r="A73" i="5"/>
  <c r="R72" i="5"/>
  <c r="H72" i="5"/>
  <c r="G72" i="5"/>
  <c r="I72" i="5" s="1"/>
  <c r="F72" i="5"/>
  <c r="E72" i="5"/>
  <c r="C72" i="5"/>
  <c r="B72" i="5"/>
  <c r="A72" i="5"/>
  <c r="R71" i="5"/>
  <c r="H71" i="5"/>
  <c r="G71" i="5"/>
  <c r="I71" i="5" s="1"/>
  <c r="F71" i="5"/>
  <c r="E71" i="5"/>
  <c r="C71" i="5"/>
  <c r="B71" i="5"/>
  <c r="A71" i="5"/>
  <c r="R70" i="5"/>
  <c r="H70" i="5"/>
  <c r="G70" i="5"/>
  <c r="I70" i="5" s="1"/>
  <c r="F70" i="5"/>
  <c r="E70" i="5"/>
  <c r="C70" i="5"/>
  <c r="B70" i="5"/>
  <c r="A70" i="5"/>
  <c r="R69" i="5"/>
  <c r="H69" i="5"/>
  <c r="G69" i="5"/>
  <c r="F69" i="5"/>
  <c r="E69" i="5"/>
  <c r="C69" i="5"/>
  <c r="B69" i="5"/>
  <c r="A69" i="5"/>
  <c r="R68" i="5"/>
  <c r="H68" i="5"/>
  <c r="I68" i="5" s="1"/>
  <c r="G68" i="5"/>
  <c r="F68" i="5"/>
  <c r="E68" i="5"/>
  <c r="C68" i="5"/>
  <c r="B68" i="5"/>
  <c r="A68" i="5"/>
  <c r="R67" i="5"/>
  <c r="H67" i="5"/>
  <c r="G67" i="5"/>
  <c r="I67" i="5" s="1"/>
  <c r="F67" i="5"/>
  <c r="E67" i="5"/>
  <c r="C67" i="5"/>
  <c r="B67" i="5"/>
  <c r="A67" i="5"/>
  <c r="R66" i="5"/>
  <c r="J66" i="5"/>
  <c r="H66" i="5"/>
  <c r="G66" i="5"/>
  <c r="F66" i="5"/>
  <c r="K66" i="5" s="1"/>
  <c r="L66" i="5" s="1"/>
  <c r="E66" i="5"/>
  <c r="C66" i="5"/>
  <c r="B66" i="5"/>
  <c r="A66" i="5"/>
  <c r="R65" i="5"/>
  <c r="H65" i="5"/>
  <c r="G65" i="5"/>
  <c r="I65" i="5" s="1"/>
  <c r="F65" i="5"/>
  <c r="E65" i="5"/>
  <c r="C65" i="5"/>
  <c r="B65" i="5"/>
  <c r="A65" i="5"/>
  <c r="R64" i="5"/>
  <c r="H64" i="5"/>
  <c r="G64" i="5"/>
  <c r="F64" i="5"/>
  <c r="E64" i="5"/>
  <c r="C64" i="5"/>
  <c r="B64" i="5"/>
  <c r="A64" i="5"/>
  <c r="R63" i="5"/>
  <c r="H63" i="5"/>
  <c r="G63" i="5"/>
  <c r="I63" i="5" s="1"/>
  <c r="F63" i="5"/>
  <c r="E63" i="5"/>
  <c r="C63" i="5"/>
  <c r="B63" i="5"/>
  <c r="A63" i="5"/>
  <c r="R62" i="5"/>
  <c r="H62" i="5"/>
  <c r="G62" i="5"/>
  <c r="F62" i="5"/>
  <c r="E62" i="5"/>
  <c r="C62" i="5"/>
  <c r="B62" i="5"/>
  <c r="A62" i="5"/>
  <c r="R61" i="5"/>
  <c r="H61" i="5"/>
  <c r="G61" i="5"/>
  <c r="I61" i="5" s="1"/>
  <c r="J62" i="5" s="1"/>
  <c r="K62" i="5" s="1"/>
  <c r="L62" i="5" s="1"/>
  <c r="F61" i="5"/>
  <c r="E61" i="5"/>
  <c r="C61" i="5"/>
  <c r="B61" i="5"/>
  <c r="A61" i="5"/>
  <c r="R60" i="5"/>
  <c r="H60" i="5"/>
  <c r="G60" i="5"/>
  <c r="I60" i="5" s="1"/>
  <c r="F60" i="5"/>
  <c r="E60" i="5"/>
  <c r="C60" i="5"/>
  <c r="B60" i="5"/>
  <c r="A60" i="5"/>
  <c r="R59" i="5"/>
  <c r="H59" i="5"/>
  <c r="G59" i="5"/>
  <c r="I59" i="5" s="1"/>
  <c r="F59" i="5"/>
  <c r="E59" i="5"/>
  <c r="C59" i="5"/>
  <c r="B59" i="5"/>
  <c r="A59" i="5"/>
  <c r="R58" i="5"/>
  <c r="H58" i="5"/>
  <c r="G58" i="5"/>
  <c r="I58" i="5" s="1"/>
  <c r="F58" i="5"/>
  <c r="E58" i="5"/>
  <c r="C58" i="5"/>
  <c r="B58" i="5"/>
  <c r="A58" i="5"/>
  <c r="R57" i="5"/>
  <c r="H57" i="5"/>
  <c r="G57" i="5"/>
  <c r="F57" i="5"/>
  <c r="E57" i="5"/>
  <c r="C57" i="5"/>
  <c r="B57" i="5"/>
  <c r="A57" i="5"/>
  <c r="R56" i="5"/>
  <c r="H56" i="5"/>
  <c r="G56" i="5"/>
  <c r="F56" i="5"/>
  <c r="E56" i="5"/>
  <c r="C56" i="5"/>
  <c r="B56" i="5"/>
  <c r="A56" i="5"/>
  <c r="R55" i="5"/>
  <c r="H55" i="5"/>
  <c r="G55" i="5"/>
  <c r="I55" i="5" s="1"/>
  <c r="F55" i="5"/>
  <c r="E55" i="5"/>
  <c r="C55" i="5"/>
  <c r="B55" i="5"/>
  <c r="A55" i="5"/>
  <c r="R54" i="5"/>
  <c r="H54" i="5"/>
  <c r="G54" i="5"/>
  <c r="I54" i="5" s="1"/>
  <c r="J55" i="5" s="1"/>
  <c r="F54" i="5"/>
  <c r="E54" i="5"/>
  <c r="C54" i="5"/>
  <c r="B54" i="5"/>
  <c r="A54" i="5"/>
  <c r="R53" i="5"/>
  <c r="H53" i="5"/>
  <c r="G53" i="5"/>
  <c r="I53" i="5" s="1"/>
  <c r="F53" i="5"/>
  <c r="E53" i="5"/>
  <c r="C53" i="5"/>
  <c r="B53" i="5"/>
  <c r="A53" i="5"/>
  <c r="R52" i="5"/>
  <c r="H52" i="5"/>
  <c r="G52" i="5"/>
  <c r="F52" i="5"/>
  <c r="E52" i="5"/>
  <c r="C52" i="5"/>
  <c r="B52" i="5"/>
  <c r="A52" i="5"/>
  <c r="R51" i="5"/>
  <c r="H51" i="5"/>
  <c r="G51" i="5"/>
  <c r="F51" i="5"/>
  <c r="E51" i="5"/>
  <c r="C51" i="5"/>
  <c r="B51" i="5"/>
  <c r="A51" i="5"/>
  <c r="R50" i="5"/>
  <c r="H50" i="5"/>
  <c r="G50" i="5"/>
  <c r="F50" i="5"/>
  <c r="E50" i="5"/>
  <c r="C50" i="5"/>
  <c r="B50" i="5"/>
  <c r="A50" i="5"/>
  <c r="R49" i="5"/>
  <c r="H49" i="5"/>
  <c r="G49" i="5"/>
  <c r="I49" i="5" s="1"/>
  <c r="F49" i="5"/>
  <c r="E49" i="5"/>
  <c r="C49" i="5"/>
  <c r="B49" i="5"/>
  <c r="A49" i="5"/>
  <c r="R48" i="5"/>
  <c r="H48" i="5"/>
  <c r="G48" i="5"/>
  <c r="I48" i="5" s="1"/>
  <c r="J49" i="5" s="1"/>
  <c r="F48" i="5"/>
  <c r="E48" i="5"/>
  <c r="C48" i="5"/>
  <c r="B48" i="5"/>
  <c r="A48" i="5"/>
  <c r="R47" i="5"/>
  <c r="H47" i="5"/>
  <c r="G47" i="5"/>
  <c r="I47" i="5" s="1"/>
  <c r="F47" i="5"/>
  <c r="E47" i="5"/>
  <c r="C47" i="5"/>
  <c r="B47" i="5"/>
  <c r="A47" i="5"/>
  <c r="R46" i="5"/>
  <c r="H46" i="5"/>
  <c r="G46" i="5"/>
  <c r="F46" i="5"/>
  <c r="E46" i="5"/>
  <c r="C46" i="5"/>
  <c r="B46" i="5"/>
  <c r="A46" i="5"/>
  <c r="R45" i="5"/>
  <c r="H45" i="5"/>
  <c r="G45" i="5"/>
  <c r="F45" i="5"/>
  <c r="E45" i="5"/>
  <c r="C45" i="5"/>
  <c r="B45" i="5"/>
  <c r="A45" i="5"/>
  <c r="R44" i="5"/>
  <c r="H44" i="5"/>
  <c r="G44" i="5"/>
  <c r="F44" i="5"/>
  <c r="E44" i="5"/>
  <c r="C44" i="5"/>
  <c r="B44" i="5"/>
  <c r="A44" i="5"/>
  <c r="R43" i="5"/>
  <c r="H43" i="5"/>
  <c r="G43" i="5"/>
  <c r="I43" i="5" s="1"/>
  <c r="F43" i="5"/>
  <c r="E43" i="5"/>
  <c r="C43" i="5"/>
  <c r="B43" i="5"/>
  <c r="A43" i="5"/>
  <c r="R42" i="5"/>
  <c r="H42" i="5"/>
  <c r="G42" i="5"/>
  <c r="F42" i="5"/>
  <c r="E42" i="5"/>
  <c r="C42" i="5"/>
  <c r="B42" i="5"/>
  <c r="A42" i="5"/>
  <c r="R41" i="5"/>
  <c r="H41" i="5"/>
  <c r="G41" i="5"/>
  <c r="F41" i="5"/>
  <c r="E41" i="5"/>
  <c r="C41" i="5"/>
  <c r="B41" i="5"/>
  <c r="A41" i="5"/>
  <c r="R40" i="5"/>
  <c r="H40" i="5"/>
  <c r="G40" i="5"/>
  <c r="F40" i="5"/>
  <c r="E40" i="5"/>
  <c r="C40" i="5"/>
  <c r="B40" i="5"/>
  <c r="A40" i="5"/>
  <c r="R39" i="5"/>
  <c r="H39" i="5"/>
  <c r="G39" i="5"/>
  <c r="I39" i="5" s="1"/>
  <c r="F39" i="5"/>
  <c r="E39" i="5"/>
  <c r="C39" i="5"/>
  <c r="B39" i="5"/>
  <c r="A39" i="5"/>
  <c r="R38" i="5"/>
  <c r="H38" i="5"/>
  <c r="G38" i="5"/>
  <c r="F38" i="5"/>
  <c r="E38" i="5"/>
  <c r="C38" i="5"/>
  <c r="B38" i="5"/>
  <c r="A38" i="5"/>
  <c r="R37" i="5"/>
  <c r="H37" i="5"/>
  <c r="G37" i="5"/>
  <c r="F37" i="5"/>
  <c r="E37" i="5"/>
  <c r="C37" i="5"/>
  <c r="B37" i="5"/>
  <c r="A37" i="5"/>
  <c r="R36" i="5"/>
  <c r="J36" i="5"/>
  <c r="H36" i="5"/>
  <c r="G36" i="5"/>
  <c r="F36" i="5"/>
  <c r="E36" i="5"/>
  <c r="C36" i="5"/>
  <c r="B36" i="5"/>
  <c r="A36" i="5"/>
  <c r="E17" i="5"/>
  <c r="D17" i="5"/>
  <c r="E16" i="5"/>
  <c r="F16" i="5" s="1"/>
  <c r="D16" i="5"/>
  <c r="E15" i="5"/>
  <c r="D15" i="5"/>
  <c r="E14" i="5"/>
  <c r="D14" i="5"/>
  <c r="P251" i="6" l="1"/>
  <c r="Q251" i="6" s="1"/>
  <c r="O485" i="6"/>
  <c r="I182" i="5"/>
  <c r="AQ41" i="3"/>
  <c r="AP41" i="3" s="1"/>
  <c r="AZ54" i="3"/>
  <c r="AQ54" i="3"/>
  <c r="AP54" i="3" s="1"/>
  <c r="AS54" i="3" s="1"/>
  <c r="AO54" i="3"/>
  <c r="P166" i="6"/>
  <c r="P266" i="6"/>
  <c r="O227" i="6"/>
  <c r="P228" i="6" s="1"/>
  <c r="AZ34" i="3"/>
  <c r="AQ34" i="3"/>
  <c r="AP34" i="3" s="1"/>
  <c r="AS34" i="3" s="1"/>
  <c r="AC131" i="4"/>
  <c r="AD136" i="4"/>
  <c r="AC133" i="4"/>
  <c r="I294" i="5"/>
  <c r="I304" i="5"/>
  <c r="Q301" i="6"/>
  <c r="O311" i="6"/>
  <c r="O124" i="6"/>
  <c r="P125" i="6" s="1"/>
  <c r="Q125" i="6" s="1"/>
  <c r="AZ49" i="3"/>
  <c r="AQ49" i="3"/>
  <c r="AP49" i="3" s="1"/>
  <c r="O248" i="6"/>
  <c r="I119" i="5"/>
  <c r="AO34" i="3"/>
  <c r="G10" i="4"/>
  <c r="B75" i="1" s="1"/>
  <c r="AB51" i="4"/>
  <c r="I45" i="5"/>
  <c r="F71" i="6"/>
  <c r="F57" i="6"/>
  <c r="F59" i="6"/>
  <c r="F75" i="6"/>
  <c r="O156" i="6"/>
  <c r="O279" i="6"/>
  <c r="P284" i="6"/>
  <c r="P521" i="6"/>
  <c r="Q521" i="6" s="1"/>
  <c r="AC128" i="4"/>
  <c r="AD97" i="4"/>
  <c r="AC136" i="4"/>
  <c r="I22" i="6"/>
  <c r="O55" i="6"/>
  <c r="O79" i="6"/>
  <c r="O81" i="6"/>
  <c r="O95" i="6"/>
  <c r="O111" i="6"/>
  <c r="O121" i="6"/>
  <c r="O122" i="6"/>
  <c r="O131" i="6"/>
  <c r="P133" i="6" s="1"/>
  <c r="Q133" i="6" s="1"/>
  <c r="O142" i="6"/>
  <c r="O235" i="6"/>
  <c r="P236" i="6" s="1"/>
  <c r="O245" i="6"/>
  <c r="O263" i="6"/>
  <c r="O274" i="6"/>
  <c r="P275" i="6" s="1"/>
  <c r="Q275" i="6" s="1"/>
  <c r="O341" i="6"/>
  <c r="P449" i="6"/>
  <c r="Q449" i="6" s="1"/>
  <c r="O458" i="6"/>
  <c r="O469" i="6"/>
  <c r="O481" i="6"/>
  <c r="O529" i="6"/>
  <c r="P712" i="6"/>
  <c r="Q712" i="6" s="1"/>
  <c r="Q722" i="6"/>
  <c r="O763" i="6"/>
  <c r="O584" i="6"/>
  <c r="O617" i="6"/>
  <c r="I155" i="5"/>
  <c r="I166" i="5"/>
  <c r="O204" i="6"/>
  <c r="O470" i="6"/>
  <c r="P471" i="6" s="1"/>
  <c r="Q471" i="6" s="1"/>
  <c r="K55" i="5"/>
  <c r="L55" i="5" s="1"/>
  <c r="O198" i="6"/>
  <c r="R380" i="6"/>
  <c r="T380" i="6" s="1"/>
  <c r="O427" i="6"/>
  <c r="P428" i="6" s="1"/>
  <c r="Q428" i="6" s="1"/>
  <c r="O549" i="6"/>
  <c r="O570" i="6"/>
  <c r="O646" i="6"/>
  <c r="Q680" i="6"/>
  <c r="Q741" i="6"/>
  <c r="I278" i="5"/>
  <c r="AB97" i="4"/>
  <c r="O264" i="6"/>
  <c r="P265" i="6" s="1"/>
  <c r="Q265" i="6" s="1"/>
  <c r="T410" i="6"/>
  <c r="O531" i="6"/>
  <c r="P532" i="6" s="1"/>
  <c r="O541" i="6"/>
  <c r="I149" i="5"/>
  <c r="I213" i="5"/>
  <c r="K49" i="5"/>
  <c r="AO19" i="3"/>
  <c r="AZ28" i="3"/>
  <c r="AZ50" i="3"/>
  <c r="AD107" i="4"/>
  <c r="F14" i="6"/>
  <c r="O109" i="6"/>
  <c r="Q110" i="6"/>
  <c r="O140" i="6"/>
  <c r="P141" i="6" s="1"/>
  <c r="O187" i="6"/>
  <c r="P188" i="6" s="1"/>
  <c r="O201" i="6"/>
  <c r="P202" i="6" s="1"/>
  <c r="Q202" i="6" s="1"/>
  <c r="R202" i="6" s="1"/>
  <c r="P244" i="6"/>
  <c r="O261" i="6"/>
  <c r="P263" i="6" s="1"/>
  <c r="Q263" i="6" s="1"/>
  <c r="O272" i="6"/>
  <c r="O338" i="6"/>
  <c r="Q350" i="6"/>
  <c r="P426" i="6"/>
  <c r="P457" i="6"/>
  <c r="P467" i="6"/>
  <c r="P515" i="6"/>
  <c r="Q515" i="6" s="1"/>
  <c r="O527" i="6"/>
  <c r="O557" i="6"/>
  <c r="O589" i="6"/>
  <c r="O624" i="6"/>
  <c r="P625" i="6" s="1"/>
  <c r="O633" i="6"/>
  <c r="P635" i="6" s="1"/>
  <c r="Q635" i="6" s="1"/>
  <c r="R635" i="6" s="1"/>
  <c r="O666" i="6"/>
  <c r="O677" i="6"/>
  <c r="O678" i="6"/>
  <c r="O698" i="6"/>
  <c r="O708" i="6"/>
  <c r="O750" i="6"/>
  <c r="O760" i="6"/>
  <c r="AQ21" i="3"/>
  <c r="AP21" i="3" s="1"/>
  <c r="AU21" i="3" s="1"/>
  <c r="AZ31" i="3"/>
  <c r="AZ42" i="3"/>
  <c r="AO50" i="3"/>
  <c r="AB98" i="4"/>
  <c r="I96" i="5"/>
  <c r="AB108" i="4"/>
  <c r="O53" i="6"/>
  <c r="O139" i="6"/>
  <c r="O259" i="6"/>
  <c r="O271" i="6"/>
  <c r="Q412" i="6"/>
  <c r="R412" i="6" s="1"/>
  <c r="T412" i="6" s="1"/>
  <c r="O519" i="6"/>
  <c r="O69" i="6"/>
  <c r="I176" i="5"/>
  <c r="AQ28" i="3"/>
  <c r="AP28" i="3" s="1"/>
  <c r="I201" i="5"/>
  <c r="J202" i="5" s="1"/>
  <c r="K202" i="5" s="1"/>
  <c r="L202" i="5" s="1"/>
  <c r="J59" i="5"/>
  <c r="I106" i="5"/>
  <c r="I132" i="5"/>
  <c r="I281" i="5"/>
  <c r="AQ19" i="3"/>
  <c r="AP19" i="3" s="1"/>
  <c r="I36" i="5"/>
  <c r="J37" i="5" s="1"/>
  <c r="I41" i="5"/>
  <c r="J42" i="5" s="1"/>
  <c r="K42" i="5" s="1"/>
  <c r="I69" i="5"/>
  <c r="I100" i="5"/>
  <c r="J101" i="5" s="1"/>
  <c r="K101" i="5" s="1"/>
  <c r="L101" i="5" s="1"/>
  <c r="I110" i="5"/>
  <c r="J112" i="5" s="1"/>
  <c r="K112" i="5" s="1"/>
  <c r="L112" i="5" s="1"/>
  <c r="M112" i="5" s="1"/>
  <c r="I141" i="5"/>
  <c r="K157" i="5"/>
  <c r="I168" i="5"/>
  <c r="I179" i="5"/>
  <c r="I205" i="5"/>
  <c r="I216" i="5"/>
  <c r="J217" i="5" s="1"/>
  <c r="I221" i="5"/>
  <c r="I227" i="5"/>
  <c r="I275" i="5"/>
  <c r="I280" i="5"/>
  <c r="I285" i="5"/>
  <c r="AO22" i="3"/>
  <c r="AE33" i="4"/>
  <c r="AD83" i="4"/>
  <c r="AD108" i="4"/>
  <c r="O50" i="6"/>
  <c r="P51" i="6" s="1"/>
  <c r="Q51" i="6" s="1"/>
  <c r="O51" i="6"/>
  <c r="O63" i="6"/>
  <c r="P65" i="6" s="1"/>
  <c r="Q65" i="6" s="1"/>
  <c r="O74" i="6"/>
  <c r="O75" i="6"/>
  <c r="O106" i="6"/>
  <c r="O117" i="6"/>
  <c r="O137" i="6"/>
  <c r="O148" i="6"/>
  <c r="O159" i="6"/>
  <c r="O174" i="6"/>
  <c r="O194" i="6"/>
  <c r="R200" i="6"/>
  <c r="O208" i="6"/>
  <c r="P209" i="6" s="1"/>
  <c r="Q209" i="6" s="1"/>
  <c r="O218" i="6"/>
  <c r="O241" i="6"/>
  <c r="O314" i="6"/>
  <c r="O346" i="6"/>
  <c r="O378" i="6"/>
  <c r="O399" i="6"/>
  <c r="O411" i="6"/>
  <c r="P412" i="6" s="1"/>
  <c r="O412" i="6"/>
  <c r="P413" i="6" s="1"/>
  <c r="O444" i="6"/>
  <c r="P445" i="6" s="1"/>
  <c r="Q445" i="6" s="1"/>
  <c r="O454" i="6"/>
  <c r="O477" i="6"/>
  <c r="O488" i="6"/>
  <c r="P490" i="6" s="1"/>
  <c r="Q490" i="6" s="1"/>
  <c r="O501" i="6"/>
  <c r="O512" i="6"/>
  <c r="O535" i="6"/>
  <c r="P536" i="6" s="1"/>
  <c r="Q536" i="6" s="1"/>
  <c r="O556" i="6"/>
  <c r="O588" i="6"/>
  <c r="O598" i="6"/>
  <c r="O621" i="6"/>
  <c r="O653" i="6"/>
  <c r="O664" i="6"/>
  <c r="O675" i="6"/>
  <c r="R680" i="6"/>
  <c r="T680" i="6" s="1"/>
  <c r="O696" i="6"/>
  <c r="O572" i="6"/>
  <c r="P574" i="6" s="1"/>
  <c r="Q574" i="6" s="1"/>
  <c r="I118" i="5"/>
  <c r="J119" i="5" s="1"/>
  <c r="K119" i="5" s="1"/>
  <c r="L119" i="5" s="1"/>
  <c r="I267" i="5"/>
  <c r="J268" i="5" s="1"/>
  <c r="AO21" i="3"/>
  <c r="AZ24" i="3"/>
  <c r="I38" i="5"/>
  <c r="J39" i="5" s="1"/>
  <c r="K39" i="5" s="1"/>
  <c r="L39" i="5" s="1"/>
  <c r="M39" i="5" s="1"/>
  <c r="I287" i="5"/>
  <c r="I228" i="5"/>
  <c r="K36" i="5"/>
  <c r="L36" i="5" s="1"/>
  <c r="I57" i="5"/>
  <c r="I73" i="5"/>
  <c r="I120" i="5"/>
  <c r="J122" i="5" s="1"/>
  <c r="K122" i="5" s="1"/>
  <c r="L122" i="5" s="1"/>
  <c r="M122" i="5" s="1"/>
  <c r="K156" i="5"/>
  <c r="I183" i="5"/>
  <c r="I194" i="5"/>
  <c r="J195" i="5" s="1"/>
  <c r="K195" i="5" s="1"/>
  <c r="L195" i="5" s="1"/>
  <c r="I199" i="5"/>
  <c r="J201" i="5" s="1"/>
  <c r="K201" i="5" s="1"/>
  <c r="L201" i="5" s="1"/>
  <c r="I210" i="5"/>
  <c r="J212" i="5" s="1"/>
  <c r="K212" i="5" s="1"/>
  <c r="L212" i="5" s="1"/>
  <c r="I215" i="5"/>
  <c r="I237" i="5"/>
  <c r="I263" i="5"/>
  <c r="I269" i="5"/>
  <c r="J270" i="5" s="1"/>
  <c r="K270" i="5" s="1"/>
  <c r="L270" i="5" s="1"/>
  <c r="I295" i="5"/>
  <c r="AZ22" i="3"/>
  <c r="AB87" i="4"/>
  <c r="AB110" i="4"/>
  <c r="O73" i="6"/>
  <c r="P91" i="6"/>
  <c r="Q91" i="6" s="1"/>
  <c r="O170" i="6"/>
  <c r="P171" i="6" s="1"/>
  <c r="Q171" i="6" s="1"/>
  <c r="P185" i="6"/>
  <c r="Q185" i="6" s="1"/>
  <c r="O193" i="6"/>
  <c r="O240" i="6"/>
  <c r="P454" i="6"/>
  <c r="P609" i="6"/>
  <c r="Q650" i="6"/>
  <c r="O768" i="6"/>
  <c r="O190" i="6"/>
  <c r="O247" i="6"/>
  <c r="O278" i="6"/>
  <c r="P280" i="6" s="1"/>
  <c r="O551" i="6"/>
  <c r="O670" i="6"/>
  <c r="O682" i="6"/>
  <c r="I81" i="5"/>
  <c r="J82" i="5" s="1"/>
  <c r="K82" i="5" s="1"/>
  <c r="L82" i="5" s="1"/>
  <c r="M82" i="5" s="1"/>
  <c r="F17" i="5"/>
  <c r="I40" i="5"/>
  <c r="I88" i="5"/>
  <c r="J89" i="5" s="1"/>
  <c r="K89" i="5" s="1"/>
  <c r="L89" i="5" s="1"/>
  <c r="M89" i="5" s="1"/>
  <c r="I99" i="5"/>
  <c r="I109" i="5"/>
  <c r="I130" i="5"/>
  <c r="J132" i="5" s="1"/>
  <c r="K132" i="5" s="1"/>
  <c r="L132" i="5" s="1"/>
  <c r="M132" i="5" s="1"/>
  <c r="N132" i="5" s="1"/>
  <c r="I135" i="5"/>
  <c r="J152" i="5"/>
  <c r="K152" i="5" s="1"/>
  <c r="L152" i="5" s="1"/>
  <c r="I220" i="5"/>
  <c r="I226" i="5"/>
  <c r="J228" i="5" s="1"/>
  <c r="K228" i="5" s="1"/>
  <c r="L228" i="5" s="1"/>
  <c r="I231" i="5"/>
  <c r="J243" i="5"/>
  <c r="K243" i="5" s="1"/>
  <c r="L243" i="5" s="1"/>
  <c r="I247" i="5"/>
  <c r="I279" i="5"/>
  <c r="J280" i="5" s="1"/>
  <c r="AB116" i="4"/>
  <c r="AE166" i="4"/>
  <c r="AC87" i="4"/>
  <c r="O72" i="6"/>
  <c r="O84" i="6"/>
  <c r="P85" i="6" s="1"/>
  <c r="Q85" i="6" s="1"/>
  <c r="O115" i="6"/>
  <c r="P116" i="6" s="1"/>
  <c r="Q116" i="6" s="1"/>
  <c r="O135" i="6"/>
  <c r="O157" i="6"/>
  <c r="O169" i="6"/>
  <c r="O171" i="6"/>
  <c r="O182" i="6"/>
  <c r="O216" i="6"/>
  <c r="O229" i="6"/>
  <c r="O239" i="6"/>
  <c r="O292" i="6"/>
  <c r="P294" i="6" s="1"/>
  <c r="Q294" i="6" s="1"/>
  <c r="R294" i="6" s="1"/>
  <c r="T294" i="6" s="1"/>
  <c r="O323" i="6"/>
  <c r="O355" i="6"/>
  <c r="O387" i="6"/>
  <c r="O397" i="6"/>
  <c r="O407" i="6"/>
  <c r="O431" i="6"/>
  <c r="Q440" i="6"/>
  <c r="R440" i="6" s="1"/>
  <c r="T440" i="6" s="1"/>
  <c r="O442" i="6"/>
  <c r="O474" i="6"/>
  <c r="P475" i="6" s="1"/>
  <c r="Q475" i="6" s="1"/>
  <c r="O486" i="6"/>
  <c r="P488" i="6" s="1"/>
  <c r="Q488" i="6" s="1"/>
  <c r="R488" i="6" s="1"/>
  <c r="O496" i="6"/>
  <c r="O511" i="6"/>
  <c r="P512" i="6" s="1"/>
  <c r="O523" i="6"/>
  <c r="O606" i="6"/>
  <c r="O650" i="6"/>
  <c r="P651" i="6" s="1"/>
  <c r="O662" i="6"/>
  <c r="P663" i="6" s="1"/>
  <c r="O673" i="6"/>
  <c r="O684" i="6"/>
  <c r="O694" i="6"/>
  <c r="O715" i="6"/>
  <c r="P716" i="6" s="1"/>
  <c r="O746" i="6"/>
  <c r="P748" i="6" s="1"/>
  <c r="Q748" i="6" s="1"/>
  <c r="R748" i="6" s="1"/>
  <c r="O756" i="6"/>
  <c r="O767" i="6"/>
  <c r="P246" i="6"/>
  <c r="P264" i="6"/>
  <c r="J169" i="5"/>
  <c r="K169" i="5" s="1"/>
  <c r="L169" i="5" s="1"/>
  <c r="K193" i="5"/>
  <c r="L193" i="5" s="1"/>
  <c r="J154" i="5"/>
  <c r="K154" i="5" s="1"/>
  <c r="L154" i="5" s="1"/>
  <c r="M154" i="5" s="1"/>
  <c r="J265" i="5"/>
  <c r="K265" i="5" s="1"/>
  <c r="L265" i="5" s="1"/>
  <c r="P123" i="6"/>
  <c r="I136" i="5"/>
  <c r="J137" i="5" s="1"/>
  <c r="K137" i="5" s="1"/>
  <c r="L137" i="5" s="1"/>
  <c r="I75" i="5"/>
  <c r="I188" i="5"/>
  <c r="J189" i="5" s="1"/>
  <c r="K189" i="5" s="1"/>
  <c r="L189" i="5" s="1"/>
  <c r="I258" i="5"/>
  <c r="I78" i="5"/>
  <c r="J79" i="5" s="1"/>
  <c r="K79" i="5" s="1"/>
  <c r="L79" i="5" s="1"/>
  <c r="I90" i="5"/>
  <c r="J91" i="5" s="1"/>
  <c r="K91" i="5" s="1"/>
  <c r="I97" i="5"/>
  <c r="I108" i="5"/>
  <c r="J110" i="5" s="1"/>
  <c r="K110" i="5" s="1"/>
  <c r="L110" i="5" s="1"/>
  <c r="I115" i="5"/>
  <c r="I162" i="5"/>
  <c r="J164" i="5" s="1"/>
  <c r="K164" i="5" s="1"/>
  <c r="L164" i="5" s="1"/>
  <c r="I167" i="5"/>
  <c r="J168" i="5" s="1"/>
  <c r="I185" i="5"/>
  <c r="K186" i="5"/>
  <c r="L186" i="5" s="1"/>
  <c r="J192" i="5"/>
  <c r="K192" i="5" s="1"/>
  <c r="L192" i="5" s="1"/>
  <c r="K221" i="5"/>
  <c r="J229" i="5"/>
  <c r="K229" i="5" s="1"/>
  <c r="L229" i="5" s="1"/>
  <c r="M172" i="4"/>
  <c r="H5" i="4"/>
  <c r="O116" i="6"/>
  <c r="O151" i="6"/>
  <c r="Q561" i="6"/>
  <c r="O562" i="6"/>
  <c r="P563" i="6" s="1"/>
  <c r="O574" i="6"/>
  <c r="O632" i="6"/>
  <c r="J56" i="5"/>
  <c r="K56" i="5" s="1"/>
  <c r="L56" i="5" s="1"/>
  <c r="K241" i="5"/>
  <c r="I112" i="5"/>
  <c r="J113" i="5" s="1"/>
  <c r="K113" i="5" s="1"/>
  <c r="L113" i="5" s="1"/>
  <c r="J254" i="5"/>
  <c r="AZ27" i="3"/>
  <c r="AQ27" i="3"/>
  <c r="AP27" i="3" s="1"/>
  <c r="AO27" i="3"/>
  <c r="J183" i="5"/>
  <c r="K183" i="5" s="1"/>
  <c r="L183" i="5" s="1"/>
  <c r="L49" i="5"/>
  <c r="I52" i="5"/>
  <c r="J53" i="5" s="1"/>
  <c r="K53" i="5" s="1"/>
  <c r="K59" i="5"/>
  <c r="L59" i="5" s="1"/>
  <c r="B11" i="3"/>
  <c r="AO40" i="3"/>
  <c r="AY54" i="3"/>
  <c r="L172" i="4"/>
  <c r="G5" i="4"/>
  <c r="P156" i="6"/>
  <c r="O564" i="6"/>
  <c r="P742" i="6"/>
  <c r="Q742" i="6" s="1"/>
  <c r="J72" i="5"/>
  <c r="K72" i="5" s="1"/>
  <c r="L72" i="5" s="1"/>
  <c r="J222" i="5"/>
  <c r="K222" i="5" s="1"/>
  <c r="L222" i="5" s="1"/>
  <c r="J239" i="5"/>
  <c r="K239" i="5" s="1"/>
  <c r="L239" i="5" s="1"/>
  <c r="AQ40" i="3"/>
  <c r="AP40" i="3" s="1"/>
  <c r="AS40" i="3" s="1"/>
  <c r="AT40" i="3" s="1"/>
  <c r="AQ51" i="3"/>
  <c r="AP51" i="3" s="1"/>
  <c r="R216" i="6"/>
  <c r="P562" i="6"/>
  <c r="Q562" i="6" s="1"/>
  <c r="R562" i="6" s="1"/>
  <c r="I42" i="5"/>
  <c r="J43" i="5" s="1"/>
  <c r="K43" i="5" s="1"/>
  <c r="L43" i="5" s="1"/>
  <c r="P257" i="6"/>
  <c r="Q257" i="6" s="1"/>
  <c r="P326" i="6"/>
  <c r="I51" i="5"/>
  <c r="J162" i="5"/>
  <c r="K162" i="5" s="1"/>
  <c r="L162" i="5" s="1"/>
  <c r="F15" i="5"/>
  <c r="I44" i="5"/>
  <c r="I50" i="5"/>
  <c r="J51" i="5" s="1"/>
  <c r="I95" i="5"/>
  <c r="L99" i="5"/>
  <c r="I102" i="5"/>
  <c r="I107" i="5"/>
  <c r="I148" i="5"/>
  <c r="I154" i="5"/>
  <c r="J155" i="5" s="1"/>
  <c r="K155" i="5" s="1"/>
  <c r="L155" i="5" s="1"/>
  <c r="I173" i="5"/>
  <c r="J191" i="5"/>
  <c r="K191" i="5" s="1"/>
  <c r="J204" i="5"/>
  <c r="K204" i="5" s="1"/>
  <c r="L204" i="5" s="1"/>
  <c r="I232" i="5"/>
  <c r="I243" i="5"/>
  <c r="I299" i="5"/>
  <c r="AZ29" i="3"/>
  <c r="AQ29" i="3"/>
  <c r="AP29" i="3" s="1"/>
  <c r="AY29" i="3" s="1"/>
  <c r="AO29" i="3"/>
  <c r="N232" i="4"/>
  <c r="H8" i="4"/>
  <c r="N227" i="4"/>
  <c r="O80" i="6"/>
  <c r="P81" i="6" s="1"/>
  <c r="Q81" i="6" s="1"/>
  <c r="C90" i="6"/>
  <c r="O114" i="6"/>
  <c r="O149" i="6"/>
  <c r="P150" i="6" s="1"/>
  <c r="Q150" i="6" s="1"/>
  <c r="O349" i="6"/>
  <c r="O351" i="6"/>
  <c r="O515" i="6"/>
  <c r="P516" i="6" s="1"/>
  <c r="O538" i="6"/>
  <c r="P540" i="6" s="1"/>
  <c r="O540" i="6"/>
  <c r="O559" i="6"/>
  <c r="P697" i="6"/>
  <c r="Q697" i="6" s="1"/>
  <c r="O717" i="6"/>
  <c r="P718" i="6" s="1"/>
  <c r="Q718" i="6" s="1"/>
  <c r="AS30" i="3"/>
  <c r="AT30" i="3" s="1"/>
  <c r="I274" i="5"/>
  <c r="J275" i="5" s="1"/>
  <c r="K275" i="5" s="1"/>
  <c r="L275" i="5" s="1"/>
  <c r="I86" i="5"/>
  <c r="J99" i="5"/>
  <c r="K99" i="5" s="1"/>
  <c r="P577" i="6"/>
  <c r="I66" i="5"/>
  <c r="J67" i="5" s="1"/>
  <c r="I105" i="5"/>
  <c r="J107" i="5" s="1"/>
  <c r="I206" i="5"/>
  <c r="I212" i="5"/>
  <c r="Q457" i="6"/>
  <c r="L216" i="5"/>
  <c r="J241" i="5"/>
  <c r="I251" i="5"/>
  <c r="J252" i="5" s="1"/>
  <c r="K252" i="5" s="1"/>
  <c r="L252" i="5" s="1"/>
  <c r="M252" i="5" s="1"/>
  <c r="O252" i="5" s="1"/>
  <c r="I257" i="5"/>
  <c r="J258" i="5" s="1"/>
  <c r="K258" i="5" s="1"/>
  <c r="L258" i="5" s="1"/>
  <c r="AU30" i="3"/>
  <c r="AV30" i="3" s="1"/>
  <c r="AZ44" i="3"/>
  <c r="AQ44" i="3"/>
  <c r="AP44" i="3" s="1"/>
  <c r="AO44" i="3"/>
  <c r="J41" i="5"/>
  <c r="I46" i="5"/>
  <c r="I116" i="5"/>
  <c r="J118" i="5" s="1"/>
  <c r="K118" i="5" s="1"/>
  <c r="L118" i="5" s="1"/>
  <c r="I186" i="5"/>
  <c r="AZ25" i="3"/>
  <c r="AQ25" i="3"/>
  <c r="AP25" i="3" s="1"/>
  <c r="J71" i="5"/>
  <c r="K71" i="5" s="1"/>
  <c r="L71" i="5" s="1"/>
  <c r="J121" i="5"/>
  <c r="J221" i="5"/>
  <c r="J238" i="5"/>
  <c r="K238" i="5" s="1"/>
  <c r="L238" i="5" s="1"/>
  <c r="AZ23" i="3"/>
  <c r="AQ23" i="3"/>
  <c r="AP23" i="3" s="1"/>
  <c r="AU23" i="3" s="1"/>
  <c r="AV23" i="3" s="1"/>
  <c r="E80" i="6"/>
  <c r="E94" i="6"/>
  <c r="E107" i="6"/>
  <c r="E109" i="6"/>
  <c r="P82" i="6"/>
  <c r="P124" i="6"/>
  <c r="P199" i="6"/>
  <c r="Q199" i="6" s="1"/>
  <c r="Q201" i="6"/>
  <c r="R201" i="6" s="1"/>
  <c r="P205" i="6"/>
  <c r="I37" i="5"/>
  <c r="I56" i="5"/>
  <c r="J58" i="5" s="1"/>
  <c r="K58" i="5" s="1"/>
  <c r="L58" i="5" s="1"/>
  <c r="I62" i="5"/>
  <c r="J63" i="5" s="1"/>
  <c r="K63" i="5" s="1"/>
  <c r="L63" i="5" s="1"/>
  <c r="I76" i="5"/>
  <c r="J78" i="5" s="1"/>
  <c r="I82" i="5"/>
  <c r="J83" i="5" s="1"/>
  <c r="K83" i="5" s="1"/>
  <c r="L83" i="5" s="1"/>
  <c r="I94" i="5"/>
  <c r="J95" i="5" s="1"/>
  <c r="K95" i="5" s="1"/>
  <c r="L95" i="5" s="1"/>
  <c r="I101" i="5"/>
  <c r="J102" i="5" s="1"/>
  <c r="K102" i="5" s="1"/>
  <c r="L102" i="5" s="1"/>
  <c r="M102" i="5" s="1"/>
  <c r="K126" i="5"/>
  <c r="L126" i="5" s="1"/>
  <c r="J133" i="5"/>
  <c r="K133" i="5" s="1"/>
  <c r="L133" i="5" s="1"/>
  <c r="I142" i="5"/>
  <c r="J143" i="5" s="1"/>
  <c r="K143" i="5" s="1"/>
  <c r="L143" i="5" s="1"/>
  <c r="M143" i="5" s="1"/>
  <c r="N143" i="5" s="1"/>
  <c r="I147" i="5"/>
  <c r="L156" i="5"/>
  <c r="M156" i="5" s="1"/>
  <c r="O156" i="5" s="1"/>
  <c r="L157" i="5"/>
  <c r="M157" i="5" s="1"/>
  <c r="O157" i="5" s="1"/>
  <c r="J178" i="5"/>
  <c r="I207" i="5"/>
  <c r="J266" i="5"/>
  <c r="K266" i="5" s="1"/>
  <c r="L266" i="5" s="1"/>
  <c r="I270" i="5"/>
  <c r="J272" i="5" s="1"/>
  <c r="K272" i="5" s="1"/>
  <c r="L272" i="5" s="1"/>
  <c r="I288" i="5"/>
  <c r="J290" i="5" s="1"/>
  <c r="K290" i="5" s="1"/>
  <c r="L290" i="5" s="1"/>
  <c r="I293" i="5"/>
  <c r="I298" i="5"/>
  <c r="AO23" i="3"/>
  <c r="F169" i="6"/>
  <c r="F143" i="6"/>
  <c r="O65" i="6"/>
  <c r="P66" i="6" s="1"/>
  <c r="O126" i="6"/>
  <c r="P127" i="6" s="1"/>
  <c r="O185" i="6"/>
  <c r="P186" i="6" s="1"/>
  <c r="Q186" i="6" s="1"/>
  <c r="O196" i="6"/>
  <c r="O202" i="6"/>
  <c r="P226" i="6"/>
  <c r="O472" i="6"/>
  <c r="P489" i="6"/>
  <c r="P503" i="6"/>
  <c r="Q503" i="6" s="1"/>
  <c r="R503" i="6" s="1"/>
  <c r="Q716" i="6"/>
  <c r="I256" i="5"/>
  <c r="J257" i="5" s="1"/>
  <c r="K257" i="5" s="1"/>
  <c r="I262" i="5"/>
  <c r="J264" i="5" s="1"/>
  <c r="K264" i="5" s="1"/>
  <c r="L264" i="5" s="1"/>
  <c r="I297" i="5"/>
  <c r="H9" i="4"/>
  <c r="AB61" i="4"/>
  <c r="AB88" i="4"/>
  <c r="AD98" i="4"/>
  <c r="AD110" i="4"/>
  <c r="I45" i="6"/>
  <c r="I37" i="6"/>
  <c r="I29" i="6"/>
  <c r="G95" i="6"/>
  <c r="G101" i="6"/>
  <c r="P61" i="6"/>
  <c r="Q61" i="6" s="1"/>
  <c r="O96" i="6"/>
  <c r="P97" i="6" s="1"/>
  <c r="O101" i="6"/>
  <c r="O102" i="6"/>
  <c r="O112" i="6"/>
  <c r="H143" i="6"/>
  <c r="O161" i="6"/>
  <c r="P162" i="6" s="1"/>
  <c r="Q162" i="6" s="1"/>
  <c r="O178" i="6"/>
  <c r="P179" i="6" s="1"/>
  <c r="Q179" i="6" s="1"/>
  <c r="O221" i="6"/>
  <c r="P222" i="6" s="1"/>
  <c r="Q222" i="6" s="1"/>
  <c r="P359" i="6"/>
  <c r="O457" i="6"/>
  <c r="Q467" i="6"/>
  <c r="P497" i="6"/>
  <c r="Q497" i="6" s="1"/>
  <c r="O497" i="6"/>
  <c r="P499" i="6" s="1"/>
  <c r="O537" i="6"/>
  <c r="P538" i="6" s="1"/>
  <c r="O558" i="6"/>
  <c r="P559" i="6" s="1"/>
  <c r="Q559" i="6" s="1"/>
  <c r="O642" i="6"/>
  <c r="O687" i="6"/>
  <c r="O701" i="6"/>
  <c r="P702" i="6" s="1"/>
  <c r="P715" i="6"/>
  <c r="Q715" i="6" s="1"/>
  <c r="I268" i="5"/>
  <c r="I292" i="5"/>
  <c r="AO33" i="3"/>
  <c r="AB82" i="4"/>
  <c r="AC88" i="4"/>
  <c r="AB102" i="4"/>
  <c r="AB111" i="4"/>
  <c r="H105" i="6"/>
  <c r="H83" i="6"/>
  <c r="H95" i="6"/>
  <c r="F69" i="6"/>
  <c r="P76" i="6"/>
  <c r="Q76" i="6" s="1"/>
  <c r="P96" i="6"/>
  <c r="Q96" i="6" s="1"/>
  <c r="P101" i="6"/>
  <c r="Q101" i="6" s="1"/>
  <c r="P161" i="6"/>
  <c r="P456" i="6"/>
  <c r="Q456" i="6" s="1"/>
  <c r="Q714" i="6"/>
  <c r="R714" i="6" s="1"/>
  <c r="T714" i="6" s="1"/>
  <c r="I128" i="5"/>
  <c r="J129" i="5" s="1"/>
  <c r="K129" i="5" s="1"/>
  <c r="L129" i="5" s="1"/>
  <c r="M129" i="5" s="1"/>
  <c r="O129" i="5" s="1"/>
  <c r="I134" i="5"/>
  <c r="J135" i="5" s="1"/>
  <c r="K135" i="5" s="1"/>
  <c r="L135" i="5" s="1"/>
  <c r="I140" i="5"/>
  <c r="J141" i="5" s="1"/>
  <c r="K141" i="5" s="1"/>
  <c r="I146" i="5"/>
  <c r="J147" i="5" s="1"/>
  <c r="K147" i="5" s="1"/>
  <c r="L147" i="5" s="1"/>
  <c r="I158" i="5"/>
  <c r="I165" i="5"/>
  <c r="I178" i="5"/>
  <c r="J179" i="5" s="1"/>
  <c r="K179" i="5" s="1"/>
  <c r="L179" i="5" s="1"/>
  <c r="I197" i="5"/>
  <c r="I204" i="5"/>
  <c r="J205" i="5" s="1"/>
  <c r="K205" i="5" s="1"/>
  <c r="L205" i="5" s="1"/>
  <c r="I217" i="5"/>
  <c r="J218" i="5" s="1"/>
  <c r="I230" i="5"/>
  <c r="J232" i="5" s="1"/>
  <c r="K232" i="5" s="1"/>
  <c r="L232" i="5" s="1"/>
  <c r="I248" i="5"/>
  <c r="K254" i="5"/>
  <c r="L254" i="5" s="1"/>
  <c r="I296" i="5"/>
  <c r="J297" i="5" s="1"/>
  <c r="K297" i="5" s="1"/>
  <c r="I302" i="5"/>
  <c r="J304" i="5" s="1"/>
  <c r="K304" i="5" s="1"/>
  <c r="L304" i="5" s="1"/>
  <c r="M304" i="5" s="1"/>
  <c r="AQ20" i="3"/>
  <c r="AP20" i="3" s="1"/>
  <c r="AY20" i="3" s="1"/>
  <c r="AC82" i="4"/>
  <c r="AD88" i="4"/>
  <c r="AD102" i="4"/>
  <c r="AB114" i="4"/>
  <c r="AE136" i="4"/>
  <c r="AF136" i="4" s="1"/>
  <c r="R51" i="6"/>
  <c r="T51" i="6" s="1"/>
  <c r="P53" i="6"/>
  <c r="Q53" i="6" s="1"/>
  <c r="F67" i="6"/>
  <c r="P89" i="6"/>
  <c r="Q89" i="6" s="1"/>
  <c r="P90" i="6"/>
  <c r="Q90" i="6" s="1"/>
  <c r="O93" i="6"/>
  <c r="R110" i="6"/>
  <c r="T110" i="6" s="1"/>
  <c r="O145" i="6"/>
  <c r="P146" i="6" s="1"/>
  <c r="Q146" i="6" s="1"/>
  <c r="O158" i="6"/>
  <c r="P160" i="6" s="1"/>
  <c r="Q160" i="6" s="1"/>
  <c r="Q218" i="6"/>
  <c r="O219" i="6"/>
  <c r="P221" i="6" s="1"/>
  <c r="Q221" i="6" s="1"/>
  <c r="P276" i="6"/>
  <c r="O276" i="6"/>
  <c r="P289" i="6"/>
  <c r="Q289" i="6" s="1"/>
  <c r="P292" i="6"/>
  <c r="O294" i="6"/>
  <c r="P295" i="6" s="1"/>
  <c r="Q295" i="6" s="1"/>
  <c r="O296" i="6"/>
  <c r="P297" i="6" s="1"/>
  <c r="Q297" i="6" s="1"/>
  <c r="P302" i="6"/>
  <c r="Q320" i="6"/>
  <c r="R320" i="6" s="1"/>
  <c r="T320" i="6" s="1"/>
  <c r="O408" i="6"/>
  <c r="O416" i="6"/>
  <c r="O438" i="6"/>
  <c r="O440" i="6"/>
  <c r="P441" i="6" s="1"/>
  <c r="Q441" i="6" s="1"/>
  <c r="O441" i="6"/>
  <c r="R500" i="6"/>
  <c r="O522" i="6"/>
  <c r="O590" i="6"/>
  <c r="P591" i="6" s="1"/>
  <c r="P629" i="6"/>
  <c r="R650" i="6"/>
  <c r="P713" i="6"/>
  <c r="Q713" i="6" s="1"/>
  <c r="R713" i="6" s="1"/>
  <c r="AD82" i="4"/>
  <c r="AB92" i="4"/>
  <c r="AB103" i="4"/>
  <c r="P86" i="6"/>
  <c r="Q86" i="6" s="1"/>
  <c r="P92" i="6"/>
  <c r="Q92" i="6" s="1"/>
  <c r="Q145" i="6"/>
  <c r="P418" i="6"/>
  <c r="Q418" i="6" s="1"/>
  <c r="P522" i="6"/>
  <c r="Q522" i="6" s="1"/>
  <c r="Q628" i="6"/>
  <c r="O674" i="6"/>
  <c r="P675" i="6" s="1"/>
  <c r="O697" i="6"/>
  <c r="P698" i="6" s="1"/>
  <c r="P723" i="6"/>
  <c r="J151" i="5"/>
  <c r="I157" i="5"/>
  <c r="J158" i="5" s="1"/>
  <c r="K158" i="5" s="1"/>
  <c r="L158" i="5" s="1"/>
  <c r="J242" i="5"/>
  <c r="K242" i="5" s="1"/>
  <c r="L242" i="5" s="1"/>
  <c r="K276" i="5"/>
  <c r="L276" i="5" s="1"/>
  <c r="M276" i="5" s="1"/>
  <c r="O276" i="5" s="1"/>
  <c r="I284" i="5"/>
  <c r="J286" i="5" s="1"/>
  <c r="K286" i="5" s="1"/>
  <c r="L286" i="5" s="1"/>
  <c r="I290" i="5"/>
  <c r="I300" i="5"/>
  <c r="J302" i="5" s="1"/>
  <c r="K302" i="5" s="1"/>
  <c r="L302" i="5" s="1"/>
  <c r="AO24" i="3"/>
  <c r="AO26" i="3"/>
  <c r="AO31" i="3"/>
  <c r="AQ38" i="3"/>
  <c r="AP38" i="3" s="1"/>
  <c r="AB83" i="4"/>
  <c r="AD92" i="4"/>
  <c r="AD103" i="4"/>
  <c r="AB119" i="4"/>
  <c r="I41" i="6"/>
  <c r="Q140" i="6"/>
  <c r="P279" i="6"/>
  <c r="Q279" i="6" s="1"/>
  <c r="R291" i="6"/>
  <c r="P414" i="6"/>
  <c r="Q414" i="6" s="1"/>
  <c r="P416" i="6"/>
  <c r="Q416" i="6" s="1"/>
  <c r="O415" i="6"/>
  <c r="Q426" i="6"/>
  <c r="O437" i="6"/>
  <c r="P438" i="6" s="1"/>
  <c r="Q438" i="6" s="1"/>
  <c r="Q531" i="6"/>
  <c r="R531" i="6" s="1"/>
  <c r="P578" i="6"/>
  <c r="Q578" i="6" s="1"/>
  <c r="Q710" i="6"/>
  <c r="R710" i="6" s="1"/>
  <c r="T710" i="6" s="1"/>
  <c r="I126" i="5"/>
  <c r="I138" i="5"/>
  <c r="J139" i="5" s="1"/>
  <c r="K139" i="5" s="1"/>
  <c r="L139" i="5" s="1"/>
  <c r="I144" i="5"/>
  <c r="J145" i="5" s="1"/>
  <c r="K145" i="5" s="1"/>
  <c r="L145" i="5" s="1"/>
  <c r="I170" i="5"/>
  <c r="I196" i="5"/>
  <c r="J197" i="5" s="1"/>
  <c r="K197" i="5" s="1"/>
  <c r="L197" i="5" s="1"/>
  <c r="I208" i="5"/>
  <c r="I246" i="5"/>
  <c r="J247" i="5" s="1"/>
  <c r="I259" i="5"/>
  <c r="J260" i="5" s="1"/>
  <c r="K260" i="5" s="1"/>
  <c r="L260" i="5" s="1"/>
  <c r="I276" i="5"/>
  <c r="J277" i="5" s="1"/>
  <c r="K277" i="5" s="1"/>
  <c r="I283" i="5"/>
  <c r="I305" i="5"/>
  <c r="H10" i="4"/>
  <c r="C75" i="1" s="1"/>
  <c r="H29" i="4"/>
  <c r="AD166" i="4"/>
  <c r="AF166" i="4" s="1"/>
  <c r="AC83" i="4"/>
  <c r="AB93" i="4"/>
  <c r="O82" i="6"/>
  <c r="P84" i="6" s="1"/>
  <c r="H99" i="6"/>
  <c r="Q108" i="6"/>
  <c r="O141" i="6"/>
  <c r="P142" i="6" s="1"/>
  <c r="O152" i="6"/>
  <c r="P154" i="6" s="1"/>
  <c r="Q154" i="6" s="1"/>
  <c r="H163" i="6"/>
  <c r="O206" i="6"/>
  <c r="O395" i="6"/>
  <c r="P397" i="6" s="1"/>
  <c r="O405" i="6"/>
  <c r="Q489" i="6"/>
  <c r="O516" i="6"/>
  <c r="O517" i="6"/>
  <c r="O565" i="6"/>
  <c r="P566" i="6" s="1"/>
  <c r="Q566" i="6" s="1"/>
  <c r="O566" i="6"/>
  <c r="P568" i="6" s="1"/>
  <c r="Q568" i="6" s="1"/>
  <c r="O609" i="6"/>
  <c r="P610" i="6" s="1"/>
  <c r="Q610" i="6" s="1"/>
  <c r="O610" i="6"/>
  <c r="P611" i="6" s="1"/>
  <c r="O613" i="6"/>
  <c r="O660" i="6"/>
  <c r="P662" i="6" s="1"/>
  <c r="Q662" i="6" s="1"/>
  <c r="O719" i="6"/>
  <c r="P721" i="6" s="1"/>
  <c r="Q721" i="6" s="1"/>
  <c r="O732" i="6"/>
  <c r="O658" i="6"/>
  <c r="P660" i="6" s="1"/>
  <c r="Q660" i="6" s="1"/>
  <c r="P671" i="6"/>
  <c r="P672" i="6"/>
  <c r="Q672" i="6" s="1"/>
  <c r="O718" i="6"/>
  <c r="O731" i="6"/>
  <c r="P732" i="6" s="1"/>
  <c r="Q732" i="6" s="1"/>
  <c r="O217" i="6"/>
  <c r="P218" i="6" s="1"/>
  <c r="O237" i="6"/>
  <c r="O238" i="6"/>
  <c r="O316" i="6"/>
  <c r="Q331" i="6"/>
  <c r="O357" i="6"/>
  <c r="O369" i="6"/>
  <c r="O379" i="6"/>
  <c r="O392" i="6"/>
  <c r="O403" i="6"/>
  <c r="O434" i="6"/>
  <c r="O492" i="6"/>
  <c r="P493" i="6" s="1"/>
  <c r="O493" i="6"/>
  <c r="O546" i="6"/>
  <c r="O547" i="6"/>
  <c r="P549" i="6" s="1"/>
  <c r="Q549" i="6" s="1"/>
  <c r="O625" i="6"/>
  <c r="O640" i="6"/>
  <c r="O655" i="6"/>
  <c r="O657" i="6"/>
  <c r="P658" i="6" s="1"/>
  <c r="Q658" i="6" s="1"/>
  <c r="O667" i="6"/>
  <c r="P669" i="6" s="1"/>
  <c r="O692" i="6"/>
  <c r="P693" i="6" s="1"/>
  <c r="O706" i="6"/>
  <c r="O707" i="6"/>
  <c r="O729" i="6"/>
  <c r="P730" i="6" s="1"/>
  <c r="O739" i="6"/>
  <c r="O743" i="6"/>
  <c r="P744" i="6" s="1"/>
  <c r="Q744" i="6" s="1"/>
  <c r="O753" i="6"/>
  <c r="P77" i="6"/>
  <c r="Q77" i="6" s="1"/>
  <c r="P136" i="6"/>
  <c r="Q136" i="6" s="1"/>
  <c r="O136" i="6"/>
  <c r="P137" i="6" s="1"/>
  <c r="O146" i="6"/>
  <c r="P176" i="6"/>
  <c r="O176" i="6"/>
  <c r="P343" i="6"/>
  <c r="Q343" i="6" s="1"/>
  <c r="P424" i="6"/>
  <c r="Q424" i="6" s="1"/>
  <c r="P529" i="6"/>
  <c r="Q529" i="6" s="1"/>
  <c r="P534" i="6"/>
  <c r="Q534" i="6" s="1"/>
  <c r="R534" i="6" s="1"/>
  <c r="T534" i="6" s="1"/>
  <c r="P573" i="6"/>
  <c r="Q573" i="6" s="1"/>
  <c r="Q651" i="6"/>
  <c r="R651" i="6" s="1"/>
  <c r="T651" i="6" s="1"/>
  <c r="U651" i="6" s="1"/>
  <c r="P654" i="6"/>
  <c r="Q654" i="6" s="1"/>
  <c r="R654" i="6" s="1"/>
  <c r="P683" i="6"/>
  <c r="P706" i="6"/>
  <c r="Q50" i="6"/>
  <c r="R50" i="6" s="1"/>
  <c r="T50" i="6" s="1"/>
  <c r="O54" i="6"/>
  <c r="O56" i="6"/>
  <c r="P58" i="6" s="1"/>
  <c r="Q58" i="6" s="1"/>
  <c r="O62" i="6"/>
  <c r="O66" i="6"/>
  <c r="P68" i="6" s="1"/>
  <c r="Q68" i="6" s="1"/>
  <c r="O68" i="6"/>
  <c r="P69" i="6" s="1"/>
  <c r="Q69" i="6" s="1"/>
  <c r="O70" i="6"/>
  <c r="P71" i="6" s="1"/>
  <c r="Q71" i="6" s="1"/>
  <c r="O130" i="6"/>
  <c r="O168" i="6"/>
  <c r="O173" i="6"/>
  <c r="P175" i="6" s="1"/>
  <c r="Q175" i="6" s="1"/>
  <c r="O211" i="6"/>
  <c r="P212" i="6" s="1"/>
  <c r="Q212" i="6" s="1"/>
  <c r="O233" i="6"/>
  <c r="O236" i="6"/>
  <c r="P237" i="6" s="1"/>
  <c r="Q237" i="6" s="1"/>
  <c r="O313" i="6"/>
  <c r="P314" i="6" s="1"/>
  <c r="Q314" i="6" s="1"/>
  <c r="O315" i="6"/>
  <c r="P316" i="6" s="1"/>
  <c r="O330" i="6"/>
  <c r="P331" i="6" s="1"/>
  <c r="O354" i="6"/>
  <c r="O377" i="6"/>
  <c r="O420" i="6"/>
  <c r="O421" i="6"/>
  <c r="P422" i="6" s="1"/>
  <c r="Q422" i="6" s="1"/>
  <c r="O432" i="6"/>
  <c r="O433" i="6"/>
  <c r="O450" i="6"/>
  <c r="O462" i="6"/>
  <c r="P463" i="6" s="1"/>
  <c r="Q463" i="6" s="1"/>
  <c r="O508" i="6"/>
  <c r="P509" i="6" s="1"/>
  <c r="Q509" i="6" s="1"/>
  <c r="O509" i="6"/>
  <c r="O544" i="6"/>
  <c r="O545" i="6"/>
  <c r="O554" i="6"/>
  <c r="O555" i="6"/>
  <c r="P557" i="6" s="1"/>
  <c r="Q557" i="6" s="1"/>
  <c r="O601" i="6"/>
  <c r="P603" i="6" s="1"/>
  <c r="Q603" i="6" s="1"/>
  <c r="O638" i="6"/>
  <c r="O679" i="6"/>
  <c r="O690" i="6"/>
  <c r="P692" i="6" s="1"/>
  <c r="Q692" i="6" s="1"/>
  <c r="O704" i="6"/>
  <c r="O751" i="6"/>
  <c r="P753" i="6" s="1"/>
  <c r="Q753" i="6" s="1"/>
  <c r="P769" i="6"/>
  <c r="Q769" i="6" s="1"/>
  <c r="P107" i="6"/>
  <c r="P108" i="6"/>
  <c r="R140" i="6"/>
  <c r="T140" i="6" s="1"/>
  <c r="U140" i="6" s="1"/>
  <c r="W140" i="6" s="1"/>
  <c r="P191" i="6"/>
  <c r="P211" i="6"/>
  <c r="Q211" i="6" s="1"/>
  <c r="Q230" i="6"/>
  <c r="R230" i="6" s="1"/>
  <c r="T230" i="6" s="1"/>
  <c r="Q260" i="6"/>
  <c r="Q284" i="6"/>
  <c r="Q304" i="6"/>
  <c r="Q326" i="6"/>
  <c r="P481" i="6"/>
  <c r="Q481" i="6" s="1"/>
  <c r="Q499" i="6"/>
  <c r="P570" i="6"/>
  <c r="Q570" i="6" s="1"/>
  <c r="R590" i="6"/>
  <c r="Q620" i="6"/>
  <c r="R620" i="6" s="1"/>
  <c r="P738" i="6"/>
  <c r="O86" i="6"/>
  <c r="O98" i="6"/>
  <c r="O103" i="6"/>
  <c r="O110" i="6"/>
  <c r="P111" i="6" s="1"/>
  <c r="Q111" i="6" s="1"/>
  <c r="R111" i="6" s="1"/>
  <c r="T111" i="6" s="1"/>
  <c r="O127" i="6"/>
  <c r="O162" i="6"/>
  <c r="O163" i="6"/>
  <c r="O166" i="6"/>
  <c r="T202" i="6"/>
  <c r="O209" i="6"/>
  <c r="O223" i="6"/>
  <c r="P225" i="6" s="1"/>
  <c r="Q225" i="6" s="1"/>
  <c r="O230" i="6"/>
  <c r="P231" i="6" s="1"/>
  <c r="Q231" i="6" s="1"/>
  <c r="R231" i="6" s="1"/>
  <c r="T231" i="6" s="1"/>
  <c r="U231" i="6" s="1"/>
  <c r="V231" i="6" s="1"/>
  <c r="O231" i="6"/>
  <c r="P233" i="6" s="1"/>
  <c r="Q233" i="6" s="1"/>
  <c r="O260" i="6"/>
  <c r="P261" i="6" s="1"/>
  <c r="Q261" i="6" s="1"/>
  <c r="R261" i="6" s="1"/>
  <c r="Q276" i="6"/>
  <c r="O284" i="6"/>
  <c r="P285" i="6" s="1"/>
  <c r="Q285" i="6" s="1"/>
  <c r="O304" i="6"/>
  <c r="P305" i="6" s="1"/>
  <c r="Q305" i="6" s="1"/>
  <c r="O310" i="6"/>
  <c r="P311" i="6" s="1"/>
  <c r="Q311" i="6" s="1"/>
  <c r="O339" i="6"/>
  <c r="P340" i="6" s="1"/>
  <c r="Q340" i="6" s="1"/>
  <c r="O388" i="6"/>
  <c r="P389" i="6" s="1"/>
  <c r="Q389" i="6" s="1"/>
  <c r="O409" i="6"/>
  <c r="Q411" i="6"/>
  <c r="O418" i="6"/>
  <c r="P419" i="6" s="1"/>
  <c r="O430" i="6"/>
  <c r="P432" i="6" s="1"/>
  <c r="Q432" i="6" s="1"/>
  <c r="O446" i="6"/>
  <c r="P448" i="6" s="1"/>
  <c r="O459" i="6"/>
  <c r="P460" i="6" s="1"/>
  <c r="Q460" i="6" s="1"/>
  <c r="O475" i="6"/>
  <c r="O478" i="6"/>
  <c r="P479" i="6" s="1"/>
  <c r="Q479" i="6" s="1"/>
  <c r="O500" i="6"/>
  <c r="O504" i="6"/>
  <c r="P505" i="6" s="1"/>
  <c r="Q505" i="6" s="1"/>
  <c r="O505" i="6"/>
  <c r="O524" i="6"/>
  <c r="P525" i="6" s="1"/>
  <c r="Q525" i="6" s="1"/>
  <c r="O525" i="6"/>
  <c r="P527" i="6" s="1"/>
  <c r="Q527" i="6" s="1"/>
  <c r="O542" i="6"/>
  <c r="P543" i="6" s="1"/>
  <c r="Q543" i="6" s="1"/>
  <c r="O543" i="6"/>
  <c r="O552" i="6"/>
  <c r="P553" i="6" s="1"/>
  <c r="Q553" i="6" s="1"/>
  <c r="O553" i="6"/>
  <c r="O597" i="6"/>
  <c r="P599" i="6" s="1"/>
  <c r="Q599" i="6" s="1"/>
  <c r="R599" i="6" s="1"/>
  <c r="O614" i="6"/>
  <c r="O635" i="6"/>
  <c r="P636" i="6" s="1"/>
  <c r="Q636" i="6" s="1"/>
  <c r="O647" i="6"/>
  <c r="O702" i="6"/>
  <c r="O703" i="6"/>
  <c r="O725" i="6"/>
  <c r="O735" i="6"/>
  <c r="P736" i="6" s="1"/>
  <c r="Q736" i="6" s="1"/>
  <c r="O749" i="6"/>
  <c r="P751" i="6" s="1"/>
  <c r="Q751" i="6" s="1"/>
  <c r="O764" i="6"/>
  <c r="M155" i="5"/>
  <c r="O155" i="5" s="1"/>
  <c r="O169" i="5"/>
  <c r="M169" i="5"/>
  <c r="M126" i="5"/>
  <c r="O189" i="5"/>
  <c r="M189" i="5"/>
  <c r="N189" i="5" s="1"/>
  <c r="M239" i="5"/>
  <c r="M258" i="5"/>
  <c r="M222" i="5"/>
  <c r="O222" i="5" s="1"/>
  <c r="N222" i="5"/>
  <c r="M193" i="5"/>
  <c r="M56" i="5"/>
  <c r="N56" i="5" s="1"/>
  <c r="M43" i="5"/>
  <c r="N119" i="5"/>
  <c r="O119" i="5"/>
  <c r="M119" i="5"/>
  <c r="M202" i="5"/>
  <c r="M265" i="5"/>
  <c r="M72" i="5"/>
  <c r="M135" i="5"/>
  <c r="M205" i="5"/>
  <c r="O205" i="5" s="1"/>
  <c r="M152" i="5"/>
  <c r="N152" i="5"/>
  <c r="M243" i="5"/>
  <c r="M55" i="5"/>
  <c r="O55" i="5" s="1"/>
  <c r="M139" i="5"/>
  <c r="N139" i="5" s="1"/>
  <c r="K268" i="5"/>
  <c r="L268" i="5" s="1"/>
  <c r="J305" i="5"/>
  <c r="K305" i="5" s="1"/>
  <c r="L305" i="5" s="1"/>
  <c r="AS27" i="3"/>
  <c r="AU27" i="3"/>
  <c r="K78" i="5"/>
  <c r="L78" i="5" s="1"/>
  <c r="J117" i="5"/>
  <c r="K117" i="5" s="1"/>
  <c r="L117" i="5" s="1"/>
  <c r="J136" i="5"/>
  <c r="K136" i="5" s="1"/>
  <c r="L136" i="5" s="1"/>
  <c r="N157" i="5"/>
  <c r="P157" i="5" s="1"/>
  <c r="G9" i="4"/>
  <c r="AC36" i="4"/>
  <c r="AC35" i="4"/>
  <c r="AC34" i="4"/>
  <c r="AB45" i="4"/>
  <c r="AD45" i="4"/>
  <c r="AD44" i="4"/>
  <c r="AB46" i="4"/>
  <c r="AB70" i="4"/>
  <c r="AB65" i="4"/>
  <c r="AB60" i="4"/>
  <c r="AB55" i="4"/>
  <c r="AB50" i="4"/>
  <c r="AD34" i="4"/>
  <c r="AB56" i="4"/>
  <c r="L53" i="5"/>
  <c r="M133" i="5"/>
  <c r="N133" i="5" s="1"/>
  <c r="M204" i="5"/>
  <c r="O204" i="5" s="1"/>
  <c r="M229" i="5"/>
  <c r="N229" i="5" s="1"/>
  <c r="J248" i="5"/>
  <c r="M264" i="5"/>
  <c r="N264" i="5" s="1"/>
  <c r="AY31" i="3"/>
  <c r="AU31" i="3"/>
  <c r="AV31" i="3" s="1"/>
  <c r="M49" i="5"/>
  <c r="J64" i="5"/>
  <c r="K64" i="5" s="1"/>
  <c r="L64" i="5" s="1"/>
  <c r="J148" i="5"/>
  <c r="K148" i="5" s="1"/>
  <c r="L148" i="5" s="1"/>
  <c r="J206" i="5"/>
  <c r="K206" i="5" s="1"/>
  <c r="L206" i="5" s="1"/>
  <c r="J223" i="5"/>
  <c r="K223" i="5" s="1"/>
  <c r="AE34" i="4"/>
  <c r="M66" i="5"/>
  <c r="O66" i="5" s="1"/>
  <c r="M62" i="5"/>
  <c r="N62" i="5" s="1"/>
  <c r="AS28" i="3"/>
  <c r="AU28" i="3"/>
  <c r="AV28" i="3" s="1"/>
  <c r="O36" i="5"/>
  <c r="M36" i="5"/>
  <c r="N36" i="5" s="1"/>
  <c r="K121" i="5"/>
  <c r="L121" i="5" s="1"/>
  <c r="J84" i="5"/>
  <c r="J123" i="5"/>
  <c r="K123" i="5" s="1"/>
  <c r="L123" i="5" s="1"/>
  <c r="M158" i="5"/>
  <c r="N158" i="5" s="1"/>
  <c r="O182" i="5"/>
  <c r="M182" i="5"/>
  <c r="M192" i="5"/>
  <c r="N192" i="5" s="1"/>
  <c r="L246" i="5"/>
  <c r="J281" i="5"/>
  <c r="K281" i="5" s="1"/>
  <c r="L281" i="5" s="1"/>
  <c r="AY38" i="3"/>
  <c r="AU38" i="3"/>
  <c r="AV38" i="3" s="1"/>
  <c r="AS38" i="3"/>
  <c r="AD35" i="4"/>
  <c r="M179" i="5"/>
  <c r="M302" i="5"/>
  <c r="AS31" i="3"/>
  <c r="AQ37" i="3"/>
  <c r="AP37" i="3" s="1"/>
  <c r="AZ37" i="3"/>
  <c r="AO37" i="3"/>
  <c r="J97" i="5"/>
  <c r="K97" i="5" s="1"/>
  <c r="L97" i="5" s="1"/>
  <c r="J98" i="5"/>
  <c r="K98" i="5" s="1"/>
  <c r="L98" i="5" s="1"/>
  <c r="M162" i="5"/>
  <c r="O162" i="5" s="1"/>
  <c r="L42" i="5"/>
  <c r="J73" i="5"/>
  <c r="K73" i="5" s="1"/>
  <c r="L73" i="5" s="1"/>
  <c r="J173" i="5"/>
  <c r="K173" i="5" s="1"/>
  <c r="L173" i="5" s="1"/>
  <c r="M275" i="5"/>
  <c r="O275" i="5" s="1"/>
  <c r="AV21" i="3"/>
  <c r="AY21" i="3" s="1"/>
  <c r="AY33" i="3"/>
  <c r="AU33" i="3"/>
  <c r="AV33" i="3" s="1"/>
  <c r="AS33" i="3"/>
  <c r="J80" i="5"/>
  <c r="K80" i="5" s="1"/>
  <c r="L80" i="5" s="1"/>
  <c r="I84" i="5"/>
  <c r="J85" i="5" s="1"/>
  <c r="K85" i="5" s="1"/>
  <c r="L85" i="5" s="1"/>
  <c r="L96" i="5"/>
  <c r="J114" i="5"/>
  <c r="K114" i="5" s="1"/>
  <c r="L114" i="5" s="1"/>
  <c r="K150" i="5"/>
  <c r="L150" i="5" s="1"/>
  <c r="M183" i="5"/>
  <c r="O183" i="5" s="1"/>
  <c r="N183" i="5"/>
  <c r="I234" i="5"/>
  <c r="J235" i="5" s="1"/>
  <c r="K235" i="5" s="1"/>
  <c r="L235" i="5" s="1"/>
  <c r="AE35" i="4"/>
  <c r="AB66" i="4"/>
  <c r="J47" i="5"/>
  <c r="J48" i="5"/>
  <c r="K37" i="5"/>
  <c r="AZ39" i="3"/>
  <c r="AQ39" i="3"/>
  <c r="AP39" i="3" s="1"/>
  <c r="AZ48" i="3"/>
  <c r="AQ48" i="3"/>
  <c r="AP48" i="3" s="1"/>
  <c r="AO48" i="3"/>
  <c r="J38" i="5"/>
  <c r="K38" i="5" s="1"/>
  <c r="L38" i="5" s="1"/>
  <c r="K107" i="5"/>
  <c r="L107" i="5" s="1"/>
  <c r="M145" i="5"/>
  <c r="N145" i="5" s="1"/>
  <c r="M83" i="5"/>
  <c r="J93" i="5"/>
  <c r="K93" i="5" s="1"/>
  <c r="L93" i="5" s="1"/>
  <c r="M79" i="5"/>
  <c r="O79" i="5" s="1"/>
  <c r="AY49" i="3"/>
  <c r="AS49" i="3"/>
  <c r="AU49" i="3"/>
  <c r="AV49" i="3" s="1"/>
  <c r="J60" i="5"/>
  <c r="F14" i="5"/>
  <c r="J40" i="5"/>
  <c r="K40" i="5" s="1"/>
  <c r="L40" i="5" s="1"/>
  <c r="J69" i="5"/>
  <c r="K69" i="5" s="1"/>
  <c r="L69" i="5" s="1"/>
  <c r="M95" i="5"/>
  <c r="I104" i="5"/>
  <c r="J105" i="5" s="1"/>
  <c r="K105" i="5" s="1"/>
  <c r="L105" i="5" s="1"/>
  <c r="E24" i="5" s="1"/>
  <c r="I125" i="5"/>
  <c r="I184" i="5"/>
  <c r="J185" i="5" s="1"/>
  <c r="K185" i="5" s="1"/>
  <c r="L185" i="5" s="1"/>
  <c r="M254" i="5"/>
  <c r="O254" i="5" s="1"/>
  <c r="I282" i="5"/>
  <c r="J283" i="5" s="1"/>
  <c r="K283" i="5" s="1"/>
  <c r="L283" i="5" s="1"/>
  <c r="AT32" i="3"/>
  <c r="AY41" i="3"/>
  <c r="AU41" i="3"/>
  <c r="AV41" i="3" s="1"/>
  <c r="AS41" i="3"/>
  <c r="L223" i="5"/>
  <c r="J255" i="5"/>
  <c r="K255" i="5" s="1"/>
  <c r="L255" i="5" s="1"/>
  <c r="J256" i="5"/>
  <c r="K256" i="5" s="1"/>
  <c r="L256" i="5" s="1"/>
  <c r="AY51" i="3"/>
  <c r="AC32" i="4"/>
  <c r="AE36" i="4"/>
  <c r="AB71" i="4"/>
  <c r="J180" i="5"/>
  <c r="K180" i="5" s="1"/>
  <c r="L180" i="5" s="1"/>
  <c r="J230" i="5"/>
  <c r="K230" i="5" s="1"/>
  <c r="L230" i="5" s="1"/>
  <c r="J278" i="5"/>
  <c r="K278" i="5" s="1"/>
  <c r="L278" i="5" s="1"/>
  <c r="J303" i="5"/>
  <c r="K303" i="5" s="1"/>
  <c r="L303" i="5" s="1"/>
  <c r="AY50" i="3"/>
  <c r="AU50" i="3"/>
  <c r="AV50" i="3" s="1"/>
  <c r="AS50" i="3"/>
  <c r="AZ58" i="3"/>
  <c r="AQ58" i="3"/>
  <c r="AP58" i="3" s="1"/>
  <c r="E25" i="5"/>
  <c r="I74" i="5"/>
  <c r="J75" i="5" s="1"/>
  <c r="K75" i="5" s="1"/>
  <c r="L75" i="5" s="1"/>
  <c r="E23" i="5" s="1"/>
  <c r="I124" i="5"/>
  <c r="J125" i="5" s="1"/>
  <c r="K125" i="5" s="1"/>
  <c r="L125" i="5" s="1"/>
  <c r="I174" i="5"/>
  <c r="I224" i="5"/>
  <c r="J225" i="5" s="1"/>
  <c r="K225" i="5" s="1"/>
  <c r="L225" i="5" s="1"/>
  <c r="E28" i="5" s="1"/>
  <c r="J237" i="5"/>
  <c r="K237" i="5" s="1"/>
  <c r="L237" i="5" s="1"/>
  <c r="J269" i="5"/>
  <c r="K269" i="5" s="1"/>
  <c r="L269" i="5" s="1"/>
  <c r="I286" i="5"/>
  <c r="J287" i="5" s="1"/>
  <c r="K287" i="5" s="1"/>
  <c r="L287" i="5" s="1"/>
  <c r="AQ35" i="3"/>
  <c r="AP35" i="3" s="1"/>
  <c r="AO35" i="3"/>
  <c r="AZ35" i="3"/>
  <c r="AZ46" i="3"/>
  <c r="AO46" i="3"/>
  <c r="AQ46" i="3"/>
  <c r="AP46" i="3" s="1"/>
  <c r="AU56" i="3"/>
  <c r="AV56" i="3" s="1"/>
  <c r="AS56" i="3"/>
  <c r="AY56" i="3"/>
  <c r="AO58" i="3"/>
  <c r="K224" i="5"/>
  <c r="L224" i="5" s="1"/>
  <c r="J289" i="5"/>
  <c r="K289" i="5" s="1"/>
  <c r="L289" i="5" s="1"/>
  <c r="J295" i="5"/>
  <c r="K295" i="5" s="1"/>
  <c r="L295" i="5" s="1"/>
  <c r="AV26" i="3"/>
  <c r="AY26" i="3" s="1"/>
  <c r="AQ43" i="3"/>
  <c r="AP43" i="3" s="1"/>
  <c r="AO43" i="3"/>
  <c r="AZ43" i="3"/>
  <c r="J134" i="5"/>
  <c r="K134" i="5" s="1"/>
  <c r="L134" i="5" s="1"/>
  <c r="J124" i="5"/>
  <c r="K124" i="5" s="1"/>
  <c r="L124" i="5" s="1"/>
  <c r="J161" i="5"/>
  <c r="K161" i="5" s="1"/>
  <c r="L161" i="5" s="1"/>
  <c r="K168" i="5"/>
  <c r="L168" i="5" s="1"/>
  <c r="J170" i="5"/>
  <c r="K170" i="5" s="1"/>
  <c r="L170" i="5" s="1"/>
  <c r="J174" i="5"/>
  <c r="K174" i="5" s="1"/>
  <c r="L174" i="5" s="1"/>
  <c r="J207" i="5"/>
  <c r="K207" i="5" s="1"/>
  <c r="L207" i="5" s="1"/>
  <c r="J211" i="5"/>
  <c r="K211" i="5" s="1"/>
  <c r="L211" i="5" s="1"/>
  <c r="K218" i="5"/>
  <c r="L218" i="5" s="1"/>
  <c r="J220" i="5"/>
  <c r="K220" i="5" s="1"/>
  <c r="L220" i="5" s="1"/>
  <c r="L221" i="5"/>
  <c r="J224" i="5"/>
  <c r="K247" i="5"/>
  <c r="L247" i="5" s="1"/>
  <c r="J259" i="5"/>
  <c r="K259" i="5" s="1"/>
  <c r="L259" i="5" s="1"/>
  <c r="J296" i="5"/>
  <c r="K296" i="5" s="1"/>
  <c r="L296" i="5" s="1"/>
  <c r="L297" i="5"/>
  <c r="J301" i="5"/>
  <c r="K301" i="5" s="1"/>
  <c r="L301" i="5" s="1"/>
  <c r="AO38" i="3"/>
  <c r="AY40" i="3"/>
  <c r="BB40" i="3" s="1"/>
  <c r="B40" i="3" s="1"/>
  <c r="AU40" i="3"/>
  <c r="AV40" i="3" s="1"/>
  <c r="AO49" i="3"/>
  <c r="J104" i="5"/>
  <c r="K104" i="5" s="1"/>
  <c r="L104" i="5" s="1"/>
  <c r="J267" i="5"/>
  <c r="K267" i="5" s="1"/>
  <c r="J300" i="5"/>
  <c r="K300" i="5" s="1"/>
  <c r="L300" i="5" s="1"/>
  <c r="AY32" i="3"/>
  <c r="AU32" i="3"/>
  <c r="AV32" i="3" s="1"/>
  <c r="M56" i="1"/>
  <c r="C74" i="1"/>
  <c r="K60" i="5"/>
  <c r="L60" i="5" s="1"/>
  <c r="K47" i="5"/>
  <c r="L47" i="5" s="1"/>
  <c r="J57" i="5"/>
  <c r="K57" i="5" s="1"/>
  <c r="L57" i="5" s="1"/>
  <c r="J61" i="5"/>
  <c r="K61" i="5" s="1"/>
  <c r="L61" i="5" s="1"/>
  <c r="J70" i="5"/>
  <c r="K70" i="5" s="1"/>
  <c r="L70" i="5" s="1"/>
  <c r="J74" i="5"/>
  <c r="K74" i="5" s="1"/>
  <c r="L74" i="5" s="1"/>
  <c r="J111" i="5"/>
  <c r="K111" i="5" s="1"/>
  <c r="L111" i="5" s="1"/>
  <c r="J120" i="5"/>
  <c r="K120" i="5" s="1"/>
  <c r="L120" i="5" s="1"/>
  <c r="L37" i="5"/>
  <c r="K51" i="5"/>
  <c r="L51" i="5" s="1"/>
  <c r="I64" i="5"/>
  <c r="J65" i="5" s="1"/>
  <c r="K65" i="5" s="1"/>
  <c r="L65" i="5" s="1"/>
  <c r="I114" i="5"/>
  <c r="J115" i="5" s="1"/>
  <c r="K115" i="5" s="1"/>
  <c r="L115" i="5" s="1"/>
  <c r="K151" i="5"/>
  <c r="L151" i="5" s="1"/>
  <c r="J153" i="5"/>
  <c r="K153" i="5" s="1"/>
  <c r="L153" i="5" s="1"/>
  <c r="I164" i="5"/>
  <c r="J165" i="5" s="1"/>
  <c r="K165" i="5" s="1"/>
  <c r="L165" i="5" s="1"/>
  <c r="J203" i="5"/>
  <c r="K203" i="5" s="1"/>
  <c r="L203" i="5" s="1"/>
  <c r="I214" i="5"/>
  <c r="J215" i="5" s="1"/>
  <c r="K215" i="5" s="1"/>
  <c r="L215" i="5" s="1"/>
  <c r="J227" i="5"/>
  <c r="K227" i="5" s="1"/>
  <c r="L227" i="5" s="1"/>
  <c r="K251" i="5"/>
  <c r="L251" i="5" s="1"/>
  <c r="J253" i="5"/>
  <c r="K253" i="5" s="1"/>
  <c r="L253" i="5" s="1"/>
  <c r="J262" i="5"/>
  <c r="AS23" i="3"/>
  <c r="AY23" i="3"/>
  <c r="AZ36" i="3"/>
  <c r="AQ36" i="3"/>
  <c r="AP36" i="3" s="1"/>
  <c r="AQ47" i="3"/>
  <c r="AP47" i="3" s="1"/>
  <c r="AZ47" i="3"/>
  <c r="K178" i="5"/>
  <c r="L178" i="5" s="1"/>
  <c r="J184" i="5"/>
  <c r="K48" i="5"/>
  <c r="L48" i="5" s="1"/>
  <c r="J50" i="5"/>
  <c r="K50" i="5" s="1"/>
  <c r="L50" i="5" s="1"/>
  <c r="J100" i="5"/>
  <c r="K100" i="5" s="1"/>
  <c r="L100" i="5" s="1"/>
  <c r="J150" i="5"/>
  <c r="J200" i="5"/>
  <c r="K200" i="5" s="1"/>
  <c r="L200" i="5" s="1"/>
  <c r="K248" i="5"/>
  <c r="L248" i="5" s="1"/>
  <c r="K41" i="5"/>
  <c r="L41" i="5" s="1"/>
  <c r="J44" i="5"/>
  <c r="K44" i="5" s="1"/>
  <c r="L44" i="5" s="1"/>
  <c r="K67" i="5"/>
  <c r="L67" i="5" s="1"/>
  <c r="J77" i="5"/>
  <c r="K77" i="5" s="1"/>
  <c r="L77" i="5" s="1"/>
  <c r="J81" i="5"/>
  <c r="K81" i="5" s="1"/>
  <c r="L81" i="5" s="1"/>
  <c r="K84" i="5"/>
  <c r="L84" i="5" s="1"/>
  <c r="J90" i="5"/>
  <c r="K90" i="5" s="1"/>
  <c r="L90" i="5" s="1"/>
  <c r="L91" i="5"/>
  <c r="J94" i="5"/>
  <c r="K94" i="5" s="1"/>
  <c r="L94" i="5" s="1"/>
  <c r="J131" i="5"/>
  <c r="K131" i="5" s="1"/>
  <c r="L131" i="5" s="1"/>
  <c r="J140" i="5"/>
  <c r="K140" i="5" s="1"/>
  <c r="L140" i="5" s="1"/>
  <c r="L141" i="5"/>
  <c r="J144" i="5"/>
  <c r="K144" i="5" s="1"/>
  <c r="L144" i="5" s="1"/>
  <c r="J177" i="5"/>
  <c r="K177" i="5" s="1"/>
  <c r="L177" i="5" s="1"/>
  <c r="J181" i="5"/>
  <c r="K181" i="5" s="1"/>
  <c r="L181" i="5" s="1"/>
  <c r="K184" i="5"/>
  <c r="L184" i="5" s="1"/>
  <c r="J190" i="5"/>
  <c r="K190" i="5" s="1"/>
  <c r="L190" i="5" s="1"/>
  <c r="L191" i="5"/>
  <c r="J194" i="5"/>
  <c r="K194" i="5" s="1"/>
  <c r="L194" i="5" s="1"/>
  <c r="K217" i="5"/>
  <c r="L217" i="5" s="1"/>
  <c r="J231" i="5"/>
  <c r="K231" i="5" s="1"/>
  <c r="L231" i="5" s="1"/>
  <c r="J240" i="5"/>
  <c r="K240" i="5" s="1"/>
  <c r="L240" i="5" s="1"/>
  <c r="L241" i="5"/>
  <c r="N276" i="5"/>
  <c r="L277" i="5"/>
  <c r="AS22" i="3"/>
  <c r="AY22" i="3"/>
  <c r="AQ57" i="3"/>
  <c r="AP57" i="3" s="1"/>
  <c r="AZ57" i="3"/>
  <c r="AO57" i="3"/>
  <c r="L257" i="5"/>
  <c r="K262" i="5"/>
  <c r="L262" i="5" s="1"/>
  <c r="AS19" i="3"/>
  <c r="BJ19" i="3"/>
  <c r="AS24" i="3"/>
  <c r="BK29" i="3"/>
  <c r="BJ29" i="3"/>
  <c r="AQ45" i="3"/>
  <c r="AP45" i="3" s="1"/>
  <c r="AO45" i="3"/>
  <c r="AQ53" i="3"/>
  <c r="AP53" i="3" s="1"/>
  <c r="AO53" i="3"/>
  <c r="AZ53" i="3"/>
  <c r="AB69" i="4"/>
  <c r="AD68" i="4"/>
  <c r="AB64" i="4"/>
  <c r="AD63" i="4"/>
  <c r="AB59" i="4"/>
  <c r="AD58" i="4"/>
  <c r="AB54" i="4"/>
  <c r="AD53" i="4"/>
  <c r="AB49" i="4"/>
  <c r="AD48" i="4"/>
  <c r="AB44" i="4"/>
  <c r="AD43" i="4"/>
  <c r="AB39" i="4"/>
  <c r="AD38" i="4"/>
  <c r="AB34" i="4"/>
  <c r="AD33" i="4"/>
  <c r="AF33" i="4" s="1"/>
  <c r="AC38" i="4"/>
  <c r="AE37" i="4"/>
  <c r="AC33" i="4"/>
  <c r="AE32" i="4"/>
  <c r="AB68" i="4"/>
  <c r="AD67" i="4"/>
  <c r="AB63" i="4"/>
  <c r="AD62" i="4"/>
  <c r="AB58" i="4"/>
  <c r="AD57" i="4"/>
  <c r="AB53" i="4"/>
  <c r="AD52" i="4"/>
  <c r="AB48" i="4"/>
  <c r="AD47" i="4"/>
  <c r="AB43" i="4"/>
  <c r="AD42" i="4"/>
  <c r="AB38" i="4"/>
  <c r="AD37" i="4"/>
  <c r="AB33" i="4"/>
  <c r="AD32" i="4"/>
  <c r="AE71" i="4"/>
  <c r="AE72" i="4" s="1"/>
  <c r="AD71" i="4"/>
  <c r="AB67" i="4"/>
  <c r="AD66" i="4"/>
  <c r="AB62" i="4"/>
  <c r="AD61" i="4"/>
  <c r="AB57" i="4"/>
  <c r="AD56" i="4"/>
  <c r="AB52" i="4"/>
  <c r="AD51" i="4"/>
  <c r="AB47" i="4"/>
  <c r="AD46" i="4"/>
  <c r="AB42" i="4"/>
  <c r="AD41" i="4"/>
  <c r="AB37" i="4"/>
  <c r="AD36" i="4"/>
  <c r="AB32" i="4"/>
  <c r="G29" i="4"/>
  <c r="AB40" i="4"/>
  <c r="AT34" i="3"/>
  <c r="AS42" i="3"/>
  <c r="AQ55" i="3"/>
  <c r="AP55" i="3" s="1"/>
  <c r="AO55" i="3"/>
  <c r="AO56" i="3"/>
  <c r="N248" i="4"/>
  <c r="N243" i="4"/>
  <c r="N238" i="4"/>
  <c r="N233" i="4"/>
  <c r="N228" i="4"/>
  <c r="N251" i="4"/>
  <c r="N246" i="4"/>
  <c r="N241" i="4"/>
  <c r="N236" i="4"/>
  <c r="N231" i="4"/>
  <c r="G219" i="4"/>
  <c r="N249" i="4"/>
  <c r="N244" i="4"/>
  <c r="N239" i="4"/>
  <c r="N234" i="4"/>
  <c r="N229" i="4"/>
  <c r="F219" i="4"/>
  <c r="C219" i="4"/>
  <c r="N235" i="4"/>
  <c r="N247" i="4"/>
  <c r="N230" i="4"/>
  <c r="N242" i="4"/>
  <c r="N250" i="4"/>
  <c r="E219" i="4"/>
  <c r="AB118" i="4"/>
  <c r="AD117" i="4"/>
  <c r="AB113" i="4"/>
  <c r="AD112" i="4"/>
  <c r="AB117" i="4"/>
  <c r="AD116" i="4"/>
  <c r="AB112" i="4"/>
  <c r="AD111" i="4"/>
  <c r="AE119" i="4"/>
  <c r="AE120" i="4" s="1"/>
  <c r="AD115" i="4"/>
  <c r="AC86" i="4"/>
  <c r="AE85" i="4"/>
  <c r="AC81" i="4"/>
  <c r="AE80" i="4"/>
  <c r="AB115" i="4"/>
  <c r="AB106" i="4"/>
  <c r="AD105" i="4"/>
  <c r="AB101" i="4"/>
  <c r="AD100" i="4"/>
  <c r="AB96" i="4"/>
  <c r="AD95" i="4"/>
  <c r="AB91" i="4"/>
  <c r="AD90" i="4"/>
  <c r="AB86" i="4"/>
  <c r="AD85" i="4"/>
  <c r="AB81" i="4"/>
  <c r="AD80" i="4"/>
  <c r="AE118" i="4"/>
  <c r="AC85" i="4"/>
  <c r="AE84" i="4"/>
  <c r="AC80" i="4"/>
  <c r="AD118" i="4"/>
  <c r="AB105" i="4"/>
  <c r="AD104" i="4"/>
  <c r="AB100" i="4"/>
  <c r="AD99" i="4"/>
  <c r="AB95" i="4"/>
  <c r="AD94" i="4"/>
  <c r="AB90" i="4"/>
  <c r="AD89" i="4"/>
  <c r="AB85" i="4"/>
  <c r="AD84" i="4"/>
  <c r="AB80" i="4"/>
  <c r="AD113" i="4"/>
  <c r="AD109" i="4"/>
  <c r="AE88" i="4"/>
  <c r="AC84" i="4"/>
  <c r="AE83" i="4"/>
  <c r="AF83" i="4" s="1"/>
  <c r="AC39" i="4"/>
  <c r="AC40" i="4"/>
  <c r="AD50" i="4"/>
  <c r="AD55" i="4"/>
  <c r="AD60" i="4"/>
  <c r="AD65" i="4"/>
  <c r="AD70" i="4"/>
  <c r="AE82" i="4"/>
  <c r="AE87" i="4"/>
  <c r="AF87" i="4" s="1"/>
  <c r="AB109" i="4"/>
  <c r="AD114" i="4"/>
  <c r="AD119" i="4"/>
  <c r="N245" i="4"/>
  <c r="N172" i="4"/>
  <c r="A126" i="4"/>
  <c r="G8" i="4"/>
  <c r="B74" i="1" s="1"/>
  <c r="AD141" i="4"/>
  <c r="AD146" i="4"/>
  <c r="AD151" i="4"/>
  <c r="AD156" i="4"/>
  <c r="AD161" i="4"/>
  <c r="J263" i="5"/>
  <c r="K263" i="5" s="1"/>
  <c r="L263" i="5" s="1"/>
  <c r="J279" i="5"/>
  <c r="K279" i="5" s="1"/>
  <c r="L279" i="5" s="1"/>
  <c r="AU19" i="3"/>
  <c r="AV19" i="3" s="1"/>
  <c r="AS20" i="3"/>
  <c r="AU24" i="3"/>
  <c r="AS25" i="3"/>
  <c r="AU34" i="3"/>
  <c r="AV34" i="3" s="1"/>
  <c r="AS52" i="3"/>
  <c r="BB54" i="3"/>
  <c r="B54" i="3" s="1"/>
  <c r="AB166" i="4"/>
  <c r="AD165" i="4"/>
  <c r="AB161" i="4"/>
  <c r="AD160" i="4"/>
  <c r="AB156" i="4"/>
  <c r="AD155" i="4"/>
  <c r="AB151" i="4"/>
  <c r="AD150" i="4"/>
  <c r="AB146" i="4"/>
  <c r="AD145" i="4"/>
  <c r="AB141" i="4"/>
  <c r="AD140" i="4"/>
  <c r="AB136" i="4"/>
  <c r="AD135" i="4"/>
  <c r="AB131" i="4"/>
  <c r="AD130" i="4"/>
  <c r="AC135" i="4"/>
  <c r="AE134" i="4"/>
  <c r="AC130" i="4"/>
  <c r="AE129" i="4"/>
  <c r="AB165" i="4"/>
  <c r="AD164" i="4"/>
  <c r="AB160" i="4"/>
  <c r="AD159" i="4"/>
  <c r="AB155" i="4"/>
  <c r="AD154" i="4"/>
  <c r="AB150" i="4"/>
  <c r="AD149" i="4"/>
  <c r="AB145" i="4"/>
  <c r="AD144" i="4"/>
  <c r="AB140" i="4"/>
  <c r="AD139" i="4"/>
  <c r="AB135" i="4"/>
  <c r="AD134" i="4"/>
  <c r="AB130" i="4"/>
  <c r="AD129" i="4"/>
  <c r="AC134" i="4"/>
  <c r="AE133" i="4"/>
  <c r="AC129" i="4"/>
  <c r="AE128" i="4"/>
  <c r="AD167" i="4"/>
  <c r="AC167" i="4" s="1"/>
  <c r="AB163" i="4"/>
  <c r="AD162" i="4"/>
  <c r="AB158" i="4"/>
  <c r="AD157" i="4"/>
  <c r="AB153" i="4"/>
  <c r="AD152" i="4"/>
  <c r="AB148" i="4"/>
  <c r="AD147" i="4"/>
  <c r="AB143" i="4"/>
  <c r="AD142" i="4"/>
  <c r="AB138" i="4"/>
  <c r="AD137" i="4"/>
  <c r="AB133" i="4"/>
  <c r="AD132" i="4"/>
  <c r="AB128" i="4"/>
  <c r="AE167" i="4"/>
  <c r="AE168" i="4" s="1"/>
  <c r="AE132" i="4"/>
  <c r="AC132" i="4"/>
  <c r="AB167" i="4"/>
  <c r="AB162" i="4"/>
  <c r="AB157" i="4"/>
  <c r="AB152" i="4"/>
  <c r="AB147" i="4"/>
  <c r="AB142" i="4"/>
  <c r="AB132" i="4"/>
  <c r="I29" i="4"/>
  <c r="AE135" i="4"/>
  <c r="AE130" i="4"/>
  <c r="AD163" i="4"/>
  <c r="AD158" i="4"/>
  <c r="AD153" i="4"/>
  <c r="AD148" i="4"/>
  <c r="AD143" i="4"/>
  <c r="AD138" i="4"/>
  <c r="AD133" i="4"/>
  <c r="AD128" i="4"/>
  <c r="AF128" i="4" s="1"/>
  <c r="AD39" i="4"/>
  <c r="AD40" i="4"/>
  <c r="AE70" i="4"/>
  <c r="AB84" i="4"/>
  <c r="AB94" i="4"/>
  <c r="AB99" i="4"/>
  <c r="AB104" i="4"/>
  <c r="D219" i="4"/>
  <c r="N237" i="4"/>
  <c r="L267" i="5"/>
  <c r="K280" i="5"/>
  <c r="L280" i="5" s="1"/>
  <c r="BJ30" i="3"/>
  <c r="BB30" i="3" s="1"/>
  <c r="B30" i="3" s="1"/>
  <c r="AY30" i="3"/>
  <c r="AU42" i="3"/>
  <c r="AV42" i="3" s="1"/>
  <c r="AT54" i="3"/>
  <c r="I5" i="4"/>
  <c r="AE38" i="4"/>
  <c r="AE39" i="4"/>
  <c r="AE40" i="4"/>
  <c r="AD81" i="4"/>
  <c r="AD86" i="4"/>
  <c r="AD91" i="4"/>
  <c r="AD96" i="4"/>
  <c r="AD101" i="4"/>
  <c r="AD106" i="4"/>
  <c r="AB129" i="4"/>
  <c r="AB134" i="4"/>
  <c r="AB139" i="4"/>
  <c r="AB144" i="4"/>
  <c r="AB149" i="4"/>
  <c r="AB154" i="4"/>
  <c r="AB159" i="4"/>
  <c r="AB164" i="4"/>
  <c r="I272" i="5"/>
  <c r="J273" i="5" s="1"/>
  <c r="K273" i="5" s="1"/>
  <c r="L273" i="5" s="1"/>
  <c r="J293" i="5"/>
  <c r="K293" i="5" s="1"/>
  <c r="L293" i="5" s="1"/>
  <c r="AY19" i="3"/>
  <c r="BJ21" i="3" s="1"/>
  <c r="AU20" i="3"/>
  <c r="AV20" i="3" s="1"/>
  <c r="AS21" i="3"/>
  <c r="AU25" i="3"/>
  <c r="AS26" i="3"/>
  <c r="AY34" i="3"/>
  <c r="BB34" i="3" s="1"/>
  <c r="B34" i="3" s="1"/>
  <c r="AU52" i="3"/>
  <c r="AV52" i="3" s="1"/>
  <c r="AU54" i="3"/>
  <c r="AV54" i="3" s="1"/>
  <c r="AB35" i="4"/>
  <c r="AB36" i="4"/>
  <c r="AC37" i="4"/>
  <c r="AD49" i="4"/>
  <c r="AD54" i="4"/>
  <c r="AD59" i="4"/>
  <c r="AD64" i="4"/>
  <c r="AD69" i="4"/>
  <c r="AE81" i="4"/>
  <c r="AE86" i="4"/>
  <c r="N240" i="4"/>
  <c r="AZ32" i="3"/>
  <c r="AZ41" i="3"/>
  <c r="AZ51" i="3"/>
  <c r="I9" i="4"/>
  <c r="A30" i="4"/>
  <c r="A78" i="4"/>
  <c r="E163" i="6"/>
  <c r="E153" i="6"/>
  <c r="E143" i="6"/>
  <c r="E162" i="6"/>
  <c r="E152" i="6"/>
  <c r="E142" i="6"/>
  <c r="E167" i="6"/>
  <c r="E157" i="6"/>
  <c r="E147" i="6"/>
  <c r="E166" i="6"/>
  <c r="E149" i="6"/>
  <c r="E164" i="6"/>
  <c r="E160" i="6"/>
  <c r="E146" i="6"/>
  <c r="E158" i="6"/>
  <c r="E169" i="6"/>
  <c r="E168" i="6"/>
  <c r="E156" i="6"/>
  <c r="E141" i="6"/>
  <c r="E159" i="6"/>
  <c r="E140" i="6"/>
  <c r="E155" i="6"/>
  <c r="E154" i="6"/>
  <c r="E150" i="6"/>
  <c r="E151" i="6"/>
  <c r="E145" i="6"/>
  <c r="E161" i="6"/>
  <c r="E148" i="6"/>
  <c r="E144" i="6"/>
  <c r="E165" i="6"/>
  <c r="E439" i="6"/>
  <c r="E437" i="6"/>
  <c r="E435" i="6"/>
  <c r="E433" i="6"/>
  <c r="E431" i="6"/>
  <c r="E429" i="6"/>
  <c r="E427" i="6"/>
  <c r="E425" i="6"/>
  <c r="E423" i="6"/>
  <c r="E410" i="6"/>
  <c r="E414" i="6"/>
  <c r="E434" i="6"/>
  <c r="E424" i="6"/>
  <c r="E416" i="6"/>
  <c r="E426" i="6"/>
  <c r="E418" i="6"/>
  <c r="E421" i="6"/>
  <c r="E419" i="6"/>
  <c r="E438" i="6"/>
  <c r="E432" i="6"/>
  <c r="E420" i="6"/>
  <c r="E412" i="6"/>
  <c r="E415" i="6"/>
  <c r="E422" i="6"/>
  <c r="E411" i="6"/>
  <c r="E436" i="6"/>
  <c r="E430" i="6"/>
  <c r="E413" i="6"/>
  <c r="E428" i="6"/>
  <c r="E417" i="6"/>
  <c r="H288" i="6"/>
  <c r="H286" i="6"/>
  <c r="H284" i="6"/>
  <c r="H282" i="6"/>
  <c r="H280" i="6"/>
  <c r="H278" i="6"/>
  <c r="H276" i="6"/>
  <c r="H274" i="6"/>
  <c r="H272" i="6"/>
  <c r="H270" i="6"/>
  <c r="H268" i="6"/>
  <c r="H266" i="6"/>
  <c r="H264" i="6"/>
  <c r="H262" i="6"/>
  <c r="H260" i="6"/>
  <c r="H287" i="6"/>
  <c r="H277" i="6"/>
  <c r="H267" i="6"/>
  <c r="H281" i="6"/>
  <c r="H271" i="6"/>
  <c r="H261" i="6"/>
  <c r="H265" i="6"/>
  <c r="H285" i="6"/>
  <c r="H273" i="6"/>
  <c r="H263" i="6"/>
  <c r="H275" i="6"/>
  <c r="H283" i="6"/>
  <c r="H279" i="6"/>
  <c r="H269" i="6"/>
  <c r="H289" i="6"/>
  <c r="F190" i="6"/>
  <c r="F182" i="6"/>
  <c r="F172" i="6"/>
  <c r="F192" i="6"/>
  <c r="F189" i="6"/>
  <c r="F187" i="6"/>
  <c r="F177" i="6"/>
  <c r="F194" i="6"/>
  <c r="F191" i="6"/>
  <c r="F186" i="6"/>
  <c r="F176" i="6"/>
  <c r="F196" i="6"/>
  <c r="F174" i="6"/>
  <c r="F170" i="6"/>
  <c r="F199" i="6"/>
  <c r="F178" i="6"/>
  <c r="F175" i="6"/>
  <c r="F171" i="6"/>
  <c r="F195" i="6"/>
  <c r="F185" i="6"/>
  <c r="F181" i="6"/>
  <c r="F180" i="6"/>
  <c r="F179" i="6"/>
  <c r="F184" i="6"/>
  <c r="F197" i="6"/>
  <c r="F188" i="6"/>
  <c r="F198" i="6"/>
  <c r="F183" i="6"/>
  <c r="F173" i="6"/>
  <c r="F193" i="6"/>
  <c r="F15" i="6"/>
  <c r="I28" i="6"/>
  <c r="I40" i="6"/>
  <c r="I44" i="6"/>
  <c r="I24" i="6"/>
  <c r="I36" i="6"/>
  <c r="I32" i="6"/>
  <c r="F258" i="6"/>
  <c r="F256" i="6"/>
  <c r="F254" i="6"/>
  <c r="F252" i="6"/>
  <c r="F250" i="6"/>
  <c r="F248" i="6"/>
  <c r="F246" i="6"/>
  <c r="F244" i="6"/>
  <c r="F242" i="6"/>
  <c r="F240" i="6"/>
  <c r="F238" i="6"/>
  <c r="F236" i="6"/>
  <c r="F234" i="6"/>
  <c r="F232" i="6"/>
  <c r="F230" i="6"/>
  <c r="F253" i="6"/>
  <c r="F233" i="6"/>
  <c r="F235" i="6"/>
  <c r="F257" i="6"/>
  <c r="F247" i="6"/>
  <c r="F237" i="6"/>
  <c r="F251" i="6"/>
  <c r="F243" i="6"/>
  <c r="F239" i="6"/>
  <c r="F245" i="6"/>
  <c r="F241" i="6"/>
  <c r="F249" i="6"/>
  <c r="F231" i="6"/>
  <c r="F259" i="6"/>
  <c r="F255" i="6"/>
  <c r="G258" i="6"/>
  <c r="G256" i="6"/>
  <c r="G254" i="6"/>
  <c r="G252" i="6"/>
  <c r="G250" i="6"/>
  <c r="G248" i="6"/>
  <c r="G246" i="6"/>
  <c r="G236" i="6"/>
  <c r="G235" i="6"/>
  <c r="G257" i="6"/>
  <c r="G247" i="6"/>
  <c r="G238" i="6"/>
  <c r="G237" i="6"/>
  <c r="G240" i="6"/>
  <c r="G239" i="6"/>
  <c r="G245" i="6"/>
  <c r="G255" i="6"/>
  <c r="G242" i="6"/>
  <c r="G241" i="6"/>
  <c r="G243" i="6"/>
  <c r="G232" i="6"/>
  <c r="G244" i="6"/>
  <c r="G230" i="6"/>
  <c r="G233" i="6"/>
  <c r="G249" i="6"/>
  <c r="G251" i="6"/>
  <c r="G253" i="6"/>
  <c r="G234" i="6"/>
  <c r="G231" i="6"/>
  <c r="G259" i="6"/>
  <c r="G648" i="6"/>
  <c r="G644" i="6"/>
  <c r="G621" i="6"/>
  <c r="G643" i="6"/>
  <c r="G633" i="6"/>
  <c r="G628" i="6"/>
  <c r="G625" i="6"/>
  <c r="G632" i="6"/>
  <c r="G627" i="6"/>
  <c r="G622" i="6"/>
  <c r="G646" i="6"/>
  <c r="G638" i="6"/>
  <c r="G634" i="6"/>
  <c r="G636" i="6"/>
  <c r="G626" i="6"/>
  <c r="G624" i="6"/>
  <c r="G639" i="6"/>
  <c r="G631" i="6"/>
  <c r="G623" i="6"/>
  <c r="G620" i="6"/>
  <c r="G640" i="6"/>
  <c r="G629" i="6"/>
  <c r="G649" i="6"/>
  <c r="G641" i="6"/>
  <c r="G642" i="6"/>
  <c r="G630" i="6"/>
  <c r="G647" i="6"/>
  <c r="G635" i="6"/>
  <c r="G645" i="6"/>
  <c r="G637" i="6"/>
  <c r="C438" i="6"/>
  <c r="R438" i="6" s="1"/>
  <c r="C436" i="6"/>
  <c r="C434" i="6"/>
  <c r="C432" i="6"/>
  <c r="C430" i="6"/>
  <c r="C428" i="6"/>
  <c r="R428" i="6" s="1"/>
  <c r="C426" i="6"/>
  <c r="C424" i="6"/>
  <c r="C422" i="6"/>
  <c r="R422" i="6" s="1"/>
  <c r="C420" i="6"/>
  <c r="C418" i="6"/>
  <c r="C416" i="6"/>
  <c r="R416" i="6" s="1"/>
  <c r="T416" i="6" s="1"/>
  <c r="C414" i="6"/>
  <c r="R414" i="6" s="1"/>
  <c r="T414" i="6" s="1"/>
  <c r="C412" i="6"/>
  <c r="C410" i="6"/>
  <c r="C419" i="6"/>
  <c r="C439" i="6"/>
  <c r="C429" i="6"/>
  <c r="C437" i="6"/>
  <c r="C431" i="6"/>
  <c r="C417" i="6"/>
  <c r="C427" i="6"/>
  <c r="C433" i="6"/>
  <c r="C421" i="6"/>
  <c r="C411" i="6"/>
  <c r="C435" i="6"/>
  <c r="C413" i="6"/>
  <c r="C425" i="6"/>
  <c r="C415" i="6"/>
  <c r="C423" i="6"/>
  <c r="C139" i="6"/>
  <c r="C137" i="6"/>
  <c r="C135" i="6"/>
  <c r="C133" i="6"/>
  <c r="C131" i="6"/>
  <c r="C129" i="6"/>
  <c r="C127" i="6"/>
  <c r="C125" i="6"/>
  <c r="R125" i="6" s="1"/>
  <c r="C123" i="6"/>
  <c r="C121" i="6"/>
  <c r="C119" i="6"/>
  <c r="C117" i="6"/>
  <c r="C115" i="6"/>
  <c r="C113" i="6"/>
  <c r="C111" i="6"/>
  <c r="C138" i="6"/>
  <c r="C128" i="6"/>
  <c r="C118" i="6"/>
  <c r="C116" i="6"/>
  <c r="C112" i="6"/>
  <c r="C136" i="6"/>
  <c r="C132" i="6"/>
  <c r="C124" i="6"/>
  <c r="C110" i="6"/>
  <c r="C114" i="6"/>
  <c r="C134" i="6"/>
  <c r="C122" i="6"/>
  <c r="C126" i="6"/>
  <c r="C130" i="6"/>
  <c r="C120" i="6"/>
  <c r="G192" i="6"/>
  <c r="G189" i="6"/>
  <c r="G187" i="6"/>
  <c r="G177" i="6"/>
  <c r="G194" i="6"/>
  <c r="G191" i="6"/>
  <c r="G186" i="6"/>
  <c r="G176" i="6"/>
  <c r="G196" i="6"/>
  <c r="G193" i="6"/>
  <c r="G181" i="6"/>
  <c r="G171" i="6"/>
  <c r="G182" i="6"/>
  <c r="G199" i="6"/>
  <c r="G188" i="6"/>
  <c r="G179" i="6"/>
  <c r="G195" i="6"/>
  <c r="G185" i="6"/>
  <c r="G180" i="6"/>
  <c r="G184" i="6"/>
  <c r="G178" i="6"/>
  <c r="G174" i="6"/>
  <c r="G197" i="6"/>
  <c r="G175" i="6"/>
  <c r="G198" i="6"/>
  <c r="G183" i="6"/>
  <c r="G172" i="6"/>
  <c r="G173" i="6"/>
  <c r="G170" i="6"/>
  <c r="G190" i="6"/>
  <c r="F478" i="6"/>
  <c r="F476" i="6"/>
  <c r="F474" i="6"/>
  <c r="F472" i="6"/>
  <c r="F470" i="6"/>
  <c r="F497" i="6"/>
  <c r="F496" i="6"/>
  <c r="F494" i="6"/>
  <c r="F491" i="6"/>
  <c r="F498" i="6"/>
  <c r="F495" i="6"/>
  <c r="F499" i="6"/>
  <c r="F480" i="6"/>
  <c r="F488" i="6"/>
  <c r="F486" i="6"/>
  <c r="F490" i="6"/>
  <c r="F481" i="6"/>
  <c r="F485" i="6"/>
  <c r="F483" i="6"/>
  <c r="F493" i="6"/>
  <c r="F484" i="6"/>
  <c r="F482" i="6"/>
  <c r="F477" i="6"/>
  <c r="F475" i="6"/>
  <c r="F489" i="6"/>
  <c r="F487" i="6"/>
  <c r="F473" i="6"/>
  <c r="F471" i="6"/>
  <c r="F479" i="6"/>
  <c r="F492" i="6"/>
  <c r="C611" i="6"/>
  <c r="C610" i="6"/>
  <c r="R610" i="6" s="1"/>
  <c r="C608" i="6"/>
  <c r="C607" i="6"/>
  <c r="C606" i="6"/>
  <c r="C604" i="6"/>
  <c r="C618" i="6"/>
  <c r="C616" i="6"/>
  <c r="C601" i="6"/>
  <c r="C597" i="6"/>
  <c r="C599" i="6"/>
  <c r="C594" i="6"/>
  <c r="C615" i="6"/>
  <c r="C596" i="6"/>
  <c r="C598" i="6"/>
  <c r="C590" i="6"/>
  <c r="C600" i="6"/>
  <c r="C595" i="6"/>
  <c r="C612" i="6"/>
  <c r="C593" i="6"/>
  <c r="C591" i="6"/>
  <c r="C609" i="6"/>
  <c r="C619" i="6"/>
  <c r="C602" i="6"/>
  <c r="C592" i="6"/>
  <c r="C614" i="6"/>
  <c r="C617" i="6"/>
  <c r="C613" i="6"/>
  <c r="C605" i="6"/>
  <c r="C603" i="6"/>
  <c r="H378" i="6"/>
  <c r="H369" i="6"/>
  <c r="H364" i="6"/>
  <c r="H362" i="6"/>
  <c r="H361" i="6"/>
  <c r="H360" i="6"/>
  <c r="H358" i="6"/>
  <c r="H357" i="6"/>
  <c r="H356" i="6"/>
  <c r="H354" i="6"/>
  <c r="H353" i="6"/>
  <c r="H352" i="6"/>
  <c r="H350" i="6"/>
  <c r="H374" i="6"/>
  <c r="H363" i="6"/>
  <c r="H359" i="6"/>
  <c r="H355" i="6"/>
  <c r="H351" i="6"/>
  <c r="H379" i="6"/>
  <c r="H365" i="6"/>
  <c r="H376" i="6"/>
  <c r="H375" i="6"/>
  <c r="H373" i="6"/>
  <c r="H370" i="6"/>
  <c r="H366" i="6"/>
  <c r="H367" i="6"/>
  <c r="H368" i="6"/>
  <c r="H377" i="6"/>
  <c r="H371" i="6"/>
  <c r="H372" i="6"/>
  <c r="G498" i="6"/>
  <c r="G496" i="6"/>
  <c r="G494" i="6"/>
  <c r="G492" i="6"/>
  <c r="G490" i="6"/>
  <c r="G488" i="6"/>
  <c r="G486" i="6"/>
  <c r="G484" i="6"/>
  <c r="G482" i="6"/>
  <c r="G480" i="6"/>
  <c r="G495" i="6"/>
  <c r="G499" i="6"/>
  <c r="G475" i="6"/>
  <c r="G471" i="6"/>
  <c r="G491" i="6"/>
  <c r="G478" i="6"/>
  <c r="G476" i="6"/>
  <c r="G474" i="6"/>
  <c r="G472" i="6"/>
  <c r="G470" i="6"/>
  <c r="G481" i="6"/>
  <c r="G485" i="6"/>
  <c r="G483" i="6"/>
  <c r="G493" i="6"/>
  <c r="G477" i="6"/>
  <c r="G489" i="6"/>
  <c r="G473" i="6"/>
  <c r="G487" i="6"/>
  <c r="G497" i="6"/>
  <c r="G479" i="6"/>
  <c r="E618" i="6"/>
  <c r="E614" i="6"/>
  <c r="E610" i="6"/>
  <c r="E606" i="6"/>
  <c r="E616" i="6"/>
  <c r="E612" i="6"/>
  <c r="E619" i="6"/>
  <c r="E613" i="6"/>
  <c r="E615" i="6"/>
  <c r="E608" i="6"/>
  <c r="E599" i="6"/>
  <c r="E602" i="6"/>
  <c r="E601" i="6"/>
  <c r="E596" i="6"/>
  <c r="E594" i="6"/>
  <c r="E590" i="6"/>
  <c r="E598" i="6"/>
  <c r="E603" i="6"/>
  <c r="E600" i="6"/>
  <c r="E617" i="6"/>
  <c r="E609" i="6"/>
  <c r="E591" i="6"/>
  <c r="E607" i="6"/>
  <c r="E611" i="6"/>
  <c r="E597" i="6"/>
  <c r="E593" i="6"/>
  <c r="E605" i="6"/>
  <c r="E604" i="6"/>
  <c r="E592" i="6"/>
  <c r="E595" i="6"/>
  <c r="P239" i="6"/>
  <c r="Q239" i="6" s="1"/>
  <c r="R239" i="6" s="1"/>
  <c r="H497" i="6"/>
  <c r="H493" i="6"/>
  <c r="H489" i="6"/>
  <c r="H485" i="6"/>
  <c r="H481" i="6"/>
  <c r="H499" i="6"/>
  <c r="H498" i="6"/>
  <c r="H476" i="6"/>
  <c r="H472" i="6"/>
  <c r="H475" i="6"/>
  <c r="H471" i="6"/>
  <c r="H491" i="6"/>
  <c r="H488" i="6"/>
  <c r="H486" i="6"/>
  <c r="H478" i="6"/>
  <c r="H474" i="6"/>
  <c r="H470" i="6"/>
  <c r="H490" i="6"/>
  <c r="H483" i="6"/>
  <c r="H494" i="6"/>
  <c r="H496" i="6"/>
  <c r="S496" i="6" s="1"/>
  <c r="T496" i="6" s="1"/>
  <c r="H495" i="6"/>
  <c r="H479" i="6"/>
  <c r="H484" i="6"/>
  <c r="S484" i="6" s="1"/>
  <c r="T484" i="6" s="1"/>
  <c r="H482" i="6"/>
  <c r="H480" i="6"/>
  <c r="H473" i="6"/>
  <c r="S473" i="6" s="1"/>
  <c r="H477" i="6"/>
  <c r="H492" i="6"/>
  <c r="H487" i="6"/>
  <c r="F619" i="6"/>
  <c r="F617" i="6"/>
  <c r="F615" i="6"/>
  <c r="F613" i="6"/>
  <c r="F611" i="6"/>
  <c r="F609" i="6"/>
  <c r="F607" i="6"/>
  <c r="F605" i="6"/>
  <c r="F600" i="6"/>
  <c r="F596" i="6"/>
  <c r="F610" i="6"/>
  <c r="F598" i="6"/>
  <c r="F595" i="6"/>
  <c r="F614" i="6"/>
  <c r="F597" i="6"/>
  <c r="F616" i="6"/>
  <c r="F603" i="6"/>
  <c r="F590" i="6"/>
  <c r="F591" i="6"/>
  <c r="F599" i="6"/>
  <c r="F618" i="6"/>
  <c r="F608" i="6"/>
  <c r="F602" i="6"/>
  <c r="F601" i="6"/>
  <c r="F593" i="6"/>
  <c r="F612" i="6"/>
  <c r="F592" i="6"/>
  <c r="F594" i="6"/>
  <c r="F604" i="6"/>
  <c r="F606" i="6"/>
  <c r="P87" i="6"/>
  <c r="Q87" i="6" s="1"/>
  <c r="G76" i="6"/>
  <c r="G74" i="6"/>
  <c r="G72" i="6"/>
  <c r="G70" i="6"/>
  <c r="G68" i="6"/>
  <c r="G66" i="6"/>
  <c r="G64" i="6"/>
  <c r="G62" i="6"/>
  <c r="G60" i="6"/>
  <c r="G58" i="6"/>
  <c r="G56" i="6"/>
  <c r="G54" i="6"/>
  <c r="G52" i="6"/>
  <c r="G50" i="6"/>
  <c r="G78" i="6"/>
  <c r="G77" i="6"/>
  <c r="G75" i="6"/>
  <c r="G73" i="6"/>
  <c r="G71" i="6"/>
  <c r="G61" i="6"/>
  <c r="G51" i="6"/>
  <c r="G79" i="6"/>
  <c r="G63" i="6"/>
  <c r="G53" i="6"/>
  <c r="G65" i="6"/>
  <c r="G55" i="6"/>
  <c r="G67" i="6"/>
  <c r="G69" i="6"/>
  <c r="G57" i="6"/>
  <c r="F102" i="6"/>
  <c r="F92" i="6"/>
  <c r="F84" i="6"/>
  <c r="F82" i="6"/>
  <c r="F80" i="6"/>
  <c r="F107" i="6"/>
  <c r="F97" i="6"/>
  <c r="F101" i="6"/>
  <c r="F95" i="6"/>
  <c r="F83" i="6"/>
  <c r="F106" i="6"/>
  <c r="F103" i="6"/>
  <c r="F99" i="6"/>
  <c r="F96" i="6"/>
  <c r="F108" i="6"/>
  <c r="F104" i="6"/>
  <c r="F100" i="6"/>
  <c r="F86" i="6"/>
  <c r="F90" i="6"/>
  <c r="F88" i="6"/>
  <c r="F87" i="6"/>
  <c r="F85" i="6"/>
  <c r="F81" i="6"/>
  <c r="F91" i="6"/>
  <c r="F89" i="6"/>
  <c r="F93" i="6"/>
  <c r="F98" i="6"/>
  <c r="F94" i="6"/>
  <c r="F105" i="6"/>
  <c r="H138" i="6"/>
  <c r="H136" i="6"/>
  <c r="H134" i="6"/>
  <c r="H132" i="6"/>
  <c r="H130" i="6"/>
  <c r="H128" i="6"/>
  <c r="H126" i="6"/>
  <c r="H124" i="6"/>
  <c r="H122" i="6"/>
  <c r="H120" i="6"/>
  <c r="H118" i="6"/>
  <c r="H116" i="6"/>
  <c r="H114" i="6"/>
  <c r="H112" i="6"/>
  <c r="H110" i="6"/>
  <c r="H131" i="6"/>
  <c r="H121" i="6"/>
  <c r="H111" i="6"/>
  <c r="H125" i="6"/>
  <c r="H119" i="6"/>
  <c r="H113" i="6"/>
  <c r="H137" i="6"/>
  <c r="S137" i="6" s="1"/>
  <c r="T137" i="6" s="1"/>
  <c r="H127" i="6"/>
  <c r="H133" i="6"/>
  <c r="H117" i="6"/>
  <c r="H135" i="6"/>
  <c r="H139" i="6"/>
  <c r="H115" i="6"/>
  <c r="H123" i="6"/>
  <c r="H129" i="6"/>
  <c r="C289" i="6"/>
  <c r="R289" i="6" s="1"/>
  <c r="C287" i="6"/>
  <c r="C285" i="6"/>
  <c r="R285" i="6" s="1"/>
  <c r="C283" i="6"/>
  <c r="C281" i="6"/>
  <c r="C279" i="6"/>
  <c r="C277" i="6"/>
  <c r="C275" i="6"/>
  <c r="R275" i="6" s="1"/>
  <c r="C273" i="6"/>
  <c r="C271" i="6"/>
  <c r="C269" i="6"/>
  <c r="C267" i="6"/>
  <c r="C265" i="6"/>
  <c r="R265" i="6" s="1"/>
  <c r="T265" i="6" s="1"/>
  <c r="C263" i="6"/>
  <c r="C261" i="6"/>
  <c r="C286" i="6"/>
  <c r="C276" i="6"/>
  <c r="C266" i="6"/>
  <c r="C280" i="6"/>
  <c r="R280" i="6" s="1"/>
  <c r="C270" i="6"/>
  <c r="C260" i="6"/>
  <c r="C262" i="6"/>
  <c r="C272" i="6"/>
  <c r="C268" i="6"/>
  <c r="C264" i="6"/>
  <c r="C284" i="6"/>
  <c r="R284" i="6" s="1"/>
  <c r="C282" i="6"/>
  <c r="C278" i="6"/>
  <c r="C288" i="6"/>
  <c r="C274" i="6"/>
  <c r="E318" i="6"/>
  <c r="E313" i="6"/>
  <c r="E317" i="6"/>
  <c r="E310" i="6"/>
  <c r="E300" i="6"/>
  <c r="E290" i="6"/>
  <c r="E303" i="6"/>
  <c r="E293" i="6"/>
  <c r="E304" i="6"/>
  <c r="E294" i="6"/>
  <c r="E312" i="6"/>
  <c r="E319" i="6"/>
  <c r="E299" i="6"/>
  <c r="E314" i="6"/>
  <c r="E309" i="6"/>
  <c r="E296" i="6"/>
  <c r="E292" i="6"/>
  <c r="E316" i="6"/>
  <c r="E311" i="6"/>
  <c r="E305" i="6"/>
  <c r="E315" i="6"/>
  <c r="E308" i="6"/>
  <c r="E295" i="6"/>
  <c r="E306" i="6"/>
  <c r="E301" i="6"/>
  <c r="E297" i="6"/>
  <c r="E302" i="6"/>
  <c r="E307" i="6"/>
  <c r="E298" i="6"/>
  <c r="E291" i="6"/>
  <c r="G346" i="6"/>
  <c r="G342" i="6"/>
  <c r="G338" i="6"/>
  <c r="G334" i="6"/>
  <c r="G330" i="6"/>
  <c r="G349" i="6"/>
  <c r="G348" i="6"/>
  <c r="G345" i="6"/>
  <c r="G344" i="6"/>
  <c r="G341" i="6"/>
  <c r="G340" i="6"/>
  <c r="G337" i="6"/>
  <c r="G336" i="6"/>
  <c r="G333" i="6"/>
  <c r="G332" i="6"/>
  <c r="G347" i="6"/>
  <c r="G343" i="6"/>
  <c r="G339" i="6"/>
  <c r="G335" i="6"/>
  <c r="G321" i="6"/>
  <c r="G320" i="6"/>
  <c r="G325" i="6"/>
  <c r="G324" i="6"/>
  <c r="G322" i="6"/>
  <c r="G327" i="6"/>
  <c r="G323" i="6"/>
  <c r="G331" i="6"/>
  <c r="G329" i="6"/>
  <c r="G326" i="6"/>
  <c r="G328" i="6"/>
  <c r="E469" i="6"/>
  <c r="E465" i="6"/>
  <c r="E468" i="6"/>
  <c r="E464" i="6"/>
  <c r="E460" i="6"/>
  <c r="E461" i="6"/>
  <c r="E458" i="6"/>
  <c r="E454" i="6"/>
  <c r="E450" i="6"/>
  <c r="E446" i="6"/>
  <c r="E442" i="6"/>
  <c r="E466" i="6"/>
  <c r="E462" i="6"/>
  <c r="E457" i="6"/>
  <c r="E453" i="6"/>
  <c r="E449" i="6"/>
  <c r="E445" i="6"/>
  <c r="E441" i="6"/>
  <c r="E455" i="6"/>
  <c r="E448" i="6"/>
  <c r="E451" i="6"/>
  <c r="E456" i="6"/>
  <c r="E459" i="6"/>
  <c r="E440" i="6"/>
  <c r="E443" i="6"/>
  <c r="E452" i="6"/>
  <c r="E463" i="6"/>
  <c r="E467" i="6"/>
  <c r="E447" i="6"/>
  <c r="E444" i="6"/>
  <c r="E739" i="6"/>
  <c r="E737" i="6"/>
  <c r="E735" i="6"/>
  <c r="E733" i="6"/>
  <c r="E731" i="6"/>
  <c r="E738" i="6"/>
  <c r="E734" i="6"/>
  <c r="E730" i="6"/>
  <c r="E736" i="6"/>
  <c r="E727" i="6"/>
  <c r="E729" i="6"/>
  <c r="E732" i="6"/>
  <c r="E718" i="6"/>
  <c r="E720" i="6"/>
  <c r="E721" i="6"/>
  <c r="E710" i="6"/>
  <c r="E722" i="6"/>
  <c r="E713" i="6"/>
  <c r="E715" i="6"/>
  <c r="E726" i="6"/>
  <c r="E717" i="6"/>
  <c r="E723" i="6"/>
  <c r="E719" i="6"/>
  <c r="E725" i="6"/>
  <c r="E711" i="6"/>
  <c r="E716" i="6"/>
  <c r="E714" i="6"/>
  <c r="E724" i="6"/>
  <c r="E712" i="6"/>
  <c r="E728" i="6"/>
  <c r="P159" i="6"/>
  <c r="Q159" i="6" s="1"/>
  <c r="P169" i="6"/>
  <c r="Q169" i="6" s="1"/>
  <c r="G107" i="6"/>
  <c r="G97" i="6"/>
  <c r="G87" i="6"/>
  <c r="G106" i="6"/>
  <c r="G96" i="6"/>
  <c r="G100" i="6"/>
  <c r="G103" i="6"/>
  <c r="G99" i="6"/>
  <c r="G82" i="6"/>
  <c r="G108" i="6"/>
  <c r="G104" i="6"/>
  <c r="G86" i="6"/>
  <c r="G102" i="6"/>
  <c r="G90" i="6"/>
  <c r="G88" i="6"/>
  <c r="G85" i="6"/>
  <c r="G81" i="6"/>
  <c r="G92" i="6"/>
  <c r="G91" i="6"/>
  <c r="G89" i="6"/>
  <c r="G109" i="6"/>
  <c r="G94" i="6"/>
  <c r="G84" i="6"/>
  <c r="G93" i="6"/>
  <c r="G98" i="6"/>
  <c r="G80" i="6"/>
  <c r="G105" i="6"/>
  <c r="H349" i="6"/>
  <c r="H348" i="6"/>
  <c r="H346" i="6"/>
  <c r="H345" i="6"/>
  <c r="H344" i="6"/>
  <c r="H342" i="6"/>
  <c r="H341" i="6"/>
  <c r="H340" i="6"/>
  <c r="H338" i="6"/>
  <c r="H337" i="6"/>
  <c r="H336" i="6"/>
  <c r="H334" i="6"/>
  <c r="H333" i="6"/>
  <c r="H332" i="6"/>
  <c r="H330" i="6"/>
  <c r="H347" i="6"/>
  <c r="H343" i="6"/>
  <c r="H339" i="6"/>
  <c r="H335" i="6"/>
  <c r="H331" i="6"/>
  <c r="H329" i="6"/>
  <c r="H325" i="6"/>
  <c r="H321" i="6"/>
  <c r="H320" i="6"/>
  <c r="H324" i="6"/>
  <c r="H322" i="6"/>
  <c r="H328" i="6"/>
  <c r="H326" i="6"/>
  <c r="H323" i="6"/>
  <c r="H327" i="6"/>
  <c r="S327" i="6" s="1"/>
  <c r="T327" i="6" s="1"/>
  <c r="F468" i="6"/>
  <c r="F466" i="6"/>
  <c r="F464" i="6"/>
  <c r="F462" i="6"/>
  <c r="F460" i="6"/>
  <c r="F458" i="6"/>
  <c r="F456" i="6"/>
  <c r="F454" i="6"/>
  <c r="F452" i="6"/>
  <c r="F450" i="6"/>
  <c r="F448" i="6"/>
  <c r="F446" i="6"/>
  <c r="F444" i="6"/>
  <c r="F442" i="6"/>
  <c r="F457" i="6"/>
  <c r="F453" i="6"/>
  <c r="F449" i="6"/>
  <c r="F445" i="6"/>
  <c r="F441" i="6"/>
  <c r="F440" i="6"/>
  <c r="F451" i="6"/>
  <c r="F469" i="6"/>
  <c r="F465" i="6"/>
  <c r="F461" i="6"/>
  <c r="F455" i="6"/>
  <c r="F459" i="6"/>
  <c r="F467" i="6"/>
  <c r="F447" i="6"/>
  <c r="F443" i="6"/>
  <c r="F463" i="6"/>
  <c r="C585" i="6"/>
  <c r="C580" i="6"/>
  <c r="C575" i="6"/>
  <c r="C573" i="6"/>
  <c r="C571" i="6"/>
  <c r="C569" i="6"/>
  <c r="C567" i="6"/>
  <c r="C581" i="6"/>
  <c r="C576" i="6"/>
  <c r="C574" i="6"/>
  <c r="C572" i="6"/>
  <c r="C570" i="6"/>
  <c r="R570" i="6" s="1"/>
  <c r="C568" i="6"/>
  <c r="R568" i="6" s="1"/>
  <c r="C566" i="6"/>
  <c r="R566" i="6" s="1"/>
  <c r="C565" i="6"/>
  <c r="C561" i="6"/>
  <c r="C577" i="6"/>
  <c r="C589" i="6"/>
  <c r="C578" i="6"/>
  <c r="C562" i="6"/>
  <c r="C560" i="6"/>
  <c r="C584" i="6"/>
  <c r="C588" i="6"/>
  <c r="C586" i="6"/>
  <c r="C563" i="6"/>
  <c r="C579" i="6"/>
  <c r="C583" i="6"/>
  <c r="C564" i="6"/>
  <c r="C587" i="6"/>
  <c r="C582" i="6"/>
  <c r="F738" i="6"/>
  <c r="F734" i="6"/>
  <c r="F730" i="6"/>
  <c r="F737" i="6"/>
  <c r="F733" i="6"/>
  <c r="F729" i="6"/>
  <c r="F727" i="6"/>
  <c r="F725" i="6"/>
  <c r="F723" i="6"/>
  <c r="F721" i="6"/>
  <c r="F719" i="6"/>
  <c r="F732" i="6"/>
  <c r="F718" i="6"/>
  <c r="F720" i="6"/>
  <c r="F739" i="6"/>
  <c r="F722" i="6"/>
  <c r="F735" i="6"/>
  <c r="F731" i="6"/>
  <c r="F710" i="6"/>
  <c r="F713" i="6"/>
  <c r="F715" i="6"/>
  <c r="F726" i="6"/>
  <c r="F717" i="6"/>
  <c r="F712" i="6"/>
  <c r="F711" i="6"/>
  <c r="F716" i="6"/>
  <c r="F714" i="6"/>
  <c r="F724" i="6"/>
  <c r="F736" i="6"/>
  <c r="F728" i="6"/>
  <c r="G467" i="6"/>
  <c r="G463" i="6"/>
  <c r="G458" i="6"/>
  <c r="G454" i="6"/>
  <c r="G450" i="6"/>
  <c r="G446" i="6"/>
  <c r="G442" i="6"/>
  <c r="G468" i="6"/>
  <c r="G466" i="6"/>
  <c r="G464" i="6"/>
  <c r="G462" i="6"/>
  <c r="G457" i="6"/>
  <c r="G453" i="6"/>
  <c r="G449" i="6"/>
  <c r="G445" i="6"/>
  <c r="G441" i="6"/>
  <c r="G469" i="6"/>
  <c r="G465" i="6"/>
  <c r="G461" i="6"/>
  <c r="G459" i="6"/>
  <c r="G460" i="6"/>
  <c r="G448" i="6"/>
  <c r="G444" i="6"/>
  <c r="G443" i="6"/>
  <c r="G456" i="6"/>
  <c r="G452" i="6"/>
  <c r="G447" i="6"/>
  <c r="G455" i="6"/>
  <c r="G440" i="6"/>
  <c r="G451" i="6"/>
  <c r="E586" i="6"/>
  <c r="E582" i="6"/>
  <c r="E578" i="6"/>
  <c r="E575" i="6"/>
  <c r="E573" i="6"/>
  <c r="E571" i="6"/>
  <c r="E569" i="6"/>
  <c r="E567" i="6"/>
  <c r="E577" i="6"/>
  <c r="E564" i="6"/>
  <c r="E560" i="6"/>
  <c r="E563" i="6"/>
  <c r="E584" i="6"/>
  <c r="E580" i="6"/>
  <c r="E587" i="6"/>
  <c r="E574" i="6"/>
  <c r="E579" i="6"/>
  <c r="E583" i="6"/>
  <c r="E570" i="6"/>
  <c r="E589" i="6"/>
  <c r="E572" i="6"/>
  <c r="E562" i="6"/>
  <c r="E565" i="6"/>
  <c r="E568" i="6"/>
  <c r="E566" i="6"/>
  <c r="E585" i="6"/>
  <c r="E588" i="6"/>
  <c r="E581" i="6"/>
  <c r="E576" i="6"/>
  <c r="E561" i="6"/>
  <c r="P57" i="6"/>
  <c r="Q57" i="6" s="1"/>
  <c r="R71" i="6"/>
  <c r="H514" i="6"/>
  <c r="H512" i="6"/>
  <c r="H510" i="6"/>
  <c r="H508" i="6"/>
  <c r="H506" i="6"/>
  <c r="H504" i="6"/>
  <c r="H502" i="6"/>
  <c r="H501" i="6"/>
  <c r="H528" i="6"/>
  <c r="H524" i="6"/>
  <c r="H520" i="6"/>
  <c r="H500" i="6"/>
  <c r="H527" i="6"/>
  <c r="H521" i="6"/>
  <c r="H515" i="6"/>
  <c r="H505" i="6"/>
  <c r="H523" i="6"/>
  <c r="H518" i="6"/>
  <c r="H509" i="6"/>
  <c r="H525" i="6"/>
  <c r="H522" i="6"/>
  <c r="H511" i="6"/>
  <c r="H507" i="6"/>
  <c r="H513" i="6"/>
  <c r="H503" i="6"/>
  <c r="H517" i="6"/>
  <c r="H516" i="6"/>
  <c r="H526" i="6"/>
  <c r="H529" i="6"/>
  <c r="H519" i="6"/>
  <c r="F649" i="6"/>
  <c r="F647" i="6"/>
  <c r="F645" i="6"/>
  <c r="F643" i="6"/>
  <c r="F641" i="6"/>
  <c r="F639" i="6"/>
  <c r="F637" i="6"/>
  <c r="F635" i="6"/>
  <c r="F633" i="6"/>
  <c r="F631" i="6"/>
  <c r="F629" i="6"/>
  <c r="F627" i="6"/>
  <c r="F625" i="6"/>
  <c r="F623" i="6"/>
  <c r="F621" i="6"/>
  <c r="F648" i="6"/>
  <c r="F644" i="6"/>
  <c r="F640" i="6"/>
  <c r="F636" i="6"/>
  <c r="F638" i="6"/>
  <c r="F630" i="6"/>
  <c r="F632" i="6"/>
  <c r="F642" i="6"/>
  <c r="F622" i="6"/>
  <c r="F628" i="6"/>
  <c r="F620" i="6"/>
  <c r="F646" i="6"/>
  <c r="F634" i="6"/>
  <c r="F626" i="6"/>
  <c r="F624" i="6"/>
  <c r="G83" i="6"/>
  <c r="I38" i="6"/>
  <c r="I34" i="6"/>
  <c r="I30" i="6"/>
  <c r="C77" i="6"/>
  <c r="R77" i="6" s="1"/>
  <c r="C75" i="6"/>
  <c r="C73" i="6"/>
  <c r="C71" i="6"/>
  <c r="C69" i="6"/>
  <c r="R69" i="6" s="1"/>
  <c r="C67" i="6"/>
  <c r="C65" i="6"/>
  <c r="C63" i="6"/>
  <c r="C61" i="6"/>
  <c r="R61" i="6" s="1"/>
  <c r="C59" i="6"/>
  <c r="C57" i="6"/>
  <c r="C55" i="6"/>
  <c r="C53" i="6"/>
  <c r="R53" i="6" s="1"/>
  <c r="T53" i="6" s="1"/>
  <c r="C51" i="6"/>
  <c r="C79" i="6"/>
  <c r="C78" i="6"/>
  <c r="C76" i="6"/>
  <c r="C74" i="6"/>
  <c r="C72" i="6"/>
  <c r="C70" i="6"/>
  <c r="C68" i="6"/>
  <c r="C66" i="6"/>
  <c r="C64" i="6"/>
  <c r="C62" i="6"/>
  <c r="C60" i="6"/>
  <c r="C58" i="6"/>
  <c r="R58" i="6" s="1"/>
  <c r="C56" i="6"/>
  <c r="C54" i="6"/>
  <c r="C52" i="6"/>
  <c r="C50" i="6"/>
  <c r="E133" i="6"/>
  <c r="E123" i="6"/>
  <c r="E113" i="6"/>
  <c r="E132" i="6"/>
  <c r="E122" i="6"/>
  <c r="E112" i="6"/>
  <c r="E139" i="6"/>
  <c r="E136" i="6"/>
  <c r="E124" i="6"/>
  <c r="E128" i="6"/>
  <c r="E121" i="6"/>
  <c r="E117" i="6"/>
  <c r="E130" i="6"/>
  <c r="E129" i="6"/>
  <c r="E114" i="6"/>
  <c r="E110" i="6"/>
  <c r="E134" i="6"/>
  <c r="E119" i="6"/>
  <c r="E138" i="6"/>
  <c r="E137" i="6"/>
  <c r="E127" i="6"/>
  <c r="E126" i="6"/>
  <c r="E118" i="6"/>
  <c r="E116" i="6"/>
  <c r="E111" i="6"/>
  <c r="E131" i="6"/>
  <c r="E125" i="6"/>
  <c r="E120" i="6"/>
  <c r="E115" i="6"/>
  <c r="H198" i="6"/>
  <c r="H196" i="6"/>
  <c r="H194" i="6"/>
  <c r="H192" i="6"/>
  <c r="S192" i="6" s="1"/>
  <c r="T192" i="6" s="1"/>
  <c r="H190" i="6"/>
  <c r="H188" i="6"/>
  <c r="H186" i="6"/>
  <c r="H184" i="6"/>
  <c r="H182" i="6"/>
  <c r="H180" i="6"/>
  <c r="H178" i="6"/>
  <c r="H176" i="6"/>
  <c r="H174" i="6"/>
  <c r="H172" i="6"/>
  <c r="H170" i="6"/>
  <c r="H191" i="6"/>
  <c r="H193" i="6"/>
  <c r="H181" i="6"/>
  <c r="H171" i="6"/>
  <c r="S171" i="6" s="1"/>
  <c r="H195" i="6"/>
  <c r="H199" i="6"/>
  <c r="H185" i="6"/>
  <c r="H187" i="6"/>
  <c r="H183" i="6"/>
  <c r="H179" i="6"/>
  <c r="H197" i="6"/>
  <c r="H175" i="6"/>
  <c r="H177" i="6"/>
  <c r="H173" i="6"/>
  <c r="S173" i="6" s="1"/>
  <c r="H189" i="6"/>
  <c r="C229" i="6"/>
  <c r="C227" i="6"/>
  <c r="C225" i="6"/>
  <c r="C223" i="6"/>
  <c r="C221" i="6"/>
  <c r="R221" i="6" s="1"/>
  <c r="C219" i="6"/>
  <c r="C217" i="6"/>
  <c r="C215" i="6"/>
  <c r="R215" i="6" s="1"/>
  <c r="C213" i="6"/>
  <c r="C211" i="6"/>
  <c r="R211" i="6" s="1"/>
  <c r="C209" i="6"/>
  <c r="R209" i="6" s="1"/>
  <c r="C207" i="6"/>
  <c r="C205" i="6"/>
  <c r="C203" i="6"/>
  <c r="C201" i="6"/>
  <c r="C204" i="6"/>
  <c r="C220" i="6"/>
  <c r="C210" i="6"/>
  <c r="C206" i="6"/>
  <c r="C214" i="6"/>
  <c r="C222" i="6"/>
  <c r="C228" i="6"/>
  <c r="C224" i="6"/>
  <c r="C208" i="6"/>
  <c r="C200" i="6"/>
  <c r="C218" i="6"/>
  <c r="C202" i="6"/>
  <c r="C212" i="6"/>
  <c r="C226" i="6"/>
  <c r="E280" i="6"/>
  <c r="E270" i="6"/>
  <c r="E260" i="6"/>
  <c r="E283" i="6"/>
  <c r="E273" i="6"/>
  <c r="E263" i="6"/>
  <c r="E284" i="6"/>
  <c r="E274" i="6"/>
  <c r="E264" i="6"/>
  <c r="E276" i="6"/>
  <c r="E272" i="6"/>
  <c r="E268" i="6"/>
  <c r="E267" i="6"/>
  <c r="E286" i="6"/>
  <c r="E282" i="6"/>
  <c r="E278" i="6"/>
  <c r="E277" i="6"/>
  <c r="E288" i="6"/>
  <c r="E287" i="6"/>
  <c r="E261" i="6"/>
  <c r="E275" i="6"/>
  <c r="E271" i="6"/>
  <c r="E269" i="6"/>
  <c r="E265" i="6"/>
  <c r="E289" i="6"/>
  <c r="E281" i="6"/>
  <c r="E262" i="6"/>
  <c r="E285" i="6"/>
  <c r="E266" i="6"/>
  <c r="E279" i="6"/>
  <c r="G617" i="6"/>
  <c r="G613" i="6"/>
  <c r="G619" i="6"/>
  <c r="G602" i="6"/>
  <c r="G609" i="6"/>
  <c r="G608" i="6"/>
  <c r="G605" i="6"/>
  <c r="G604" i="6"/>
  <c r="G614" i="6"/>
  <c r="G601" i="6"/>
  <c r="G600" i="6"/>
  <c r="G594" i="6"/>
  <c r="G590" i="6"/>
  <c r="G612" i="6"/>
  <c r="G603" i="6"/>
  <c r="G593" i="6"/>
  <c r="G591" i="6"/>
  <c r="G610" i="6"/>
  <c r="G595" i="6"/>
  <c r="G592" i="6"/>
  <c r="G618" i="6"/>
  <c r="G611" i="6"/>
  <c r="G597" i="6"/>
  <c r="G598" i="6"/>
  <c r="G606" i="6"/>
  <c r="G615" i="6"/>
  <c r="G599" i="6"/>
  <c r="G607" i="6"/>
  <c r="G596" i="6"/>
  <c r="G616" i="6"/>
  <c r="H621" i="6"/>
  <c r="H649" i="6"/>
  <c r="H645" i="6"/>
  <c r="H641" i="6"/>
  <c r="H637" i="6"/>
  <c r="H640" i="6"/>
  <c r="H632" i="6"/>
  <c r="H627" i="6"/>
  <c r="H622" i="6"/>
  <c r="H646" i="6"/>
  <c r="S646" i="6" s="1"/>
  <c r="T646" i="6" s="1"/>
  <c r="H643" i="6"/>
  <c r="H638" i="6"/>
  <c r="H634" i="6"/>
  <c r="H620" i="6"/>
  <c r="H644" i="6"/>
  <c r="H629" i="6"/>
  <c r="H633" i="6"/>
  <c r="H628" i="6"/>
  <c r="H636" i="6"/>
  <c r="H631" i="6"/>
  <c r="H635" i="6"/>
  <c r="H626" i="6"/>
  <c r="H642" i="6"/>
  <c r="H630" i="6"/>
  <c r="H624" i="6"/>
  <c r="H625" i="6"/>
  <c r="H623" i="6"/>
  <c r="H648" i="6"/>
  <c r="H647" i="6"/>
  <c r="H639" i="6"/>
  <c r="S639" i="6" s="1"/>
  <c r="T639" i="6" s="1"/>
  <c r="H679" i="6"/>
  <c r="H675" i="6"/>
  <c r="H671" i="6"/>
  <c r="H667" i="6"/>
  <c r="H657" i="6"/>
  <c r="H677" i="6"/>
  <c r="H670" i="6"/>
  <c r="H662" i="6"/>
  <c r="H660" i="6"/>
  <c r="H658" i="6"/>
  <c r="H655" i="6"/>
  <c r="H653" i="6"/>
  <c r="H651" i="6"/>
  <c r="H673" i="6"/>
  <c r="H668" i="6"/>
  <c r="H663" i="6"/>
  <c r="H661" i="6"/>
  <c r="H659" i="6"/>
  <c r="H664" i="6"/>
  <c r="H672" i="6"/>
  <c r="S672" i="6" s="1"/>
  <c r="T672" i="6" s="1"/>
  <c r="H669" i="6"/>
  <c r="H652" i="6"/>
  <c r="H654" i="6"/>
  <c r="H674" i="6"/>
  <c r="H666" i="6"/>
  <c r="H656" i="6"/>
  <c r="H676" i="6"/>
  <c r="H650" i="6"/>
  <c r="H678" i="6"/>
  <c r="H665" i="6"/>
  <c r="G737" i="6"/>
  <c r="G733" i="6"/>
  <c r="G729" i="6"/>
  <c r="G727" i="6"/>
  <c r="G725" i="6"/>
  <c r="G723" i="6"/>
  <c r="G721" i="6"/>
  <c r="G719" i="6"/>
  <c r="G732" i="6"/>
  <c r="G730" i="6"/>
  <c r="G718" i="6"/>
  <c r="G720" i="6"/>
  <c r="G739" i="6"/>
  <c r="G722" i="6"/>
  <c r="G724" i="6"/>
  <c r="G735" i="6"/>
  <c r="G713" i="6"/>
  <c r="G715" i="6"/>
  <c r="G726" i="6"/>
  <c r="G717" i="6"/>
  <c r="G736" i="6"/>
  <c r="G728" i="6"/>
  <c r="G714" i="6"/>
  <c r="G734" i="6"/>
  <c r="G711" i="6"/>
  <c r="G731" i="6"/>
  <c r="G716" i="6"/>
  <c r="G712" i="6"/>
  <c r="G738" i="6"/>
  <c r="G710" i="6"/>
  <c r="P67" i="6"/>
  <c r="Q67" i="6" s="1"/>
  <c r="P73" i="6"/>
  <c r="Q73" i="6" s="1"/>
  <c r="S95" i="6"/>
  <c r="T95" i="6" s="1"/>
  <c r="O108" i="6"/>
  <c r="P109" i="6" s="1"/>
  <c r="Q109" i="6" s="1"/>
  <c r="Q161" i="6"/>
  <c r="F165" i="6"/>
  <c r="E79" i="6"/>
  <c r="E78" i="6"/>
  <c r="E76" i="6"/>
  <c r="E74" i="6"/>
  <c r="E72" i="6"/>
  <c r="E70" i="6"/>
  <c r="E68" i="6"/>
  <c r="E66" i="6"/>
  <c r="E64" i="6"/>
  <c r="E62" i="6"/>
  <c r="E60" i="6"/>
  <c r="E58" i="6"/>
  <c r="E56" i="6"/>
  <c r="E54" i="6"/>
  <c r="E52" i="6"/>
  <c r="E50" i="6"/>
  <c r="E69" i="6"/>
  <c r="E59" i="6"/>
  <c r="E73" i="6"/>
  <c r="E61" i="6"/>
  <c r="E51" i="6"/>
  <c r="E71" i="6"/>
  <c r="E63" i="6"/>
  <c r="E53" i="6"/>
  <c r="E77" i="6"/>
  <c r="F132" i="6"/>
  <c r="F122" i="6"/>
  <c r="F112" i="6"/>
  <c r="F137" i="6"/>
  <c r="F127" i="6"/>
  <c r="F117" i="6"/>
  <c r="F125" i="6"/>
  <c r="F134" i="6"/>
  <c r="F133" i="6"/>
  <c r="F118" i="6"/>
  <c r="F111" i="6"/>
  <c r="F119" i="6"/>
  <c r="F138" i="6"/>
  <c r="F128" i="6"/>
  <c r="F123" i="6"/>
  <c r="F113" i="6"/>
  <c r="F126" i="6"/>
  <c r="F136" i="6"/>
  <c r="F121" i="6"/>
  <c r="F116" i="6"/>
  <c r="F131" i="6"/>
  <c r="F120" i="6"/>
  <c r="F130" i="6"/>
  <c r="F124" i="6"/>
  <c r="F110" i="6"/>
  <c r="F139" i="6"/>
  <c r="F115" i="6"/>
  <c r="F135" i="6"/>
  <c r="E225" i="6"/>
  <c r="E223" i="6"/>
  <c r="E221" i="6"/>
  <c r="E219" i="6"/>
  <c r="E217" i="6"/>
  <c r="E215" i="6"/>
  <c r="E213" i="6"/>
  <c r="E211" i="6"/>
  <c r="E209" i="6"/>
  <c r="E207" i="6"/>
  <c r="E205" i="6"/>
  <c r="E203" i="6"/>
  <c r="E201" i="6"/>
  <c r="E224" i="6"/>
  <c r="E214" i="6"/>
  <c r="E227" i="6"/>
  <c r="E228" i="6"/>
  <c r="E226" i="6"/>
  <c r="E218" i="6"/>
  <c r="E206" i="6"/>
  <c r="E204" i="6"/>
  <c r="E229" i="6"/>
  <c r="E202" i="6"/>
  <c r="E212" i="6"/>
  <c r="E210" i="6"/>
  <c r="E216" i="6"/>
  <c r="E222" i="6"/>
  <c r="E200" i="6"/>
  <c r="E220" i="6"/>
  <c r="E208" i="6"/>
  <c r="F288" i="6"/>
  <c r="F286" i="6"/>
  <c r="F284" i="6"/>
  <c r="F282" i="6"/>
  <c r="F280" i="6"/>
  <c r="F278" i="6"/>
  <c r="F276" i="6"/>
  <c r="F274" i="6"/>
  <c r="F272" i="6"/>
  <c r="F270" i="6"/>
  <c r="F268" i="6"/>
  <c r="F266" i="6"/>
  <c r="F264" i="6"/>
  <c r="F262" i="6"/>
  <c r="F260" i="6"/>
  <c r="F283" i="6"/>
  <c r="F273" i="6"/>
  <c r="F263" i="6"/>
  <c r="F287" i="6"/>
  <c r="F277" i="6"/>
  <c r="F267" i="6"/>
  <c r="F261" i="6"/>
  <c r="F271" i="6"/>
  <c r="F275" i="6"/>
  <c r="F269" i="6"/>
  <c r="F265" i="6"/>
  <c r="F285" i="6"/>
  <c r="F281" i="6"/>
  <c r="F279" i="6"/>
  <c r="H737" i="6"/>
  <c r="H733" i="6"/>
  <c r="H729" i="6"/>
  <c r="H727" i="6"/>
  <c r="H725" i="6"/>
  <c r="H723" i="6"/>
  <c r="H721" i="6"/>
  <c r="H719" i="6"/>
  <c r="H717" i="6"/>
  <c r="H715" i="6"/>
  <c r="H713" i="6"/>
  <c r="H711" i="6"/>
  <c r="S711" i="6" s="1"/>
  <c r="H736" i="6"/>
  <c r="H732" i="6"/>
  <c r="H720" i="6"/>
  <c r="H739" i="6"/>
  <c r="H722" i="6"/>
  <c r="H724" i="6"/>
  <c r="H735" i="6"/>
  <c r="H726" i="6"/>
  <c r="S726" i="6" s="1"/>
  <c r="T726" i="6" s="1"/>
  <c r="H710" i="6"/>
  <c r="H738" i="6"/>
  <c r="S738" i="6" s="1"/>
  <c r="T738" i="6" s="1"/>
  <c r="H731" i="6"/>
  <c r="H718" i="6"/>
  <c r="H730" i="6"/>
  <c r="H712" i="6"/>
  <c r="H728" i="6"/>
  <c r="H716" i="6"/>
  <c r="H734" i="6"/>
  <c r="H714" i="6"/>
  <c r="S714" i="6" s="1"/>
  <c r="E67" i="6"/>
  <c r="P72" i="6"/>
  <c r="Q72" i="6" s="1"/>
  <c r="R72" i="6" s="1"/>
  <c r="P172" i="6"/>
  <c r="Q172" i="6" s="1"/>
  <c r="U202" i="6"/>
  <c r="W202" i="6" s="1"/>
  <c r="C169" i="6"/>
  <c r="C167" i="6"/>
  <c r="C165" i="6"/>
  <c r="C163" i="6"/>
  <c r="C161" i="6"/>
  <c r="C159" i="6"/>
  <c r="C157" i="6"/>
  <c r="C155" i="6"/>
  <c r="C153" i="6"/>
  <c r="C151" i="6"/>
  <c r="C149" i="6"/>
  <c r="C147" i="6"/>
  <c r="C145" i="6"/>
  <c r="R145" i="6" s="1"/>
  <c r="T145" i="6" s="1"/>
  <c r="C143" i="6"/>
  <c r="C141" i="6"/>
  <c r="C168" i="6"/>
  <c r="C158" i="6"/>
  <c r="C148" i="6"/>
  <c r="C166" i="6"/>
  <c r="R166" i="6" s="1"/>
  <c r="C154" i="6"/>
  <c r="R154" i="6" s="1"/>
  <c r="C152" i="6"/>
  <c r="C150" i="6"/>
  <c r="R150" i="6" s="1"/>
  <c r="C162" i="6"/>
  <c r="C160" i="6"/>
  <c r="C142" i="6"/>
  <c r="C156" i="6"/>
  <c r="C146" i="6"/>
  <c r="C140" i="6"/>
  <c r="C164" i="6"/>
  <c r="C319" i="6"/>
  <c r="C316" i="6"/>
  <c r="C314" i="6"/>
  <c r="C311" i="6"/>
  <c r="C309" i="6"/>
  <c r="C307" i="6"/>
  <c r="C305" i="6"/>
  <c r="C303" i="6"/>
  <c r="C301" i="6"/>
  <c r="C299" i="6"/>
  <c r="C297" i="6"/>
  <c r="R297" i="6" s="1"/>
  <c r="C295" i="6"/>
  <c r="C293" i="6"/>
  <c r="C291" i="6"/>
  <c r="C313" i="6"/>
  <c r="C317" i="6"/>
  <c r="C306" i="6"/>
  <c r="C296" i="6"/>
  <c r="C315" i="6"/>
  <c r="C310" i="6"/>
  <c r="C300" i="6"/>
  <c r="C290" i="6"/>
  <c r="C304" i="6"/>
  <c r="C312" i="6"/>
  <c r="C298" i="6"/>
  <c r="C294" i="6"/>
  <c r="C308" i="6"/>
  <c r="C318" i="6"/>
  <c r="C292" i="6"/>
  <c r="C302" i="6"/>
  <c r="P54" i="6"/>
  <c r="Q54" i="6" s="1"/>
  <c r="E55" i="6"/>
  <c r="F129" i="6"/>
  <c r="P134" i="6"/>
  <c r="Q134" i="6" s="1"/>
  <c r="Q176" i="6"/>
  <c r="R65" i="6"/>
  <c r="I43" i="6"/>
  <c r="I23" i="6"/>
  <c r="I39" i="6"/>
  <c r="I35" i="6"/>
  <c r="H76" i="6"/>
  <c r="H74" i="6"/>
  <c r="H72" i="6"/>
  <c r="H70" i="6"/>
  <c r="H68" i="6"/>
  <c r="S68" i="6" s="1"/>
  <c r="T68" i="6" s="1"/>
  <c r="H66" i="6"/>
  <c r="H64" i="6"/>
  <c r="H62" i="6"/>
  <c r="H60" i="6"/>
  <c r="H58" i="6"/>
  <c r="H56" i="6"/>
  <c r="H54" i="6"/>
  <c r="H52" i="6"/>
  <c r="H50" i="6"/>
  <c r="H78" i="6"/>
  <c r="H77" i="6"/>
  <c r="H75" i="6"/>
  <c r="H73" i="6"/>
  <c r="H71" i="6"/>
  <c r="H69" i="6"/>
  <c r="H67" i="6"/>
  <c r="H65" i="6"/>
  <c r="H63" i="6"/>
  <c r="H61" i="6"/>
  <c r="H59" i="6"/>
  <c r="S59" i="6" s="1"/>
  <c r="T59" i="6" s="1"/>
  <c r="H57" i="6"/>
  <c r="H55" i="6"/>
  <c r="H53" i="6"/>
  <c r="H51" i="6"/>
  <c r="H79" i="6"/>
  <c r="F162" i="6"/>
  <c r="F152" i="6"/>
  <c r="F142" i="6"/>
  <c r="F167" i="6"/>
  <c r="F157" i="6"/>
  <c r="F147" i="6"/>
  <c r="F166" i="6"/>
  <c r="F156" i="6"/>
  <c r="F146" i="6"/>
  <c r="F153" i="6"/>
  <c r="F140" i="6"/>
  <c r="F154" i="6"/>
  <c r="F150" i="6"/>
  <c r="F148" i="6"/>
  <c r="F163" i="6"/>
  <c r="S163" i="6" s="1"/>
  <c r="T163" i="6" s="1"/>
  <c r="F141" i="6"/>
  <c r="F159" i="6"/>
  <c r="F158" i="6"/>
  <c r="F155" i="6"/>
  <c r="F151" i="6"/>
  <c r="F149" i="6"/>
  <c r="F145" i="6"/>
  <c r="F144" i="6"/>
  <c r="F161" i="6"/>
  <c r="F168" i="6"/>
  <c r="F164" i="6"/>
  <c r="F160" i="6"/>
  <c r="H228" i="6"/>
  <c r="H226" i="6"/>
  <c r="H224" i="6"/>
  <c r="H222" i="6"/>
  <c r="H220" i="6"/>
  <c r="H218" i="6"/>
  <c r="H216" i="6"/>
  <c r="H214" i="6"/>
  <c r="S214" i="6" s="1"/>
  <c r="T214" i="6" s="1"/>
  <c r="H212" i="6"/>
  <c r="H210" i="6"/>
  <c r="H208" i="6"/>
  <c r="H206" i="6"/>
  <c r="H204" i="6"/>
  <c r="H202" i="6"/>
  <c r="H200" i="6"/>
  <c r="H221" i="6"/>
  <c r="H211" i="6"/>
  <c r="H225" i="6"/>
  <c r="S225" i="6" s="1"/>
  <c r="T225" i="6" s="1"/>
  <c r="H215" i="6"/>
  <c r="H227" i="6"/>
  <c r="H219" i="6"/>
  <c r="H217" i="6"/>
  <c r="H201" i="6"/>
  <c r="H205" i="6"/>
  <c r="H223" i="6"/>
  <c r="H209" i="6"/>
  <c r="H213" i="6"/>
  <c r="H207" i="6"/>
  <c r="H229" i="6"/>
  <c r="F317" i="6"/>
  <c r="F318" i="6"/>
  <c r="F312" i="6"/>
  <c r="F310" i="6"/>
  <c r="F308" i="6"/>
  <c r="F306" i="6"/>
  <c r="F304" i="6"/>
  <c r="F302" i="6"/>
  <c r="F300" i="6"/>
  <c r="F298" i="6"/>
  <c r="F296" i="6"/>
  <c r="F294" i="6"/>
  <c r="F292" i="6"/>
  <c r="F290" i="6"/>
  <c r="F303" i="6"/>
  <c r="F293" i="6"/>
  <c r="F307" i="6"/>
  <c r="F297" i="6"/>
  <c r="F314" i="6"/>
  <c r="F309" i="6"/>
  <c r="F319" i="6"/>
  <c r="F313" i="6"/>
  <c r="F299" i="6"/>
  <c r="F315" i="6"/>
  <c r="F295" i="6"/>
  <c r="F311" i="6"/>
  <c r="F316" i="6"/>
  <c r="F305" i="6"/>
  <c r="F301" i="6"/>
  <c r="F291" i="6"/>
  <c r="E75" i="6"/>
  <c r="P78" i="6"/>
  <c r="Q78" i="6" s="1"/>
  <c r="C81" i="6"/>
  <c r="R170" i="6"/>
  <c r="T170" i="6" s="1"/>
  <c r="P177" i="6"/>
  <c r="Q181" i="6"/>
  <c r="R185" i="6"/>
  <c r="C109" i="6"/>
  <c r="C107" i="6"/>
  <c r="C105" i="6"/>
  <c r="C103" i="6"/>
  <c r="C101" i="6"/>
  <c r="R101" i="6" s="1"/>
  <c r="C99" i="6"/>
  <c r="C97" i="6"/>
  <c r="C95" i="6"/>
  <c r="C93" i="6"/>
  <c r="C91" i="6"/>
  <c r="R91" i="6" s="1"/>
  <c r="C89" i="6"/>
  <c r="R89" i="6" s="1"/>
  <c r="C87" i="6"/>
  <c r="C108" i="6"/>
  <c r="R108" i="6" s="1"/>
  <c r="C98" i="6"/>
  <c r="C94" i="6"/>
  <c r="C84" i="6"/>
  <c r="C80" i="6"/>
  <c r="C83" i="6"/>
  <c r="C106" i="6"/>
  <c r="C96" i="6"/>
  <c r="C82" i="6"/>
  <c r="C102" i="6"/>
  <c r="C92" i="6"/>
  <c r="R92" i="6" s="1"/>
  <c r="C104" i="6"/>
  <c r="C86" i="6"/>
  <c r="R86" i="6" s="1"/>
  <c r="C100" i="6"/>
  <c r="C85" i="6"/>
  <c r="R85" i="6" s="1"/>
  <c r="T85" i="6" s="1"/>
  <c r="G167" i="6"/>
  <c r="G157" i="6"/>
  <c r="G147" i="6"/>
  <c r="G166" i="6"/>
  <c r="G156" i="6"/>
  <c r="G146" i="6"/>
  <c r="G161" i="6"/>
  <c r="G151" i="6"/>
  <c r="G164" i="6"/>
  <c r="G160" i="6"/>
  <c r="G143" i="6"/>
  <c r="G168" i="6"/>
  <c r="G162" i="6"/>
  <c r="G144" i="6"/>
  <c r="G141" i="6"/>
  <c r="G165" i="6"/>
  <c r="G159" i="6"/>
  <c r="G158" i="6"/>
  <c r="G155" i="6"/>
  <c r="G140" i="6"/>
  <c r="G154" i="6"/>
  <c r="G150" i="6"/>
  <c r="G149" i="6"/>
  <c r="G145" i="6"/>
  <c r="G153" i="6"/>
  <c r="G152" i="6"/>
  <c r="G148" i="6"/>
  <c r="G142" i="6"/>
  <c r="I27" i="6"/>
  <c r="C259" i="6"/>
  <c r="C257" i="6"/>
  <c r="R257" i="6" s="1"/>
  <c r="C255" i="6"/>
  <c r="R255" i="6" s="1"/>
  <c r="C253" i="6"/>
  <c r="C251" i="6"/>
  <c r="R251" i="6" s="1"/>
  <c r="C249" i="6"/>
  <c r="C247" i="6"/>
  <c r="C245" i="6"/>
  <c r="C243" i="6"/>
  <c r="C241" i="6"/>
  <c r="C239" i="6"/>
  <c r="C237" i="6"/>
  <c r="C235" i="6"/>
  <c r="C233" i="6"/>
  <c r="C231" i="6"/>
  <c r="C256" i="6"/>
  <c r="C246" i="6"/>
  <c r="C230" i="6"/>
  <c r="C232" i="6"/>
  <c r="C250" i="6"/>
  <c r="C234" i="6"/>
  <c r="C252" i="6"/>
  <c r="C248" i="6"/>
  <c r="C240" i="6"/>
  <c r="C258" i="6"/>
  <c r="C242" i="6"/>
  <c r="C236" i="6"/>
  <c r="C238" i="6"/>
  <c r="C254" i="6"/>
  <c r="C244" i="6"/>
  <c r="G317" i="6"/>
  <c r="G318" i="6"/>
  <c r="G312" i="6"/>
  <c r="G310" i="6"/>
  <c r="G308" i="6"/>
  <c r="G306" i="6"/>
  <c r="G304" i="6"/>
  <c r="G302" i="6"/>
  <c r="G300" i="6"/>
  <c r="G298" i="6"/>
  <c r="G296" i="6"/>
  <c r="G294" i="6"/>
  <c r="G292" i="6"/>
  <c r="G290" i="6"/>
  <c r="G319" i="6"/>
  <c r="G307" i="6"/>
  <c r="G297" i="6"/>
  <c r="G316" i="6"/>
  <c r="G313" i="6"/>
  <c r="G314" i="6"/>
  <c r="G303" i="6"/>
  <c r="G309" i="6"/>
  <c r="G315" i="6"/>
  <c r="G295" i="6"/>
  <c r="G311" i="6"/>
  <c r="G301" i="6"/>
  <c r="G305" i="6"/>
  <c r="G299" i="6"/>
  <c r="G293" i="6"/>
  <c r="G291" i="6"/>
  <c r="E65" i="6"/>
  <c r="P104" i="6"/>
  <c r="Q104" i="6" s="1"/>
  <c r="P135" i="6"/>
  <c r="Q135" i="6" s="1"/>
  <c r="H168" i="6"/>
  <c r="H166" i="6"/>
  <c r="S166" i="6" s="1"/>
  <c r="T166" i="6" s="1"/>
  <c r="H164" i="6"/>
  <c r="H162" i="6"/>
  <c r="H160" i="6"/>
  <c r="H158" i="6"/>
  <c r="H156" i="6"/>
  <c r="H154" i="6"/>
  <c r="H152" i="6"/>
  <c r="H150" i="6"/>
  <c r="H148" i="6"/>
  <c r="H146" i="6"/>
  <c r="H144" i="6"/>
  <c r="H142" i="6"/>
  <c r="H140" i="6"/>
  <c r="H161" i="6"/>
  <c r="H151" i="6"/>
  <c r="H141" i="6"/>
  <c r="H169" i="6"/>
  <c r="S169" i="6" s="1"/>
  <c r="T169" i="6" s="1"/>
  <c r="H155" i="6"/>
  <c r="H157" i="6"/>
  <c r="H149" i="6"/>
  <c r="H145" i="6"/>
  <c r="H153" i="6"/>
  <c r="H147" i="6"/>
  <c r="H165" i="6"/>
  <c r="H167" i="6"/>
  <c r="H317" i="6"/>
  <c r="H315" i="6"/>
  <c r="H313" i="6"/>
  <c r="H318" i="6"/>
  <c r="H312" i="6"/>
  <c r="H310" i="6"/>
  <c r="H308" i="6"/>
  <c r="H306" i="6"/>
  <c r="H304" i="6"/>
  <c r="H302" i="6"/>
  <c r="H300" i="6"/>
  <c r="H298" i="6"/>
  <c r="H296" i="6"/>
  <c r="H294" i="6"/>
  <c r="H292" i="6"/>
  <c r="H290" i="6"/>
  <c r="H319" i="6"/>
  <c r="H316" i="6"/>
  <c r="H307" i="6"/>
  <c r="H297" i="6"/>
  <c r="H311" i="6"/>
  <c r="H301" i="6"/>
  <c r="H291" i="6"/>
  <c r="H314" i="6"/>
  <c r="H303" i="6"/>
  <c r="H295" i="6"/>
  <c r="H309" i="6"/>
  <c r="H305" i="6"/>
  <c r="H299" i="6"/>
  <c r="H293" i="6"/>
  <c r="F346" i="6"/>
  <c r="F342" i="6"/>
  <c r="F338" i="6"/>
  <c r="F334" i="6"/>
  <c r="F330" i="6"/>
  <c r="F349" i="6"/>
  <c r="F348" i="6"/>
  <c r="F345" i="6"/>
  <c r="F344" i="6"/>
  <c r="F341" i="6"/>
  <c r="F340" i="6"/>
  <c r="F337" i="6"/>
  <c r="F336" i="6"/>
  <c r="F343" i="6"/>
  <c r="F335" i="6"/>
  <c r="F332" i="6"/>
  <c r="F321" i="6"/>
  <c r="F320" i="6"/>
  <c r="F327" i="6"/>
  <c r="F323" i="6"/>
  <c r="F333" i="6"/>
  <c r="F331" i="6"/>
  <c r="F322" i="6"/>
  <c r="F339" i="6"/>
  <c r="F328" i="6"/>
  <c r="F329" i="6"/>
  <c r="F326" i="6"/>
  <c r="F347" i="6"/>
  <c r="F325" i="6"/>
  <c r="F324" i="6"/>
  <c r="C469" i="6"/>
  <c r="C465" i="6"/>
  <c r="C461" i="6"/>
  <c r="C460" i="6"/>
  <c r="R460" i="6" s="1"/>
  <c r="C459" i="6"/>
  <c r="C455" i="6"/>
  <c r="C451" i="6"/>
  <c r="C447" i="6"/>
  <c r="C443" i="6"/>
  <c r="C440" i="6"/>
  <c r="C458" i="6"/>
  <c r="C454" i="6"/>
  <c r="C450" i="6"/>
  <c r="C446" i="6"/>
  <c r="C442" i="6"/>
  <c r="C468" i="6"/>
  <c r="C464" i="6"/>
  <c r="C453" i="6"/>
  <c r="C449" i="6"/>
  <c r="R449" i="6" s="1"/>
  <c r="C452" i="6"/>
  <c r="C463" i="6"/>
  <c r="C456" i="6"/>
  <c r="C467" i="6"/>
  <c r="C466" i="6"/>
  <c r="C457" i="6"/>
  <c r="R457" i="6" s="1"/>
  <c r="C448" i="6"/>
  <c r="C444" i="6"/>
  <c r="C441" i="6"/>
  <c r="C462" i="6"/>
  <c r="C445" i="6"/>
  <c r="R445" i="6" s="1"/>
  <c r="T445" i="6" s="1"/>
  <c r="R90" i="6"/>
  <c r="F114" i="6"/>
  <c r="Q127" i="6"/>
  <c r="R127" i="6" s="1"/>
  <c r="G163" i="6"/>
  <c r="P249" i="6"/>
  <c r="Q249" i="6" s="1"/>
  <c r="P250" i="6"/>
  <c r="F289" i="6"/>
  <c r="R301" i="6"/>
  <c r="C390" i="6"/>
  <c r="C381" i="6"/>
  <c r="C409" i="6"/>
  <c r="C408" i="6"/>
  <c r="C403" i="6"/>
  <c r="C389" i="6"/>
  <c r="C388" i="6"/>
  <c r="C385" i="6"/>
  <c r="C394" i="6"/>
  <c r="C407" i="6"/>
  <c r="C393" i="6"/>
  <c r="C392" i="6"/>
  <c r="C387" i="6"/>
  <c r="C397" i="6"/>
  <c r="C396" i="6"/>
  <c r="C391" i="6"/>
  <c r="C406" i="6"/>
  <c r="C404" i="6"/>
  <c r="C400" i="6"/>
  <c r="C382" i="6"/>
  <c r="C383" i="6"/>
  <c r="C380" i="6"/>
  <c r="C395" i="6"/>
  <c r="C402" i="6"/>
  <c r="C399" i="6"/>
  <c r="C384" i="6"/>
  <c r="C405" i="6"/>
  <c r="C398" i="6"/>
  <c r="C401" i="6"/>
  <c r="C386" i="6"/>
  <c r="F439" i="6"/>
  <c r="F437" i="6"/>
  <c r="F435" i="6"/>
  <c r="F433" i="6"/>
  <c r="F431" i="6"/>
  <c r="F429" i="6"/>
  <c r="F427" i="6"/>
  <c r="F425" i="6"/>
  <c r="F423" i="6"/>
  <c r="F421" i="6"/>
  <c r="F419" i="6"/>
  <c r="F417" i="6"/>
  <c r="F415" i="6"/>
  <c r="F413" i="6"/>
  <c r="F411" i="6"/>
  <c r="F430" i="6"/>
  <c r="F412" i="6"/>
  <c r="F434" i="6"/>
  <c r="F424" i="6"/>
  <c r="F416" i="6"/>
  <c r="F418" i="6"/>
  <c r="F438" i="6"/>
  <c r="F432" i="6"/>
  <c r="F420" i="6"/>
  <c r="F428" i="6"/>
  <c r="F422" i="6"/>
  <c r="F426" i="6"/>
  <c r="F436" i="6"/>
  <c r="F414" i="6"/>
  <c r="F410" i="6"/>
  <c r="H468" i="6"/>
  <c r="H464" i="6"/>
  <c r="H467" i="6"/>
  <c r="H463" i="6"/>
  <c r="H466" i="6"/>
  <c r="H462" i="6"/>
  <c r="H457" i="6"/>
  <c r="H453" i="6"/>
  <c r="H449" i="6"/>
  <c r="H445" i="6"/>
  <c r="H441" i="6"/>
  <c r="H456" i="6"/>
  <c r="H452" i="6"/>
  <c r="H448" i="6"/>
  <c r="H444" i="6"/>
  <c r="H454" i="6"/>
  <c r="H451" i="6"/>
  <c r="S451" i="6" s="1"/>
  <c r="T451" i="6" s="1"/>
  <c r="H469" i="6"/>
  <c r="H465" i="6"/>
  <c r="H461" i="6"/>
  <c r="S461" i="6" s="1"/>
  <c r="T461" i="6" s="1"/>
  <c r="H460" i="6"/>
  <c r="S460" i="6" s="1"/>
  <c r="T460" i="6" s="1"/>
  <c r="H450" i="6"/>
  <c r="H447" i="6"/>
  <c r="H459" i="6"/>
  <c r="H446" i="6"/>
  <c r="H442" i="6"/>
  <c r="H443" i="6"/>
  <c r="H440" i="6"/>
  <c r="H455" i="6"/>
  <c r="H458" i="6"/>
  <c r="C557" i="6"/>
  <c r="C555" i="6"/>
  <c r="C551" i="6"/>
  <c r="C547" i="6"/>
  <c r="C543" i="6"/>
  <c r="R543" i="6" s="1"/>
  <c r="C539" i="6"/>
  <c r="C535" i="6"/>
  <c r="C531" i="6"/>
  <c r="C558" i="6"/>
  <c r="C538" i="6"/>
  <c r="C533" i="6"/>
  <c r="C532" i="6"/>
  <c r="C554" i="6"/>
  <c r="C553" i="6"/>
  <c r="R553" i="6" s="1"/>
  <c r="C550" i="6"/>
  <c r="C549" i="6"/>
  <c r="R549" i="6" s="1"/>
  <c r="C546" i="6"/>
  <c r="C545" i="6"/>
  <c r="C559" i="6"/>
  <c r="R559" i="6" s="1"/>
  <c r="C542" i="6"/>
  <c r="C537" i="6"/>
  <c r="C536" i="6"/>
  <c r="C541" i="6"/>
  <c r="C540" i="6"/>
  <c r="C548" i="6"/>
  <c r="C544" i="6"/>
  <c r="C530" i="6"/>
  <c r="C556" i="6"/>
  <c r="C534" i="6"/>
  <c r="C552" i="6"/>
  <c r="F586" i="6"/>
  <c r="F564" i="6"/>
  <c r="F560" i="6"/>
  <c r="F582" i="6"/>
  <c r="F569" i="6"/>
  <c r="F563" i="6"/>
  <c r="F584" i="6"/>
  <c r="F580" i="6"/>
  <c r="F567" i="6"/>
  <c r="F588" i="6"/>
  <c r="F576" i="6"/>
  <c r="F565" i="6"/>
  <c r="F583" i="6"/>
  <c r="F572" i="6"/>
  <c r="F561" i="6"/>
  <c r="F570" i="6"/>
  <c r="F589" i="6"/>
  <c r="F577" i="6"/>
  <c r="F562" i="6"/>
  <c r="F581" i="6"/>
  <c r="F573" i="6"/>
  <c r="F578" i="6"/>
  <c r="F575" i="6"/>
  <c r="F587" i="6"/>
  <c r="F571" i="6"/>
  <c r="F568" i="6"/>
  <c r="F566" i="6"/>
  <c r="F579" i="6"/>
  <c r="F574" i="6"/>
  <c r="F585" i="6"/>
  <c r="H617" i="6"/>
  <c r="H613" i="6"/>
  <c r="H609" i="6"/>
  <c r="H605" i="6"/>
  <c r="H611" i="6"/>
  <c r="H610" i="6"/>
  <c r="H607" i="6"/>
  <c r="H606" i="6"/>
  <c r="H603" i="6"/>
  <c r="H599" i="6"/>
  <c r="H595" i="6"/>
  <c r="H602" i="6"/>
  <c r="H597" i="6"/>
  <c r="H596" i="6"/>
  <c r="H612" i="6"/>
  <c r="H619" i="6"/>
  <c r="H618" i="6"/>
  <c r="H600" i="6"/>
  <c r="H592" i="6"/>
  <c r="H608" i="6"/>
  <c r="S608" i="6" s="1"/>
  <c r="T608" i="6" s="1"/>
  <c r="H601" i="6"/>
  <c r="H593" i="6"/>
  <c r="H614" i="6"/>
  <c r="H604" i="6"/>
  <c r="H591" i="6"/>
  <c r="S591" i="6" s="1"/>
  <c r="H590" i="6"/>
  <c r="H615" i="6"/>
  <c r="H616" i="6"/>
  <c r="H598" i="6"/>
  <c r="H594" i="6"/>
  <c r="C708" i="6"/>
  <c r="C706" i="6"/>
  <c r="C704" i="6"/>
  <c r="C702" i="6"/>
  <c r="C700" i="6"/>
  <c r="C698" i="6"/>
  <c r="C696" i="6"/>
  <c r="C694" i="6"/>
  <c r="C695" i="6"/>
  <c r="C701" i="6"/>
  <c r="C699" i="6"/>
  <c r="C691" i="6"/>
  <c r="C681" i="6"/>
  <c r="C707" i="6"/>
  <c r="C709" i="6"/>
  <c r="C692" i="6"/>
  <c r="C689" i="6"/>
  <c r="C687" i="6"/>
  <c r="C685" i="6"/>
  <c r="C690" i="6"/>
  <c r="C683" i="6"/>
  <c r="C688" i="6"/>
  <c r="C684" i="6"/>
  <c r="C697" i="6"/>
  <c r="R697" i="6" s="1"/>
  <c r="C703" i="6"/>
  <c r="C682" i="6"/>
  <c r="C705" i="6"/>
  <c r="C686" i="6"/>
  <c r="C680" i="6"/>
  <c r="C693" i="6"/>
  <c r="F55" i="6"/>
  <c r="F65" i="6"/>
  <c r="P98" i="6"/>
  <c r="P102" i="6"/>
  <c r="P130" i="6"/>
  <c r="Q130" i="6" s="1"/>
  <c r="C170" i="6"/>
  <c r="G214" i="6"/>
  <c r="T291" i="6"/>
  <c r="E103" i="6"/>
  <c r="E93" i="6"/>
  <c r="E102" i="6"/>
  <c r="E105" i="6"/>
  <c r="E98" i="6"/>
  <c r="E101" i="6"/>
  <c r="E95" i="6"/>
  <c r="E83" i="6"/>
  <c r="E106" i="6"/>
  <c r="E99" i="6"/>
  <c r="E96" i="6"/>
  <c r="E82" i="6"/>
  <c r="E108" i="6"/>
  <c r="E104" i="6"/>
  <c r="E100" i="6"/>
  <c r="E86" i="6"/>
  <c r="E97" i="6"/>
  <c r="E92" i="6"/>
  <c r="E90" i="6"/>
  <c r="E88" i="6"/>
  <c r="E87" i="6"/>
  <c r="E85" i="6"/>
  <c r="E81" i="6"/>
  <c r="G137" i="6"/>
  <c r="G127" i="6"/>
  <c r="G117" i="6"/>
  <c r="G136" i="6"/>
  <c r="G126" i="6"/>
  <c r="G116" i="6"/>
  <c r="G132" i="6"/>
  <c r="G128" i="6"/>
  <c r="G121" i="6"/>
  <c r="G129" i="6"/>
  <c r="G114" i="6"/>
  <c r="G113" i="6"/>
  <c r="G115" i="6"/>
  <c r="G138" i="6"/>
  <c r="G134" i="6"/>
  <c r="G123" i="6"/>
  <c r="G112" i="6"/>
  <c r="G122" i="6"/>
  <c r="G118" i="6"/>
  <c r="G133" i="6"/>
  <c r="G131" i="6"/>
  <c r="G111" i="6"/>
  <c r="G125" i="6"/>
  <c r="G120" i="6"/>
  <c r="G135" i="6"/>
  <c r="G130" i="6"/>
  <c r="I25" i="6"/>
  <c r="E250" i="6"/>
  <c r="E234" i="6"/>
  <c r="E231" i="6"/>
  <c r="E253" i="6"/>
  <c r="E236" i="6"/>
  <c r="E233" i="6"/>
  <c r="E254" i="6"/>
  <c r="E238" i="6"/>
  <c r="E235" i="6"/>
  <c r="E232" i="6"/>
  <c r="E230" i="6"/>
  <c r="E251" i="6"/>
  <c r="E243" i="6"/>
  <c r="E239" i="6"/>
  <c r="E247" i="6"/>
  <c r="E242" i="6"/>
  <c r="E257" i="6"/>
  <c r="E252" i="6"/>
  <c r="E241" i="6"/>
  <c r="E248" i="6"/>
  <c r="E237" i="6"/>
  <c r="E256" i="6"/>
  <c r="E246" i="6"/>
  <c r="E259" i="6"/>
  <c r="E240" i="6"/>
  <c r="E249" i="6"/>
  <c r="E245" i="6"/>
  <c r="E258" i="6"/>
  <c r="E255" i="6"/>
  <c r="G288" i="6"/>
  <c r="G286" i="6"/>
  <c r="G284" i="6"/>
  <c r="G282" i="6"/>
  <c r="G280" i="6"/>
  <c r="G278" i="6"/>
  <c r="G276" i="6"/>
  <c r="G274" i="6"/>
  <c r="G272" i="6"/>
  <c r="G270" i="6"/>
  <c r="G268" i="6"/>
  <c r="G266" i="6"/>
  <c r="G264" i="6"/>
  <c r="G262" i="6"/>
  <c r="G260" i="6"/>
  <c r="G287" i="6"/>
  <c r="G277" i="6"/>
  <c r="G267" i="6"/>
  <c r="G261" i="6"/>
  <c r="G271" i="6"/>
  <c r="G281" i="6"/>
  <c r="G265" i="6"/>
  <c r="G285" i="6"/>
  <c r="G289" i="6"/>
  <c r="G279" i="6"/>
  <c r="G263" i="6"/>
  <c r="G275" i="6"/>
  <c r="G273" i="6"/>
  <c r="G283" i="6"/>
  <c r="G269" i="6"/>
  <c r="E408" i="6"/>
  <c r="E404" i="6"/>
  <c r="E400" i="6"/>
  <c r="E396" i="6"/>
  <c r="E392" i="6"/>
  <c r="E388" i="6"/>
  <c r="E384" i="6"/>
  <c r="E394" i="6"/>
  <c r="E407" i="6"/>
  <c r="E393" i="6"/>
  <c r="E387" i="6"/>
  <c r="E398" i="6"/>
  <c r="E382" i="6"/>
  <c r="E397" i="6"/>
  <c r="E391" i="6"/>
  <c r="E401" i="6"/>
  <c r="E395" i="6"/>
  <c r="E409" i="6"/>
  <c r="E402" i="6"/>
  <c r="E380" i="6"/>
  <c r="E385" i="6"/>
  <c r="E381" i="6"/>
  <c r="E390" i="6"/>
  <c r="E406" i="6"/>
  <c r="E403" i="6"/>
  <c r="E399" i="6"/>
  <c r="E405" i="6"/>
  <c r="E386" i="6"/>
  <c r="E389" i="6"/>
  <c r="E383" i="6"/>
  <c r="G439" i="6"/>
  <c r="G437" i="6"/>
  <c r="G435" i="6"/>
  <c r="G433" i="6"/>
  <c r="G431" i="6"/>
  <c r="G429" i="6"/>
  <c r="G427" i="6"/>
  <c r="G425" i="6"/>
  <c r="G423" i="6"/>
  <c r="G421" i="6"/>
  <c r="G419" i="6"/>
  <c r="G417" i="6"/>
  <c r="G415" i="6"/>
  <c r="G413" i="6"/>
  <c r="G411" i="6"/>
  <c r="G414" i="6"/>
  <c r="G418" i="6"/>
  <c r="G438" i="6"/>
  <c r="G428" i="6"/>
  <c r="G420" i="6"/>
  <c r="G432" i="6"/>
  <c r="G422" i="6"/>
  <c r="G434" i="6"/>
  <c r="G412" i="6"/>
  <c r="G426" i="6"/>
  <c r="G416" i="6"/>
  <c r="G436" i="6"/>
  <c r="G430" i="6"/>
  <c r="G424" i="6"/>
  <c r="G410" i="6"/>
  <c r="E556" i="6"/>
  <c r="E554" i="6"/>
  <c r="E552" i="6"/>
  <c r="E550" i="6"/>
  <c r="E548" i="6"/>
  <c r="E546" i="6"/>
  <c r="E544" i="6"/>
  <c r="E542" i="6"/>
  <c r="E540" i="6"/>
  <c r="E538" i="6"/>
  <c r="E536" i="6"/>
  <c r="E534" i="6"/>
  <c r="E532" i="6"/>
  <c r="E530" i="6"/>
  <c r="E555" i="6"/>
  <c r="E551" i="6"/>
  <c r="E547" i="6"/>
  <c r="E543" i="6"/>
  <c r="E539" i="6"/>
  <c r="E535" i="6"/>
  <c r="E531" i="6"/>
  <c r="E558" i="6"/>
  <c r="E559" i="6"/>
  <c r="E553" i="6"/>
  <c r="E549" i="6"/>
  <c r="E545" i="6"/>
  <c r="E557" i="6"/>
  <c r="E537" i="6"/>
  <c r="E541" i="6"/>
  <c r="E533" i="6"/>
  <c r="G586" i="6"/>
  <c r="G582" i="6"/>
  <c r="G578" i="6"/>
  <c r="G575" i="6"/>
  <c r="G573" i="6"/>
  <c r="G571" i="6"/>
  <c r="G569" i="6"/>
  <c r="G567" i="6"/>
  <c r="G565" i="6"/>
  <c r="G563" i="6"/>
  <c r="G561" i="6"/>
  <c r="G589" i="6"/>
  <c r="G585" i="6"/>
  <c r="G581" i="6"/>
  <c r="G577" i="6"/>
  <c r="G564" i="6"/>
  <c r="G560" i="6"/>
  <c r="G587" i="6"/>
  <c r="G584" i="6"/>
  <c r="G580" i="6"/>
  <c r="G588" i="6"/>
  <c r="G576" i="6"/>
  <c r="G574" i="6"/>
  <c r="G570" i="6"/>
  <c r="G583" i="6"/>
  <c r="G572" i="6"/>
  <c r="G562" i="6"/>
  <c r="G566" i="6"/>
  <c r="G568" i="6"/>
  <c r="G579" i="6"/>
  <c r="E701" i="6"/>
  <c r="E700" i="6"/>
  <c r="E699" i="6"/>
  <c r="E703" i="6"/>
  <c r="E702" i="6"/>
  <c r="E694" i="6"/>
  <c r="E705" i="6"/>
  <c r="E704" i="6"/>
  <c r="E693" i="6"/>
  <c r="E707" i="6"/>
  <c r="E696" i="6"/>
  <c r="E709" i="6"/>
  <c r="E708" i="6"/>
  <c r="E692" i="6"/>
  <c r="E689" i="6"/>
  <c r="E687" i="6"/>
  <c r="E685" i="6"/>
  <c r="E688" i="6"/>
  <c r="E686" i="6"/>
  <c r="E684" i="6"/>
  <c r="E680" i="6"/>
  <c r="E698" i="6"/>
  <c r="E697" i="6"/>
  <c r="E691" i="6"/>
  <c r="E683" i="6"/>
  <c r="E682" i="6"/>
  <c r="E690" i="6"/>
  <c r="E706" i="6"/>
  <c r="E695" i="6"/>
  <c r="E681" i="6"/>
  <c r="P52" i="6"/>
  <c r="Q52" i="6" s="1"/>
  <c r="R52" i="6" s="1"/>
  <c r="T52" i="6" s="1"/>
  <c r="P62" i="6"/>
  <c r="Q62" i="6" s="1"/>
  <c r="P74" i="6"/>
  <c r="F77" i="6"/>
  <c r="P79" i="6"/>
  <c r="Q79" i="6" s="1"/>
  <c r="R79" i="6" s="1"/>
  <c r="P105" i="6"/>
  <c r="Q105" i="6" s="1"/>
  <c r="P106" i="6"/>
  <c r="Q106" i="6" s="1"/>
  <c r="P122" i="6"/>
  <c r="Q191" i="6"/>
  <c r="C376" i="6"/>
  <c r="C371" i="6"/>
  <c r="C377" i="6"/>
  <c r="C372" i="6"/>
  <c r="C378" i="6"/>
  <c r="C367" i="6"/>
  <c r="C374" i="6"/>
  <c r="C362" i="6"/>
  <c r="C358" i="6"/>
  <c r="C364" i="6"/>
  <c r="C363" i="6"/>
  <c r="C353" i="6"/>
  <c r="C379" i="6"/>
  <c r="C352" i="6"/>
  <c r="C373" i="6"/>
  <c r="C370" i="6"/>
  <c r="C368" i="6"/>
  <c r="C365" i="6"/>
  <c r="C350" i="6"/>
  <c r="C361" i="6"/>
  <c r="C354" i="6"/>
  <c r="C355" i="6"/>
  <c r="C356" i="6"/>
  <c r="C351" i="6"/>
  <c r="C360" i="6"/>
  <c r="C366" i="6"/>
  <c r="C357" i="6"/>
  <c r="C359" i="6"/>
  <c r="C375" i="6"/>
  <c r="C369" i="6"/>
  <c r="F409" i="6"/>
  <c r="F407" i="6"/>
  <c r="F405" i="6"/>
  <c r="F403" i="6"/>
  <c r="F401" i="6"/>
  <c r="F399" i="6"/>
  <c r="F397" i="6"/>
  <c r="F395" i="6"/>
  <c r="F393" i="6"/>
  <c r="F391" i="6"/>
  <c r="F389" i="6"/>
  <c r="F387" i="6"/>
  <c r="F385" i="6"/>
  <c r="F383" i="6"/>
  <c r="F381" i="6"/>
  <c r="F398" i="6"/>
  <c r="F392" i="6"/>
  <c r="F382" i="6"/>
  <c r="F384" i="6"/>
  <c r="F402" i="6"/>
  <c r="F396" i="6"/>
  <c r="F406" i="6"/>
  <c r="F400" i="6"/>
  <c r="F380" i="6"/>
  <c r="F390" i="6"/>
  <c r="F394" i="6"/>
  <c r="F388" i="6"/>
  <c r="F404" i="6"/>
  <c r="F386" i="6"/>
  <c r="F408" i="6"/>
  <c r="H439" i="6"/>
  <c r="H437" i="6"/>
  <c r="H435" i="6"/>
  <c r="H433" i="6"/>
  <c r="H431" i="6"/>
  <c r="H429" i="6"/>
  <c r="H427" i="6"/>
  <c r="H425" i="6"/>
  <c r="H423" i="6"/>
  <c r="H421" i="6"/>
  <c r="H419" i="6"/>
  <c r="H417" i="6"/>
  <c r="H415" i="6"/>
  <c r="H413" i="6"/>
  <c r="H411" i="6"/>
  <c r="H434" i="6"/>
  <c r="H424" i="6"/>
  <c r="S424" i="6" s="1"/>
  <c r="T424" i="6" s="1"/>
  <c r="H416" i="6"/>
  <c r="H438" i="6"/>
  <c r="H428" i="6"/>
  <c r="H420" i="6"/>
  <c r="H432" i="6"/>
  <c r="H422" i="6"/>
  <c r="H414" i="6"/>
  <c r="H412" i="6"/>
  <c r="H418" i="6"/>
  <c r="H436" i="6"/>
  <c r="H426" i="6"/>
  <c r="H430" i="6"/>
  <c r="H410" i="6"/>
  <c r="C528" i="6"/>
  <c r="C522" i="6"/>
  <c r="C525" i="6"/>
  <c r="R525" i="6" s="1"/>
  <c r="C514" i="6"/>
  <c r="C507" i="6"/>
  <c r="C504" i="6"/>
  <c r="C529" i="6"/>
  <c r="R529" i="6" s="1"/>
  <c r="C519" i="6"/>
  <c r="C524" i="6"/>
  <c r="C517" i="6"/>
  <c r="C511" i="6"/>
  <c r="C508" i="6"/>
  <c r="C521" i="6"/>
  <c r="C501" i="6"/>
  <c r="C500" i="6"/>
  <c r="C520" i="6"/>
  <c r="C515" i="6"/>
  <c r="R515" i="6" s="1"/>
  <c r="C510" i="6"/>
  <c r="C505" i="6"/>
  <c r="C512" i="6"/>
  <c r="C509" i="6"/>
  <c r="C502" i="6"/>
  <c r="C513" i="6"/>
  <c r="C503" i="6"/>
  <c r="C526" i="6"/>
  <c r="C516" i="6"/>
  <c r="C506" i="6"/>
  <c r="C527" i="6"/>
  <c r="C518" i="6"/>
  <c r="C523" i="6"/>
  <c r="F556" i="6"/>
  <c r="F554" i="6"/>
  <c r="F552" i="6"/>
  <c r="F550" i="6"/>
  <c r="F548" i="6"/>
  <c r="F546" i="6"/>
  <c r="F544" i="6"/>
  <c r="F542" i="6"/>
  <c r="F540" i="6"/>
  <c r="F538" i="6"/>
  <c r="F536" i="6"/>
  <c r="F534" i="6"/>
  <c r="F532" i="6"/>
  <c r="F530" i="6"/>
  <c r="F558" i="6"/>
  <c r="F553" i="6"/>
  <c r="F549" i="6"/>
  <c r="F545" i="6"/>
  <c r="F541" i="6"/>
  <c r="F537" i="6"/>
  <c r="F533" i="6"/>
  <c r="F557" i="6"/>
  <c r="F559" i="6"/>
  <c r="F531" i="6"/>
  <c r="F535" i="6"/>
  <c r="F551" i="6"/>
  <c r="F539" i="6"/>
  <c r="F547" i="6"/>
  <c r="F555" i="6"/>
  <c r="F543" i="6"/>
  <c r="H586" i="6"/>
  <c r="H587" i="6"/>
  <c r="H582" i="6"/>
  <c r="H583" i="6"/>
  <c r="H578" i="6"/>
  <c r="H563" i="6"/>
  <c r="H588" i="6"/>
  <c r="H576" i="6"/>
  <c r="H567" i="6"/>
  <c r="H574" i="6"/>
  <c r="H565" i="6"/>
  <c r="H572" i="6"/>
  <c r="H585" i="6"/>
  <c r="H581" i="6"/>
  <c r="H579" i="6"/>
  <c r="H568" i="6"/>
  <c r="H589" i="6"/>
  <c r="H580" i="6"/>
  <c r="H562" i="6"/>
  <c r="H577" i="6"/>
  <c r="S577" i="6" s="1"/>
  <c r="T577" i="6" s="1"/>
  <c r="H573" i="6"/>
  <c r="H560" i="6"/>
  <c r="H564" i="6"/>
  <c r="H561" i="6"/>
  <c r="H566" i="6"/>
  <c r="H575" i="6"/>
  <c r="H584" i="6"/>
  <c r="H571" i="6"/>
  <c r="H570" i="6"/>
  <c r="H569" i="6"/>
  <c r="C677" i="6"/>
  <c r="C673" i="6"/>
  <c r="C669" i="6"/>
  <c r="C679" i="6"/>
  <c r="C678" i="6"/>
  <c r="C672" i="6"/>
  <c r="C665" i="6"/>
  <c r="C663" i="6"/>
  <c r="C661" i="6"/>
  <c r="C659" i="6"/>
  <c r="C671" i="6"/>
  <c r="C666" i="6"/>
  <c r="C664" i="6"/>
  <c r="C675" i="6"/>
  <c r="C656" i="6"/>
  <c r="C654" i="6"/>
  <c r="C652" i="6"/>
  <c r="C670" i="6"/>
  <c r="C667" i="6"/>
  <c r="C650" i="6"/>
  <c r="C668" i="6"/>
  <c r="C651" i="6"/>
  <c r="C653" i="6"/>
  <c r="C660" i="6"/>
  <c r="R660" i="6" s="1"/>
  <c r="C657" i="6"/>
  <c r="C655" i="6"/>
  <c r="C676" i="6"/>
  <c r="C674" i="6"/>
  <c r="C658" i="6"/>
  <c r="C662" i="6"/>
  <c r="F701" i="6"/>
  <c r="F700" i="6"/>
  <c r="F699" i="6"/>
  <c r="F691" i="6"/>
  <c r="F689" i="6"/>
  <c r="F687" i="6"/>
  <c r="F685" i="6"/>
  <c r="F683" i="6"/>
  <c r="F681" i="6"/>
  <c r="F703" i="6"/>
  <c r="F702" i="6"/>
  <c r="F694" i="6"/>
  <c r="F705" i="6"/>
  <c r="F704" i="6"/>
  <c r="F693" i="6"/>
  <c r="F707" i="6"/>
  <c r="F706" i="6"/>
  <c r="F698" i="6"/>
  <c r="F709" i="6"/>
  <c r="F708" i="6"/>
  <c r="F692" i="6"/>
  <c r="F688" i="6"/>
  <c r="F686" i="6"/>
  <c r="F684" i="6"/>
  <c r="F680" i="6"/>
  <c r="F690" i="6"/>
  <c r="F682" i="6"/>
  <c r="F695" i="6"/>
  <c r="F696" i="6"/>
  <c r="F697" i="6"/>
  <c r="F53" i="6"/>
  <c r="F63" i="6"/>
  <c r="Q66" i="6"/>
  <c r="P88" i="6"/>
  <c r="Q88" i="6" s="1"/>
  <c r="R88" i="6" s="1"/>
  <c r="E91" i="6"/>
  <c r="P93" i="6"/>
  <c r="Q93" i="6" s="1"/>
  <c r="R133" i="6"/>
  <c r="P138" i="6"/>
  <c r="Q138" i="6" s="1"/>
  <c r="R138" i="6" s="1"/>
  <c r="R171" i="6"/>
  <c r="T171" i="6" s="1"/>
  <c r="E244" i="6"/>
  <c r="E379" i="6"/>
  <c r="E375" i="6"/>
  <c r="E371" i="6"/>
  <c r="E367" i="6"/>
  <c r="E363" i="6"/>
  <c r="E359" i="6"/>
  <c r="E355" i="6"/>
  <c r="E351" i="6"/>
  <c r="E377" i="6"/>
  <c r="E372" i="6"/>
  <c r="E378" i="6"/>
  <c r="E373" i="6"/>
  <c r="E368" i="6"/>
  <c r="E374" i="6"/>
  <c r="E362" i="6"/>
  <c r="E358" i="6"/>
  <c r="E354" i="6"/>
  <c r="E350" i="6"/>
  <c r="E370" i="6"/>
  <c r="E366" i="6"/>
  <c r="E365" i="6"/>
  <c r="E361" i="6"/>
  <c r="E376" i="6"/>
  <c r="E369" i="6"/>
  <c r="E360" i="6"/>
  <c r="E353" i="6"/>
  <c r="E357" i="6"/>
  <c r="E356" i="6"/>
  <c r="E352" i="6"/>
  <c r="E364" i="6"/>
  <c r="G409" i="6"/>
  <c r="G407" i="6"/>
  <c r="G405" i="6"/>
  <c r="G403" i="6"/>
  <c r="G401" i="6"/>
  <c r="G399" i="6"/>
  <c r="G397" i="6"/>
  <c r="G395" i="6"/>
  <c r="G393" i="6"/>
  <c r="G391" i="6"/>
  <c r="G389" i="6"/>
  <c r="G387" i="6"/>
  <c r="G385" i="6"/>
  <c r="G383" i="6"/>
  <c r="G408" i="6"/>
  <c r="G404" i="6"/>
  <c r="G400" i="6"/>
  <c r="G396" i="6"/>
  <c r="G392" i="6"/>
  <c r="G388" i="6"/>
  <c r="G398" i="6"/>
  <c r="G382" i="6"/>
  <c r="G384" i="6"/>
  <c r="G402" i="6"/>
  <c r="G386" i="6"/>
  <c r="G380" i="6"/>
  <c r="G381" i="6"/>
  <c r="G394" i="6"/>
  <c r="G390" i="6"/>
  <c r="G406" i="6"/>
  <c r="E528" i="6"/>
  <c r="E526" i="6"/>
  <c r="E524" i="6"/>
  <c r="E522" i="6"/>
  <c r="E520" i="6"/>
  <c r="E518" i="6"/>
  <c r="E516" i="6"/>
  <c r="E529" i="6"/>
  <c r="E519" i="6"/>
  <c r="E517" i="6"/>
  <c r="E511" i="6"/>
  <c r="E508" i="6"/>
  <c r="E501" i="6"/>
  <c r="E500" i="6"/>
  <c r="E527" i="6"/>
  <c r="E515" i="6"/>
  <c r="E512" i="6"/>
  <c r="E505" i="6"/>
  <c r="E502" i="6"/>
  <c r="E510" i="6"/>
  <c r="E525" i="6"/>
  <c r="E509" i="6"/>
  <c r="E507" i="6"/>
  <c r="E513" i="6"/>
  <c r="E503" i="6"/>
  <c r="E506" i="6"/>
  <c r="E523" i="6"/>
  <c r="E504" i="6"/>
  <c r="E514" i="6"/>
  <c r="E521" i="6"/>
  <c r="G559" i="6"/>
  <c r="G557" i="6"/>
  <c r="G556" i="6"/>
  <c r="G554" i="6"/>
  <c r="G552" i="6"/>
  <c r="G550" i="6"/>
  <c r="G548" i="6"/>
  <c r="G546" i="6"/>
  <c r="G544" i="6"/>
  <c r="G542" i="6"/>
  <c r="G540" i="6"/>
  <c r="G538" i="6"/>
  <c r="G536" i="6"/>
  <c r="G534" i="6"/>
  <c r="G532" i="6"/>
  <c r="G530" i="6"/>
  <c r="G537" i="6"/>
  <c r="G541" i="6"/>
  <c r="G531" i="6"/>
  <c r="G539" i="6"/>
  <c r="G545" i="6"/>
  <c r="G535" i="6"/>
  <c r="G551" i="6"/>
  <c r="G533" i="6"/>
  <c r="G553" i="6"/>
  <c r="G547" i="6"/>
  <c r="G549" i="6"/>
  <c r="G558" i="6"/>
  <c r="G555" i="6"/>
  <c r="G543" i="6"/>
  <c r="E676" i="6"/>
  <c r="E672" i="6"/>
  <c r="E668" i="6"/>
  <c r="E665" i="6"/>
  <c r="E663" i="6"/>
  <c r="E661" i="6"/>
  <c r="E659" i="6"/>
  <c r="E671" i="6"/>
  <c r="E669" i="6"/>
  <c r="E666" i="6"/>
  <c r="E664" i="6"/>
  <c r="E662" i="6"/>
  <c r="E660" i="6"/>
  <c r="E658" i="6"/>
  <c r="E655" i="6"/>
  <c r="E653" i="6"/>
  <c r="E651" i="6"/>
  <c r="E674" i="6"/>
  <c r="E667" i="6"/>
  <c r="E657" i="6"/>
  <c r="E677" i="6"/>
  <c r="E679" i="6"/>
  <c r="E670" i="6"/>
  <c r="E656" i="6"/>
  <c r="E654" i="6"/>
  <c r="E652" i="6"/>
  <c r="E650" i="6"/>
  <c r="E678" i="6"/>
  <c r="E673" i="6"/>
  <c r="E675" i="6"/>
  <c r="G703" i="6"/>
  <c r="G702" i="6"/>
  <c r="G694" i="6"/>
  <c r="G705" i="6"/>
  <c r="G704" i="6"/>
  <c r="G693" i="6"/>
  <c r="G707" i="6"/>
  <c r="G706" i="6"/>
  <c r="G698" i="6"/>
  <c r="G709" i="6"/>
  <c r="G708" i="6"/>
  <c r="G697" i="6"/>
  <c r="G689" i="6"/>
  <c r="G688" i="6"/>
  <c r="G687" i="6"/>
  <c r="G686" i="6"/>
  <c r="G685" i="6"/>
  <c r="G684" i="6"/>
  <c r="G680" i="6"/>
  <c r="G701" i="6"/>
  <c r="G700" i="6"/>
  <c r="G699" i="6"/>
  <c r="G690" i="6"/>
  <c r="G695" i="6"/>
  <c r="G683" i="6"/>
  <c r="G691" i="6"/>
  <c r="G682" i="6"/>
  <c r="G692" i="6"/>
  <c r="G681" i="6"/>
  <c r="G696" i="6"/>
  <c r="G768" i="6"/>
  <c r="G766" i="6"/>
  <c r="G764" i="6"/>
  <c r="G762" i="6"/>
  <c r="G760" i="6"/>
  <c r="G758" i="6"/>
  <c r="G756" i="6"/>
  <c r="G754" i="6"/>
  <c r="G752" i="6"/>
  <c r="G750" i="6"/>
  <c r="G748" i="6"/>
  <c r="G746" i="6"/>
  <c r="G744" i="6"/>
  <c r="G742" i="6"/>
  <c r="G753" i="6"/>
  <c r="G743" i="6"/>
  <c r="G757" i="6"/>
  <c r="G747" i="6"/>
  <c r="G767" i="6"/>
  <c r="G765" i="6"/>
  <c r="G763" i="6"/>
  <c r="G761" i="6"/>
  <c r="G769" i="6"/>
  <c r="G759" i="6"/>
  <c r="G755" i="6"/>
  <c r="G745" i="6"/>
  <c r="G741" i="6"/>
  <c r="G749" i="6"/>
  <c r="G751" i="6"/>
  <c r="G740" i="6"/>
  <c r="P60" i="6"/>
  <c r="Q60" i="6" s="1"/>
  <c r="R60" i="6" s="1"/>
  <c r="P70" i="6"/>
  <c r="Q70" i="6" s="1"/>
  <c r="U110" i="6"/>
  <c r="G139" i="6"/>
  <c r="Q204" i="6"/>
  <c r="R204" i="6" s="1"/>
  <c r="T204" i="6" s="1"/>
  <c r="P282" i="6"/>
  <c r="Q282" i="6" s="1"/>
  <c r="P281" i="6"/>
  <c r="Q281" i="6" s="1"/>
  <c r="F78" i="6"/>
  <c r="F79" i="6"/>
  <c r="F76" i="6"/>
  <c r="F74" i="6"/>
  <c r="F72" i="6"/>
  <c r="F70" i="6"/>
  <c r="F68" i="6"/>
  <c r="F66" i="6"/>
  <c r="F64" i="6"/>
  <c r="F62" i="6"/>
  <c r="F60" i="6"/>
  <c r="F58" i="6"/>
  <c r="F56" i="6"/>
  <c r="F54" i="6"/>
  <c r="F52" i="6"/>
  <c r="F50" i="6"/>
  <c r="H108" i="6"/>
  <c r="H106" i="6"/>
  <c r="H104" i="6"/>
  <c r="H102" i="6"/>
  <c r="H100" i="6"/>
  <c r="S100" i="6" s="1"/>
  <c r="T100" i="6" s="1"/>
  <c r="H98" i="6"/>
  <c r="H96" i="6"/>
  <c r="H94" i="6"/>
  <c r="H92" i="6"/>
  <c r="H90" i="6"/>
  <c r="S90" i="6" s="1"/>
  <c r="T90" i="6" s="1"/>
  <c r="H88" i="6"/>
  <c r="H86" i="6"/>
  <c r="H101" i="6"/>
  <c r="H107" i="6"/>
  <c r="H103" i="6"/>
  <c r="S103" i="6" s="1"/>
  <c r="T103" i="6" s="1"/>
  <c r="H82" i="6"/>
  <c r="H85" i="6"/>
  <c r="H81" i="6"/>
  <c r="H91" i="6"/>
  <c r="H89" i="6"/>
  <c r="H87" i="6"/>
  <c r="H109" i="6"/>
  <c r="H97" i="6"/>
  <c r="H93" i="6"/>
  <c r="H84" i="6"/>
  <c r="H80" i="6"/>
  <c r="C199" i="6"/>
  <c r="C197" i="6"/>
  <c r="C195" i="6"/>
  <c r="C193" i="6"/>
  <c r="C191" i="6"/>
  <c r="C189" i="6"/>
  <c r="C187" i="6"/>
  <c r="C185" i="6"/>
  <c r="C183" i="6"/>
  <c r="C181" i="6"/>
  <c r="C179" i="6"/>
  <c r="R179" i="6" s="1"/>
  <c r="C177" i="6"/>
  <c r="C175" i="6"/>
  <c r="R175" i="6" s="1"/>
  <c r="T175" i="6" s="1"/>
  <c r="C173" i="6"/>
  <c r="C171" i="6"/>
  <c r="C178" i="6"/>
  <c r="C188" i="6"/>
  <c r="C186" i="6"/>
  <c r="C184" i="6"/>
  <c r="C182" i="6"/>
  <c r="C180" i="6"/>
  <c r="C190" i="6"/>
  <c r="C194" i="6"/>
  <c r="C176" i="6"/>
  <c r="C196" i="6"/>
  <c r="C174" i="6"/>
  <c r="C192" i="6"/>
  <c r="C172" i="6"/>
  <c r="F228" i="6"/>
  <c r="F226" i="6"/>
  <c r="F224" i="6"/>
  <c r="F217" i="6"/>
  <c r="F214" i="6"/>
  <c r="F207" i="6"/>
  <c r="F227" i="6"/>
  <c r="F221" i="6"/>
  <c r="F218" i="6"/>
  <c r="F211" i="6"/>
  <c r="F208" i="6"/>
  <c r="F203" i="6"/>
  <c r="F213" i="6"/>
  <c r="F206" i="6"/>
  <c r="F204" i="6"/>
  <c r="F202" i="6"/>
  <c r="F229" i="6"/>
  <c r="F201" i="6"/>
  <c r="F225" i="6"/>
  <c r="F223" i="6"/>
  <c r="F212" i="6"/>
  <c r="F205" i="6"/>
  <c r="F215" i="6"/>
  <c r="F210" i="6"/>
  <c r="F209" i="6"/>
  <c r="F219" i="6"/>
  <c r="F216" i="6"/>
  <c r="F222" i="6"/>
  <c r="F220" i="6"/>
  <c r="F200" i="6"/>
  <c r="H258" i="6"/>
  <c r="S258" i="6" s="1"/>
  <c r="T258" i="6" s="1"/>
  <c r="H256" i="6"/>
  <c r="H254" i="6"/>
  <c r="H252" i="6"/>
  <c r="H250" i="6"/>
  <c r="H248" i="6"/>
  <c r="S248" i="6" s="1"/>
  <c r="T248" i="6" s="1"/>
  <c r="H246" i="6"/>
  <c r="S246" i="6" s="1"/>
  <c r="T246" i="6" s="1"/>
  <c r="H244" i="6"/>
  <c r="H242" i="6"/>
  <c r="H240" i="6"/>
  <c r="H238" i="6"/>
  <c r="S238" i="6" s="1"/>
  <c r="T238" i="6" s="1"/>
  <c r="H236" i="6"/>
  <c r="H234" i="6"/>
  <c r="H232" i="6"/>
  <c r="H230" i="6"/>
  <c r="H257" i="6"/>
  <c r="H247" i="6"/>
  <c r="H237" i="6"/>
  <c r="H239" i="6"/>
  <c r="H251" i="6"/>
  <c r="H241" i="6"/>
  <c r="H245" i="6"/>
  <c r="H255" i="6"/>
  <c r="H249" i="6"/>
  <c r="H235" i="6"/>
  <c r="H243" i="6"/>
  <c r="H253" i="6"/>
  <c r="H231" i="6"/>
  <c r="H233" i="6"/>
  <c r="H259" i="6"/>
  <c r="C327" i="6"/>
  <c r="C323" i="6"/>
  <c r="C345" i="6"/>
  <c r="C337" i="6"/>
  <c r="C333" i="6"/>
  <c r="C344" i="6"/>
  <c r="C336" i="6"/>
  <c r="C330" i="6"/>
  <c r="C340" i="6"/>
  <c r="R340" i="6" s="1"/>
  <c r="C324" i="6"/>
  <c r="C349" i="6"/>
  <c r="C342" i="6"/>
  <c r="C341" i="6"/>
  <c r="C329" i="6"/>
  <c r="C321" i="6"/>
  <c r="C328" i="6"/>
  <c r="C322" i="6"/>
  <c r="C347" i="6"/>
  <c r="C339" i="6"/>
  <c r="C325" i="6"/>
  <c r="C335" i="6"/>
  <c r="C331" i="6"/>
  <c r="R331" i="6" s="1"/>
  <c r="C326" i="6"/>
  <c r="C348" i="6"/>
  <c r="C343" i="6"/>
  <c r="R343" i="6" s="1"/>
  <c r="C338" i="6"/>
  <c r="C334" i="6"/>
  <c r="C320" i="6"/>
  <c r="C346" i="6"/>
  <c r="C332" i="6"/>
  <c r="F378" i="6"/>
  <c r="F374" i="6"/>
  <c r="F370" i="6"/>
  <c r="F366" i="6"/>
  <c r="F373" i="6"/>
  <c r="F368" i="6"/>
  <c r="F367" i="6"/>
  <c r="F362" i="6"/>
  <c r="F358" i="6"/>
  <c r="F354" i="6"/>
  <c r="F350" i="6"/>
  <c r="F369" i="6"/>
  <c r="F364" i="6"/>
  <c r="F361" i="6"/>
  <c r="F360" i="6"/>
  <c r="F357" i="6"/>
  <c r="F356" i="6"/>
  <c r="F353" i="6"/>
  <c r="F352" i="6"/>
  <c r="F379" i="6"/>
  <c r="F365" i="6"/>
  <c r="F372" i="6"/>
  <c r="F371" i="6"/>
  <c r="F351" i="6"/>
  <c r="F376" i="6"/>
  <c r="F363" i="6"/>
  <c r="F375" i="6"/>
  <c r="F355" i="6"/>
  <c r="F377" i="6"/>
  <c r="F359" i="6"/>
  <c r="H409" i="6"/>
  <c r="S409" i="6" s="1"/>
  <c r="T409" i="6" s="1"/>
  <c r="H405" i="6"/>
  <c r="H401" i="6"/>
  <c r="H397" i="6"/>
  <c r="H393" i="6"/>
  <c r="S393" i="6" s="1"/>
  <c r="T393" i="6" s="1"/>
  <c r="H389" i="6"/>
  <c r="H385" i="6"/>
  <c r="H407" i="6"/>
  <c r="H392" i="6"/>
  <c r="H387" i="6"/>
  <c r="H384" i="6"/>
  <c r="H402" i="6"/>
  <c r="H396" i="6"/>
  <c r="H391" i="6"/>
  <c r="H406" i="6"/>
  <c r="H380" i="6"/>
  <c r="H390" i="6"/>
  <c r="H383" i="6"/>
  <c r="H400" i="6"/>
  <c r="H382" i="6"/>
  <c r="H381" i="6"/>
  <c r="H398" i="6"/>
  <c r="H394" i="6"/>
  <c r="H388" i="6"/>
  <c r="H403" i="6"/>
  <c r="H399" i="6"/>
  <c r="H395" i="6"/>
  <c r="H408" i="6"/>
  <c r="H386" i="6"/>
  <c r="H404" i="6"/>
  <c r="C499" i="6"/>
  <c r="R499" i="6" s="1"/>
  <c r="C495" i="6"/>
  <c r="C491" i="6"/>
  <c r="C487" i="6"/>
  <c r="C483" i="6"/>
  <c r="C479" i="6"/>
  <c r="R479" i="6" s="1"/>
  <c r="C486" i="6"/>
  <c r="C485" i="6"/>
  <c r="C484" i="6"/>
  <c r="C490" i="6"/>
  <c r="C489" i="6"/>
  <c r="R489" i="6" s="1"/>
  <c r="C488" i="6"/>
  <c r="C494" i="6"/>
  <c r="C493" i="6"/>
  <c r="C492" i="6"/>
  <c r="C477" i="6"/>
  <c r="C473" i="6"/>
  <c r="C498" i="6"/>
  <c r="C497" i="6"/>
  <c r="R497" i="6" s="1"/>
  <c r="C496" i="6"/>
  <c r="C482" i="6"/>
  <c r="C480" i="6"/>
  <c r="C476" i="6"/>
  <c r="C472" i="6"/>
  <c r="C478" i="6"/>
  <c r="C474" i="6"/>
  <c r="C471" i="6"/>
  <c r="C481" i="6"/>
  <c r="C475" i="6"/>
  <c r="R475" i="6" s="1"/>
  <c r="T475" i="6" s="1"/>
  <c r="C470" i="6"/>
  <c r="F528" i="6"/>
  <c r="F526" i="6"/>
  <c r="F524" i="6"/>
  <c r="F522" i="6"/>
  <c r="F520" i="6"/>
  <c r="F518" i="6"/>
  <c r="F516" i="6"/>
  <c r="F514" i="6"/>
  <c r="F512" i="6"/>
  <c r="F510" i="6"/>
  <c r="F508" i="6"/>
  <c r="F506" i="6"/>
  <c r="F504" i="6"/>
  <c r="F502" i="6"/>
  <c r="F527" i="6"/>
  <c r="F523" i="6"/>
  <c r="F519" i="6"/>
  <c r="F517" i="6"/>
  <c r="F511" i="6"/>
  <c r="F501" i="6"/>
  <c r="F500" i="6"/>
  <c r="F515" i="6"/>
  <c r="F505" i="6"/>
  <c r="F521" i="6"/>
  <c r="F525" i="6"/>
  <c r="F509" i="6"/>
  <c r="F507" i="6"/>
  <c r="F513" i="6"/>
  <c r="F503" i="6"/>
  <c r="F529" i="6"/>
  <c r="H559" i="6"/>
  <c r="H556" i="6"/>
  <c r="H552" i="6"/>
  <c r="H548" i="6"/>
  <c r="H544" i="6"/>
  <c r="H553" i="6"/>
  <c r="H549" i="6"/>
  <c r="H545" i="6"/>
  <c r="H541" i="6"/>
  <c r="S541" i="6" s="1"/>
  <c r="H537" i="6"/>
  <c r="H533" i="6"/>
  <c r="H554" i="6"/>
  <c r="H550" i="6"/>
  <c r="H546" i="6"/>
  <c r="H542" i="6"/>
  <c r="H536" i="6"/>
  <c r="H531" i="6"/>
  <c r="H540" i="6"/>
  <c r="H535" i="6"/>
  <c r="H539" i="6"/>
  <c r="H551" i="6"/>
  <c r="H557" i="6"/>
  <c r="H530" i="6"/>
  <c r="H547" i="6"/>
  <c r="H532" i="6"/>
  <c r="H538" i="6"/>
  <c r="H558" i="6"/>
  <c r="S558" i="6" s="1"/>
  <c r="T558" i="6" s="1"/>
  <c r="H555" i="6"/>
  <c r="H534" i="6"/>
  <c r="H543" i="6"/>
  <c r="C647" i="6"/>
  <c r="C643" i="6"/>
  <c r="C646" i="6"/>
  <c r="C641" i="6"/>
  <c r="C632" i="6"/>
  <c r="C620" i="6"/>
  <c r="C649" i="6"/>
  <c r="C648" i="6"/>
  <c r="R648" i="6" s="1"/>
  <c r="C635" i="6"/>
  <c r="C628" i="6"/>
  <c r="C626" i="6"/>
  <c r="C624" i="6"/>
  <c r="C639" i="6"/>
  <c r="C630" i="6"/>
  <c r="C637" i="6"/>
  <c r="C634" i="6"/>
  <c r="C629" i="6"/>
  <c r="C638" i="6"/>
  <c r="C645" i="6"/>
  <c r="C627" i="6"/>
  <c r="C642" i="6"/>
  <c r="C631" i="6"/>
  <c r="C621" i="6"/>
  <c r="C636" i="6"/>
  <c r="C623" i="6"/>
  <c r="C622" i="6"/>
  <c r="C644" i="6"/>
  <c r="C625" i="6"/>
  <c r="C640" i="6"/>
  <c r="C633" i="6"/>
  <c r="F679" i="6"/>
  <c r="F677" i="6"/>
  <c r="F675" i="6"/>
  <c r="F673" i="6"/>
  <c r="F671" i="6"/>
  <c r="F669" i="6"/>
  <c r="F667" i="6"/>
  <c r="F676" i="6"/>
  <c r="F672" i="6"/>
  <c r="F668" i="6"/>
  <c r="F665" i="6"/>
  <c r="F663" i="6"/>
  <c r="F661" i="6"/>
  <c r="F659" i="6"/>
  <c r="F657" i="6"/>
  <c r="F666" i="6"/>
  <c r="F664" i="6"/>
  <c r="F662" i="6"/>
  <c r="F660" i="6"/>
  <c r="F658" i="6"/>
  <c r="F655" i="6"/>
  <c r="F653" i="6"/>
  <c r="F651" i="6"/>
  <c r="F674" i="6"/>
  <c r="F652" i="6"/>
  <c r="F670" i="6"/>
  <c r="F678" i="6"/>
  <c r="F654" i="6"/>
  <c r="F650" i="6"/>
  <c r="F656" i="6"/>
  <c r="H709" i="6"/>
  <c r="S709" i="6" s="1"/>
  <c r="T709" i="6" s="1"/>
  <c r="H707" i="6"/>
  <c r="H705" i="6"/>
  <c r="H703" i="6"/>
  <c r="H701" i="6"/>
  <c r="H699" i="6"/>
  <c r="H697" i="6"/>
  <c r="H695" i="6"/>
  <c r="H693" i="6"/>
  <c r="H704" i="6"/>
  <c r="H706" i="6"/>
  <c r="S706" i="6" s="1"/>
  <c r="T706" i="6" s="1"/>
  <c r="H698" i="6"/>
  <c r="H708" i="6"/>
  <c r="H692" i="6"/>
  <c r="H690" i="6"/>
  <c r="H700" i="6"/>
  <c r="H702" i="6"/>
  <c r="H683" i="6"/>
  <c r="H694" i="6"/>
  <c r="H689" i="6"/>
  <c r="H685" i="6"/>
  <c r="H681" i="6"/>
  <c r="H696" i="6"/>
  <c r="H684" i="6"/>
  <c r="H680" i="6"/>
  <c r="H687" i="6"/>
  <c r="H686" i="6"/>
  <c r="H688" i="6"/>
  <c r="H682" i="6"/>
  <c r="H691" i="6"/>
  <c r="H768" i="6"/>
  <c r="H766" i="6"/>
  <c r="H764" i="6"/>
  <c r="H762" i="6"/>
  <c r="H760" i="6"/>
  <c r="H758" i="6"/>
  <c r="H756" i="6"/>
  <c r="H754" i="6"/>
  <c r="H752" i="6"/>
  <c r="H750" i="6"/>
  <c r="H748" i="6"/>
  <c r="H746" i="6"/>
  <c r="H744" i="6"/>
  <c r="H742" i="6"/>
  <c r="H757" i="6"/>
  <c r="H751" i="6"/>
  <c r="H767" i="6"/>
  <c r="H765" i="6"/>
  <c r="H763" i="6"/>
  <c r="H761" i="6"/>
  <c r="H769" i="6"/>
  <c r="H759" i="6"/>
  <c r="H755" i="6"/>
  <c r="H741" i="6"/>
  <c r="H749" i="6"/>
  <c r="H740" i="6"/>
  <c r="H753" i="6"/>
  <c r="H747" i="6"/>
  <c r="H745" i="6"/>
  <c r="H743" i="6"/>
  <c r="F51" i="6"/>
  <c r="P59" i="6"/>
  <c r="Q59" i="6" s="1"/>
  <c r="F61" i="6"/>
  <c r="Q74" i="6"/>
  <c r="Q82" i="6"/>
  <c r="R82" i="6" s="1"/>
  <c r="T82" i="6" s="1"/>
  <c r="E84" i="6"/>
  <c r="E89" i="6"/>
  <c r="Q98" i="6"/>
  <c r="R98" i="6" s="1"/>
  <c r="G110" i="6"/>
  <c r="P115" i="6"/>
  <c r="Q115" i="6" s="1"/>
  <c r="R115" i="6" s="1"/>
  <c r="T115" i="6" s="1"/>
  <c r="P153" i="6"/>
  <c r="Q153" i="6" s="1"/>
  <c r="R153" i="6" s="1"/>
  <c r="R155" i="6"/>
  <c r="Q156" i="6"/>
  <c r="P187" i="6"/>
  <c r="Q187" i="6" s="1"/>
  <c r="R187" i="6" s="1"/>
  <c r="P195" i="6"/>
  <c r="Q195" i="6" s="1"/>
  <c r="P196" i="6"/>
  <c r="Q196" i="6"/>
  <c r="R196" i="6" s="1"/>
  <c r="E199" i="6"/>
  <c r="E197" i="6"/>
  <c r="E195" i="6"/>
  <c r="E193" i="6"/>
  <c r="E191" i="6"/>
  <c r="E189" i="6"/>
  <c r="E188" i="6"/>
  <c r="E183" i="6"/>
  <c r="E173" i="6"/>
  <c r="E190" i="6"/>
  <c r="E182" i="6"/>
  <c r="E172" i="6"/>
  <c r="E192" i="6"/>
  <c r="E187" i="6"/>
  <c r="E177" i="6"/>
  <c r="E184" i="6"/>
  <c r="E180" i="6"/>
  <c r="E198" i="6"/>
  <c r="E194" i="6"/>
  <c r="E185" i="6"/>
  <c r="E181" i="6"/>
  <c r="E176" i="6"/>
  <c r="E196" i="6"/>
  <c r="E186" i="6"/>
  <c r="E179" i="6"/>
  <c r="E178" i="6"/>
  <c r="E174" i="6"/>
  <c r="E175" i="6"/>
  <c r="E171" i="6"/>
  <c r="E170" i="6"/>
  <c r="G227" i="6"/>
  <c r="G221" i="6"/>
  <c r="G218" i="6"/>
  <c r="G211" i="6"/>
  <c r="G208" i="6"/>
  <c r="G228" i="6"/>
  <c r="G213" i="6"/>
  <c r="G206" i="6"/>
  <c r="G226" i="6"/>
  <c r="G204" i="6"/>
  <c r="G219" i="6"/>
  <c r="G217" i="6"/>
  <c r="G212" i="6"/>
  <c r="G210" i="6"/>
  <c r="G201" i="6"/>
  <c r="G225" i="6"/>
  <c r="G224" i="6"/>
  <c r="G223" i="6"/>
  <c r="G216" i="6"/>
  <c r="G200" i="6"/>
  <c r="G203" i="6"/>
  <c r="G202" i="6"/>
  <c r="G205" i="6"/>
  <c r="G215" i="6"/>
  <c r="G209" i="6"/>
  <c r="G222" i="6"/>
  <c r="G207" i="6"/>
  <c r="G220" i="6"/>
  <c r="E347" i="6"/>
  <c r="E343" i="6"/>
  <c r="E339" i="6"/>
  <c r="E335" i="6"/>
  <c r="E331" i="6"/>
  <c r="E326" i="6"/>
  <c r="E322" i="6"/>
  <c r="E346" i="6"/>
  <c r="E342" i="6"/>
  <c r="E338" i="6"/>
  <c r="E330" i="6"/>
  <c r="E332" i="6"/>
  <c r="E341" i="6"/>
  <c r="E327" i="6"/>
  <c r="E323" i="6"/>
  <c r="E336" i="6"/>
  <c r="E325" i="6"/>
  <c r="E334" i="6"/>
  <c r="E329" i="6"/>
  <c r="E344" i="6"/>
  <c r="E328" i="6"/>
  <c r="E320" i="6"/>
  <c r="E337" i="6"/>
  <c r="E349" i="6"/>
  <c r="E345" i="6"/>
  <c r="E340" i="6"/>
  <c r="E348" i="6"/>
  <c r="E321" i="6"/>
  <c r="E333" i="6"/>
  <c r="E324" i="6"/>
  <c r="G378" i="6"/>
  <c r="G374" i="6"/>
  <c r="G370" i="6"/>
  <c r="G366" i="6"/>
  <c r="G362" i="6"/>
  <c r="G358" i="6"/>
  <c r="G354" i="6"/>
  <c r="G350" i="6"/>
  <c r="G373" i="6"/>
  <c r="G368" i="6"/>
  <c r="G367" i="6"/>
  <c r="G369" i="6"/>
  <c r="G364" i="6"/>
  <c r="G361" i="6"/>
  <c r="G360" i="6"/>
  <c r="G357" i="6"/>
  <c r="G356" i="6"/>
  <c r="G353" i="6"/>
  <c r="G352" i="6"/>
  <c r="G363" i="6"/>
  <c r="G359" i="6"/>
  <c r="G355" i="6"/>
  <c r="G351" i="6"/>
  <c r="G371" i="6"/>
  <c r="G365" i="6"/>
  <c r="G377" i="6"/>
  <c r="G376" i="6"/>
  <c r="G375" i="6"/>
  <c r="G372" i="6"/>
  <c r="G379" i="6"/>
  <c r="I33" i="6"/>
  <c r="E498" i="6"/>
  <c r="E494" i="6"/>
  <c r="E490" i="6"/>
  <c r="E486" i="6"/>
  <c r="E482" i="6"/>
  <c r="E493" i="6"/>
  <c r="E492" i="6"/>
  <c r="E487" i="6"/>
  <c r="E477" i="6"/>
  <c r="E473" i="6"/>
  <c r="E497" i="6"/>
  <c r="E496" i="6"/>
  <c r="E491" i="6"/>
  <c r="E495" i="6"/>
  <c r="E476" i="6"/>
  <c r="E472" i="6"/>
  <c r="E499" i="6"/>
  <c r="E484" i="6"/>
  <c r="E480" i="6"/>
  <c r="E488" i="6"/>
  <c r="E478" i="6"/>
  <c r="E474" i="6"/>
  <c r="E470" i="6"/>
  <c r="E481" i="6"/>
  <c r="E479" i="6"/>
  <c r="E475" i="6"/>
  <c r="E489" i="6"/>
  <c r="E483" i="6"/>
  <c r="E471" i="6"/>
  <c r="E485" i="6"/>
  <c r="G528" i="6"/>
  <c r="G526" i="6"/>
  <c r="G524" i="6"/>
  <c r="G522" i="6"/>
  <c r="G520" i="6"/>
  <c r="G518" i="6"/>
  <c r="G516" i="6"/>
  <c r="G514" i="6"/>
  <c r="G512" i="6"/>
  <c r="G510" i="6"/>
  <c r="G508" i="6"/>
  <c r="G506" i="6"/>
  <c r="G504" i="6"/>
  <c r="G502" i="6"/>
  <c r="G500" i="6"/>
  <c r="G515" i="6"/>
  <c r="G513" i="6"/>
  <c r="G511" i="6"/>
  <c r="G509" i="6"/>
  <c r="G507" i="6"/>
  <c r="G505" i="6"/>
  <c r="G503" i="6"/>
  <c r="G529" i="6"/>
  <c r="G501" i="6"/>
  <c r="G527" i="6"/>
  <c r="G521" i="6"/>
  <c r="G525" i="6"/>
  <c r="G523" i="6"/>
  <c r="G517" i="6"/>
  <c r="G519" i="6"/>
  <c r="E649" i="6"/>
  <c r="E647" i="6"/>
  <c r="E645" i="6"/>
  <c r="E643" i="6"/>
  <c r="E641" i="6"/>
  <c r="E639" i="6"/>
  <c r="E637" i="6"/>
  <c r="E635" i="6"/>
  <c r="E622" i="6"/>
  <c r="E648" i="6"/>
  <c r="E644" i="6"/>
  <c r="E640" i="6"/>
  <c r="E636" i="6"/>
  <c r="E630" i="6"/>
  <c r="E625" i="6"/>
  <c r="E627" i="6"/>
  <c r="E642" i="6"/>
  <c r="E631" i="6"/>
  <c r="E621" i="6"/>
  <c r="E626" i="6"/>
  <c r="E623" i="6"/>
  <c r="E632" i="6"/>
  <c r="E628" i="6"/>
  <c r="E620" i="6"/>
  <c r="E629" i="6"/>
  <c r="E646" i="6"/>
  <c r="E638" i="6"/>
  <c r="E634" i="6"/>
  <c r="E633" i="6"/>
  <c r="E624" i="6"/>
  <c r="G676" i="6"/>
  <c r="G672" i="6"/>
  <c r="G679" i="6"/>
  <c r="G675" i="6"/>
  <c r="G671" i="6"/>
  <c r="G674" i="6"/>
  <c r="G669" i="6"/>
  <c r="G665" i="6"/>
  <c r="G663" i="6"/>
  <c r="G661" i="6"/>
  <c r="G659" i="6"/>
  <c r="G667" i="6"/>
  <c r="G657" i="6"/>
  <c r="G677" i="6"/>
  <c r="G678" i="6"/>
  <c r="G673" i="6"/>
  <c r="G662" i="6"/>
  <c r="G660" i="6"/>
  <c r="G658" i="6"/>
  <c r="G655" i="6"/>
  <c r="G653" i="6"/>
  <c r="G651" i="6"/>
  <c r="G650" i="6"/>
  <c r="G652" i="6"/>
  <c r="G654" i="6"/>
  <c r="G668" i="6"/>
  <c r="G664" i="6"/>
  <c r="G666" i="6"/>
  <c r="G656" i="6"/>
  <c r="G670" i="6"/>
  <c r="F73" i="6"/>
  <c r="R81" i="6"/>
  <c r="T81" i="6" s="1"/>
  <c r="P83" i="6"/>
  <c r="Q83" i="6" s="1"/>
  <c r="R83" i="6" s="1"/>
  <c r="T83" i="6" s="1"/>
  <c r="P118" i="6"/>
  <c r="Q118" i="6" s="1"/>
  <c r="R118" i="6" s="1"/>
  <c r="Q123" i="6"/>
  <c r="R123" i="6" s="1"/>
  <c r="G124" i="6"/>
  <c r="Q141" i="6"/>
  <c r="R141" i="6" s="1"/>
  <c r="T141" i="6" s="1"/>
  <c r="P157" i="6"/>
  <c r="Q157" i="6" s="1"/>
  <c r="R157" i="6" s="1"/>
  <c r="R172" i="6"/>
  <c r="T172" i="6" s="1"/>
  <c r="P183" i="6"/>
  <c r="Q183" i="6" s="1"/>
  <c r="P184" i="6"/>
  <c r="Q184" i="6" s="1"/>
  <c r="P192" i="6"/>
  <c r="Q192" i="6" s="1"/>
  <c r="P197" i="6"/>
  <c r="Q197" i="6" s="1"/>
  <c r="R197" i="6" s="1"/>
  <c r="P198" i="6"/>
  <c r="Q198" i="6" s="1"/>
  <c r="R198" i="6" s="1"/>
  <c r="P272" i="6"/>
  <c r="P271" i="6"/>
  <c r="Q271" i="6" s="1"/>
  <c r="Q232" i="6"/>
  <c r="R232" i="6" s="1"/>
  <c r="T232" i="6" s="1"/>
  <c r="P245" i="6"/>
  <c r="Q245" i="6" s="1"/>
  <c r="R245" i="6" s="1"/>
  <c r="P270" i="6"/>
  <c r="Q270" i="6" s="1"/>
  <c r="R270" i="6" s="1"/>
  <c r="P269" i="6"/>
  <c r="Q269" i="6" s="1"/>
  <c r="O286" i="6"/>
  <c r="P287" i="6" s="1"/>
  <c r="Q287" i="6" s="1"/>
  <c r="R287" i="6" s="1"/>
  <c r="O322" i="6"/>
  <c r="P323" i="6" s="1"/>
  <c r="Q323" i="6" s="1"/>
  <c r="R323" i="6" s="1"/>
  <c r="T323" i="6" s="1"/>
  <c r="Q142" i="6"/>
  <c r="P182" i="6"/>
  <c r="Q182" i="6" s="1"/>
  <c r="R295" i="6"/>
  <c r="T295" i="6" s="1"/>
  <c r="P298" i="6"/>
  <c r="P310" i="6"/>
  <c r="P309" i="6"/>
  <c r="Q309" i="6" s="1"/>
  <c r="P510" i="6"/>
  <c r="Q510" i="6" s="1"/>
  <c r="R510" i="6" s="1"/>
  <c r="C769" i="6"/>
  <c r="R769" i="6" s="1"/>
  <c r="C767" i="6"/>
  <c r="C765" i="6"/>
  <c r="C763" i="6"/>
  <c r="C761" i="6"/>
  <c r="C759" i="6"/>
  <c r="C757" i="6"/>
  <c r="C755" i="6"/>
  <c r="C753" i="6"/>
  <c r="C751" i="6"/>
  <c r="R751" i="6" s="1"/>
  <c r="C749" i="6"/>
  <c r="C747" i="6"/>
  <c r="C745" i="6"/>
  <c r="C743" i="6"/>
  <c r="C752" i="6"/>
  <c r="C742" i="6"/>
  <c r="C756" i="6"/>
  <c r="C768" i="6"/>
  <c r="C766" i="6"/>
  <c r="C764" i="6"/>
  <c r="C762" i="6"/>
  <c r="C760" i="6"/>
  <c r="C746" i="6"/>
  <c r="C758" i="6"/>
  <c r="C754" i="6"/>
  <c r="C744" i="6"/>
  <c r="C748" i="6"/>
  <c r="C740" i="6"/>
  <c r="C750" i="6"/>
  <c r="C741" i="6"/>
  <c r="Q107" i="6"/>
  <c r="P143" i="6"/>
  <c r="Q143" i="6" s="1"/>
  <c r="Q166" i="6"/>
  <c r="E769" i="6"/>
  <c r="E767" i="6"/>
  <c r="E765" i="6"/>
  <c r="E763" i="6"/>
  <c r="E761" i="6"/>
  <c r="E768" i="6"/>
  <c r="E766" i="6"/>
  <c r="E764" i="6"/>
  <c r="E762" i="6"/>
  <c r="E760" i="6"/>
  <c r="E749" i="6"/>
  <c r="E746" i="6"/>
  <c r="E741" i="6"/>
  <c r="E753" i="6"/>
  <c r="E750" i="6"/>
  <c r="E757" i="6"/>
  <c r="E751" i="6"/>
  <c r="E748" i="6"/>
  <c r="E759" i="6"/>
  <c r="E752" i="6"/>
  <c r="E754" i="6"/>
  <c r="E743" i="6"/>
  <c r="E756" i="6"/>
  <c r="E758" i="6"/>
  <c r="E744" i="6"/>
  <c r="E747" i="6"/>
  <c r="E740" i="6"/>
  <c r="E745" i="6"/>
  <c r="E742" i="6"/>
  <c r="E755" i="6"/>
  <c r="Q124" i="6"/>
  <c r="R186" i="6"/>
  <c r="P203" i="6"/>
  <c r="Q203" i="6" s="1"/>
  <c r="P204" i="6"/>
  <c r="C739" i="6"/>
  <c r="C735" i="6"/>
  <c r="C731" i="6"/>
  <c r="C728" i="6"/>
  <c r="C726" i="6"/>
  <c r="C724" i="6"/>
  <c r="C722" i="6"/>
  <c r="R722" i="6" s="1"/>
  <c r="C720" i="6"/>
  <c r="C718" i="6"/>
  <c r="R718" i="6" s="1"/>
  <c r="C716" i="6"/>
  <c r="R716" i="6" s="1"/>
  <c r="T716" i="6" s="1"/>
  <c r="C714" i="6"/>
  <c r="C712" i="6"/>
  <c r="C710" i="6"/>
  <c r="C738" i="6"/>
  <c r="C734" i="6"/>
  <c r="C730" i="6"/>
  <c r="C733" i="6"/>
  <c r="C723" i="6"/>
  <c r="C715" i="6"/>
  <c r="C725" i="6"/>
  <c r="C717" i="6"/>
  <c r="C736" i="6"/>
  <c r="R736" i="6" s="1"/>
  <c r="C727" i="6"/>
  <c r="C729" i="6"/>
  <c r="C732" i="6"/>
  <c r="C711" i="6"/>
  <c r="C721" i="6"/>
  <c r="C737" i="6"/>
  <c r="C713" i="6"/>
  <c r="C719" i="6"/>
  <c r="F753" i="6"/>
  <c r="F750" i="6"/>
  <c r="F757" i="6"/>
  <c r="F758" i="6"/>
  <c r="F754" i="6"/>
  <c r="F747" i="6"/>
  <c r="F744" i="6"/>
  <c r="F751" i="6"/>
  <c r="F748" i="6"/>
  <c r="F767" i="6"/>
  <c r="F765" i="6"/>
  <c r="F763" i="6"/>
  <c r="F761" i="6"/>
  <c r="F769" i="6"/>
  <c r="F759" i="6"/>
  <c r="F755" i="6"/>
  <c r="F752" i="6"/>
  <c r="F743" i="6"/>
  <c r="F762" i="6"/>
  <c r="F756" i="6"/>
  <c r="F766" i="6"/>
  <c r="F741" i="6"/>
  <c r="F760" i="6"/>
  <c r="F745" i="6"/>
  <c r="F764" i="6"/>
  <c r="F768" i="6"/>
  <c r="F749" i="6"/>
  <c r="F740" i="6"/>
  <c r="F742" i="6"/>
  <c r="F746" i="6"/>
  <c r="Q80" i="6"/>
  <c r="R80" i="6" s="1"/>
  <c r="T80" i="6" s="1"/>
  <c r="Q84" i="6"/>
  <c r="R84" i="6" s="1"/>
  <c r="T84" i="6" s="1"/>
  <c r="P144" i="6"/>
  <c r="Q144" i="6" s="1"/>
  <c r="R144" i="6" s="1"/>
  <c r="T144" i="6" s="1"/>
  <c r="Q266" i="6"/>
  <c r="P299" i="6"/>
  <c r="Q299" i="6" s="1"/>
  <c r="R299" i="6" s="1"/>
  <c r="P344" i="6"/>
  <c r="Q344" i="6" s="1"/>
  <c r="W440" i="6"/>
  <c r="V440" i="6"/>
  <c r="U440" i="6"/>
  <c r="Q97" i="6"/>
  <c r="R97" i="6" s="1"/>
  <c r="R142" i="6"/>
  <c r="T142" i="6" s="1"/>
  <c r="P149" i="6"/>
  <c r="Q149" i="6" s="1"/>
  <c r="P220" i="6"/>
  <c r="Q220" i="6" s="1"/>
  <c r="P223" i="6"/>
  <c r="Q223" i="6" s="1"/>
  <c r="P232" i="6"/>
  <c r="P243" i="6"/>
  <c r="Q243" i="6" s="1"/>
  <c r="P348" i="6"/>
  <c r="Q348" i="6" s="1"/>
  <c r="R348" i="6" s="1"/>
  <c r="Q102" i="6"/>
  <c r="Q121" i="6"/>
  <c r="R121" i="6" s="1"/>
  <c r="Q188" i="6"/>
  <c r="O192" i="6"/>
  <c r="P193" i="6" s="1"/>
  <c r="Q193" i="6" s="1"/>
  <c r="T201" i="6"/>
  <c r="P229" i="6"/>
  <c r="Q229" i="6" s="1"/>
  <c r="P258" i="6"/>
  <c r="Q258" i="6" s="1"/>
  <c r="P259" i="6"/>
  <c r="Q259" i="6" s="1"/>
  <c r="P296" i="6"/>
  <c r="Q296" i="6" s="1"/>
  <c r="R296" i="6" s="1"/>
  <c r="P300" i="6"/>
  <c r="Q300" i="6" s="1"/>
  <c r="O334" i="6"/>
  <c r="P335" i="6" s="1"/>
  <c r="Q335" i="6" s="1"/>
  <c r="Q122" i="6"/>
  <c r="R122" i="6" s="1"/>
  <c r="O150" i="6"/>
  <c r="O172" i="6"/>
  <c r="P173" i="6" s="1"/>
  <c r="Q173" i="6" s="1"/>
  <c r="Q177" i="6"/>
  <c r="R177" i="6" s="1"/>
  <c r="O188" i="6"/>
  <c r="T200" i="6"/>
  <c r="P217" i="6"/>
  <c r="Q217" i="6" s="1"/>
  <c r="P214" i="6"/>
  <c r="Q214" i="6" s="1"/>
  <c r="R214" i="6" s="1"/>
  <c r="R218" i="6"/>
  <c r="P227" i="6"/>
  <c r="Q227" i="6" s="1"/>
  <c r="R237" i="6"/>
  <c r="P262" i="6"/>
  <c r="O266" i="6"/>
  <c r="P286" i="6"/>
  <c r="Q286" i="6" s="1"/>
  <c r="R286" i="6" s="1"/>
  <c r="Q292" i="6"/>
  <c r="R292" i="6" s="1"/>
  <c r="T292" i="6" s="1"/>
  <c r="Q310" i="6"/>
  <c r="R310" i="6" s="1"/>
  <c r="O326" i="6"/>
  <c r="P327" i="6" s="1"/>
  <c r="Q327" i="6" s="1"/>
  <c r="O363" i="6"/>
  <c r="P364" i="6" s="1"/>
  <c r="Q364" i="6" s="1"/>
  <c r="R364" i="6" s="1"/>
  <c r="R424" i="6"/>
  <c r="Q246" i="6"/>
  <c r="P252" i="6"/>
  <c r="Q252" i="6" s="1"/>
  <c r="R252" i="6" s="1"/>
  <c r="P312" i="6"/>
  <c r="Q312" i="6" s="1"/>
  <c r="R583" i="6"/>
  <c r="O138" i="6"/>
  <c r="P139" i="6" s="1"/>
  <c r="Q139" i="6" s="1"/>
  <c r="R139" i="6" s="1"/>
  <c r="Q205" i="6"/>
  <c r="P210" i="6"/>
  <c r="Q210" i="6" s="1"/>
  <c r="P248" i="6"/>
  <c r="Q248" i="6" s="1"/>
  <c r="R248" i="6" s="1"/>
  <c r="P247" i="6"/>
  <c r="Q247" i="6" s="1"/>
  <c r="Q250" i="6"/>
  <c r="R250" i="6" s="1"/>
  <c r="P283" i="6"/>
  <c r="Q283" i="6" s="1"/>
  <c r="P293" i="6"/>
  <c r="Q293" i="6" s="1"/>
  <c r="R293" i="6" s="1"/>
  <c r="T293" i="6" s="1"/>
  <c r="Q316" i="6"/>
  <c r="P355" i="6"/>
  <c r="Q355" i="6" s="1"/>
  <c r="P356" i="6"/>
  <c r="Q356" i="6" s="1"/>
  <c r="P206" i="6"/>
  <c r="Q206" i="6" s="1"/>
  <c r="P256" i="6"/>
  <c r="Q256" i="6" s="1"/>
  <c r="R256" i="6" s="1"/>
  <c r="T261" i="6"/>
  <c r="Q262" i="6"/>
  <c r="Q272" i="6"/>
  <c r="R272" i="6" s="1"/>
  <c r="P325" i="6"/>
  <c r="Q325" i="6" s="1"/>
  <c r="R325" i="6" s="1"/>
  <c r="T325" i="6" s="1"/>
  <c r="O118" i="6"/>
  <c r="Q137" i="6"/>
  <c r="P178" i="6"/>
  <c r="Q178" i="6" s="1"/>
  <c r="P224" i="6"/>
  <c r="Q224" i="6"/>
  <c r="R224" i="6" s="1"/>
  <c r="P234" i="6"/>
  <c r="Q234" i="6" s="1"/>
  <c r="P240" i="6"/>
  <c r="Q240" i="6" s="1"/>
  <c r="R240" i="6" s="1"/>
  <c r="P303" i="6"/>
  <c r="Q303" i="6" s="1"/>
  <c r="P360" i="6"/>
  <c r="Q360" i="6" s="1"/>
  <c r="P443" i="6"/>
  <c r="Q443" i="6" s="1"/>
  <c r="R443" i="6" s="1"/>
  <c r="T443" i="6" s="1"/>
  <c r="P444" i="6"/>
  <c r="Q444" i="6" s="1"/>
  <c r="R444" i="6" s="1"/>
  <c r="T444" i="6" s="1"/>
  <c r="O306" i="6"/>
  <c r="P336" i="6"/>
  <c r="Q336" i="6" s="1"/>
  <c r="R336" i="6" s="1"/>
  <c r="P339" i="6"/>
  <c r="Q339" i="6" s="1"/>
  <c r="P253" i="6"/>
  <c r="Q253" i="6" s="1"/>
  <c r="R253" i="6" s="1"/>
  <c r="R260" i="6"/>
  <c r="T260" i="6" s="1"/>
  <c r="R262" i="6"/>
  <c r="T262" i="6" s="1"/>
  <c r="Q264" i="6"/>
  <c r="R264" i="6" s="1"/>
  <c r="T264" i="6" s="1"/>
  <c r="Q385" i="6"/>
  <c r="R385" i="6" s="1"/>
  <c r="T385" i="6" s="1"/>
  <c r="Q236" i="6"/>
  <c r="Q254" i="6"/>
  <c r="Q290" i="6"/>
  <c r="R290" i="6" s="1"/>
  <c r="T290" i="6" s="1"/>
  <c r="R304" i="6"/>
  <c r="O318" i="6"/>
  <c r="P319" i="6" s="1"/>
  <c r="Q319" i="6" s="1"/>
  <c r="R319" i="6" s="1"/>
  <c r="P458" i="6"/>
  <c r="Q458" i="6" s="1"/>
  <c r="R458" i="6" s="1"/>
  <c r="P459" i="6"/>
  <c r="Q459" i="6" s="1"/>
  <c r="R459" i="6" s="1"/>
  <c r="Q228" i="6"/>
  <c r="R228" i="6" s="1"/>
  <c r="P235" i="6"/>
  <c r="Q235" i="6" s="1"/>
  <c r="R235" i="6" s="1"/>
  <c r="T235" i="6" s="1"/>
  <c r="Q280" i="6"/>
  <c r="Q302" i="6"/>
  <c r="R302" i="6" s="1"/>
  <c r="P306" i="6"/>
  <c r="Q306" i="6" s="1"/>
  <c r="R312" i="6"/>
  <c r="O345" i="6"/>
  <c r="P347" i="6" s="1"/>
  <c r="Q347" i="6" s="1"/>
  <c r="R347" i="6" s="1"/>
  <c r="U410" i="6"/>
  <c r="V410" i="6" s="1"/>
  <c r="O350" i="6"/>
  <c r="P351" i="6" s="1"/>
  <c r="Q351" i="6" s="1"/>
  <c r="R351" i="6" s="1"/>
  <c r="T351" i="6" s="1"/>
  <c r="O385" i="6"/>
  <c r="P386" i="6" s="1"/>
  <c r="Q386" i="6" s="1"/>
  <c r="R386" i="6" s="1"/>
  <c r="P393" i="6"/>
  <c r="Q393" i="6" s="1"/>
  <c r="P398" i="6"/>
  <c r="Q398" i="6" s="1"/>
  <c r="R398" i="6" s="1"/>
  <c r="P450" i="6"/>
  <c r="Q450" i="6" s="1"/>
  <c r="R450" i="6" s="1"/>
  <c r="P451" i="6"/>
  <c r="Q451" i="6" s="1"/>
  <c r="U380" i="6"/>
  <c r="V380" i="6" s="1"/>
  <c r="P430" i="6"/>
  <c r="Q430" i="6" s="1"/>
  <c r="P461" i="6"/>
  <c r="Q461" i="6" s="1"/>
  <c r="R461" i="6" s="1"/>
  <c r="P462" i="6"/>
  <c r="Q226" i="6"/>
  <c r="R350" i="6"/>
  <c r="T350" i="6" s="1"/>
  <c r="R456" i="6"/>
  <c r="Q244" i="6"/>
  <c r="R244" i="6" s="1"/>
  <c r="R276" i="6"/>
  <c r="Q298" i="6"/>
  <c r="O320" i="6"/>
  <c r="P321" i="6" s="1"/>
  <c r="Q321" i="6" s="1"/>
  <c r="R321" i="6" s="1"/>
  <c r="T321" i="6" s="1"/>
  <c r="O328" i="6"/>
  <c r="O373" i="6"/>
  <c r="P446" i="6"/>
  <c r="Q446" i="6" s="1"/>
  <c r="P447" i="6"/>
  <c r="Q447" i="6" s="1"/>
  <c r="Q454" i="6"/>
  <c r="R454" i="6" s="1"/>
  <c r="P313" i="6"/>
  <c r="Q313" i="6" s="1"/>
  <c r="P406" i="6"/>
  <c r="Q406" i="6" s="1"/>
  <c r="R406" i="6" s="1"/>
  <c r="U412" i="6"/>
  <c r="R481" i="6"/>
  <c r="P382" i="6"/>
  <c r="Q382" i="6" s="1"/>
  <c r="R382" i="6" s="1"/>
  <c r="T382" i="6" s="1"/>
  <c r="O389" i="6"/>
  <c r="P390" i="6" s="1"/>
  <c r="Q390" i="6" s="1"/>
  <c r="O393" i="6"/>
  <c r="P394" i="6" s="1"/>
  <c r="Q394" i="6" s="1"/>
  <c r="Q419" i="6"/>
  <c r="Q359" i="6"/>
  <c r="O361" i="6"/>
  <c r="P363" i="6" s="1"/>
  <c r="Q363" i="6" s="1"/>
  <c r="P379" i="6"/>
  <c r="Q379" i="6" s="1"/>
  <c r="R379" i="6" s="1"/>
  <c r="P402" i="6"/>
  <c r="Q402" i="6" s="1"/>
  <c r="P409" i="6"/>
  <c r="Q409" i="6" s="1"/>
  <c r="R409" i="6" s="1"/>
  <c r="O374" i="6"/>
  <c r="P421" i="6"/>
  <c r="Q421" i="6" s="1"/>
  <c r="R421" i="6" s="1"/>
  <c r="P478" i="6"/>
  <c r="O367" i="6"/>
  <c r="O382" i="6"/>
  <c r="Q403" i="6"/>
  <c r="R403" i="6" s="1"/>
  <c r="O468" i="6"/>
  <c r="P469" i="6" s="1"/>
  <c r="Q469" i="6" s="1"/>
  <c r="P705" i="6"/>
  <c r="Q705" i="6" s="1"/>
  <c r="R705" i="6" s="1"/>
  <c r="R419" i="6"/>
  <c r="T503" i="6"/>
  <c r="P541" i="6"/>
  <c r="Q541" i="6" s="1"/>
  <c r="O366" i="6"/>
  <c r="P367" i="6" s="1"/>
  <c r="Q367" i="6" s="1"/>
  <c r="O404" i="6"/>
  <c r="P405" i="6" s="1"/>
  <c r="P431" i="6"/>
  <c r="Q431" i="6" s="1"/>
  <c r="P453" i="6"/>
  <c r="Q453" i="6" s="1"/>
  <c r="P455" i="6"/>
  <c r="Q455" i="6" s="1"/>
  <c r="P507" i="6"/>
  <c r="Q507" i="6" s="1"/>
  <c r="R507" i="6" s="1"/>
  <c r="P508" i="6"/>
  <c r="Q508" i="6" s="1"/>
  <c r="O375" i="6"/>
  <c r="P415" i="6"/>
  <c r="Q415" i="6" s="1"/>
  <c r="R415" i="6" s="1"/>
  <c r="T415" i="6" s="1"/>
  <c r="P452" i="6"/>
  <c r="Q452" i="6" s="1"/>
  <c r="O370" i="6"/>
  <c r="P371" i="6" s="1"/>
  <c r="Q371" i="6" s="1"/>
  <c r="O386" i="6"/>
  <c r="P388" i="6" s="1"/>
  <c r="Q388" i="6" s="1"/>
  <c r="O400" i="6"/>
  <c r="P401" i="6" s="1"/>
  <c r="R411" i="6"/>
  <c r="T411" i="6" s="1"/>
  <c r="P425" i="6"/>
  <c r="Q425" i="6" s="1"/>
  <c r="R425" i="6" s="1"/>
  <c r="O464" i="6"/>
  <c r="P473" i="6"/>
  <c r="Q473" i="6" s="1"/>
  <c r="R473" i="6" s="1"/>
  <c r="T473" i="6" s="1"/>
  <c r="P474" i="6"/>
  <c r="Q474" i="6" s="1"/>
  <c r="T470" i="6"/>
  <c r="O332" i="6"/>
  <c r="O336" i="6"/>
  <c r="P337" i="6" s="1"/>
  <c r="Q337" i="6" s="1"/>
  <c r="R337" i="6" s="1"/>
  <c r="O340" i="6"/>
  <c r="O344" i="6"/>
  <c r="P345" i="6" s="1"/>
  <c r="Q345" i="6" s="1"/>
  <c r="O348" i="6"/>
  <c r="P349" i="6" s="1"/>
  <c r="Q349" i="6" s="1"/>
  <c r="O352" i="6"/>
  <c r="O356" i="6"/>
  <c r="P357" i="6" s="1"/>
  <c r="Q357" i="6" s="1"/>
  <c r="R357" i="6" s="1"/>
  <c r="O360" i="6"/>
  <c r="P361" i="6" s="1"/>
  <c r="Q361" i="6" s="1"/>
  <c r="O364" i="6"/>
  <c r="O368" i="6"/>
  <c r="O372" i="6"/>
  <c r="P373" i="6" s="1"/>
  <c r="Q373" i="6" s="1"/>
  <c r="R373" i="6" s="1"/>
  <c r="O376" i="6"/>
  <c r="O380" i="6"/>
  <c r="P381" i="6" s="1"/>
  <c r="Q381" i="6" s="1"/>
  <c r="R381" i="6" s="1"/>
  <c r="T381" i="6" s="1"/>
  <c r="Q413" i="6"/>
  <c r="R413" i="6" s="1"/>
  <c r="T413" i="6" s="1"/>
  <c r="P427" i="6"/>
  <c r="Q427" i="6" s="1"/>
  <c r="P437" i="6"/>
  <c r="Q437" i="6" s="1"/>
  <c r="R437" i="6" s="1"/>
  <c r="P468" i="6"/>
  <c r="Q468" i="6" s="1"/>
  <c r="R468" i="6" s="1"/>
  <c r="P480" i="6"/>
  <c r="Q480" i="6" s="1"/>
  <c r="Q514" i="6"/>
  <c r="Q563" i="6"/>
  <c r="R563" i="6" s="1"/>
  <c r="T563" i="6" s="1"/>
  <c r="P472" i="6"/>
  <c r="Q472" i="6" s="1"/>
  <c r="R472" i="6" s="1"/>
  <c r="T472" i="6" s="1"/>
  <c r="P482" i="6"/>
  <c r="Q482" i="6" s="1"/>
  <c r="R505" i="6"/>
  <c r="T505" i="6" s="1"/>
  <c r="P519" i="6"/>
  <c r="Q519" i="6" s="1"/>
  <c r="R519" i="6" s="1"/>
  <c r="R521" i="6"/>
  <c r="O390" i="6"/>
  <c r="O394" i="6"/>
  <c r="P395" i="6" s="1"/>
  <c r="Q395" i="6" s="1"/>
  <c r="Q397" i="6"/>
  <c r="R397" i="6" s="1"/>
  <c r="O398" i="6"/>
  <c r="P399" i="6" s="1"/>
  <c r="Q399" i="6" s="1"/>
  <c r="Q401" i="6"/>
  <c r="R401" i="6" s="1"/>
  <c r="O402" i="6"/>
  <c r="P403" i="6" s="1"/>
  <c r="Q405" i="6"/>
  <c r="O406" i="6"/>
  <c r="P407" i="6" s="1"/>
  <c r="Q407" i="6" s="1"/>
  <c r="P423" i="6"/>
  <c r="Q423" i="6" s="1"/>
  <c r="R423" i="6" s="1"/>
  <c r="P433" i="6"/>
  <c r="Q433" i="6" s="1"/>
  <c r="R441" i="6"/>
  <c r="T441" i="6" s="1"/>
  <c r="P492" i="6"/>
  <c r="Q492" i="6" s="1"/>
  <c r="P491" i="6"/>
  <c r="Q491" i="6" s="1"/>
  <c r="R491" i="6" s="1"/>
  <c r="P575" i="6"/>
  <c r="Q575" i="6" s="1"/>
  <c r="P576" i="6"/>
  <c r="P487" i="6"/>
  <c r="Q487" i="6" s="1"/>
  <c r="P504" i="6"/>
  <c r="Q504" i="6" s="1"/>
  <c r="R504" i="6" s="1"/>
  <c r="T504" i="6" s="1"/>
  <c r="P511" i="6"/>
  <c r="Q511" i="6" s="1"/>
  <c r="P514" i="6"/>
  <c r="P526" i="6"/>
  <c r="Q526" i="6" s="1"/>
  <c r="R526" i="6" s="1"/>
  <c r="T541" i="6"/>
  <c r="P546" i="6"/>
  <c r="Q546" i="6" s="1"/>
  <c r="O482" i="6"/>
  <c r="O484" i="6"/>
  <c r="T562" i="6"/>
  <c r="Q576" i="6"/>
  <c r="P656" i="6"/>
  <c r="Q656" i="6" s="1"/>
  <c r="R656" i="6" s="1"/>
  <c r="T656" i="6" s="1"/>
  <c r="P657" i="6"/>
  <c r="Q657" i="6" s="1"/>
  <c r="Q493" i="6"/>
  <c r="T531" i="6"/>
  <c r="P533" i="6"/>
  <c r="Q533" i="6" s="1"/>
  <c r="R533" i="6" s="1"/>
  <c r="T533" i="6" s="1"/>
  <c r="P539" i="6"/>
  <c r="Q539" i="6" s="1"/>
  <c r="R539" i="6" s="1"/>
  <c r="P550" i="6"/>
  <c r="Q550" i="6" s="1"/>
  <c r="Q448" i="6"/>
  <c r="R448" i="6" s="1"/>
  <c r="P498" i="6"/>
  <c r="Q498" i="6" s="1"/>
  <c r="T500" i="6"/>
  <c r="P602" i="6"/>
  <c r="Q602" i="6" s="1"/>
  <c r="R602" i="6" s="1"/>
  <c r="R467" i="6"/>
  <c r="R471" i="6"/>
  <c r="T471" i="6" s="1"/>
  <c r="P494" i="6"/>
  <c r="Q494" i="6" s="1"/>
  <c r="R494" i="6" s="1"/>
  <c r="O494" i="6"/>
  <c r="P495" i="6" s="1"/>
  <c r="Q495" i="6" s="1"/>
  <c r="R495" i="6" s="1"/>
  <c r="P517" i="6"/>
  <c r="Q517" i="6" s="1"/>
  <c r="Q528" i="6"/>
  <c r="R528" i="6" s="1"/>
  <c r="P542" i="6"/>
  <c r="Q542" i="6" s="1"/>
  <c r="P571" i="6"/>
  <c r="Q571" i="6" s="1"/>
  <c r="R571" i="6" s="1"/>
  <c r="P572" i="6"/>
  <c r="Q572" i="6" s="1"/>
  <c r="R572" i="6" s="1"/>
  <c r="Q591" i="6"/>
  <c r="R591" i="6" s="1"/>
  <c r="T591" i="6" s="1"/>
  <c r="P528" i="6"/>
  <c r="Q532" i="6"/>
  <c r="Q538" i="6"/>
  <c r="R538" i="6" s="1"/>
  <c r="P547" i="6"/>
  <c r="Q547" i="6" s="1"/>
  <c r="R547" i="6" s="1"/>
  <c r="P551" i="6"/>
  <c r="Q551" i="6" s="1"/>
  <c r="P555" i="6"/>
  <c r="Q555" i="6" s="1"/>
  <c r="R555" i="6" s="1"/>
  <c r="O563" i="6"/>
  <c r="P564" i="6" s="1"/>
  <c r="Q564" i="6" s="1"/>
  <c r="R564" i="6" s="1"/>
  <c r="T564" i="6" s="1"/>
  <c r="P668" i="6"/>
  <c r="Q668" i="6" s="1"/>
  <c r="P558" i="6"/>
  <c r="Q558" i="6" s="1"/>
  <c r="R558" i="6" s="1"/>
  <c r="O596" i="6"/>
  <c r="O612" i="6"/>
  <c r="P613" i="6" s="1"/>
  <c r="Q613" i="6" s="1"/>
  <c r="R613" i="6" s="1"/>
  <c r="P637" i="6"/>
  <c r="Q637" i="6" s="1"/>
  <c r="R637" i="6" s="1"/>
  <c r="Q516" i="6"/>
  <c r="P520" i="6"/>
  <c r="Q520" i="6" s="1"/>
  <c r="P535" i="6"/>
  <c r="Q535" i="6" s="1"/>
  <c r="T560" i="6"/>
  <c r="R658" i="6"/>
  <c r="Q462" i="6"/>
  <c r="Q470" i="6"/>
  <c r="R470" i="6" s="1"/>
  <c r="Q478" i="6"/>
  <c r="R478" i="6" s="1"/>
  <c r="P548" i="6"/>
  <c r="Q548" i="6" s="1"/>
  <c r="P552" i="6"/>
  <c r="Q552" i="6" s="1"/>
  <c r="P556" i="6"/>
  <c r="Q556" i="6" s="1"/>
  <c r="R556" i="6" s="1"/>
  <c r="P569" i="6"/>
  <c r="Q569" i="6" s="1"/>
  <c r="R569" i="6" s="1"/>
  <c r="O578" i="6"/>
  <c r="P579" i="6" s="1"/>
  <c r="Q579" i="6" s="1"/>
  <c r="O593" i="6"/>
  <c r="P594" i="6" s="1"/>
  <c r="Q594" i="6" s="1"/>
  <c r="R594" i="6" s="1"/>
  <c r="T594" i="6" s="1"/>
  <c r="O603" i="6"/>
  <c r="P604" i="6" s="1"/>
  <c r="Q604" i="6" s="1"/>
  <c r="R604" i="6" s="1"/>
  <c r="W651" i="6"/>
  <c r="V651" i="6"/>
  <c r="V680" i="6"/>
  <c r="U680" i="6"/>
  <c r="W680" i="6" s="1"/>
  <c r="Q512" i="6"/>
  <c r="Q540" i="6"/>
  <c r="R532" i="6"/>
  <c r="T532" i="6" s="1"/>
  <c r="R536" i="6"/>
  <c r="Q577" i="6"/>
  <c r="O595" i="6"/>
  <c r="P596" i="6" s="1"/>
  <c r="Q596" i="6" s="1"/>
  <c r="R596" i="6" s="1"/>
  <c r="O616" i="6"/>
  <c r="P617" i="6" s="1"/>
  <c r="Q617" i="6" s="1"/>
  <c r="R617" i="6" s="1"/>
  <c r="P640" i="6"/>
  <c r="Q640" i="6" s="1"/>
  <c r="R640" i="6" s="1"/>
  <c r="O663" i="6"/>
  <c r="O648" i="6"/>
  <c r="P649" i="6" s="1"/>
  <c r="Q649" i="6" s="1"/>
  <c r="R649" i="6" s="1"/>
  <c r="R530" i="6"/>
  <c r="T530" i="6" s="1"/>
  <c r="P567" i="6"/>
  <c r="Q567" i="6" s="1"/>
  <c r="R567" i="6" s="1"/>
  <c r="P582" i="6"/>
  <c r="Q582" i="6" s="1"/>
  <c r="R561" i="6"/>
  <c r="T561" i="6" s="1"/>
  <c r="O585" i="6"/>
  <c r="P586" i="6" s="1"/>
  <c r="Q586" i="6" s="1"/>
  <c r="P634" i="6"/>
  <c r="Q634" i="6" s="1"/>
  <c r="P678" i="6"/>
  <c r="Q678" i="6" s="1"/>
  <c r="R678" i="6" s="1"/>
  <c r="T590" i="6"/>
  <c r="Q621" i="6"/>
  <c r="R621" i="6" s="1"/>
  <c r="T621" i="6" s="1"/>
  <c r="O599" i="6"/>
  <c r="P600" i="6" s="1"/>
  <c r="Q600" i="6" s="1"/>
  <c r="R600" i="6" s="1"/>
  <c r="O605" i="6"/>
  <c r="P608" i="6"/>
  <c r="Q608" i="6" s="1"/>
  <c r="O618" i="6"/>
  <c r="P619" i="6" s="1"/>
  <c r="Q619" i="6" s="1"/>
  <c r="T620" i="6"/>
  <c r="P622" i="6"/>
  <c r="Q622" i="6" s="1"/>
  <c r="R622" i="6" s="1"/>
  <c r="T622" i="6" s="1"/>
  <c r="P641" i="6"/>
  <c r="Q641" i="6" s="1"/>
  <c r="R641" i="6" s="1"/>
  <c r="O645" i="6"/>
  <c r="O579" i="6"/>
  <c r="O583" i="6"/>
  <c r="P584" i="6" s="1"/>
  <c r="Q584" i="6" s="1"/>
  <c r="R584" i="6" s="1"/>
  <c r="O587" i="6"/>
  <c r="P588" i="6" s="1"/>
  <c r="Q588" i="6" s="1"/>
  <c r="O591" i="6"/>
  <c r="P592" i="6" s="1"/>
  <c r="Q592" i="6" s="1"/>
  <c r="R592" i="6" s="1"/>
  <c r="T592" i="6" s="1"/>
  <c r="Q611" i="6"/>
  <c r="R611" i="6" s="1"/>
  <c r="O630" i="6"/>
  <c r="P642" i="6"/>
  <c r="Q642" i="6" s="1"/>
  <c r="Q675" i="6"/>
  <c r="R675" i="6" s="1"/>
  <c r="Q609" i="6"/>
  <c r="P616" i="6"/>
  <c r="Q616" i="6" s="1"/>
  <c r="R616" i="6" s="1"/>
  <c r="O629" i="6"/>
  <c r="P630" i="6" s="1"/>
  <c r="Q630" i="6" s="1"/>
  <c r="O644" i="6"/>
  <c r="P645" i="6" s="1"/>
  <c r="Q645" i="6" s="1"/>
  <c r="R645" i="6" s="1"/>
  <c r="P676" i="6"/>
  <c r="Q676" i="6" s="1"/>
  <c r="R676" i="6" s="1"/>
  <c r="P682" i="6"/>
  <c r="Q682" i="6" s="1"/>
  <c r="R682" i="6" s="1"/>
  <c r="T682" i="6" s="1"/>
  <c r="P648" i="6"/>
  <c r="Q648" i="6" s="1"/>
  <c r="O649" i="6"/>
  <c r="P686" i="6"/>
  <c r="Q686" i="6" s="1"/>
  <c r="R686" i="6" s="1"/>
  <c r="T686" i="6" s="1"/>
  <c r="O622" i="6"/>
  <c r="Q625" i="6"/>
  <c r="O651" i="6"/>
  <c r="P652" i="6" s="1"/>
  <c r="Q652" i="6" s="1"/>
  <c r="R652" i="6" s="1"/>
  <c r="T652" i="6" s="1"/>
  <c r="P673" i="6"/>
  <c r="Q673" i="6" s="1"/>
  <c r="P674" i="6"/>
  <c r="Q674" i="6" s="1"/>
  <c r="R674" i="6" s="1"/>
  <c r="R712" i="6"/>
  <c r="T712" i="6" s="1"/>
  <c r="P659" i="6"/>
  <c r="Q659" i="6" s="1"/>
  <c r="P661" i="6"/>
  <c r="Q661" i="6" s="1"/>
  <c r="R661" i="6" s="1"/>
  <c r="O631" i="6"/>
  <c r="P633" i="6" s="1"/>
  <c r="Q633" i="6" s="1"/>
  <c r="O637" i="6"/>
  <c r="P638" i="6" s="1"/>
  <c r="Q638" i="6" s="1"/>
  <c r="Q629" i="6"/>
  <c r="T654" i="6"/>
  <c r="R666" i="6"/>
  <c r="O688" i="6"/>
  <c r="P689" i="6" s="1"/>
  <c r="Q689" i="6" s="1"/>
  <c r="U714" i="6"/>
  <c r="W714" i="6" s="1"/>
  <c r="P691" i="6"/>
  <c r="Q691" i="6" s="1"/>
  <c r="R691" i="6" s="1"/>
  <c r="R702" i="6"/>
  <c r="P728" i="6"/>
  <c r="Q728" i="6" s="1"/>
  <c r="P679" i="6"/>
  <c r="Q679" i="6" s="1"/>
  <c r="Q683" i="6"/>
  <c r="R683" i="6" s="1"/>
  <c r="T683" i="6" s="1"/>
  <c r="O665" i="6"/>
  <c r="P666" i="6" s="1"/>
  <c r="Q666" i="6" s="1"/>
  <c r="U710" i="6"/>
  <c r="W710" i="6" s="1"/>
  <c r="T650" i="6"/>
  <c r="P655" i="6"/>
  <c r="Q655" i="6" s="1"/>
  <c r="P670" i="6"/>
  <c r="Q670" i="6" s="1"/>
  <c r="Q671" i="6"/>
  <c r="Q681" i="6"/>
  <c r="R681" i="6" s="1"/>
  <c r="T681" i="6" s="1"/>
  <c r="Q663" i="6"/>
  <c r="Q669" i="6"/>
  <c r="R669" i="6" s="1"/>
  <c r="O683" i="6"/>
  <c r="P684" i="6" s="1"/>
  <c r="Q684" i="6" s="1"/>
  <c r="Q706" i="6"/>
  <c r="R706" i="6" s="1"/>
  <c r="P707" i="6"/>
  <c r="Q707" i="6" s="1"/>
  <c r="P724" i="6"/>
  <c r="Q724" i="6" s="1"/>
  <c r="Q693" i="6"/>
  <c r="P700" i="6"/>
  <c r="Q700" i="6" s="1"/>
  <c r="P694" i="6"/>
  <c r="Q694" i="6" s="1"/>
  <c r="R694" i="6" s="1"/>
  <c r="Q702" i="6"/>
  <c r="R672" i="6"/>
  <c r="R684" i="6"/>
  <c r="T684" i="6" s="1"/>
  <c r="P703" i="6"/>
  <c r="Q703" i="6" s="1"/>
  <c r="R703" i="6" s="1"/>
  <c r="P720" i="6"/>
  <c r="Q720" i="6" s="1"/>
  <c r="O676" i="6"/>
  <c r="P677" i="6" s="1"/>
  <c r="Q677" i="6" s="1"/>
  <c r="O680" i="6"/>
  <c r="P681" i="6" s="1"/>
  <c r="R715" i="6"/>
  <c r="T715" i="6" s="1"/>
  <c r="O686" i="6"/>
  <c r="P687" i="6" s="1"/>
  <c r="Q687" i="6" s="1"/>
  <c r="P709" i="6"/>
  <c r="Q709" i="6" s="1"/>
  <c r="P701" i="6"/>
  <c r="Q701" i="6" s="1"/>
  <c r="Q725" i="6"/>
  <c r="R725" i="6" s="1"/>
  <c r="R741" i="6"/>
  <c r="T741" i="6" s="1"/>
  <c r="R732" i="6"/>
  <c r="P695" i="6"/>
  <c r="Q695" i="6" s="1"/>
  <c r="R695" i="6" s="1"/>
  <c r="T713" i="6"/>
  <c r="P749" i="6"/>
  <c r="P750" i="6"/>
  <c r="Q750" i="6" s="1"/>
  <c r="R750" i="6" s="1"/>
  <c r="Q752" i="6"/>
  <c r="R752" i="6" s="1"/>
  <c r="P717" i="6"/>
  <c r="Q717" i="6" s="1"/>
  <c r="R717" i="6" s="1"/>
  <c r="Q723" i="6"/>
  <c r="P737" i="6"/>
  <c r="Q737" i="6" s="1"/>
  <c r="T740" i="6"/>
  <c r="R742" i="6"/>
  <c r="T742" i="6" s="1"/>
  <c r="P696" i="6"/>
  <c r="Q696" i="6" s="1"/>
  <c r="Q698" i="6"/>
  <c r="R698" i="6" s="1"/>
  <c r="T711" i="6"/>
  <c r="Q730" i="6"/>
  <c r="O758" i="6"/>
  <c r="P763" i="6"/>
  <c r="Q763" i="6" s="1"/>
  <c r="R763" i="6" s="1"/>
  <c r="P764" i="6"/>
  <c r="P756" i="6"/>
  <c r="Q756" i="6" s="1"/>
  <c r="P755" i="6"/>
  <c r="Q755" i="6" s="1"/>
  <c r="P767" i="6"/>
  <c r="Q767" i="6" s="1"/>
  <c r="P768" i="6"/>
  <c r="Q768" i="6" s="1"/>
  <c r="R768" i="6" s="1"/>
  <c r="P735" i="6"/>
  <c r="Q735" i="6" s="1"/>
  <c r="R735" i="6" s="1"/>
  <c r="Q749" i="6"/>
  <c r="R749" i="6" s="1"/>
  <c r="Q738" i="6"/>
  <c r="P739" i="6"/>
  <c r="Q739" i="6" s="1"/>
  <c r="R721" i="6"/>
  <c r="P729" i="6"/>
  <c r="Q729" i="6" s="1"/>
  <c r="R729" i="6" s="1"/>
  <c r="P743" i="6"/>
  <c r="Q743" i="6" s="1"/>
  <c r="R743" i="6" s="1"/>
  <c r="T743" i="6" s="1"/>
  <c r="P757" i="6"/>
  <c r="Q757" i="6" s="1"/>
  <c r="R757" i="6" s="1"/>
  <c r="P758" i="6"/>
  <c r="Q758" i="6" s="1"/>
  <c r="Q764" i="6"/>
  <c r="P746" i="6"/>
  <c r="Q746" i="6" s="1"/>
  <c r="P747" i="6"/>
  <c r="Q747" i="6" s="1"/>
  <c r="P765" i="6"/>
  <c r="Q765" i="6" s="1"/>
  <c r="P766" i="6"/>
  <c r="Q766" i="6" s="1"/>
  <c r="R744" i="6"/>
  <c r="T744" i="6" s="1"/>
  <c r="P754" i="6"/>
  <c r="Q754" i="6" s="1"/>
  <c r="R754" i="6" s="1"/>
  <c r="P761" i="6"/>
  <c r="Q761" i="6" s="1"/>
  <c r="R761" i="6" s="1"/>
  <c r="P762" i="6"/>
  <c r="Q762" i="6" s="1"/>
  <c r="R762" i="6" s="1"/>
  <c r="P752" i="6"/>
  <c r="R511" i="6" l="1"/>
  <c r="R433" i="6"/>
  <c r="R220" i="6"/>
  <c r="R701" i="6"/>
  <c r="P595" i="6"/>
  <c r="Q595" i="6" s="1"/>
  <c r="R595" i="6" s="1"/>
  <c r="T595" i="6" s="1"/>
  <c r="R427" i="6"/>
  <c r="S78" i="6"/>
  <c r="T78" i="6" s="1"/>
  <c r="S715" i="6"/>
  <c r="R159" i="6"/>
  <c r="R349" i="6"/>
  <c r="R210" i="6"/>
  <c r="S588" i="6"/>
  <c r="T588" i="6" s="1"/>
  <c r="S216" i="6"/>
  <c r="T216" i="6" s="1"/>
  <c r="P589" i="6"/>
  <c r="Q589" i="6" s="1"/>
  <c r="R575" i="6"/>
  <c r="P341" i="6"/>
  <c r="Q341" i="6" s="1"/>
  <c r="R341" i="6" s="1"/>
  <c r="P342" i="6"/>
  <c r="Q342" i="6" s="1"/>
  <c r="R342" i="6" s="1"/>
  <c r="R306" i="6"/>
  <c r="R102" i="6"/>
  <c r="S89" i="6"/>
  <c r="T89" i="6" s="1"/>
  <c r="S498" i="6"/>
  <c r="T498" i="6" s="1"/>
  <c r="R767" i="6"/>
  <c r="P593" i="6"/>
  <c r="Q593" i="6" s="1"/>
  <c r="R593" i="6" s="1"/>
  <c r="T593" i="6" s="1"/>
  <c r="R407" i="6"/>
  <c r="S702" i="6"/>
  <c r="T702" i="6" s="1"/>
  <c r="S584" i="6"/>
  <c r="T584" i="6" s="1"/>
  <c r="R747" i="6"/>
  <c r="R756" i="6"/>
  <c r="R700" i="6"/>
  <c r="R671" i="6"/>
  <c r="R548" i="6"/>
  <c r="R535" i="6"/>
  <c r="T535" i="6" s="1"/>
  <c r="P685" i="6"/>
  <c r="Q685" i="6" s="1"/>
  <c r="R685" i="6" s="1"/>
  <c r="T685" i="6" s="1"/>
  <c r="R453" i="6"/>
  <c r="R359" i="6"/>
  <c r="R254" i="6"/>
  <c r="R137" i="6"/>
  <c r="R203" i="6"/>
  <c r="T203" i="6" s="1"/>
  <c r="U203" i="6" s="1"/>
  <c r="W203" i="6" s="1"/>
  <c r="M212" i="5"/>
  <c r="N212" i="5" s="1"/>
  <c r="S109" i="6"/>
  <c r="T109" i="6" s="1"/>
  <c r="M58" i="5"/>
  <c r="O58" i="5" s="1"/>
  <c r="R552" i="6"/>
  <c r="R405" i="6"/>
  <c r="R363" i="6"/>
  <c r="R178" i="6"/>
  <c r="R217" i="6"/>
  <c r="S536" i="6"/>
  <c r="T536" i="6" s="1"/>
  <c r="W536" i="6" s="1"/>
  <c r="S389" i="6"/>
  <c r="T389" i="6" s="1"/>
  <c r="S243" i="6"/>
  <c r="T243" i="6" s="1"/>
  <c r="S257" i="6"/>
  <c r="T257" i="6" s="1"/>
  <c r="R176" i="6"/>
  <c r="T176" i="6" s="1"/>
  <c r="S568" i="6"/>
  <c r="T568" i="6" s="1"/>
  <c r="S446" i="6"/>
  <c r="S444" i="6"/>
  <c r="S466" i="6"/>
  <c r="T466" i="6" s="1"/>
  <c r="R233" i="6"/>
  <c r="T233" i="6" s="1"/>
  <c r="R161" i="6"/>
  <c r="S644" i="6"/>
  <c r="T644" i="6" s="1"/>
  <c r="R693" i="6"/>
  <c r="R670" i="6"/>
  <c r="R520" i="6"/>
  <c r="R668" i="6"/>
  <c r="R546" i="6"/>
  <c r="P587" i="6"/>
  <c r="Q587" i="6" s="1"/>
  <c r="R587" i="6" s="1"/>
  <c r="R431" i="6"/>
  <c r="R447" i="6"/>
  <c r="R258" i="6"/>
  <c r="P338" i="6"/>
  <c r="Q338" i="6" s="1"/>
  <c r="R338" i="6" s="1"/>
  <c r="S67" i="6"/>
  <c r="T67" i="6" s="1"/>
  <c r="S56" i="6"/>
  <c r="T56" i="6" s="1"/>
  <c r="S76" i="6"/>
  <c r="T76" i="6" s="1"/>
  <c r="S135" i="6"/>
  <c r="T135" i="6" s="1"/>
  <c r="R696" i="6"/>
  <c r="S589" i="6"/>
  <c r="T589" i="6" s="1"/>
  <c r="AF134" i="4"/>
  <c r="R764" i="6"/>
  <c r="R655" i="6"/>
  <c r="T655" i="6" s="1"/>
  <c r="R586" i="6"/>
  <c r="R516" i="6"/>
  <c r="R498" i="6"/>
  <c r="R399" i="6"/>
  <c r="R388" i="6"/>
  <c r="R243" i="6"/>
  <c r="R156" i="6"/>
  <c r="S401" i="6"/>
  <c r="T401" i="6" s="1"/>
  <c r="S85" i="6"/>
  <c r="S593" i="6"/>
  <c r="S464" i="6"/>
  <c r="T464" i="6" s="1"/>
  <c r="S293" i="6"/>
  <c r="S151" i="6"/>
  <c r="T151" i="6" s="1"/>
  <c r="S156" i="6"/>
  <c r="T156" i="6" s="1"/>
  <c r="E27" i="5"/>
  <c r="M195" i="5"/>
  <c r="O195" i="5" s="1"/>
  <c r="R677" i="6"/>
  <c r="R689" i="6"/>
  <c r="R577" i="6"/>
  <c r="P667" i="6"/>
  <c r="Q667" i="6" s="1"/>
  <c r="R667" i="6" s="1"/>
  <c r="R542" i="6"/>
  <c r="R514" i="6"/>
  <c r="R227" i="6"/>
  <c r="S236" i="6"/>
  <c r="S256" i="6"/>
  <c r="T256" i="6" s="1"/>
  <c r="R76" i="6"/>
  <c r="J196" i="5"/>
  <c r="K196" i="5" s="1"/>
  <c r="L196" i="5" s="1"/>
  <c r="P537" i="6"/>
  <c r="Q537" i="6" s="1"/>
  <c r="R537" i="6" s="1"/>
  <c r="P429" i="6"/>
  <c r="Q429" i="6" s="1"/>
  <c r="R429" i="6" s="1"/>
  <c r="S342" i="6"/>
  <c r="T342" i="6" s="1"/>
  <c r="J271" i="5"/>
  <c r="K271" i="5" s="1"/>
  <c r="L271" i="5" s="1"/>
  <c r="J130" i="5"/>
  <c r="K130" i="5" s="1"/>
  <c r="L130" i="5" s="1"/>
  <c r="J103" i="5"/>
  <c r="K103" i="5" s="1"/>
  <c r="L103" i="5" s="1"/>
  <c r="Q222" i="5"/>
  <c r="S222" i="5" s="1"/>
  <c r="J233" i="5"/>
  <c r="K233" i="5" s="1"/>
  <c r="L233" i="5" s="1"/>
  <c r="P117" i="6"/>
  <c r="Q117" i="6" s="1"/>
  <c r="R117" i="6" s="1"/>
  <c r="P158" i="6"/>
  <c r="Q158" i="6" s="1"/>
  <c r="P242" i="6"/>
  <c r="Q242" i="6" s="1"/>
  <c r="R242" i="6" s="1"/>
  <c r="R316" i="6"/>
  <c r="R266" i="6"/>
  <c r="T266" i="6" s="1"/>
  <c r="R490" i="6"/>
  <c r="R662" i="6"/>
  <c r="S410" i="6"/>
  <c r="S421" i="6"/>
  <c r="T421" i="6" s="1"/>
  <c r="R191" i="6"/>
  <c r="S75" i="6"/>
  <c r="T75" i="6" s="1"/>
  <c r="R73" i="6"/>
  <c r="S199" i="6"/>
  <c r="T199" i="6" s="1"/>
  <c r="S178" i="6"/>
  <c r="T178" i="6" s="1"/>
  <c r="S347" i="6"/>
  <c r="T347" i="6" s="1"/>
  <c r="R755" i="6"/>
  <c r="R709" i="6"/>
  <c r="R663" i="6"/>
  <c r="R679" i="6"/>
  <c r="R638" i="6"/>
  <c r="R625" i="6"/>
  <c r="T625" i="6" s="1"/>
  <c r="R609" i="6"/>
  <c r="R540" i="6"/>
  <c r="R551" i="6"/>
  <c r="R657" i="6"/>
  <c r="R395" i="6"/>
  <c r="R480" i="6"/>
  <c r="R367" i="6"/>
  <c r="R394" i="6"/>
  <c r="R446" i="6"/>
  <c r="T446" i="6" s="1"/>
  <c r="R393" i="6"/>
  <c r="R335" i="6"/>
  <c r="R746" i="6"/>
  <c r="T746" i="6" s="1"/>
  <c r="U746" i="6" s="1"/>
  <c r="S745" i="6"/>
  <c r="S763" i="6"/>
  <c r="T763" i="6" s="1"/>
  <c r="S693" i="6"/>
  <c r="T693" i="6" s="1"/>
  <c r="S535" i="6"/>
  <c r="S386" i="6"/>
  <c r="T386" i="6" s="1"/>
  <c r="S242" i="6"/>
  <c r="T242" i="6" s="1"/>
  <c r="S97" i="6"/>
  <c r="T97" i="6" s="1"/>
  <c r="S101" i="6"/>
  <c r="T101" i="6" s="1"/>
  <c r="S104" i="6"/>
  <c r="T104" i="6" s="1"/>
  <c r="S606" i="6"/>
  <c r="T606" i="6" s="1"/>
  <c r="S164" i="6"/>
  <c r="T164" i="6" s="1"/>
  <c r="R246" i="6"/>
  <c r="R158" i="6"/>
  <c r="S731" i="6"/>
  <c r="T731" i="6" s="1"/>
  <c r="R67" i="6"/>
  <c r="S635" i="6"/>
  <c r="T635" i="6" s="1"/>
  <c r="S195" i="6"/>
  <c r="T195" i="6" s="1"/>
  <c r="R263" i="6"/>
  <c r="T263" i="6" s="1"/>
  <c r="S488" i="6"/>
  <c r="T488" i="6" s="1"/>
  <c r="S489" i="6"/>
  <c r="T489" i="6" s="1"/>
  <c r="U489" i="6" s="1"/>
  <c r="BK23" i="3"/>
  <c r="P506" i="6"/>
  <c r="Q506" i="6" s="1"/>
  <c r="R506" i="6" s="1"/>
  <c r="T506" i="6" s="1"/>
  <c r="P147" i="6"/>
  <c r="Q147" i="6" s="1"/>
  <c r="R147" i="6" s="1"/>
  <c r="J209" i="5"/>
  <c r="K209" i="5" s="1"/>
  <c r="L209" i="5" s="1"/>
  <c r="P417" i="6"/>
  <c r="Q417" i="6" s="1"/>
  <c r="R417" i="6" s="1"/>
  <c r="R389" i="6"/>
  <c r="R426" i="6"/>
  <c r="P75" i="6"/>
  <c r="Q75" i="6" s="1"/>
  <c r="R573" i="6"/>
  <c r="P614" i="6"/>
  <c r="Q614" i="6" s="1"/>
  <c r="R614" i="6" s="1"/>
  <c r="J298" i="5"/>
  <c r="K298" i="5" s="1"/>
  <c r="L298" i="5" s="1"/>
  <c r="O145" i="5"/>
  <c r="P145" i="5" s="1"/>
  <c r="Q145" i="5" s="1"/>
  <c r="S145" i="5" s="1"/>
  <c r="T145" i="5" s="1"/>
  <c r="U145" i="5" s="1"/>
  <c r="N162" i="5"/>
  <c r="P162" i="5" s="1"/>
  <c r="Q162" i="5" s="1"/>
  <c r="S162" i="5" s="1"/>
  <c r="R509" i="6"/>
  <c r="P219" i="6"/>
  <c r="Q219" i="6" s="1"/>
  <c r="R219" i="6" s="1"/>
  <c r="P180" i="6"/>
  <c r="Q180" i="6" s="1"/>
  <c r="R180" i="6" s="1"/>
  <c r="P273" i="6"/>
  <c r="Q273" i="6" s="1"/>
  <c r="R273" i="6" s="1"/>
  <c r="P274" i="6"/>
  <c r="Q274" i="6" s="1"/>
  <c r="R274" i="6" s="1"/>
  <c r="R492" i="6"/>
  <c r="S92" i="6"/>
  <c r="T92" i="6" s="1"/>
  <c r="S604" i="6"/>
  <c r="T604" i="6" s="1"/>
  <c r="S596" i="6"/>
  <c r="T596" i="6" s="1"/>
  <c r="S605" i="6"/>
  <c r="T605" i="6" s="1"/>
  <c r="S448" i="6"/>
  <c r="T448" i="6" s="1"/>
  <c r="R104" i="6"/>
  <c r="R181" i="6"/>
  <c r="S735" i="6"/>
  <c r="T735" i="6" s="1"/>
  <c r="S632" i="6"/>
  <c r="T632" i="6" s="1"/>
  <c r="J288" i="5"/>
  <c r="K288" i="5" s="1"/>
  <c r="L288" i="5" s="1"/>
  <c r="J163" i="5"/>
  <c r="K163" i="5" s="1"/>
  <c r="L163" i="5" s="1"/>
  <c r="R692" i="6"/>
  <c r="R463" i="6"/>
  <c r="R314" i="6"/>
  <c r="P544" i="6"/>
  <c r="Q544" i="6" s="1"/>
  <c r="R544" i="6" s="1"/>
  <c r="P719" i="6"/>
  <c r="Q719" i="6" s="1"/>
  <c r="R719" i="6" s="1"/>
  <c r="N179" i="5"/>
  <c r="P612" i="6"/>
  <c r="Q612" i="6" s="1"/>
  <c r="R612" i="6" s="1"/>
  <c r="J52" i="5"/>
  <c r="K52" i="5" s="1"/>
  <c r="L52" i="5" s="1"/>
  <c r="P241" i="6"/>
  <c r="Q241" i="6" s="1"/>
  <c r="R241" i="6" s="1"/>
  <c r="P222" i="5"/>
  <c r="N156" i="5"/>
  <c r="J108" i="5"/>
  <c r="K108" i="5" s="1"/>
  <c r="L108" i="5" s="1"/>
  <c r="M108" i="5" s="1"/>
  <c r="N108" i="5" s="1"/>
  <c r="J146" i="5"/>
  <c r="K146" i="5" s="1"/>
  <c r="L146" i="5" s="1"/>
  <c r="J282" i="5"/>
  <c r="K282" i="5" s="1"/>
  <c r="L282" i="5" s="1"/>
  <c r="R522" i="6"/>
  <c r="S432" i="6"/>
  <c r="T432" i="6" s="1"/>
  <c r="R62" i="6"/>
  <c r="S723" i="6"/>
  <c r="T723" i="6" s="1"/>
  <c r="S674" i="6"/>
  <c r="T674" i="6" s="1"/>
  <c r="S673" i="6"/>
  <c r="T673" i="6" s="1"/>
  <c r="S667" i="6"/>
  <c r="T667" i="6" s="1"/>
  <c r="U667" i="6" s="1"/>
  <c r="V667" i="6" s="1"/>
  <c r="S630" i="6"/>
  <c r="T630" i="6" s="1"/>
  <c r="S620" i="6"/>
  <c r="S641" i="6"/>
  <c r="T641" i="6" s="1"/>
  <c r="S187" i="6"/>
  <c r="T187" i="6" s="1"/>
  <c r="S174" i="6"/>
  <c r="R75" i="6"/>
  <c r="O158" i="5"/>
  <c r="P158" i="5" s="1"/>
  <c r="Q158" i="5" s="1"/>
  <c r="S158" i="5" s="1"/>
  <c r="N129" i="5"/>
  <c r="P129" i="5" s="1"/>
  <c r="Q129" i="5" s="1"/>
  <c r="S129" i="5" s="1"/>
  <c r="P704" i="6"/>
  <c r="Q704" i="6" s="1"/>
  <c r="R704" i="6" s="1"/>
  <c r="R527" i="6"/>
  <c r="R279" i="6"/>
  <c r="R96" i="6"/>
  <c r="P103" i="6"/>
  <c r="Q103" i="6" s="1"/>
  <c r="P513" i="6"/>
  <c r="Q513" i="6" s="1"/>
  <c r="R513" i="6" s="1"/>
  <c r="P126" i="6"/>
  <c r="Q126" i="6" s="1"/>
  <c r="R126" i="6" s="1"/>
  <c r="O302" i="5"/>
  <c r="N302" i="5"/>
  <c r="P302" i="5" s="1"/>
  <c r="Q302" i="5" s="1"/>
  <c r="S302" i="5" s="1"/>
  <c r="P580" i="6"/>
  <c r="Q580" i="6" s="1"/>
  <c r="R580" i="6" s="1"/>
  <c r="P581" i="6"/>
  <c r="Q581" i="6" s="1"/>
  <c r="R581" i="6" s="1"/>
  <c r="W380" i="6"/>
  <c r="X380" i="6" s="1"/>
  <c r="Y380" i="6" s="1"/>
  <c r="AA380" i="6" s="1"/>
  <c r="P189" i="6"/>
  <c r="Q189" i="6" s="1"/>
  <c r="R189" i="6" s="1"/>
  <c r="P190" i="6"/>
  <c r="Q190" i="6" s="1"/>
  <c r="R190" i="6" s="1"/>
  <c r="O232" i="5"/>
  <c r="V710" i="6"/>
  <c r="S213" i="6"/>
  <c r="T213" i="6" s="1"/>
  <c r="V213" i="6" s="1"/>
  <c r="P435" i="6"/>
  <c r="Q435" i="6" s="1"/>
  <c r="R435" i="6" s="1"/>
  <c r="P436" i="6"/>
  <c r="Q436" i="6" s="1"/>
  <c r="R436" i="6" s="1"/>
  <c r="P207" i="6"/>
  <c r="Q207" i="6" s="1"/>
  <c r="P208" i="6"/>
  <c r="Q208" i="6" s="1"/>
  <c r="R208" i="6" s="1"/>
  <c r="J171" i="5"/>
  <c r="K171" i="5" s="1"/>
  <c r="L171" i="5" s="1"/>
  <c r="J172" i="5"/>
  <c r="K172" i="5" s="1"/>
  <c r="L172" i="5" s="1"/>
  <c r="R659" i="6"/>
  <c r="P408" i="6"/>
  <c r="Q408" i="6" s="1"/>
  <c r="R408" i="6" s="1"/>
  <c r="R173" i="6"/>
  <c r="T173" i="6" s="1"/>
  <c r="U173" i="6" s="1"/>
  <c r="P315" i="6"/>
  <c r="Q315" i="6" s="1"/>
  <c r="R315" i="6" s="1"/>
  <c r="S612" i="6"/>
  <c r="T612" i="6" s="1"/>
  <c r="S611" i="6"/>
  <c r="T611" i="6" s="1"/>
  <c r="R550" i="6"/>
  <c r="R143" i="6"/>
  <c r="T143" i="6" s="1"/>
  <c r="P151" i="6"/>
  <c r="Q151" i="6" s="1"/>
  <c r="R151" i="6" s="1"/>
  <c r="P152" i="6"/>
  <c r="Q152" i="6" s="1"/>
  <c r="R152" i="6" s="1"/>
  <c r="S311" i="6"/>
  <c r="T311" i="6" s="1"/>
  <c r="S399" i="6"/>
  <c r="T399" i="6" s="1"/>
  <c r="P485" i="6"/>
  <c r="Q485" i="6" s="1"/>
  <c r="R485" i="6" s="1"/>
  <c r="P486" i="6"/>
  <c r="Q486" i="6" s="1"/>
  <c r="R486" i="6" s="1"/>
  <c r="R673" i="6"/>
  <c r="S685" i="6"/>
  <c r="S564" i="6"/>
  <c r="S470" i="6"/>
  <c r="M232" i="5"/>
  <c r="N232" i="5" s="1"/>
  <c r="P726" i="6"/>
  <c r="Q726" i="6" s="1"/>
  <c r="R726" i="6" s="1"/>
  <c r="P727" i="6"/>
  <c r="Q727" i="6" s="1"/>
  <c r="R727" i="6" s="1"/>
  <c r="S380" i="6"/>
  <c r="R634" i="6"/>
  <c r="P664" i="6"/>
  <c r="Q664" i="6" s="1"/>
  <c r="P665" i="6"/>
  <c r="Q665" i="6" s="1"/>
  <c r="R665" i="6" s="1"/>
  <c r="S560" i="6"/>
  <c r="R109" i="6"/>
  <c r="R225" i="6"/>
  <c r="S194" i="6"/>
  <c r="T194" i="6" s="1"/>
  <c r="P63" i="6"/>
  <c r="Q63" i="6" s="1"/>
  <c r="R63" i="6" s="1"/>
  <c r="P64" i="6"/>
  <c r="Q64" i="6" s="1"/>
  <c r="R64" i="6" s="1"/>
  <c r="P464" i="6"/>
  <c r="Q464" i="6" s="1"/>
  <c r="R464" i="6" s="1"/>
  <c r="P353" i="6"/>
  <c r="Q353" i="6" s="1"/>
  <c r="R353" i="6" s="1"/>
  <c r="T353" i="6" s="1"/>
  <c r="U353" i="6" s="1"/>
  <c r="V353" i="6" s="1"/>
  <c r="P354" i="6"/>
  <c r="Q354" i="6" s="1"/>
  <c r="R354" i="6" s="1"/>
  <c r="T354" i="6" s="1"/>
  <c r="R724" i="6"/>
  <c r="P383" i="6"/>
  <c r="Q383" i="6" s="1"/>
  <c r="R383" i="6" s="1"/>
  <c r="T383" i="6" s="1"/>
  <c r="P384" i="6"/>
  <c r="Q384" i="6" s="1"/>
  <c r="R384" i="6" s="1"/>
  <c r="T384" i="6" s="1"/>
  <c r="U384" i="6" s="1"/>
  <c r="U230" i="6"/>
  <c r="W230" i="6" s="1"/>
  <c r="R344" i="6"/>
  <c r="R723" i="6"/>
  <c r="S694" i="6"/>
  <c r="T694" i="6" s="1"/>
  <c r="R192" i="6"/>
  <c r="R282" i="6"/>
  <c r="R229" i="6"/>
  <c r="R74" i="6"/>
  <c r="P646" i="6"/>
  <c r="Q646" i="6" s="1"/>
  <c r="R646" i="6" s="1"/>
  <c r="R512" i="6"/>
  <c r="R765" i="6"/>
  <c r="R730" i="6"/>
  <c r="R737" i="6"/>
  <c r="R469" i="6"/>
  <c r="R430" i="6"/>
  <c r="R508" i="6"/>
  <c r="R339" i="6"/>
  <c r="R193" i="6"/>
  <c r="R59" i="6"/>
  <c r="S759" i="6"/>
  <c r="T759" i="6" s="1"/>
  <c r="S681" i="6"/>
  <c r="S698" i="6"/>
  <c r="T698" i="6" s="1"/>
  <c r="S557" i="6"/>
  <c r="T557" i="6" s="1"/>
  <c r="S245" i="6"/>
  <c r="T245" i="6" s="1"/>
  <c r="S203" i="6"/>
  <c r="S98" i="6"/>
  <c r="T98" i="6" s="1"/>
  <c r="S575" i="6"/>
  <c r="T575" i="6" s="1"/>
  <c r="S563" i="6"/>
  <c r="S418" i="6"/>
  <c r="T418" i="6" s="1"/>
  <c r="S429" i="6"/>
  <c r="T429" i="6" s="1"/>
  <c r="U429" i="6" s="1"/>
  <c r="W429" i="6" s="1"/>
  <c r="R78" i="6"/>
  <c r="R54" i="6"/>
  <c r="T54" i="6" s="1"/>
  <c r="R582" i="6"/>
  <c r="S331" i="6"/>
  <c r="T331" i="6" s="1"/>
  <c r="U331" i="6" s="1"/>
  <c r="S337" i="6"/>
  <c r="T337" i="6" s="1"/>
  <c r="S472" i="6"/>
  <c r="S376" i="6"/>
  <c r="T376" i="6" s="1"/>
  <c r="U376" i="6" s="1"/>
  <c r="S353" i="6"/>
  <c r="S378" i="6"/>
  <c r="T378" i="6" s="1"/>
  <c r="R326" i="6"/>
  <c r="P131" i="6"/>
  <c r="Q131" i="6" s="1"/>
  <c r="R131" i="6" s="1"/>
  <c r="P132" i="6"/>
  <c r="Q132" i="6" s="1"/>
  <c r="R132" i="6" s="1"/>
  <c r="R146" i="6"/>
  <c r="P643" i="6"/>
  <c r="Q643" i="6" s="1"/>
  <c r="R643" i="6" s="1"/>
  <c r="P644" i="6"/>
  <c r="Q644" i="6" s="1"/>
  <c r="R222" i="6"/>
  <c r="J87" i="5"/>
  <c r="K87" i="5" s="1"/>
  <c r="L87" i="5" s="1"/>
  <c r="J88" i="5"/>
  <c r="K88" i="5" s="1"/>
  <c r="L88" i="5" s="1"/>
  <c r="S241" i="6"/>
  <c r="T241" i="6" s="1"/>
  <c r="S84" i="6"/>
  <c r="S600" i="6"/>
  <c r="T600" i="6" s="1"/>
  <c r="S469" i="6"/>
  <c r="T469" i="6" s="1"/>
  <c r="S159" i="6"/>
  <c r="T159" i="6" s="1"/>
  <c r="S55" i="6"/>
  <c r="R164" i="6"/>
  <c r="S712" i="6"/>
  <c r="S183" i="6"/>
  <c r="T183" i="6" s="1"/>
  <c r="S172" i="6"/>
  <c r="S335" i="6"/>
  <c r="T335" i="6" s="1"/>
  <c r="S338" i="6"/>
  <c r="T338" i="6" s="1"/>
  <c r="O154" i="5"/>
  <c r="N154" i="5"/>
  <c r="O192" i="5"/>
  <c r="P708" i="6"/>
  <c r="Q708" i="6" s="1"/>
  <c r="R708" i="6" s="1"/>
  <c r="P317" i="6"/>
  <c r="Q317" i="6" s="1"/>
  <c r="R317" i="6" s="1"/>
  <c r="P318" i="6"/>
  <c r="Q318" i="6" s="1"/>
  <c r="R318" i="6" s="1"/>
  <c r="P733" i="6"/>
  <c r="Q733" i="6" s="1"/>
  <c r="R733" i="6" s="1"/>
  <c r="P734" i="6"/>
  <c r="Q734" i="6" s="1"/>
  <c r="R734" i="6" s="1"/>
  <c r="R578" i="6"/>
  <c r="J199" i="5"/>
  <c r="K199" i="5" s="1"/>
  <c r="L199" i="5" s="1"/>
  <c r="M199" i="5" s="1"/>
  <c r="O199" i="5" s="1"/>
  <c r="J198" i="5"/>
  <c r="K198" i="5" s="1"/>
  <c r="L198" i="5" s="1"/>
  <c r="M216" i="5"/>
  <c r="N216" i="5" s="1"/>
  <c r="O216" i="5"/>
  <c r="N202" i="5"/>
  <c r="O202" i="5"/>
  <c r="P476" i="6"/>
  <c r="Q476" i="6" s="1"/>
  <c r="R476" i="6" s="1"/>
  <c r="T476" i="6" s="1"/>
  <c r="U476" i="6" s="1"/>
  <c r="W476" i="6" s="1"/>
  <c r="P477" i="6"/>
  <c r="Q477" i="6" s="1"/>
  <c r="R477" i="6" s="1"/>
  <c r="P167" i="6"/>
  <c r="Q167" i="6" s="1"/>
  <c r="R167" i="6" s="1"/>
  <c r="P168" i="6"/>
  <c r="Q168" i="6" s="1"/>
  <c r="R168" i="6" s="1"/>
  <c r="P523" i="6"/>
  <c r="Q523" i="6" s="1"/>
  <c r="R523" i="6" s="1"/>
  <c r="P524" i="6"/>
  <c r="Q524" i="6" s="1"/>
  <c r="R524" i="6" s="1"/>
  <c r="P95" i="6"/>
  <c r="Q95" i="6" s="1"/>
  <c r="P94" i="6"/>
  <c r="Q94" i="6" s="1"/>
  <c r="R162" i="6"/>
  <c r="N275" i="5"/>
  <c r="P275" i="5" s="1"/>
  <c r="Q275" i="5" s="1"/>
  <c r="S275" i="5" s="1"/>
  <c r="J45" i="5"/>
  <c r="K45" i="5" s="1"/>
  <c r="L45" i="5" s="1"/>
  <c r="J46" i="5"/>
  <c r="K46" i="5" s="1"/>
  <c r="L46" i="5" s="1"/>
  <c r="AV24" i="3"/>
  <c r="AY24" i="3" s="1"/>
  <c r="J210" i="5"/>
  <c r="K210" i="5" s="1"/>
  <c r="L210" i="5" s="1"/>
  <c r="M210" i="5" s="1"/>
  <c r="N210" i="5" s="1"/>
  <c r="P36" i="5"/>
  <c r="Q36" i="5" s="1"/>
  <c r="S36" i="5" s="1"/>
  <c r="T36" i="5" s="1"/>
  <c r="U36" i="5" s="1"/>
  <c r="V36" i="5" s="1"/>
  <c r="P164" i="6"/>
  <c r="Q164" i="6" s="1"/>
  <c r="P165" i="6"/>
  <c r="Q165" i="6" s="1"/>
  <c r="R165" i="6" s="1"/>
  <c r="J291" i="5"/>
  <c r="K291" i="5" s="1"/>
  <c r="L291" i="5" s="1"/>
  <c r="J292" i="5"/>
  <c r="K292" i="5" s="1"/>
  <c r="L292" i="5" s="1"/>
  <c r="J167" i="5"/>
  <c r="K167" i="5" s="1"/>
  <c r="L167" i="5" s="1"/>
  <c r="M167" i="5" s="1"/>
  <c r="N167" i="5" s="1"/>
  <c r="J166" i="5"/>
  <c r="K166" i="5" s="1"/>
  <c r="L166" i="5" s="1"/>
  <c r="P148" i="6"/>
  <c r="Q148" i="6" s="1"/>
  <c r="N126" i="5"/>
  <c r="P565" i="6"/>
  <c r="Q565" i="6" s="1"/>
  <c r="R565" i="6" s="1"/>
  <c r="T565" i="6" s="1"/>
  <c r="U565" i="6" s="1"/>
  <c r="V565" i="6" s="1"/>
  <c r="O39" i="5"/>
  <c r="N39" i="5"/>
  <c r="AS44" i="3"/>
  <c r="AY44" i="3"/>
  <c r="AU44" i="3"/>
  <c r="AV44" i="3" s="1"/>
  <c r="J213" i="5"/>
  <c r="K213" i="5" s="1"/>
  <c r="L213" i="5" s="1"/>
  <c r="M213" i="5" s="1"/>
  <c r="J214" i="5"/>
  <c r="K214" i="5" s="1"/>
  <c r="L214" i="5" s="1"/>
  <c r="R116" i="6"/>
  <c r="R758" i="6"/>
  <c r="R589" i="6"/>
  <c r="P391" i="6"/>
  <c r="Q391" i="6" s="1"/>
  <c r="R391" i="6" s="1"/>
  <c r="R371" i="6"/>
  <c r="P267" i="6"/>
  <c r="Q267" i="6" s="1"/>
  <c r="R267" i="6" s="1"/>
  <c r="P268" i="6"/>
  <c r="Q268" i="6" s="1"/>
  <c r="R268" i="6" s="1"/>
  <c r="R707" i="6"/>
  <c r="S459" i="6"/>
  <c r="T459" i="6" s="1"/>
  <c r="U459" i="6" s="1"/>
  <c r="V459" i="6" s="1"/>
  <c r="S733" i="6"/>
  <c r="T733" i="6" s="1"/>
  <c r="N82" i="5"/>
  <c r="O82" i="5"/>
  <c r="P129" i="6"/>
  <c r="Q129" i="6" s="1"/>
  <c r="R129" i="6" s="1"/>
  <c r="P128" i="6"/>
  <c r="Q128" i="6" s="1"/>
  <c r="R128" i="6" s="1"/>
  <c r="P277" i="6"/>
  <c r="Q277" i="6" s="1"/>
  <c r="R277" i="6" s="1"/>
  <c r="P278" i="6"/>
  <c r="Q278" i="6" s="1"/>
  <c r="R278" i="6" s="1"/>
  <c r="P113" i="6"/>
  <c r="Q113" i="6" s="1"/>
  <c r="R113" i="6" s="1"/>
  <c r="T113" i="6" s="1"/>
  <c r="P114" i="6"/>
  <c r="Q114" i="6" s="1"/>
  <c r="R114" i="6" s="1"/>
  <c r="T114" i="6" s="1"/>
  <c r="AU51" i="3"/>
  <c r="AV51" i="3" s="1"/>
  <c r="AS51" i="3"/>
  <c r="P55" i="6"/>
  <c r="Q55" i="6" s="1"/>
  <c r="R55" i="6" s="1"/>
  <c r="T55" i="6" s="1"/>
  <c r="P56" i="6"/>
  <c r="Q56" i="6" s="1"/>
  <c r="R56" i="6" s="1"/>
  <c r="R103" i="6"/>
  <c r="R199" i="6"/>
  <c r="J142" i="5"/>
  <c r="K142" i="5" s="1"/>
  <c r="L142" i="5" s="1"/>
  <c r="M142" i="5" s="1"/>
  <c r="X651" i="6"/>
  <c r="Y651" i="6" s="1"/>
  <c r="AA651" i="6" s="1"/>
  <c r="AB651" i="6" s="1"/>
  <c r="AC651" i="6" s="1"/>
  <c r="R298" i="6"/>
  <c r="R206" i="6"/>
  <c r="T206" i="6" s="1"/>
  <c r="U206" i="6" s="1"/>
  <c r="W206" i="6" s="1"/>
  <c r="S680" i="6"/>
  <c r="S701" i="6"/>
  <c r="T701" i="6" s="1"/>
  <c r="S406" i="6"/>
  <c r="T406" i="6" s="1"/>
  <c r="S235" i="6"/>
  <c r="S230" i="6"/>
  <c r="S250" i="6"/>
  <c r="T250" i="6" s="1"/>
  <c r="S613" i="6"/>
  <c r="T613" i="6" s="1"/>
  <c r="S297" i="6"/>
  <c r="T297" i="6" s="1"/>
  <c r="S302" i="6"/>
  <c r="T302" i="6" s="1"/>
  <c r="S167" i="6"/>
  <c r="T167" i="6" s="1"/>
  <c r="S222" i="6"/>
  <c r="T222" i="6" s="1"/>
  <c r="AV27" i="3"/>
  <c r="AY27" i="3" s="1"/>
  <c r="J127" i="5"/>
  <c r="K127" i="5" s="1"/>
  <c r="L127" i="5" s="1"/>
  <c r="M127" i="5" s="1"/>
  <c r="J128" i="5"/>
  <c r="K128" i="5" s="1"/>
  <c r="L128" i="5" s="1"/>
  <c r="N242" i="5"/>
  <c r="M242" i="5"/>
  <c r="O242" i="5" s="1"/>
  <c r="J249" i="5"/>
  <c r="K249" i="5" s="1"/>
  <c r="L249" i="5" s="1"/>
  <c r="J250" i="5"/>
  <c r="K250" i="5" s="1"/>
  <c r="L250" i="5" s="1"/>
  <c r="O135" i="5"/>
  <c r="N135" i="5"/>
  <c r="N83" i="5"/>
  <c r="J187" i="5"/>
  <c r="K187" i="5" s="1"/>
  <c r="L187" i="5" s="1"/>
  <c r="J188" i="5"/>
  <c r="K188" i="5" s="1"/>
  <c r="L188" i="5" s="1"/>
  <c r="R136" i="6"/>
  <c r="R699" i="6"/>
  <c r="S601" i="6"/>
  <c r="T601" i="6" s="1"/>
  <c r="S595" i="6"/>
  <c r="S617" i="6"/>
  <c r="T617" i="6" s="1"/>
  <c r="R557" i="6"/>
  <c r="S468" i="6"/>
  <c r="T468" i="6" s="1"/>
  <c r="S717" i="6"/>
  <c r="T717" i="6" s="1"/>
  <c r="V717" i="6" s="1"/>
  <c r="S628" i="6"/>
  <c r="T628" i="6" s="1"/>
  <c r="S627" i="6"/>
  <c r="T627" i="6" s="1"/>
  <c r="R608" i="6"/>
  <c r="R434" i="6"/>
  <c r="S289" i="6"/>
  <c r="T289" i="6" s="1"/>
  <c r="S271" i="6"/>
  <c r="T271" i="6" s="1"/>
  <c r="U271" i="6" s="1"/>
  <c r="S270" i="6"/>
  <c r="T270" i="6" s="1"/>
  <c r="AF38" i="4"/>
  <c r="N112" i="5"/>
  <c r="O112" i="5"/>
  <c r="O56" i="5"/>
  <c r="O258" i="5"/>
  <c r="P100" i="6"/>
  <c r="Q100" i="6" s="1"/>
  <c r="P99" i="6"/>
  <c r="Q99" i="6" s="1"/>
  <c r="R99" i="6" s="1"/>
  <c r="P626" i="6"/>
  <c r="Q626" i="6" s="1"/>
  <c r="R626" i="6" s="1"/>
  <c r="P627" i="6"/>
  <c r="Q627" i="6" s="1"/>
  <c r="R627" i="6" s="1"/>
  <c r="P745" i="6"/>
  <c r="Q745" i="6" s="1"/>
  <c r="R745" i="6" s="1"/>
  <c r="T745" i="6" s="1"/>
  <c r="R418" i="6"/>
  <c r="S83" i="6"/>
  <c r="N258" i="5"/>
  <c r="P258" i="5" s="1"/>
  <c r="Q258" i="5" s="1"/>
  <c r="S258" i="5" s="1"/>
  <c r="T258" i="5" s="1"/>
  <c r="U258" i="5" s="1"/>
  <c r="R482" i="6"/>
  <c r="P119" i="6"/>
  <c r="Q119" i="6" s="1"/>
  <c r="R119" i="6" s="1"/>
  <c r="P120" i="6"/>
  <c r="Q120" i="6" s="1"/>
  <c r="R120" i="6" s="1"/>
  <c r="R327" i="6"/>
  <c r="S755" i="6"/>
  <c r="T755" i="6" s="1"/>
  <c r="S696" i="6"/>
  <c r="T696" i="6" s="1"/>
  <c r="S530" i="6"/>
  <c r="S550" i="6"/>
  <c r="T550" i="6" s="1"/>
  <c r="S552" i="6"/>
  <c r="T552" i="6" s="1"/>
  <c r="R70" i="6"/>
  <c r="S436" i="6"/>
  <c r="T436" i="6" s="1"/>
  <c r="S427" i="6"/>
  <c r="T427" i="6" s="1"/>
  <c r="U427" i="6" s="1"/>
  <c r="R106" i="6"/>
  <c r="S594" i="6"/>
  <c r="S147" i="6"/>
  <c r="T147" i="6" s="1"/>
  <c r="S724" i="6"/>
  <c r="T724" i="6" s="1"/>
  <c r="S487" i="6"/>
  <c r="T487" i="6" s="1"/>
  <c r="S494" i="6"/>
  <c r="T494" i="6" s="1"/>
  <c r="S475" i="6"/>
  <c r="O62" i="5"/>
  <c r="P615" i="6"/>
  <c r="Q615" i="6" s="1"/>
  <c r="P213" i="6"/>
  <c r="Q213" i="6" s="1"/>
  <c r="S105" i="6"/>
  <c r="T105" i="6" s="1"/>
  <c r="J245" i="5"/>
  <c r="K245" i="5" s="1"/>
  <c r="L245" i="5" s="1"/>
  <c r="J244" i="5"/>
  <c r="K244" i="5" s="1"/>
  <c r="L244" i="5" s="1"/>
  <c r="O99" i="5"/>
  <c r="M99" i="5"/>
  <c r="N99" i="5" s="1"/>
  <c r="R236" i="6"/>
  <c r="T236" i="6" s="1"/>
  <c r="R303" i="6"/>
  <c r="R259" i="6"/>
  <c r="R766" i="6"/>
  <c r="R182" i="6"/>
  <c r="R184" i="6"/>
  <c r="S754" i="6"/>
  <c r="T754" i="6" s="1"/>
  <c r="U754" i="6" s="1"/>
  <c r="W754" i="6" s="1"/>
  <c r="S683" i="6"/>
  <c r="S555" i="6"/>
  <c r="T555" i="6" s="1"/>
  <c r="U555" i="6" s="1"/>
  <c r="S407" i="6"/>
  <c r="T407" i="6" s="1"/>
  <c r="S231" i="6"/>
  <c r="S244" i="6"/>
  <c r="T244" i="6" s="1"/>
  <c r="S86" i="6"/>
  <c r="T86" i="6" s="1"/>
  <c r="U86" i="6" s="1"/>
  <c r="W86" i="6" s="1"/>
  <c r="S570" i="6"/>
  <c r="T570" i="6" s="1"/>
  <c r="S562" i="6"/>
  <c r="S567" i="6"/>
  <c r="T567" i="6" s="1"/>
  <c r="S430" i="6"/>
  <c r="T430" i="6" s="1"/>
  <c r="S438" i="6"/>
  <c r="T438" i="6" s="1"/>
  <c r="S618" i="6"/>
  <c r="T618" i="6" s="1"/>
  <c r="U618" i="6" s="1"/>
  <c r="V618" i="6" s="1"/>
  <c r="R100" i="6"/>
  <c r="S69" i="6"/>
  <c r="T69" i="6" s="1"/>
  <c r="R305" i="6"/>
  <c r="S720" i="6"/>
  <c r="T720" i="6" s="1"/>
  <c r="S725" i="6"/>
  <c r="T725" i="6" s="1"/>
  <c r="S623" i="6"/>
  <c r="S191" i="6"/>
  <c r="T191" i="6" s="1"/>
  <c r="S188" i="6"/>
  <c r="T188" i="6" s="1"/>
  <c r="S519" i="6"/>
  <c r="T519" i="6" s="1"/>
  <c r="S525" i="6"/>
  <c r="T525" i="6" s="1"/>
  <c r="U525" i="6" s="1"/>
  <c r="W525" i="6" s="1"/>
  <c r="S524" i="6"/>
  <c r="T524" i="6" s="1"/>
  <c r="U524" i="6" s="1"/>
  <c r="W524" i="6" s="1"/>
  <c r="S131" i="6"/>
  <c r="T131" i="6" s="1"/>
  <c r="S128" i="6"/>
  <c r="T128" i="6" s="1"/>
  <c r="S499" i="6"/>
  <c r="T499" i="6" s="1"/>
  <c r="J299" i="5"/>
  <c r="K299" i="5" s="1"/>
  <c r="L299" i="5" s="1"/>
  <c r="P545" i="6"/>
  <c r="Q545" i="6" s="1"/>
  <c r="R545" i="6" s="1"/>
  <c r="P439" i="6"/>
  <c r="Q439" i="6" s="1"/>
  <c r="R439" i="6" s="1"/>
  <c r="J159" i="5"/>
  <c r="K159" i="5" s="1"/>
  <c r="L159" i="5" s="1"/>
  <c r="R313" i="6"/>
  <c r="R269" i="6"/>
  <c r="R183" i="6"/>
  <c r="S686" i="6"/>
  <c r="S697" i="6"/>
  <c r="T697" i="6" s="1"/>
  <c r="R644" i="6"/>
  <c r="S531" i="6"/>
  <c r="S253" i="6"/>
  <c r="T253" i="6" s="1"/>
  <c r="S610" i="6"/>
  <c r="T610" i="6" s="1"/>
  <c r="S442" i="6"/>
  <c r="S454" i="6"/>
  <c r="T454" i="6" s="1"/>
  <c r="U454" i="6" s="1"/>
  <c r="V454" i="6" s="1"/>
  <c r="S462" i="6"/>
  <c r="T462" i="6" s="1"/>
  <c r="U462" i="6" s="1"/>
  <c r="V462" i="6" s="1"/>
  <c r="S295" i="6"/>
  <c r="S290" i="6"/>
  <c r="S310" i="6"/>
  <c r="T310" i="6" s="1"/>
  <c r="S145" i="6"/>
  <c r="S144" i="6"/>
  <c r="S71" i="6"/>
  <c r="T71" i="6" s="1"/>
  <c r="R134" i="6"/>
  <c r="S718" i="6"/>
  <c r="T718" i="6" s="1"/>
  <c r="S732" i="6"/>
  <c r="T732" i="6" s="1"/>
  <c r="S629" i="6"/>
  <c r="T629" i="6" s="1"/>
  <c r="K41" i="6" s="1"/>
  <c r="S640" i="6"/>
  <c r="T640" i="6" s="1"/>
  <c r="S179" i="6"/>
  <c r="T179" i="6" s="1"/>
  <c r="S509" i="6"/>
  <c r="T509" i="6" s="1"/>
  <c r="AF32" i="4"/>
  <c r="O133" i="5"/>
  <c r="P133" i="5" s="1"/>
  <c r="Q133" i="5" s="1"/>
  <c r="S133" i="5" s="1"/>
  <c r="P332" i="6"/>
  <c r="Q332" i="6" s="1"/>
  <c r="R332" i="6" s="1"/>
  <c r="J160" i="5"/>
  <c r="K160" i="5" s="1"/>
  <c r="L160" i="5" s="1"/>
  <c r="J68" i="5"/>
  <c r="K68" i="5" s="1"/>
  <c r="L68" i="5" s="1"/>
  <c r="M68" i="5" s="1"/>
  <c r="R687" i="6"/>
  <c r="R361" i="6"/>
  <c r="R402" i="6"/>
  <c r="R234" i="6"/>
  <c r="T234" i="6" s="1"/>
  <c r="R355" i="6"/>
  <c r="T355" i="6" s="1"/>
  <c r="U355" i="6" s="1"/>
  <c r="R149" i="6"/>
  <c r="R271" i="6"/>
  <c r="S703" i="6"/>
  <c r="T703" i="6" s="1"/>
  <c r="U703" i="6" s="1"/>
  <c r="W703" i="6" s="1"/>
  <c r="R636" i="6"/>
  <c r="R630" i="6"/>
  <c r="S547" i="6"/>
  <c r="T547" i="6" s="1"/>
  <c r="S546" i="6"/>
  <c r="T546" i="6" s="1"/>
  <c r="S548" i="6"/>
  <c r="T548" i="6" s="1"/>
  <c r="S249" i="6"/>
  <c r="T249" i="6" s="1"/>
  <c r="S81" i="6"/>
  <c r="S94" i="6"/>
  <c r="T94" i="6" s="1"/>
  <c r="R66" i="6"/>
  <c r="R105" i="6"/>
  <c r="S614" i="6"/>
  <c r="T614" i="6" s="1"/>
  <c r="S447" i="6"/>
  <c r="T447" i="6" s="1"/>
  <c r="S467" i="6"/>
  <c r="T467" i="6" s="1"/>
  <c r="U467" i="6" s="1"/>
  <c r="V467" i="6" s="1"/>
  <c r="S291" i="6"/>
  <c r="S296" i="6"/>
  <c r="T296" i="6" s="1"/>
  <c r="S313" i="6"/>
  <c r="T313" i="6" s="1"/>
  <c r="S155" i="6"/>
  <c r="T155" i="6" s="1"/>
  <c r="R87" i="6"/>
  <c r="S57" i="6"/>
  <c r="T57" i="6" s="1"/>
  <c r="S737" i="6"/>
  <c r="T737" i="6" s="1"/>
  <c r="S651" i="6"/>
  <c r="S642" i="6"/>
  <c r="T642" i="6" s="1"/>
  <c r="U642" i="6" s="1"/>
  <c r="V642" i="6" s="1"/>
  <c r="S634" i="6"/>
  <c r="T634" i="6" s="1"/>
  <c r="U634" i="6" s="1"/>
  <c r="S645" i="6"/>
  <c r="T645" i="6" s="1"/>
  <c r="S185" i="6"/>
  <c r="T185" i="6" s="1"/>
  <c r="S196" i="6"/>
  <c r="T196" i="6" s="1"/>
  <c r="R68" i="6"/>
  <c r="S517" i="6"/>
  <c r="T517" i="6" s="1"/>
  <c r="S99" i="6"/>
  <c r="T99" i="6" s="1"/>
  <c r="S116" i="6"/>
  <c r="T116" i="6" s="1"/>
  <c r="S136" i="6"/>
  <c r="T136" i="6" s="1"/>
  <c r="R432" i="6"/>
  <c r="S261" i="6"/>
  <c r="S268" i="6"/>
  <c r="T268" i="6" s="1"/>
  <c r="S288" i="6"/>
  <c r="T288" i="6" s="1"/>
  <c r="AF133" i="4"/>
  <c r="AF129" i="4"/>
  <c r="AF130" i="4"/>
  <c r="AU29" i="3"/>
  <c r="AV29" i="3" s="1"/>
  <c r="AS29" i="3"/>
  <c r="BB29" i="3" s="1"/>
  <c r="B29" i="3" s="1"/>
  <c r="J54" i="5"/>
  <c r="K54" i="5" s="1"/>
  <c r="L54" i="5" s="1"/>
  <c r="J234" i="5"/>
  <c r="K234" i="5" s="1"/>
  <c r="L234" i="5" s="1"/>
  <c r="AF34" i="4"/>
  <c r="P501" i="6"/>
  <c r="Q501" i="6" s="1"/>
  <c r="R501" i="6" s="1"/>
  <c r="T501" i="6" s="1"/>
  <c r="P502" i="6"/>
  <c r="Q502" i="6" s="1"/>
  <c r="R502" i="6" s="1"/>
  <c r="T502" i="6" s="1"/>
  <c r="P518" i="6"/>
  <c r="Q518" i="6" s="1"/>
  <c r="R518" i="6" s="1"/>
  <c r="J285" i="5"/>
  <c r="K285" i="5" s="1"/>
  <c r="L285" i="5" s="1"/>
  <c r="J294" i="5"/>
  <c r="K294" i="5" s="1"/>
  <c r="L294" i="5" s="1"/>
  <c r="J138" i="5"/>
  <c r="K138" i="5" s="1"/>
  <c r="L138" i="5" s="1"/>
  <c r="J219" i="5"/>
  <c r="K219" i="5" s="1"/>
  <c r="L219" i="5" s="1"/>
  <c r="AF132" i="4"/>
  <c r="AF82" i="4"/>
  <c r="AF88" i="4"/>
  <c r="P554" i="6"/>
  <c r="Q554" i="6" s="1"/>
  <c r="R554" i="6" s="1"/>
  <c r="P434" i="6"/>
  <c r="Q434" i="6" s="1"/>
  <c r="J149" i="5"/>
  <c r="K149" i="5" s="1"/>
  <c r="L149" i="5" s="1"/>
  <c r="M149" i="5" s="1"/>
  <c r="P699" i="6"/>
  <c r="Q699" i="6" s="1"/>
  <c r="J109" i="5"/>
  <c r="K109" i="5" s="1"/>
  <c r="L109" i="5" s="1"/>
  <c r="P731" i="6"/>
  <c r="Q731" i="6" s="1"/>
  <c r="R731" i="6" s="1"/>
  <c r="R588" i="6"/>
  <c r="R345" i="6"/>
  <c r="R474" i="6"/>
  <c r="T474" i="6" s="1"/>
  <c r="R541" i="6"/>
  <c r="P375" i="6"/>
  <c r="Q375" i="6" s="1"/>
  <c r="R375" i="6" s="1"/>
  <c r="R451" i="6"/>
  <c r="R360" i="6"/>
  <c r="R283" i="6"/>
  <c r="R300" i="6"/>
  <c r="R223" i="6"/>
  <c r="R107" i="6"/>
  <c r="R195" i="6"/>
  <c r="S761" i="6"/>
  <c r="T761" i="6" s="1"/>
  <c r="U761" i="6" s="1"/>
  <c r="W761" i="6" s="1"/>
  <c r="S750" i="6"/>
  <c r="T750" i="6" s="1"/>
  <c r="U750" i="6" s="1"/>
  <c r="V750" i="6" s="1"/>
  <c r="S691" i="6"/>
  <c r="T691" i="6" s="1"/>
  <c r="S689" i="6"/>
  <c r="T689" i="6" s="1"/>
  <c r="K43" i="6" s="1"/>
  <c r="S704" i="6"/>
  <c r="T704" i="6" s="1"/>
  <c r="R628" i="6"/>
  <c r="S537" i="6"/>
  <c r="T537" i="6" s="1"/>
  <c r="S404" i="6"/>
  <c r="T404" i="6" s="1"/>
  <c r="S382" i="6"/>
  <c r="S387" i="6"/>
  <c r="T387" i="6" s="1"/>
  <c r="S251" i="6"/>
  <c r="T251" i="6" s="1"/>
  <c r="U251" i="6" s="1"/>
  <c r="S93" i="6"/>
  <c r="T93" i="6" s="1"/>
  <c r="W93" i="6" s="1"/>
  <c r="S107" i="6"/>
  <c r="T107" i="6" s="1"/>
  <c r="U107" i="6" s="1"/>
  <c r="W107" i="6" s="1"/>
  <c r="S455" i="6"/>
  <c r="T455" i="6" s="1"/>
  <c r="S465" i="6"/>
  <c r="T465" i="6" s="1"/>
  <c r="U465" i="6" s="1"/>
  <c r="V465" i="6" s="1"/>
  <c r="S449" i="6"/>
  <c r="T449" i="6" s="1"/>
  <c r="K35" i="6" s="1"/>
  <c r="S299" i="6"/>
  <c r="T299" i="6" s="1"/>
  <c r="U299" i="6" s="1"/>
  <c r="W299" i="6" s="1"/>
  <c r="S307" i="6"/>
  <c r="T307" i="6" s="1"/>
  <c r="S161" i="6"/>
  <c r="T161" i="6" s="1"/>
  <c r="U161" i="6" s="1"/>
  <c r="W161" i="6" s="1"/>
  <c r="S158" i="6"/>
  <c r="T158" i="6" s="1"/>
  <c r="U158" i="6" s="1"/>
  <c r="W158" i="6" s="1"/>
  <c r="S143" i="6"/>
  <c r="S647" i="6"/>
  <c r="T647" i="6" s="1"/>
  <c r="R212" i="6"/>
  <c r="S184" i="6"/>
  <c r="T184" i="6" s="1"/>
  <c r="S354" i="6"/>
  <c r="R603" i="6"/>
  <c r="R420" i="6"/>
  <c r="S277" i="6"/>
  <c r="T277" i="6" s="1"/>
  <c r="S276" i="6"/>
  <c r="T276" i="6" s="1"/>
  <c r="U276" i="6" s="1"/>
  <c r="AF86" i="4"/>
  <c r="BB32" i="3"/>
  <c r="B32" i="3" s="1"/>
  <c r="C141" i="4" s="1"/>
  <c r="J261" i="5"/>
  <c r="K261" i="5" s="1"/>
  <c r="L261" i="5" s="1"/>
  <c r="P163" i="6"/>
  <c r="Q163" i="6" s="1"/>
  <c r="R163" i="6" s="1"/>
  <c r="P238" i="6"/>
  <c r="Q238" i="6" s="1"/>
  <c r="R238" i="6" s="1"/>
  <c r="P442" i="6"/>
  <c r="Q442" i="6" s="1"/>
  <c r="R442" i="6" s="1"/>
  <c r="T442" i="6" s="1"/>
  <c r="P420" i="6"/>
  <c r="Q420" i="6" s="1"/>
  <c r="J208" i="5"/>
  <c r="K208" i="5" s="1"/>
  <c r="L208" i="5" s="1"/>
  <c r="M208" i="5" s="1"/>
  <c r="O208" i="5" s="1"/>
  <c r="J92" i="5"/>
  <c r="K92" i="5" s="1"/>
  <c r="L92" i="5" s="1"/>
  <c r="P112" i="6"/>
  <c r="Q112" i="6" s="1"/>
  <c r="R112" i="6" s="1"/>
  <c r="T112" i="6" s="1"/>
  <c r="U685" i="6"/>
  <c r="W685" i="6" s="1"/>
  <c r="V234" i="6"/>
  <c r="U234" i="6"/>
  <c r="W234" i="6" s="1"/>
  <c r="U94" i="6"/>
  <c r="U57" i="6"/>
  <c r="W57" i="6" s="1"/>
  <c r="U196" i="6"/>
  <c r="W196" i="6" s="1"/>
  <c r="C143" i="4"/>
  <c r="C95" i="4"/>
  <c r="C47" i="4"/>
  <c r="C34" i="3"/>
  <c r="M177" i="5"/>
  <c r="N177" i="5" s="1"/>
  <c r="M120" i="5"/>
  <c r="M60" i="5"/>
  <c r="O60" i="5"/>
  <c r="M170" i="5"/>
  <c r="O170" i="5" s="1"/>
  <c r="N170" i="5"/>
  <c r="U260" i="6"/>
  <c r="W260" i="6" s="1"/>
  <c r="U354" i="6"/>
  <c r="V354" i="6" s="1"/>
  <c r="X354" i="6" s="1"/>
  <c r="Y354" i="6" s="1"/>
  <c r="AA354" i="6" s="1"/>
  <c r="W354" i="6"/>
  <c r="U214" i="6"/>
  <c r="W214" i="6" s="1"/>
  <c r="W163" i="6"/>
  <c r="U163" i="6"/>
  <c r="V163" i="6"/>
  <c r="U59" i="6"/>
  <c r="W59" i="6" s="1"/>
  <c r="K22" i="6"/>
  <c r="U327" i="6"/>
  <c r="V327" i="6" s="1"/>
  <c r="U337" i="6"/>
  <c r="V337" i="6" s="1"/>
  <c r="U270" i="6"/>
  <c r="V270" i="6" s="1"/>
  <c r="W270" i="6"/>
  <c r="M144" i="5"/>
  <c r="O144" i="5" s="1"/>
  <c r="N144" i="5"/>
  <c r="M61" i="5"/>
  <c r="N61" i="5" s="1"/>
  <c r="M283" i="5"/>
  <c r="N283" i="5" s="1"/>
  <c r="O283" i="5"/>
  <c r="U592" i="6"/>
  <c r="W592" i="6" s="1"/>
  <c r="U534" i="6"/>
  <c r="W534" i="6" s="1"/>
  <c r="U262" i="6"/>
  <c r="W262" i="6" s="1"/>
  <c r="V262" i="6"/>
  <c r="U266" i="6"/>
  <c r="V266" i="6" s="1"/>
  <c r="U185" i="6"/>
  <c r="V185" i="6" s="1"/>
  <c r="U99" i="6"/>
  <c r="W99" i="6" s="1"/>
  <c r="U268" i="6"/>
  <c r="M273" i="5"/>
  <c r="N273" i="5" s="1"/>
  <c r="M200" i="5"/>
  <c r="O200" i="5" s="1"/>
  <c r="M104" i="5"/>
  <c r="O104" i="5" s="1"/>
  <c r="M54" i="5"/>
  <c r="O54" i="5" s="1"/>
  <c r="M38" i="5"/>
  <c r="O38" i="5" s="1"/>
  <c r="U715" i="6"/>
  <c r="W715" i="6" s="1"/>
  <c r="U471" i="6"/>
  <c r="V471" i="6" s="1"/>
  <c r="U413" i="6"/>
  <c r="W413" i="6" s="1"/>
  <c r="U323" i="6"/>
  <c r="W323" i="6" s="1"/>
  <c r="U325" i="6"/>
  <c r="W325" i="6" s="1"/>
  <c r="U415" i="6"/>
  <c r="V415" i="6" s="1"/>
  <c r="U411" i="6"/>
  <c r="W411" i="6" s="1"/>
  <c r="U444" i="6"/>
  <c r="W444" i="6" s="1"/>
  <c r="W256" i="6"/>
  <c r="U256" i="6"/>
  <c r="V256" i="6" s="1"/>
  <c r="U468" i="6"/>
  <c r="W468" i="6" s="1"/>
  <c r="U216" i="6"/>
  <c r="V216" i="6" s="1"/>
  <c r="U54" i="6"/>
  <c r="V54" i="6" s="1"/>
  <c r="U735" i="6"/>
  <c r="W735" i="6" s="1"/>
  <c r="U335" i="6"/>
  <c r="V335" i="6" s="1"/>
  <c r="M231" i="5"/>
  <c r="N231" i="5" s="1"/>
  <c r="M81" i="5"/>
  <c r="N81" i="5" s="1"/>
  <c r="O81" i="5"/>
  <c r="M100" i="5"/>
  <c r="O100" i="5" s="1"/>
  <c r="N227" i="5"/>
  <c r="M227" i="5"/>
  <c r="O227" i="5" s="1"/>
  <c r="M57" i="5"/>
  <c r="N57" i="5" s="1"/>
  <c r="M220" i="5"/>
  <c r="O220" i="5" s="1"/>
  <c r="M93" i="5"/>
  <c r="N93" i="5" s="1"/>
  <c r="BK22" i="3"/>
  <c r="BJ22" i="3"/>
  <c r="BB22" i="3" s="1"/>
  <c r="B22" i="3" s="1"/>
  <c r="BK21" i="3"/>
  <c r="BJ23" i="3"/>
  <c r="BB23" i="3" s="1"/>
  <c r="B23" i="3" s="1"/>
  <c r="T302" i="5"/>
  <c r="U302" i="5" s="1"/>
  <c r="U52" i="6"/>
  <c r="W52" i="6" s="1"/>
  <c r="M217" i="5"/>
  <c r="O217" i="5" s="1"/>
  <c r="J39" i="6"/>
  <c r="J40" i="6"/>
  <c r="J44" i="6"/>
  <c r="J41" i="6"/>
  <c r="J43" i="6"/>
  <c r="J42" i="6"/>
  <c r="J38" i="6"/>
  <c r="J45" i="6"/>
  <c r="D29" i="5"/>
  <c r="D28" i="5"/>
  <c r="D30" i="5"/>
  <c r="M101" i="5"/>
  <c r="M111" i="5"/>
  <c r="N111" i="5" s="1"/>
  <c r="M47" i="5"/>
  <c r="C149" i="4"/>
  <c r="C101" i="4"/>
  <c r="C53" i="4"/>
  <c r="C40" i="3"/>
  <c r="M161" i="5"/>
  <c r="N161" i="5" s="1"/>
  <c r="M295" i="5"/>
  <c r="N295" i="5" s="1"/>
  <c r="O295" i="5"/>
  <c r="M180" i="5"/>
  <c r="T162" i="5"/>
  <c r="U162" i="5" s="1"/>
  <c r="U655" i="6"/>
  <c r="V655" i="6" s="1"/>
  <c r="U709" i="6"/>
  <c r="W709" i="6" s="1"/>
  <c r="U151" i="6"/>
  <c r="W151" i="6" s="1"/>
  <c r="U381" i="6"/>
  <c r="U290" i="6"/>
  <c r="W290" i="6" s="1"/>
  <c r="C139" i="4"/>
  <c r="C43" i="4"/>
  <c r="C91" i="4"/>
  <c r="C30" i="3"/>
  <c r="M194" i="5"/>
  <c r="O194" i="5" s="1"/>
  <c r="M67" i="5"/>
  <c r="M50" i="5"/>
  <c r="N50" i="5" s="1"/>
  <c r="M203" i="5"/>
  <c r="C93" i="4"/>
  <c r="M123" i="5"/>
  <c r="N123" i="5" s="1"/>
  <c r="O123" i="5"/>
  <c r="U445" i="6"/>
  <c r="V445" i="6" s="1"/>
  <c r="U563" i="6"/>
  <c r="V563" i="6" s="1"/>
  <c r="U595" i="6"/>
  <c r="U441" i="6"/>
  <c r="W441" i="6" s="1"/>
  <c r="U235" i="6"/>
  <c r="W235" i="6" s="1"/>
  <c r="U242" i="6"/>
  <c r="V242" i="6" s="1"/>
  <c r="U101" i="6"/>
  <c r="W101" i="6" s="1"/>
  <c r="U222" i="6"/>
  <c r="W222" i="6" s="1"/>
  <c r="U67" i="6"/>
  <c r="V67" i="6" s="1"/>
  <c r="U347" i="6"/>
  <c r="W347" i="6" s="1"/>
  <c r="N279" i="5"/>
  <c r="M279" i="5"/>
  <c r="O279" i="5" s="1"/>
  <c r="M262" i="5"/>
  <c r="N262" i="5" s="1"/>
  <c r="M201" i="5"/>
  <c r="O201" i="5" s="1"/>
  <c r="M97" i="5"/>
  <c r="O97" i="5" s="1"/>
  <c r="M211" i="5"/>
  <c r="O211" i="5" s="1"/>
  <c r="M140" i="5"/>
  <c r="M303" i="5"/>
  <c r="O303" i="5" s="1"/>
  <c r="M103" i="5"/>
  <c r="T129" i="5"/>
  <c r="U129" i="5" s="1"/>
  <c r="U564" i="6"/>
  <c r="W564" i="6" s="1"/>
  <c r="U156" i="6"/>
  <c r="V156" i="6" s="1"/>
  <c r="U646" i="6"/>
  <c r="W646" i="6" s="1"/>
  <c r="U682" i="6"/>
  <c r="V682" i="6" s="1"/>
  <c r="U506" i="6"/>
  <c r="V506" i="6" s="1"/>
  <c r="W506" i="6"/>
  <c r="U535" i="6"/>
  <c r="W535" i="6" s="1"/>
  <c r="U593" i="6"/>
  <c r="V593" i="6" s="1"/>
  <c r="V472" i="6"/>
  <c r="U472" i="6"/>
  <c r="W472" i="6" s="1"/>
  <c r="U236" i="6"/>
  <c r="W236" i="6"/>
  <c r="U112" i="6"/>
  <c r="U131" i="6"/>
  <c r="V131" i="6" s="1"/>
  <c r="O289" i="5"/>
  <c r="N289" i="5"/>
  <c r="M289" i="5"/>
  <c r="M263" i="5"/>
  <c r="N263" i="5" s="1"/>
  <c r="M190" i="5"/>
  <c r="O190" i="5" s="1"/>
  <c r="M117" i="5"/>
  <c r="O117" i="5" s="1"/>
  <c r="M41" i="5"/>
  <c r="N41" i="5" s="1"/>
  <c r="M181" i="5"/>
  <c r="M207" i="5"/>
  <c r="O207" i="5" s="1"/>
  <c r="M134" i="5"/>
  <c r="N134" i="5" s="1"/>
  <c r="O134" i="5"/>
  <c r="M269" i="5"/>
  <c r="N269" i="5" s="1"/>
  <c r="M98" i="5"/>
  <c r="O98" i="5" s="1"/>
  <c r="U621" i="6"/>
  <c r="V621" i="6" s="1"/>
  <c r="U504" i="6"/>
  <c r="W504" i="6"/>
  <c r="U164" i="6"/>
  <c r="M292" i="5"/>
  <c r="O292" i="5"/>
  <c r="M173" i="5"/>
  <c r="U684" i="6"/>
  <c r="U594" i="6"/>
  <c r="W594" i="6" s="1"/>
  <c r="U656" i="6"/>
  <c r="V656" i="6" s="1"/>
  <c r="U292" i="6"/>
  <c r="W292" i="6" s="1"/>
  <c r="U351" i="6"/>
  <c r="V351" i="6" s="1"/>
  <c r="U82" i="6"/>
  <c r="W82" i="6" s="1"/>
  <c r="U399" i="6"/>
  <c r="U389" i="6"/>
  <c r="K33" i="6"/>
  <c r="U243" i="6"/>
  <c r="V243" i="6" s="1"/>
  <c r="U248" i="6"/>
  <c r="W248" i="6" s="1"/>
  <c r="U176" i="6"/>
  <c r="V176" i="6" s="1"/>
  <c r="U89" i="6"/>
  <c r="W89" i="6" s="1"/>
  <c r="K23" i="6"/>
  <c r="U90" i="6"/>
  <c r="V90" i="6" s="1"/>
  <c r="U204" i="6"/>
  <c r="W204" i="6" s="1"/>
  <c r="V204" i="6"/>
  <c r="U584" i="6"/>
  <c r="V584" i="6" s="1"/>
  <c r="U588" i="6"/>
  <c r="V588" i="6" s="1"/>
  <c r="U612" i="6"/>
  <c r="W612" i="6" s="1"/>
  <c r="U466" i="6"/>
  <c r="U143" i="6"/>
  <c r="U53" i="6"/>
  <c r="U263" i="6"/>
  <c r="W263" i="6" s="1"/>
  <c r="N153" i="5"/>
  <c r="M153" i="5"/>
  <c r="O153" i="5"/>
  <c r="M131" i="5"/>
  <c r="N131" i="5" s="1"/>
  <c r="M259" i="5"/>
  <c r="U383" i="6"/>
  <c r="U509" i="6"/>
  <c r="V509" i="6" s="1"/>
  <c r="M94" i="5"/>
  <c r="O94" i="5" s="1"/>
  <c r="M160" i="5"/>
  <c r="M250" i="5"/>
  <c r="N250" i="5" s="1"/>
  <c r="U743" i="6"/>
  <c r="W743" i="6" s="1"/>
  <c r="U625" i="6"/>
  <c r="W625" i="6" s="1"/>
  <c r="U446" i="6"/>
  <c r="V446" i="6" s="1"/>
  <c r="X446" i="6" s="1"/>
  <c r="Y446" i="6" s="1"/>
  <c r="AA446" i="6" s="1"/>
  <c r="W446" i="6"/>
  <c r="U264" i="6"/>
  <c r="U393" i="6"/>
  <c r="U250" i="6"/>
  <c r="V250" i="6" s="1"/>
  <c r="U175" i="6"/>
  <c r="V175" i="6" s="1"/>
  <c r="U92" i="6"/>
  <c r="V92" i="6" s="1"/>
  <c r="U596" i="6"/>
  <c r="U605" i="6"/>
  <c r="V605" i="6" s="1"/>
  <c r="W605" i="6"/>
  <c r="U448" i="6"/>
  <c r="W448" i="6" s="1"/>
  <c r="U159" i="6"/>
  <c r="V159" i="6" s="1"/>
  <c r="U75" i="6"/>
  <c r="V75" i="6" s="1"/>
  <c r="U85" i="6"/>
  <c r="V85" i="6" s="1"/>
  <c r="U145" i="6"/>
  <c r="V145" i="6" s="1"/>
  <c r="U674" i="6"/>
  <c r="V674" i="6" s="1"/>
  <c r="U630" i="6"/>
  <c r="W630" i="6" s="1"/>
  <c r="U194" i="6"/>
  <c r="V194" i="6" s="1"/>
  <c r="W194" i="6"/>
  <c r="M293" i="5"/>
  <c r="N293" i="5" s="1"/>
  <c r="M240" i="5"/>
  <c r="M90" i="5"/>
  <c r="N90" i="5" s="1"/>
  <c r="M151" i="5"/>
  <c r="M110" i="5"/>
  <c r="N110" i="5" s="1"/>
  <c r="M77" i="5"/>
  <c r="N77" i="5" s="1"/>
  <c r="M255" i="5"/>
  <c r="E29" i="5"/>
  <c r="M107" i="5"/>
  <c r="O107" i="5" s="1"/>
  <c r="U501" i="6"/>
  <c r="W501" i="6" s="1"/>
  <c r="U436" i="6"/>
  <c r="W436" i="6" s="1"/>
  <c r="W225" i="6"/>
  <c r="U225" i="6"/>
  <c r="V225" i="6" s="1"/>
  <c r="U128" i="6"/>
  <c r="V128" i="6" s="1"/>
  <c r="AT26" i="3"/>
  <c r="M69" i="5"/>
  <c r="O69" i="5" s="1"/>
  <c r="U717" i="6"/>
  <c r="W717" i="6" s="1"/>
  <c r="U686" i="6"/>
  <c r="V686" i="6" s="1"/>
  <c r="R619" i="6"/>
  <c r="P194" i="6"/>
  <c r="Q194" i="6" s="1"/>
  <c r="R194" i="6" s="1"/>
  <c r="S752" i="6"/>
  <c r="T752" i="6" s="1"/>
  <c r="U632" i="6"/>
  <c r="U560" i="6"/>
  <c r="U470" i="6"/>
  <c r="U320" i="6"/>
  <c r="U702" i="6"/>
  <c r="W702" i="6" s="1"/>
  <c r="V702" i="6"/>
  <c r="S543" i="6"/>
  <c r="T543" i="6" s="1"/>
  <c r="S398" i="6"/>
  <c r="T398" i="6" s="1"/>
  <c r="U601" i="6"/>
  <c r="W601" i="6" s="1"/>
  <c r="U639" i="6"/>
  <c r="S631" i="6"/>
  <c r="T631" i="6" s="1"/>
  <c r="S504" i="6"/>
  <c r="U711" i="6"/>
  <c r="R633" i="6"/>
  <c r="U531" i="6"/>
  <c r="V531" i="6" s="1"/>
  <c r="R455" i="6"/>
  <c r="R311" i="6"/>
  <c r="W111" i="6"/>
  <c r="U111" i="6"/>
  <c r="V111" i="6" s="1"/>
  <c r="U232" i="6"/>
  <c r="V232" i="6" s="1"/>
  <c r="U755" i="6"/>
  <c r="W755" i="6" s="1"/>
  <c r="S744" i="6"/>
  <c r="S764" i="6"/>
  <c r="T764" i="6" s="1"/>
  <c r="S684" i="6"/>
  <c r="S692" i="6"/>
  <c r="T692" i="6" s="1"/>
  <c r="U558" i="6"/>
  <c r="S549" i="6"/>
  <c r="T549" i="6" s="1"/>
  <c r="U386" i="6"/>
  <c r="S400" i="6"/>
  <c r="T400" i="6" s="1"/>
  <c r="S392" i="6"/>
  <c r="T392" i="6" s="1"/>
  <c r="S233" i="6"/>
  <c r="S239" i="6"/>
  <c r="T239" i="6" s="1"/>
  <c r="R281" i="6"/>
  <c r="S569" i="6"/>
  <c r="T569" i="6" s="1"/>
  <c r="U577" i="6"/>
  <c r="W577" i="6"/>
  <c r="S574" i="6"/>
  <c r="T574" i="6" s="1"/>
  <c r="S428" i="6"/>
  <c r="T428" i="6" s="1"/>
  <c r="U166" i="6"/>
  <c r="V166" i="6" s="1"/>
  <c r="S616" i="6"/>
  <c r="T616" i="6" s="1"/>
  <c r="S440" i="6"/>
  <c r="U469" i="6"/>
  <c r="W469" i="6" s="1"/>
  <c r="S453" i="6"/>
  <c r="T453" i="6" s="1"/>
  <c r="U313" i="6"/>
  <c r="S150" i="6"/>
  <c r="T150" i="6" s="1"/>
  <c r="R135" i="6"/>
  <c r="U170" i="6"/>
  <c r="S219" i="6"/>
  <c r="T219" i="6" s="1"/>
  <c r="S208" i="6"/>
  <c r="T208" i="6" s="1"/>
  <c r="S228" i="6"/>
  <c r="T228" i="6" s="1"/>
  <c r="S53" i="6"/>
  <c r="S73" i="6"/>
  <c r="T73" i="6" s="1"/>
  <c r="S62" i="6"/>
  <c r="T62" i="6" s="1"/>
  <c r="S736" i="6"/>
  <c r="T736" i="6" s="1"/>
  <c r="S729" i="6"/>
  <c r="T729" i="6" s="1"/>
  <c r="S676" i="6"/>
  <c r="T676" i="6" s="1"/>
  <c r="S661" i="6"/>
  <c r="T661" i="6" s="1"/>
  <c r="S670" i="6"/>
  <c r="T670" i="6" s="1"/>
  <c r="S633" i="6"/>
  <c r="T633" i="6" s="1"/>
  <c r="S197" i="6"/>
  <c r="T197" i="6" s="1"/>
  <c r="U188" i="6"/>
  <c r="U113" i="6"/>
  <c r="V113" i="6" s="1"/>
  <c r="S507" i="6"/>
  <c r="T507" i="6" s="1"/>
  <c r="S527" i="6"/>
  <c r="T527" i="6" s="1"/>
  <c r="S510" i="6"/>
  <c r="T510" i="6" s="1"/>
  <c r="U105" i="6"/>
  <c r="W105" i="6" s="1"/>
  <c r="S321" i="6"/>
  <c r="S333" i="6"/>
  <c r="T333" i="6" s="1"/>
  <c r="S346" i="6"/>
  <c r="T346" i="6" s="1"/>
  <c r="S123" i="6"/>
  <c r="T123" i="6" s="1"/>
  <c r="S125" i="6"/>
  <c r="T125" i="6" s="1"/>
  <c r="S122" i="6"/>
  <c r="T122" i="6" s="1"/>
  <c r="U487" i="6"/>
  <c r="W487" i="6" s="1"/>
  <c r="S370" i="6"/>
  <c r="T370" i="6" s="1"/>
  <c r="S374" i="6"/>
  <c r="T374" i="6" s="1"/>
  <c r="S362" i="6"/>
  <c r="T362" i="6" s="1"/>
  <c r="S273" i="6"/>
  <c r="T273" i="6" s="1"/>
  <c r="S262" i="6"/>
  <c r="S282" i="6"/>
  <c r="T282" i="6" s="1"/>
  <c r="BJ20" i="3"/>
  <c r="AF84" i="4"/>
  <c r="AF36" i="4"/>
  <c r="AT22" i="3"/>
  <c r="M238" i="5"/>
  <c r="O238" i="5" s="1"/>
  <c r="M91" i="5"/>
  <c r="O91" i="5" s="1"/>
  <c r="M248" i="5"/>
  <c r="M48" i="5"/>
  <c r="N48" i="5" s="1"/>
  <c r="M130" i="5"/>
  <c r="N130" i="5" s="1"/>
  <c r="N121" i="5"/>
  <c r="P121" i="5" s="1"/>
  <c r="Q121" i="5" s="1"/>
  <c r="S121" i="5" s="1"/>
  <c r="M121" i="5"/>
  <c r="O121" i="5"/>
  <c r="M260" i="5"/>
  <c r="O260" i="5" s="1"/>
  <c r="M218" i="5"/>
  <c r="N218" i="5" s="1"/>
  <c r="AY43" i="3"/>
  <c r="AU43" i="3"/>
  <c r="AV43" i="3" s="1"/>
  <c r="AS43" i="3"/>
  <c r="M224" i="5"/>
  <c r="O224" i="5" s="1"/>
  <c r="AU46" i="3"/>
  <c r="AV46" i="3" s="1"/>
  <c r="AS46" i="3"/>
  <c r="AY46" i="3"/>
  <c r="J175" i="5"/>
  <c r="K175" i="5" s="1"/>
  <c r="L175" i="5" s="1"/>
  <c r="J176" i="5"/>
  <c r="K176" i="5" s="1"/>
  <c r="L176" i="5" s="1"/>
  <c r="AY58" i="3"/>
  <c r="AU58" i="3"/>
  <c r="AV58" i="3" s="1"/>
  <c r="AS58" i="3"/>
  <c r="J284" i="5"/>
  <c r="K284" i="5" s="1"/>
  <c r="L284" i="5" s="1"/>
  <c r="M185" i="5"/>
  <c r="M235" i="5"/>
  <c r="N235" i="5" s="1"/>
  <c r="M166" i="5"/>
  <c r="O166" i="5" s="1"/>
  <c r="BB33" i="3"/>
  <c r="B33" i="3" s="1"/>
  <c r="AT33" i="3"/>
  <c r="J116" i="5"/>
  <c r="K116" i="5" s="1"/>
  <c r="L116" i="5" s="1"/>
  <c r="M59" i="5"/>
  <c r="N204" i="5"/>
  <c r="P204" i="5" s="1"/>
  <c r="Q204" i="5" s="1"/>
  <c r="S204" i="5" s="1"/>
  <c r="M298" i="5"/>
  <c r="P56" i="5"/>
  <c r="Q56" i="5" s="1"/>
  <c r="S56" i="5" s="1"/>
  <c r="U610" i="6"/>
  <c r="W610" i="6" s="1"/>
  <c r="U611" i="6"/>
  <c r="U530" i="6"/>
  <c r="U115" i="6"/>
  <c r="V115" i="6" s="1"/>
  <c r="V761" i="6"/>
  <c r="U589" i="6"/>
  <c r="W589" i="6" s="1"/>
  <c r="W424" i="6"/>
  <c r="U424" i="6"/>
  <c r="V424" i="6" s="1"/>
  <c r="U302" i="6"/>
  <c r="U68" i="6"/>
  <c r="V68" i="6" s="1"/>
  <c r="U673" i="6"/>
  <c r="W673" i="6" s="1"/>
  <c r="V673" i="6"/>
  <c r="U575" i="6"/>
  <c r="W575" i="6" s="1"/>
  <c r="V412" i="6"/>
  <c r="U745" i="6"/>
  <c r="U713" i="6"/>
  <c r="W713" i="6" s="1"/>
  <c r="U421" i="6"/>
  <c r="V421" i="6" s="1"/>
  <c r="U142" i="6"/>
  <c r="V142" i="6" s="1"/>
  <c r="U83" i="6"/>
  <c r="V83" i="6" s="1"/>
  <c r="S80" i="6"/>
  <c r="S585" i="6"/>
  <c r="T585" i="6" s="1"/>
  <c r="S415" i="6"/>
  <c r="S739" i="6"/>
  <c r="T739" i="6" s="1"/>
  <c r="S665" i="6"/>
  <c r="T665" i="6" s="1"/>
  <c r="S368" i="6"/>
  <c r="T368" i="6" s="1"/>
  <c r="R720" i="6"/>
  <c r="U407" i="6"/>
  <c r="V407" i="6" s="1"/>
  <c r="P333" i="6"/>
  <c r="Q333" i="6" s="1"/>
  <c r="R333" i="6" s="1"/>
  <c r="P334" i="6"/>
  <c r="Q334" i="6" s="1"/>
  <c r="R334" i="6" s="1"/>
  <c r="P496" i="6"/>
  <c r="Q496" i="6" s="1"/>
  <c r="R496" i="6" s="1"/>
  <c r="P372" i="6"/>
  <c r="Q372" i="6" s="1"/>
  <c r="R372" i="6" s="1"/>
  <c r="U681" i="6"/>
  <c r="W681" i="6" s="1"/>
  <c r="W590" i="6"/>
  <c r="U590" i="6"/>
  <c r="R574" i="6"/>
  <c r="X680" i="6"/>
  <c r="Y680" i="6" s="1"/>
  <c r="AA680" i="6" s="1"/>
  <c r="R579" i="6"/>
  <c r="R462" i="6"/>
  <c r="R576" i="6"/>
  <c r="P639" i="6"/>
  <c r="Q639" i="6" s="1"/>
  <c r="R639" i="6" s="1"/>
  <c r="U449" i="6"/>
  <c r="W449" i="6" s="1"/>
  <c r="P369" i="6"/>
  <c r="Q369" i="6" s="1"/>
  <c r="R369" i="6" s="1"/>
  <c r="P370" i="6"/>
  <c r="Q370" i="6" s="1"/>
  <c r="R370" i="6" s="1"/>
  <c r="U350" i="6"/>
  <c r="W350" i="6" s="1"/>
  <c r="W410" i="6"/>
  <c r="X410" i="6" s="1"/>
  <c r="Y410" i="6" s="1"/>
  <c r="AA410" i="6" s="1"/>
  <c r="P328" i="6"/>
  <c r="Q328" i="6" s="1"/>
  <c r="R328" i="6" s="1"/>
  <c r="U261" i="6"/>
  <c r="W261" i="6" s="1"/>
  <c r="R247" i="6"/>
  <c r="P358" i="6"/>
  <c r="Q358" i="6" s="1"/>
  <c r="R358" i="6" s="1"/>
  <c r="R207" i="6"/>
  <c r="U716" i="6"/>
  <c r="V716" i="6" s="1"/>
  <c r="U100" i="6"/>
  <c r="W100" i="6" s="1"/>
  <c r="U184" i="6"/>
  <c r="U759" i="6"/>
  <c r="S746" i="6"/>
  <c r="S766" i="6"/>
  <c r="T766" i="6" s="1"/>
  <c r="U696" i="6"/>
  <c r="S708" i="6"/>
  <c r="T708" i="6" s="1"/>
  <c r="S705" i="6"/>
  <c r="T705" i="6" s="1"/>
  <c r="S538" i="6"/>
  <c r="T538" i="6" s="1"/>
  <c r="U536" i="6"/>
  <c r="V536" i="6" s="1"/>
  <c r="S553" i="6"/>
  <c r="T553" i="6" s="1"/>
  <c r="S408" i="6"/>
  <c r="T408" i="6" s="1"/>
  <c r="S383" i="6"/>
  <c r="S237" i="6"/>
  <c r="T237" i="6" s="1"/>
  <c r="V244" i="6"/>
  <c r="U244" i="6"/>
  <c r="W244" i="6" s="1"/>
  <c r="S106" i="6"/>
  <c r="T106" i="6" s="1"/>
  <c r="U570" i="6"/>
  <c r="V570" i="6" s="1"/>
  <c r="U567" i="6"/>
  <c r="W567" i="6" s="1"/>
  <c r="U430" i="6"/>
  <c r="W430" i="6" s="1"/>
  <c r="V438" i="6"/>
  <c r="U438" i="6"/>
  <c r="W438" i="6" s="1"/>
  <c r="S423" i="6"/>
  <c r="T423" i="6" s="1"/>
  <c r="R130" i="6"/>
  <c r="W71" i="6"/>
  <c r="U71" i="6"/>
  <c r="V71" i="6" s="1"/>
  <c r="S615" i="6"/>
  <c r="T615" i="6" s="1"/>
  <c r="S607" i="6"/>
  <c r="T607" i="6" s="1"/>
  <c r="S443" i="6"/>
  <c r="U451" i="6"/>
  <c r="V451" i="6" s="1"/>
  <c r="S457" i="6"/>
  <c r="T457" i="6" s="1"/>
  <c r="R249" i="6"/>
  <c r="S301" i="6"/>
  <c r="T301" i="6" s="1"/>
  <c r="S298" i="6"/>
  <c r="T298" i="6" s="1"/>
  <c r="S315" i="6"/>
  <c r="T315" i="6" s="1"/>
  <c r="U169" i="6"/>
  <c r="W169" i="6" s="1"/>
  <c r="S152" i="6"/>
  <c r="T152" i="6" s="1"/>
  <c r="S227" i="6"/>
  <c r="T227" i="6" s="1"/>
  <c r="S210" i="6"/>
  <c r="T210" i="6" s="1"/>
  <c r="S64" i="6"/>
  <c r="T64" i="6" s="1"/>
  <c r="U738" i="6"/>
  <c r="W738" i="6"/>
  <c r="U95" i="6"/>
  <c r="W95" i="6" s="1"/>
  <c r="S656" i="6"/>
  <c r="S663" i="6"/>
  <c r="T663" i="6" s="1"/>
  <c r="S677" i="6"/>
  <c r="T677" i="6" s="1"/>
  <c r="S625" i="6"/>
  <c r="S170" i="6"/>
  <c r="S190" i="6"/>
  <c r="T190" i="6" s="1"/>
  <c r="S511" i="6"/>
  <c r="T511" i="6" s="1"/>
  <c r="S500" i="6"/>
  <c r="S512" i="6"/>
  <c r="T512" i="6" s="1"/>
  <c r="S325" i="6"/>
  <c r="S334" i="6"/>
  <c r="T334" i="6" s="1"/>
  <c r="S348" i="6"/>
  <c r="T348" i="6" s="1"/>
  <c r="S115" i="6"/>
  <c r="S111" i="6"/>
  <c r="S124" i="6"/>
  <c r="T124" i="6" s="1"/>
  <c r="S492" i="6"/>
  <c r="T492" i="6" s="1"/>
  <c r="S483" i="6"/>
  <c r="T483" i="6" s="1"/>
  <c r="S373" i="6"/>
  <c r="T373" i="6" s="1"/>
  <c r="S350" i="6"/>
  <c r="S364" i="6"/>
  <c r="T364" i="6" s="1"/>
  <c r="S285" i="6"/>
  <c r="T285" i="6" s="1"/>
  <c r="S264" i="6"/>
  <c r="S284" i="6"/>
  <c r="T284" i="6" s="1"/>
  <c r="M299" i="5"/>
  <c r="C163" i="4"/>
  <c r="C115" i="4"/>
  <c r="C54" i="3"/>
  <c r="C67" i="4"/>
  <c r="BK20" i="3"/>
  <c r="BJ24" i="3"/>
  <c r="M234" i="5"/>
  <c r="M244" i="5"/>
  <c r="O244" i="5" s="1"/>
  <c r="M44" i="5"/>
  <c r="O44" i="5" s="1"/>
  <c r="M215" i="5"/>
  <c r="M115" i="5"/>
  <c r="O115" i="5" s="1"/>
  <c r="M64" i="5"/>
  <c r="N64" i="5" s="1"/>
  <c r="M301" i="5"/>
  <c r="M214" i="5"/>
  <c r="N214" i="5"/>
  <c r="M266" i="5"/>
  <c r="O266" i="5" s="1"/>
  <c r="M128" i="5"/>
  <c r="O128" i="5" s="1"/>
  <c r="N223" i="5"/>
  <c r="M223" i="5"/>
  <c r="O223" i="5" s="1"/>
  <c r="N95" i="5"/>
  <c r="M63" i="5"/>
  <c r="O63" i="5" s="1"/>
  <c r="AF35" i="4"/>
  <c r="N182" i="5"/>
  <c r="P182" i="5" s="1"/>
  <c r="Q182" i="5" s="1"/>
  <c r="S182" i="5" s="1"/>
  <c r="O264" i="5"/>
  <c r="P264" i="5" s="1"/>
  <c r="Q264" i="5" s="1"/>
  <c r="S264" i="5" s="1"/>
  <c r="Q157" i="5"/>
  <c r="S157" i="5" s="1"/>
  <c r="AT27" i="3"/>
  <c r="M305" i="5"/>
  <c r="O305" i="5" s="1"/>
  <c r="O139" i="5"/>
  <c r="P139" i="5" s="1"/>
  <c r="Q139" i="5" s="1"/>
  <c r="S139" i="5" s="1"/>
  <c r="J76" i="5"/>
  <c r="K76" i="5" s="1"/>
  <c r="L76" i="5" s="1"/>
  <c r="N122" i="5"/>
  <c r="O143" i="5"/>
  <c r="P143" i="5" s="1"/>
  <c r="Q143" i="5" s="1"/>
  <c r="S143" i="5" s="1"/>
  <c r="P189" i="5"/>
  <c r="Q189" i="5" s="1"/>
  <c r="S189" i="5" s="1"/>
  <c r="U744" i="6"/>
  <c r="R642" i="6"/>
  <c r="P396" i="6"/>
  <c r="Q396" i="6" s="1"/>
  <c r="R396" i="6" s="1"/>
  <c r="P362" i="6"/>
  <c r="Q362" i="6" s="1"/>
  <c r="R362" i="6" s="1"/>
  <c r="U416" i="6"/>
  <c r="W416" i="6" s="1"/>
  <c r="U238" i="6"/>
  <c r="R213" i="6"/>
  <c r="V725" i="6"/>
  <c r="U725" i="6"/>
  <c r="U698" i="6"/>
  <c r="W698" i="6" s="1"/>
  <c r="X710" i="6"/>
  <c r="Y710" i="6" s="1"/>
  <c r="AA710" i="6" s="1"/>
  <c r="R728" i="6"/>
  <c r="P597" i="6"/>
  <c r="Q597" i="6" s="1"/>
  <c r="R597" i="6" s="1"/>
  <c r="V505" i="6"/>
  <c r="U505" i="6"/>
  <c r="W505" i="6" s="1"/>
  <c r="P585" i="6"/>
  <c r="Q585" i="6" s="1"/>
  <c r="R585" i="6" s="1"/>
  <c r="P365" i="6"/>
  <c r="Q365" i="6" s="1"/>
  <c r="R365" i="6" s="1"/>
  <c r="P387" i="6"/>
  <c r="Q387" i="6" s="1"/>
  <c r="R387" i="6" s="1"/>
  <c r="U387" i="6"/>
  <c r="W387" i="6" s="1"/>
  <c r="R390" i="6"/>
  <c r="V265" i="6"/>
  <c r="U265" i="6"/>
  <c r="P174" i="6"/>
  <c r="Q174" i="6" s="1"/>
  <c r="R174" i="6" s="1"/>
  <c r="T174" i="6" s="1"/>
  <c r="X440" i="6"/>
  <c r="Y440" i="6" s="1"/>
  <c r="AA440" i="6" s="1"/>
  <c r="P288" i="6"/>
  <c r="Q288" i="6" s="1"/>
  <c r="R288" i="6" s="1"/>
  <c r="U199" i="6"/>
  <c r="V199" i="6" s="1"/>
  <c r="S769" i="6"/>
  <c r="T769" i="6" s="1"/>
  <c r="S748" i="6"/>
  <c r="T748" i="6" s="1"/>
  <c r="S768" i="6"/>
  <c r="T768" i="6" s="1"/>
  <c r="S707" i="6"/>
  <c r="T707" i="6" s="1"/>
  <c r="S532" i="6"/>
  <c r="S542" i="6"/>
  <c r="T542" i="6" s="1"/>
  <c r="S544" i="6"/>
  <c r="T544" i="6" s="1"/>
  <c r="S395" i="6"/>
  <c r="T395" i="6" s="1"/>
  <c r="S390" i="6"/>
  <c r="T390" i="6" s="1"/>
  <c r="S385" i="6"/>
  <c r="U253" i="6"/>
  <c r="V253" i="6" s="1"/>
  <c r="S247" i="6"/>
  <c r="T247" i="6" s="1"/>
  <c r="S87" i="6"/>
  <c r="T87" i="6" s="1"/>
  <c r="S88" i="6"/>
  <c r="T88" i="6" s="1"/>
  <c r="S108" i="6"/>
  <c r="T108" i="6" s="1"/>
  <c r="U233" i="6"/>
  <c r="W233" i="6" s="1"/>
  <c r="R93" i="6"/>
  <c r="S571" i="6"/>
  <c r="T571" i="6" s="1"/>
  <c r="S580" i="6"/>
  <c r="T580" i="6" s="1"/>
  <c r="S576" i="6"/>
  <c r="T576" i="6" s="1"/>
  <c r="S426" i="6"/>
  <c r="T426" i="6" s="1"/>
  <c r="S416" i="6"/>
  <c r="S425" i="6"/>
  <c r="T425" i="6" s="1"/>
  <c r="S590" i="6"/>
  <c r="S619" i="6"/>
  <c r="T619" i="6" s="1"/>
  <c r="W454" i="6"/>
  <c r="S300" i="6"/>
  <c r="T300" i="6" s="1"/>
  <c r="S317" i="6"/>
  <c r="T317" i="6" s="1"/>
  <c r="S141" i="6"/>
  <c r="S154" i="6"/>
  <c r="T154" i="6" s="1"/>
  <c r="S229" i="6"/>
  <c r="T229" i="6" s="1"/>
  <c r="S215" i="6"/>
  <c r="T215" i="6" s="1"/>
  <c r="S212" i="6"/>
  <c r="T212" i="6" s="1"/>
  <c r="S77" i="6"/>
  <c r="T77" i="6" s="1"/>
  <c r="S66" i="6"/>
  <c r="T66" i="6" s="1"/>
  <c r="S710" i="6"/>
  <c r="S713" i="6"/>
  <c r="S666" i="6"/>
  <c r="T666" i="6" s="1"/>
  <c r="S668" i="6"/>
  <c r="T668" i="6" s="1"/>
  <c r="S657" i="6"/>
  <c r="T657" i="6" s="1"/>
  <c r="S624" i="6"/>
  <c r="S637" i="6"/>
  <c r="T637" i="6" s="1"/>
  <c r="U183" i="6"/>
  <c r="V183" i="6" s="1"/>
  <c r="S522" i="6"/>
  <c r="T522" i="6" s="1"/>
  <c r="S520" i="6"/>
  <c r="T520" i="6" s="1"/>
  <c r="S514" i="6"/>
  <c r="T514" i="6" s="1"/>
  <c r="S329" i="6"/>
  <c r="T329" i="6" s="1"/>
  <c r="S336" i="6"/>
  <c r="T336" i="6" s="1"/>
  <c r="S349" i="6"/>
  <c r="T349" i="6" s="1"/>
  <c r="R169" i="6"/>
  <c r="S139" i="6"/>
  <c r="T139" i="6" s="1"/>
  <c r="S121" i="6"/>
  <c r="T121" i="6" s="1"/>
  <c r="S126" i="6"/>
  <c r="T126" i="6" s="1"/>
  <c r="S477" i="6"/>
  <c r="T477" i="6" s="1"/>
  <c r="S490" i="6"/>
  <c r="T490" i="6" s="1"/>
  <c r="S476" i="6"/>
  <c r="S375" i="6"/>
  <c r="T375" i="6" s="1"/>
  <c r="S352" i="6"/>
  <c r="S369" i="6"/>
  <c r="T369" i="6" s="1"/>
  <c r="S265" i="6"/>
  <c r="S266" i="6"/>
  <c r="S286" i="6"/>
  <c r="T286" i="6" s="1"/>
  <c r="BB52" i="3"/>
  <c r="B52" i="3" s="1"/>
  <c r="AT52" i="3"/>
  <c r="AT20" i="3"/>
  <c r="AF118" i="4"/>
  <c r="M282" i="5"/>
  <c r="N282" i="5" s="1"/>
  <c r="M88" i="5"/>
  <c r="O88" i="5" s="1"/>
  <c r="AT23" i="3"/>
  <c r="M118" i="5"/>
  <c r="M297" i="5"/>
  <c r="O297" i="5" s="1"/>
  <c r="M251" i="5"/>
  <c r="O251" i="5" s="1"/>
  <c r="M174" i="5"/>
  <c r="M261" i="5"/>
  <c r="M147" i="5"/>
  <c r="O147" i="5" s="1"/>
  <c r="BB50" i="3"/>
  <c r="B50" i="3" s="1"/>
  <c r="AT50" i="3"/>
  <c r="M288" i="5"/>
  <c r="O291" i="5"/>
  <c r="M291" i="5"/>
  <c r="N291" i="5" s="1"/>
  <c r="O95" i="5"/>
  <c r="O136" i="5"/>
  <c r="M136" i="5"/>
  <c r="N136" i="5" s="1"/>
  <c r="P216" i="5"/>
  <c r="Q216" i="5" s="1"/>
  <c r="S216" i="5" s="1"/>
  <c r="M96" i="5"/>
  <c r="O96" i="5" s="1"/>
  <c r="M42" i="5"/>
  <c r="N42" i="5" s="1"/>
  <c r="BB38" i="3"/>
  <c r="B38" i="3" s="1"/>
  <c r="AT38" i="3"/>
  <c r="N304" i="5"/>
  <c r="J274" i="5"/>
  <c r="K274" i="5" s="1"/>
  <c r="L274" i="5" s="1"/>
  <c r="M206" i="5"/>
  <c r="M53" i="5"/>
  <c r="N53" i="5" s="1"/>
  <c r="M268" i="5"/>
  <c r="O122" i="5"/>
  <c r="N169" i="5"/>
  <c r="P169" i="5" s="1"/>
  <c r="Q169" i="5" s="1"/>
  <c r="S169" i="5" s="1"/>
  <c r="W144" i="6"/>
  <c r="U144" i="6"/>
  <c r="V144" i="6" s="1"/>
  <c r="U548" i="6"/>
  <c r="U297" i="6"/>
  <c r="W297" i="6" s="1"/>
  <c r="U641" i="6"/>
  <c r="U187" i="6"/>
  <c r="V187" i="6" s="1"/>
  <c r="AU37" i="3"/>
  <c r="AV37" i="3" s="1"/>
  <c r="AS37" i="3"/>
  <c r="AY37" i="3"/>
  <c r="M74" i="5"/>
  <c r="M253" i="5"/>
  <c r="N253" i="5" s="1"/>
  <c r="M78" i="5"/>
  <c r="O78" i="5" s="1"/>
  <c r="T222" i="5"/>
  <c r="U222" i="5" s="1"/>
  <c r="U600" i="6"/>
  <c r="W600" i="6" s="1"/>
  <c r="V606" i="6"/>
  <c r="U606" i="6"/>
  <c r="W606" i="6" s="1"/>
  <c r="U502" i="6"/>
  <c r="U141" i="6"/>
  <c r="V141" i="6" s="1"/>
  <c r="V191" i="6"/>
  <c r="U191" i="6"/>
  <c r="W191" i="6" s="1"/>
  <c r="U288" i="6"/>
  <c r="U321" i="6"/>
  <c r="V321" i="6" s="1"/>
  <c r="W321" i="6"/>
  <c r="P392" i="6"/>
  <c r="Q392" i="6" s="1"/>
  <c r="R392" i="6" s="1"/>
  <c r="U109" i="6"/>
  <c r="W109" i="6" s="1"/>
  <c r="S743" i="6"/>
  <c r="AU53" i="3"/>
  <c r="AV53" i="3" s="1"/>
  <c r="AS53" i="3"/>
  <c r="AY53" i="3"/>
  <c r="AU57" i="3"/>
  <c r="AV57" i="3" s="1"/>
  <c r="AY57" i="3"/>
  <c r="AS57" i="3"/>
  <c r="P276" i="5"/>
  <c r="Q276" i="5" s="1"/>
  <c r="S276" i="5" s="1"/>
  <c r="O187" i="5"/>
  <c r="M187" i="5"/>
  <c r="N187" i="5" s="1"/>
  <c r="M80" i="5"/>
  <c r="O80" i="5" s="1"/>
  <c r="M124" i="5"/>
  <c r="M198" i="5"/>
  <c r="M125" i="5"/>
  <c r="O125" i="5" s="1"/>
  <c r="O212" i="5"/>
  <c r="N254" i="5"/>
  <c r="P254" i="5" s="1"/>
  <c r="Q254" i="5" s="1"/>
  <c r="S254" i="5" s="1"/>
  <c r="O132" i="5"/>
  <c r="P132" i="5" s="1"/>
  <c r="Q132" i="5" s="1"/>
  <c r="S132" i="5" s="1"/>
  <c r="N79" i="5"/>
  <c r="P79" i="5" s="1"/>
  <c r="Q79" i="5" s="1"/>
  <c r="S79" i="5" s="1"/>
  <c r="O83" i="5"/>
  <c r="P83" i="5" s="1"/>
  <c r="Q83" i="5" s="1"/>
  <c r="S83" i="5" s="1"/>
  <c r="M85" i="5"/>
  <c r="O85" i="5" s="1"/>
  <c r="M159" i="5"/>
  <c r="O159" i="5" s="1"/>
  <c r="BB31" i="3"/>
  <c r="B31" i="3" s="1"/>
  <c r="AT31" i="3"/>
  <c r="O179" i="5"/>
  <c r="P179" i="5" s="1"/>
  <c r="Q179" i="5" s="1"/>
  <c r="S179" i="5" s="1"/>
  <c r="O304" i="5"/>
  <c r="AY28" i="3"/>
  <c r="P62" i="5"/>
  <c r="Q62" i="5" s="1"/>
  <c r="S62" i="5" s="1"/>
  <c r="O49" i="5"/>
  <c r="N109" i="5"/>
  <c r="M109" i="5"/>
  <c r="O109" i="5" s="1"/>
  <c r="N209" i="5"/>
  <c r="M209" i="5"/>
  <c r="O209" i="5" s="1"/>
  <c r="O89" i="5"/>
  <c r="N55" i="5"/>
  <c r="P55" i="5" s="1"/>
  <c r="Q55" i="5" s="1"/>
  <c r="S55" i="5" s="1"/>
  <c r="P119" i="5"/>
  <c r="Q119" i="5" s="1"/>
  <c r="S119" i="5" s="1"/>
  <c r="J226" i="5"/>
  <c r="K226" i="5" s="1"/>
  <c r="L226" i="5" s="1"/>
  <c r="P623" i="6"/>
  <c r="Q623" i="6" s="1"/>
  <c r="R623" i="6" s="1"/>
  <c r="T623" i="6" s="1"/>
  <c r="P624" i="6"/>
  <c r="Q624" i="6" s="1"/>
  <c r="R624" i="6" s="1"/>
  <c r="T624" i="6" s="1"/>
  <c r="U550" i="6"/>
  <c r="W550" i="6" s="1"/>
  <c r="U385" i="6"/>
  <c r="U201" i="6"/>
  <c r="W201" i="6" s="1"/>
  <c r="U547" i="6"/>
  <c r="W547" i="6" s="1"/>
  <c r="U51" i="6"/>
  <c r="W51" i="6" s="1"/>
  <c r="U78" i="6"/>
  <c r="W78" i="6" s="1"/>
  <c r="W519" i="6"/>
  <c r="U519" i="6"/>
  <c r="V519" i="6" s="1"/>
  <c r="U135" i="6"/>
  <c r="V135" i="6" s="1"/>
  <c r="W135" i="6"/>
  <c r="U498" i="6"/>
  <c r="U378" i="6"/>
  <c r="AT24" i="3"/>
  <c r="O148" i="5"/>
  <c r="M148" i="5"/>
  <c r="N148" i="5" s="1"/>
  <c r="M278" i="5"/>
  <c r="U741" i="6"/>
  <c r="V741" i="6" s="1"/>
  <c r="U562" i="6"/>
  <c r="V562" i="6" s="1"/>
  <c r="S403" i="6"/>
  <c r="T403" i="6" s="1"/>
  <c r="S91" i="6"/>
  <c r="T91" i="6" s="1"/>
  <c r="V418" i="6"/>
  <c r="U418" i="6"/>
  <c r="W418" i="6" s="1"/>
  <c r="S434" i="6"/>
  <c r="T434" i="6" s="1"/>
  <c r="U179" i="6"/>
  <c r="U93" i="6"/>
  <c r="U604" i="6"/>
  <c r="V604" i="6" s="1"/>
  <c r="S463" i="6"/>
  <c r="T463" i="6" s="1"/>
  <c r="U307" i="6"/>
  <c r="V307" i="6" s="1"/>
  <c r="S165" i="6"/>
  <c r="T165" i="6" s="1"/>
  <c r="S61" i="6"/>
  <c r="T61" i="6" s="1"/>
  <c r="S70" i="6"/>
  <c r="T70" i="6" s="1"/>
  <c r="S734" i="6"/>
  <c r="T734" i="6" s="1"/>
  <c r="S654" i="6"/>
  <c r="S671" i="6"/>
  <c r="T671" i="6" s="1"/>
  <c r="U645" i="6"/>
  <c r="W645" i="6" s="1"/>
  <c r="S529" i="6"/>
  <c r="T529" i="6" s="1"/>
  <c r="S323" i="6"/>
  <c r="U338" i="6"/>
  <c r="V338" i="6" s="1"/>
  <c r="R160" i="6"/>
  <c r="S117" i="6"/>
  <c r="T117" i="6" s="1"/>
  <c r="S130" i="6"/>
  <c r="T130" i="6" s="1"/>
  <c r="S480" i="6"/>
  <c r="T480" i="6" s="1"/>
  <c r="S474" i="6"/>
  <c r="U414" i="6"/>
  <c r="V414" i="6" s="1"/>
  <c r="U289" i="6"/>
  <c r="W289" i="6" s="1"/>
  <c r="AV25" i="3"/>
  <c r="AY25" i="3" s="1"/>
  <c r="AD168" i="4"/>
  <c r="AF167" i="4"/>
  <c r="P688" i="6"/>
  <c r="Q688" i="6" s="1"/>
  <c r="R688" i="6" s="1"/>
  <c r="P647" i="6"/>
  <c r="Q647" i="6" s="1"/>
  <c r="R647" i="6" s="1"/>
  <c r="R487" i="6"/>
  <c r="W412" i="6"/>
  <c r="R226" i="6"/>
  <c r="U311" i="6"/>
  <c r="V311" i="6" s="1"/>
  <c r="U401" i="6"/>
  <c r="W401" i="6" s="1"/>
  <c r="W294" i="6"/>
  <c r="U294" i="6"/>
  <c r="V294" i="6" s="1"/>
  <c r="R205" i="6"/>
  <c r="T205" i="6" s="1"/>
  <c r="V230" i="6"/>
  <c r="R188" i="6"/>
  <c r="U155" i="6"/>
  <c r="W155" i="6" s="1"/>
  <c r="P352" i="6"/>
  <c r="Q352" i="6" s="1"/>
  <c r="R352" i="6" s="1"/>
  <c r="T352" i="6" s="1"/>
  <c r="U258" i="6"/>
  <c r="V258" i="6"/>
  <c r="W69" i="6"/>
  <c r="V69" i="6"/>
  <c r="U69" i="6"/>
  <c r="S747" i="6"/>
  <c r="T747" i="6" s="1"/>
  <c r="S765" i="6"/>
  <c r="T765" i="6" s="1"/>
  <c r="S682" i="6"/>
  <c r="U694" i="6"/>
  <c r="U557" i="6"/>
  <c r="W557" i="6" s="1"/>
  <c r="S554" i="6"/>
  <c r="T554" i="6" s="1"/>
  <c r="S556" i="6"/>
  <c r="T556" i="6" s="1"/>
  <c r="S388" i="6"/>
  <c r="T388" i="6" s="1"/>
  <c r="S391" i="6"/>
  <c r="T391" i="6" s="1"/>
  <c r="S397" i="6"/>
  <c r="T397" i="6" s="1"/>
  <c r="W249" i="6"/>
  <c r="U249" i="6"/>
  <c r="V249" i="6" s="1"/>
  <c r="X249" i="6" s="1"/>
  <c r="Y249" i="6" s="1"/>
  <c r="AA249" i="6" s="1"/>
  <c r="S232" i="6"/>
  <c r="S252" i="6"/>
  <c r="T252" i="6" s="1"/>
  <c r="S566" i="6"/>
  <c r="T566" i="6" s="1"/>
  <c r="S579" i="6"/>
  <c r="T579" i="6" s="1"/>
  <c r="S578" i="6"/>
  <c r="T578" i="6" s="1"/>
  <c r="S412" i="6"/>
  <c r="S411" i="6"/>
  <c r="S431" i="6"/>
  <c r="T431" i="6" s="1"/>
  <c r="U291" i="6"/>
  <c r="V291" i="6" s="1"/>
  <c r="U614" i="6"/>
  <c r="V614" i="6" s="1"/>
  <c r="W614" i="6"/>
  <c r="S597" i="6"/>
  <c r="T597" i="6" s="1"/>
  <c r="S609" i="6"/>
  <c r="T609" i="6" s="1"/>
  <c r="U447" i="6"/>
  <c r="W447" i="6" s="1"/>
  <c r="S452" i="6"/>
  <c r="T452" i="6" s="1"/>
  <c r="S305" i="6"/>
  <c r="T305" i="6" s="1"/>
  <c r="S316" i="6"/>
  <c r="T316" i="6" s="1"/>
  <c r="S306" i="6"/>
  <c r="T306" i="6" s="1"/>
  <c r="U147" i="6"/>
  <c r="W147" i="6"/>
  <c r="V147" i="6"/>
  <c r="S140" i="6"/>
  <c r="S160" i="6"/>
  <c r="T160" i="6" s="1"/>
  <c r="S209" i="6"/>
  <c r="T209" i="6" s="1"/>
  <c r="S221" i="6"/>
  <c r="T221" i="6" s="1"/>
  <c r="S218" i="6"/>
  <c r="T218" i="6" s="1"/>
  <c r="S63" i="6"/>
  <c r="T63" i="6" s="1"/>
  <c r="S52" i="6"/>
  <c r="S72" i="6"/>
  <c r="T72" i="6" s="1"/>
  <c r="S716" i="6"/>
  <c r="W724" i="6"/>
  <c r="U724" i="6"/>
  <c r="S719" i="6"/>
  <c r="T719" i="6" s="1"/>
  <c r="S652" i="6"/>
  <c r="S653" i="6"/>
  <c r="S675" i="6"/>
  <c r="T675" i="6" s="1"/>
  <c r="S626" i="6"/>
  <c r="T626" i="6" s="1"/>
  <c r="S638" i="6"/>
  <c r="T638" i="6" s="1"/>
  <c r="S649" i="6"/>
  <c r="T649" i="6" s="1"/>
  <c r="U178" i="6"/>
  <c r="W178" i="6" s="1"/>
  <c r="S198" i="6"/>
  <c r="T198" i="6" s="1"/>
  <c r="S526" i="6"/>
  <c r="T526" i="6" s="1"/>
  <c r="S518" i="6"/>
  <c r="T518" i="6" s="1"/>
  <c r="S501" i="6"/>
  <c r="R94" i="6"/>
  <c r="K26" i="6"/>
  <c r="S326" i="6"/>
  <c r="T326" i="6" s="1"/>
  <c r="S339" i="6"/>
  <c r="T339" i="6" s="1"/>
  <c r="S340" i="6"/>
  <c r="T340" i="6" s="1"/>
  <c r="R148" i="6"/>
  <c r="S133" i="6"/>
  <c r="T133" i="6" s="1"/>
  <c r="S112" i="6"/>
  <c r="S132" i="6"/>
  <c r="T132" i="6" s="1"/>
  <c r="S482" i="6"/>
  <c r="T482" i="6" s="1"/>
  <c r="S478" i="6"/>
  <c r="T478" i="6" s="1"/>
  <c r="S481" i="6"/>
  <c r="T481" i="6" s="1"/>
  <c r="S371" i="6"/>
  <c r="T371" i="6" s="1"/>
  <c r="S379" i="6"/>
  <c r="T379" i="6" s="1"/>
  <c r="S356" i="6"/>
  <c r="T356" i="6" s="1"/>
  <c r="S269" i="6"/>
  <c r="T269" i="6" s="1"/>
  <c r="S281" i="6"/>
  <c r="T281" i="6" s="1"/>
  <c r="S272" i="6"/>
  <c r="T272" i="6" s="1"/>
  <c r="M270" i="5"/>
  <c r="N270" i="5" s="1"/>
  <c r="M290" i="5"/>
  <c r="O290" i="5" s="1"/>
  <c r="AF40" i="4"/>
  <c r="AF135" i="4"/>
  <c r="AF70" i="4"/>
  <c r="AF80" i="4"/>
  <c r="AS55" i="3"/>
  <c r="AU55" i="3"/>
  <c r="AV55" i="3" s="1"/>
  <c r="AY55" i="3"/>
  <c r="BK19" i="3"/>
  <c r="M191" i="5"/>
  <c r="N191" i="5" s="1"/>
  <c r="AU47" i="3"/>
  <c r="AV47" i="3" s="1"/>
  <c r="AY47" i="3"/>
  <c r="AS47" i="3"/>
  <c r="M65" i="5"/>
  <c r="N65" i="5" s="1"/>
  <c r="AS35" i="3"/>
  <c r="AY35" i="3"/>
  <c r="AU35" i="3"/>
  <c r="AV35" i="3" s="1"/>
  <c r="M228" i="5"/>
  <c r="BB51" i="3"/>
  <c r="B51" i="3" s="1"/>
  <c r="AT51" i="3"/>
  <c r="AY48" i="3"/>
  <c r="AU48" i="3"/>
  <c r="AV48" i="3" s="1"/>
  <c r="AS48" i="3"/>
  <c r="M186" i="5"/>
  <c r="O186" i="5" s="1"/>
  <c r="N186" i="5"/>
  <c r="N142" i="5"/>
  <c r="M146" i="5"/>
  <c r="N146" i="5" s="1"/>
  <c r="P242" i="5"/>
  <c r="Q242" i="5" s="1"/>
  <c r="S242" i="5" s="1"/>
  <c r="M113" i="5"/>
  <c r="O113" i="5" s="1"/>
  <c r="N49" i="5"/>
  <c r="J236" i="5"/>
  <c r="K236" i="5" s="1"/>
  <c r="L236" i="5" s="1"/>
  <c r="N149" i="5"/>
  <c r="N102" i="5"/>
  <c r="N89" i="5"/>
  <c r="N205" i="5"/>
  <c r="P205" i="5" s="1"/>
  <c r="Q205" i="5" s="1"/>
  <c r="S205" i="5" s="1"/>
  <c r="N265" i="5"/>
  <c r="O126" i="5"/>
  <c r="P126" i="5" s="1"/>
  <c r="Q126" i="5" s="1"/>
  <c r="S126" i="5" s="1"/>
  <c r="M277" i="5"/>
  <c r="M141" i="5"/>
  <c r="N141" i="5" s="1"/>
  <c r="M296" i="5"/>
  <c r="N296" i="5" s="1"/>
  <c r="O296" i="5"/>
  <c r="M114" i="5"/>
  <c r="O114" i="5" s="1"/>
  <c r="U737" i="6"/>
  <c r="U172" i="6"/>
  <c r="W172" i="6" s="1"/>
  <c r="U691" i="6"/>
  <c r="V691" i="6" s="1"/>
  <c r="U704" i="6"/>
  <c r="U552" i="6"/>
  <c r="W552" i="6" s="1"/>
  <c r="U406" i="6"/>
  <c r="W406" i="6" s="1"/>
  <c r="U568" i="6"/>
  <c r="S304" i="6"/>
  <c r="T304" i="6" s="1"/>
  <c r="U81" i="6"/>
  <c r="V81" i="6" s="1"/>
  <c r="U213" i="6"/>
  <c r="S211" i="6"/>
  <c r="T211" i="6" s="1"/>
  <c r="S50" i="6"/>
  <c r="W231" i="6"/>
  <c r="X231" i="6" s="1"/>
  <c r="Y231" i="6" s="1"/>
  <c r="AA231" i="6" s="1"/>
  <c r="U80" i="6"/>
  <c r="V80" i="6" s="1"/>
  <c r="S176" i="6"/>
  <c r="S528" i="6"/>
  <c r="T528" i="6" s="1"/>
  <c r="S110" i="6"/>
  <c r="U499" i="6"/>
  <c r="W499" i="6" s="1"/>
  <c r="S372" i="6"/>
  <c r="T372" i="6" s="1"/>
  <c r="S365" i="6"/>
  <c r="T365" i="6" s="1"/>
  <c r="AF71" i="4"/>
  <c r="AD72" i="4"/>
  <c r="AC71" i="4"/>
  <c r="R738" i="6"/>
  <c r="U654" i="6"/>
  <c r="U620" i="6"/>
  <c r="V620" i="6" s="1"/>
  <c r="U628" i="6"/>
  <c r="V628" i="6" s="1"/>
  <c r="P376" i="6"/>
  <c r="Q376" i="6" s="1"/>
  <c r="R376" i="6" s="1"/>
  <c r="U442" i="6"/>
  <c r="W442" i="6" s="1"/>
  <c r="V442" i="6"/>
  <c r="P760" i="6"/>
  <c r="Q760" i="6" s="1"/>
  <c r="R760" i="6" s="1"/>
  <c r="P759" i="6"/>
  <c r="Q759" i="6" s="1"/>
  <c r="R759" i="6" s="1"/>
  <c r="U740" i="6"/>
  <c r="W740" i="6" s="1"/>
  <c r="P690" i="6"/>
  <c r="Q690" i="6" s="1"/>
  <c r="R690" i="6" s="1"/>
  <c r="U644" i="6"/>
  <c r="P632" i="6"/>
  <c r="Q632" i="6" s="1"/>
  <c r="R632" i="6" s="1"/>
  <c r="U712" i="6"/>
  <c r="V712" i="6" s="1"/>
  <c r="U640" i="6"/>
  <c r="V640" i="6" s="1"/>
  <c r="P618" i="6"/>
  <c r="Q618" i="6" s="1"/>
  <c r="R618" i="6" s="1"/>
  <c r="R517" i="6"/>
  <c r="U464" i="6"/>
  <c r="V464" i="6" s="1"/>
  <c r="V541" i="6"/>
  <c r="U541" i="6"/>
  <c r="W541" i="6" s="1"/>
  <c r="P368" i="6"/>
  <c r="Q368" i="6" s="1"/>
  <c r="R368" i="6" s="1"/>
  <c r="P404" i="6"/>
  <c r="Q404" i="6" s="1"/>
  <c r="R404" i="6" s="1"/>
  <c r="P374" i="6"/>
  <c r="Q374" i="6" s="1"/>
  <c r="R374" i="6" s="1"/>
  <c r="P307" i="6"/>
  <c r="Q307" i="6" s="1"/>
  <c r="R307" i="6" s="1"/>
  <c r="P308" i="6"/>
  <c r="Q308" i="6" s="1"/>
  <c r="R308" i="6" s="1"/>
  <c r="U293" i="6"/>
  <c r="V293" i="6" s="1"/>
  <c r="P324" i="6"/>
  <c r="Q324" i="6" s="1"/>
  <c r="R324" i="6" s="1"/>
  <c r="T324" i="6" s="1"/>
  <c r="S753" i="6"/>
  <c r="T753" i="6" s="1"/>
  <c r="S767" i="6"/>
  <c r="T767" i="6" s="1"/>
  <c r="S756" i="6"/>
  <c r="T756" i="6" s="1"/>
  <c r="S688" i="6"/>
  <c r="T688" i="6" s="1"/>
  <c r="S695" i="6"/>
  <c r="T695" i="6" s="1"/>
  <c r="S551" i="6"/>
  <c r="T551" i="6" s="1"/>
  <c r="S533" i="6"/>
  <c r="S559" i="6"/>
  <c r="T559" i="6" s="1"/>
  <c r="S394" i="6"/>
  <c r="T394" i="6" s="1"/>
  <c r="S396" i="6"/>
  <c r="T396" i="6" s="1"/>
  <c r="S255" i="6"/>
  <c r="T255" i="6" s="1"/>
  <c r="S234" i="6"/>
  <c r="S254" i="6"/>
  <c r="T254" i="6" s="1"/>
  <c r="S96" i="6"/>
  <c r="T96" i="6" s="1"/>
  <c r="S561" i="6"/>
  <c r="S581" i="6"/>
  <c r="T581" i="6" s="1"/>
  <c r="S583" i="6"/>
  <c r="T583" i="6" s="1"/>
  <c r="S414" i="6"/>
  <c r="S413" i="6"/>
  <c r="S433" i="6"/>
  <c r="T433" i="6" s="1"/>
  <c r="S602" i="6"/>
  <c r="T602" i="6" s="1"/>
  <c r="S450" i="6"/>
  <c r="T450" i="6" s="1"/>
  <c r="S456" i="6"/>
  <c r="T456" i="6" s="1"/>
  <c r="S309" i="6"/>
  <c r="T309" i="6" s="1"/>
  <c r="S319" i="6"/>
  <c r="T319" i="6" s="1"/>
  <c r="S308" i="6"/>
  <c r="T308" i="6" s="1"/>
  <c r="S153" i="6"/>
  <c r="T153" i="6" s="1"/>
  <c r="S142" i="6"/>
  <c r="S162" i="6"/>
  <c r="T162" i="6" s="1"/>
  <c r="S223" i="6"/>
  <c r="T223" i="6" s="1"/>
  <c r="S200" i="6"/>
  <c r="S220" i="6"/>
  <c r="T220" i="6" s="1"/>
  <c r="S65" i="6"/>
  <c r="T65" i="6" s="1"/>
  <c r="S54" i="6"/>
  <c r="S74" i="6"/>
  <c r="T74" i="6" s="1"/>
  <c r="S728" i="6"/>
  <c r="T728" i="6" s="1"/>
  <c r="S722" i="6"/>
  <c r="T722" i="6" s="1"/>
  <c r="S721" i="6"/>
  <c r="T721" i="6" s="1"/>
  <c r="S669" i="6"/>
  <c r="T669" i="6" s="1"/>
  <c r="S655" i="6"/>
  <c r="S679" i="6"/>
  <c r="T679" i="6" s="1"/>
  <c r="U635" i="6"/>
  <c r="V635" i="6" s="1"/>
  <c r="W635" i="6"/>
  <c r="S643" i="6"/>
  <c r="T643" i="6" s="1"/>
  <c r="S621" i="6"/>
  <c r="S189" i="6"/>
  <c r="T189" i="6" s="1"/>
  <c r="S180" i="6"/>
  <c r="T180" i="6" s="1"/>
  <c r="S516" i="6"/>
  <c r="T516" i="6" s="1"/>
  <c r="S523" i="6"/>
  <c r="T523" i="6" s="1"/>
  <c r="S502" i="6"/>
  <c r="R95" i="6"/>
  <c r="S328" i="6"/>
  <c r="T328" i="6" s="1"/>
  <c r="S343" i="6"/>
  <c r="T343" i="6" s="1"/>
  <c r="S341" i="6"/>
  <c r="T341" i="6" s="1"/>
  <c r="S127" i="6"/>
  <c r="T127" i="6" s="1"/>
  <c r="S114" i="6"/>
  <c r="S134" i="6"/>
  <c r="T134" i="6" s="1"/>
  <c r="U484" i="6"/>
  <c r="W484" i="6" s="1"/>
  <c r="S486" i="6"/>
  <c r="T486" i="6" s="1"/>
  <c r="S485" i="6"/>
  <c r="T485" i="6" s="1"/>
  <c r="S377" i="6"/>
  <c r="T377" i="6" s="1"/>
  <c r="S351" i="6"/>
  <c r="S357" i="6"/>
  <c r="T357" i="6" s="1"/>
  <c r="S279" i="6"/>
  <c r="T279" i="6" s="1"/>
  <c r="S267" i="6"/>
  <c r="T267" i="6" s="1"/>
  <c r="S274" i="6"/>
  <c r="T274" i="6" s="1"/>
  <c r="AF39" i="4"/>
  <c r="AD120" i="4"/>
  <c r="AF119" i="4"/>
  <c r="AC119" i="4"/>
  <c r="AF37" i="4"/>
  <c r="AS45" i="3"/>
  <c r="AY45" i="3"/>
  <c r="AU45" i="3"/>
  <c r="AV45" i="3" s="1"/>
  <c r="AT19" i="3"/>
  <c r="BB19" i="3" s="1"/>
  <c r="B19" i="3" s="1"/>
  <c r="AU36" i="3"/>
  <c r="AV36" i="3" s="1"/>
  <c r="AS36" i="3"/>
  <c r="AY36" i="3"/>
  <c r="M165" i="5"/>
  <c r="O165" i="5" s="1"/>
  <c r="E26" i="5"/>
  <c r="M171" i="5"/>
  <c r="O225" i="5"/>
  <c r="M225" i="5"/>
  <c r="N225" i="5" s="1"/>
  <c r="P183" i="5"/>
  <c r="Q183" i="5" s="1"/>
  <c r="S183" i="5" s="1"/>
  <c r="O142" i="5"/>
  <c r="N199" i="5"/>
  <c r="P199" i="5" s="1"/>
  <c r="Q199" i="5" s="1"/>
  <c r="S199" i="5" s="1"/>
  <c r="O102" i="5"/>
  <c r="O152" i="5"/>
  <c r="P152" i="5" s="1"/>
  <c r="Q152" i="5" s="1"/>
  <c r="S152" i="5" s="1"/>
  <c r="O265" i="5"/>
  <c r="N193" i="5"/>
  <c r="M84" i="5"/>
  <c r="O84" i="5" s="1"/>
  <c r="M178" i="5"/>
  <c r="M87" i="5"/>
  <c r="M300" i="5"/>
  <c r="O300" i="5" s="1"/>
  <c r="M247" i="5"/>
  <c r="N247" i="5" s="1"/>
  <c r="M150" i="5"/>
  <c r="V622" i="6"/>
  <c r="U622" i="6"/>
  <c r="W622" i="6" s="1"/>
  <c r="W500" i="6"/>
  <c r="U500" i="6"/>
  <c r="V500" i="6" s="1"/>
  <c r="U689" i="6"/>
  <c r="W689" i="6" s="1"/>
  <c r="U733" i="6"/>
  <c r="V733" i="6" s="1"/>
  <c r="U693" i="6"/>
  <c r="V693" i="6" s="1"/>
  <c r="W693" i="6"/>
  <c r="U409" i="6"/>
  <c r="U475" i="6"/>
  <c r="V475" i="6" s="1"/>
  <c r="U241" i="6"/>
  <c r="V241" i="6" s="1"/>
  <c r="W97" i="6"/>
  <c r="V97" i="6"/>
  <c r="X97" i="6" s="1"/>
  <c r="Y97" i="6" s="1"/>
  <c r="AA97" i="6" s="1"/>
  <c r="U97" i="6"/>
  <c r="U245" i="6"/>
  <c r="V245" i="6" s="1"/>
  <c r="V98" i="6"/>
  <c r="U98" i="6"/>
  <c r="W98" i="6" s="1"/>
  <c r="U295" i="6"/>
  <c r="V295" i="6" s="1"/>
  <c r="S582" i="6"/>
  <c r="T582" i="6" s="1"/>
  <c r="S422" i="6"/>
  <c r="T422" i="6" s="1"/>
  <c r="U672" i="6"/>
  <c r="S182" i="6"/>
  <c r="T182" i="6" s="1"/>
  <c r="S505" i="6"/>
  <c r="M280" i="5"/>
  <c r="N280" i="5" s="1"/>
  <c r="AF85" i="4"/>
  <c r="BB42" i="3"/>
  <c r="B42" i="3" s="1"/>
  <c r="AT42" i="3"/>
  <c r="M188" i="5"/>
  <c r="M37" i="5"/>
  <c r="BB41" i="3"/>
  <c r="B41" i="3" s="1"/>
  <c r="AT41" i="3"/>
  <c r="M46" i="5"/>
  <c r="N46" i="5" s="1"/>
  <c r="AY39" i="3"/>
  <c r="AU39" i="3"/>
  <c r="AV39" i="3" s="1"/>
  <c r="AS39" i="3"/>
  <c r="M281" i="5"/>
  <c r="N281" i="5" s="1"/>
  <c r="P192" i="5"/>
  <c r="Q192" i="5" s="1"/>
  <c r="S192" i="5" s="1"/>
  <c r="J86" i="5"/>
  <c r="K86" i="5" s="1"/>
  <c r="L86" i="5" s="1"/>
  <c r="AT28" i="3"/>
  <c r="O229" i="5"/>
  <c r="P229" i="5" s="1"/>
  <c r="Q229" i="5" s="1"/>
  <c r="S229" i="5" s="1"/>
  <c r="N243" i="5"/>
  <c r="N72" i="5"/>
  <c r="N43" i="5"/>
  <c r="P43" i="5" s="1"/>
  <c r="Q43" i="5" s="1"/>
  <c r="S43" i="5" s="1"/>
  <c r="O193" i="5"/>
  <c r="O239" i="5"/>
  <c r="N252" i="5"/>
  <c r="P252" i="5" s="1"/>
  <c r="Q252" i="5" s="1"/>
  <c r="S252" i="5" s="1"/>
  <c r="N155" i="5"/>
  <c r="P155" i="5" s="1"/>
  <c r="Q155" i="5" s="1"/>
  <c r="S155" i="5" s="1"/>
  <c r="U732" i="6"/>
  <c r="W732" i="6"/>
  <c r="V732" i="6"/>
  <c r="U723" i="6"/>
  <c r="V723" i="6"/>
  <c r="U257" i="6"/>
  <c r="V257" i="6" s="1"/>
  <c r="U706" i="6"/>
  <c r="V706" i="6"/>
  <c r="U167" i="6"/>
  <c r="W167" i="6" s="1"/>
  <c r="U726" i="6"/>
  <c r="V754" i="6"/>
  <c r="V652" i="6"/>
  <c r="U652" i="6"/>
  <c r="W652" i="6"/>
  <c r="R493" i="6"/>
  <c r="P465" i="6"/>
  <c r="Q465" i="6" s="1"/>
  <c r="R465" i="6" s="1"/>
  <c r="P466" i="6"/>
  <c r="Q466" i="6" s="1"/>
  <c r="R466" i="6" s="1"/>
  <c r="P329" i="6"/>
  <c r="Q329" i="6" s="1"/>
  <c r="R329" i="6" s="1"/>
  <c r="P330" i="6"/>
  <c r="Q330" i="6" s="1"/>
  <c r="R330" i="6" s="1"/>
  <c r="U104" i="6"/>
  <c r="W104" i="6" s="1"/>
  <c r="U742" i="6"/>
  <c r="V742" i="6"/>
  <c r="U683" i="6"/>
  <c r="V683" i="6" s="1"/>
  <c r="W683" i="6"/>
  <c r="W296" i="6"/>
  <c r="U296" i="6"/>
  <c r="S740" i="6"/>
  <c r="U537" i="6"/>
  <c r="W537" i="6" s="1"/>
  <c r="S402" i="6"/>
  <c r="T402" i="6" s="1"/>
  <c r="U171" i="6"/>
  <c r="V171" i="6" s="1"/>
  <c r="S435" i="6"/>
  <c r="T435" i="6" s="1"/>
  <c r="S441" i="6"/>
  <c r="S202" i="6"/>
  <c r="W56" i="6"/>
  <c r="V56" i="6"/>
  <c r="U56" i="6"/>
  <c r="S658" i="6"/>
  <c r="T658" i="6" s="1"/>
  <c r="U517" i="6"/>
  <c r="S322" i="6"/>
  <c r="S479" i="6"/>
  <c r="T479" i="6" s="1"/>
  <c r="S358" i="6"/>
  <c r="T358" i="6" s="1"/>
  <c r="W277" i="6"/>
  <c r="U277" i="6"/>
  <c r="V277" i="6" s="1"/>
  <c r="R739" i="6"/>
  <c r="U701" i="6"/>
  <c r="W701" i="6" s="1"/>
  <c r="P653" i="6"/>
  <c r="Q653" i="6" s="1"/>
  <c r="R653" i="6" s="1"/>
  <c r="T653" i="6" s="1"/>
  <c r="V714" i="6"/>
  <c r="X714" i="6" s="1"/>
  <c r="Y714" i="6" s="1"/>
  <c r="AA714" i="6" s="1"/>
  <c r="P631" i="6"/>
  <c r="Q631" i="6" s="1"/>
  <c r="R631" i="6" s="1"/>
  <c r="P598" i="6"/>
  <c r="Q598" i="6" s="1"/>
  <c r="R598" i="6" s="1"/>
  <c r="P605" i="6"/>
  <c r="Q605" i="6" s="1"/>
  <c r="R605" i="6" s="1"/>
  <c r="P484" i="6"/>
  <c r="Q484" i="6" s="1"/>
  <c r="R484" i="6" s="1"/>
  <c r="P483" i="6"/>
  <c r="Q483" i="6" s="1"/>
  <c r="R483" i="6" s="1"/>
  <c r="P322" i="6"/>
  <c r="Q322" i="6" s="1"/>
  <c r="R322" i="6" s="1"/>
  <c r="T322" i="6" s="1"/>
  <c r="P366" i="6"/>
  <c r="Q366" i="6" s="1"/>
  <c r="R366" i="6" s="1"/>
  <c r="U443" i="6"/>
  <c r="W443" i="6" s="1"/>
  <c r="R356" i="6"/>
  <c r="U195" i="6"/>
  <c r="V195" i="6" s="1"/>
  <c r="U200" i="6"/>
  <c r="V200" i="6" s="1"/>
  <c r="R309" i="6"/>
  <c r="S749" i="6"/>
  <c r="T749" i="6" s="1"/>
  <c r="S757" i="6"/>
  <c r="T757" i="6" s="1"/>
  <c r="S760" i="6"/>
  <c r="T760" i="6" s="1"/>
  <c r="S687" i="6"/>
  <c r="T687" i="6" s="1"/>
  <c r="S700" i="6"/>
  <c r="T700" i="6" s="1"/>
  <c r="S699" i="6"/>
  <c r="T699" i="6" s="1"/>
  <c r="S534" i="6"/>
  <c r="S381" i="6"/>
  <c r="S384" i="6"/>
  <c r="U103" i="6"/>
  <c r="V103" i="6" s="1"/>
  <c r="W103" i="6"/>
  <c r="V110" i="6"/>
  <c r="S572" i="6"/>
  <c r="T572" i="6" s="1"/>
  <c r="S587" i="6"/>
  <c r="T587" i="6" s="1"/>
  <c r="U432" i="6"/>
  <c r="W432" i="6" s="1"/>
  <c r="S417" i="6"/>
  <c r="T417" i="6" s="1"/>
  <c r="S437" i="6"/>
  <c r="T437" i="6" s="1"/>
  <c r="U608" i="6"/>
  <c r="V608" i="6" s="1"/>
  <c r="W608" i="6"/>
  <c r="S599" i="6"/>
  <c r="T599" i="6" s="1"/>
  <c r="S458" i="6"/>
  <c r="T458" i="6" s="1"/>
  <c r="U461" i="6"/>
  <c r="W461" i="6" s="1"/>
  <c r="S445" i="6"/>
  <c r="S303" i="6"/>
  <c r="T303" i="6" s="1"/>
  <c r="S292" i="6"/>
  <c r="S312" i="6"/>
  <c r="T312" i="6" s="1"/>
  <c r="S149" i="6"/>
  <c r="T149" i="6" s="1"/>
  <c r="S146" i="6"/>
  <c r="T146" i="6" s="1"/>
  <c r="S201" i="6"/>
  <c r="S204" i="6"/>
  <c r="S224" i="6"/>
  <c r="T224" i="6" s="1"/>
  <c r="S79" i="6"/>
  <c r="T79" i="6" s="1"/>
  <c r="S58" i="6"/>
  <c r="T58" i="6" s="1"/>
  <c r="V202" i="6"/>
  <c r="X202" i="6" s="1"/>
  <c r="Y202" i="6" s="1"/>
  <c r="AA202" i="6" s="1"/>
  <c r="S730" i="6"/>
  <c r="T730" i="6" s="1"/>
  <c r="U720" i="6"/>
  <c r="W720" i="6" s="1"/>
  <c r="S678" i="6"/>
  <c r="T678" i="6" s="1"/>
  <c r="S664" i="6"/>
  <c r="T664" i="6" s="1"/>
  <c r="S660" i="6"/>
  <c r="T660" i="6" s="1"/>
  <c r="U647" i="6"/>
  <c r="V647" i="6" s="1"/>
  <c r="W647" i="6"/>
  <c r="S636" i="6"/>
  <c r="T636" i="6" s="1"/>
  <c r="S622" i="6"/>
  <c r="S177" i="6"/>
  <c r="T177" i="6" s="1"/>
  <c r="S181" i="6"/>
  <c r="T181" i="6" s="1"/>
  <c r="S503" i="6"/>
  <c r="S515" i="6"/>
  <c r="T515" i="6" s="1"/>
  <c r="S506" i="6"/>
  <c r="R57" i="6"/>
  <c r="S324" i="6"/>
  <c r="S330" i="6"/>
  <c r="T330" i="6" s="1"/>
  <c r="S344" i="6"/>
  <c r="T344" i="6" s="1"/>
  <c r="S113" i="6"/>
  <c r="S118" i="6"/>
  <c r="T118" i="6" s="1"/>
  <c r="S138" i="6"/>
  <c r="T138" i="6" s="1"/>
  <c r="S495" i="6"/>
  <c r="T495" i="6" s="1"/>
  <c r="S491" i="6"/>
  <c r="T491" i="6" s="1"/>
  <c r="S493" i="6"/>
  <c r="T493" i="6" s="1"/>
  <c r="S367" i="6"/>
  <c r="T367" i="6" s="1"/>
  <c r="S359" i="6"/>
  <c r="T359" i="6" s="1"/>
  <c r="S360" i="6"/>
  <c r="T360" i="6" s="1"/>
  <c r="S275" i="6"/>
  <c r="T275" i="6" s="1"/>
  <c r="S287" i="6"/>
  <c r="T287" i="6" s="1"/>
  <c r="S278" i="6"/>
  <c r="T278" i="6" s="1"/>
  <c r="AT21" i="3"/>
  <c r="BB21" i="3" s="1"/>
  <c r="B21" i="3" s="1"/>
  <c r="M272" i="5"/>
  <c r="O272" i="5" s="1"/>
  <c r="AT25" i="3"/>
  <c r="M241" i="5"/>
  <c r="O241" i="5" s="1"/>
  <c r="M184" i="5"/>
  <c r="O184" i="5" s="1"/>
  <c r="M51" i="5"/>
  <c r="O51" i="5" s="1"/>
  <c r="M237" i="5"/>
  <c r="O237" i="5" s="1"/>
  <c r="M71" i="5"/>
  <c r="N71" i="5" s="1"/>
  <c r="O71" i="5"/>
  <c r="M221" i="5"/>
  <c r="O221" i="5" s="1"/>
  <c r="M168" i="5"/>
  <c r="O168" i="5" s="1"/>
  <c r="AT56" i="3"/>
  <c r="BB56" i="3"/>
  <c r="B56" i="3" s="1"/>
  <c r="O271" i="5"/>
  <c r="M271" i="5"/>
  <c r="N271" i="5" s="1"/>
  <c r="M197" i="5"/>
  <c r="O197" i="5" s="1"/>
  <c r="M75" i="5"/>
  <c r="O75" i="5" s="1"/>
  <c r="M105" i="5"/>
  <c r="O127" i="5"/>
  <c r="M73" i="5"/>
  <c r="N73" i="5" s="1"/>
  <c r="O243" i="5"/>
  <c r="O72" i="5"/>
  <c r="O43" i="5"/>
  <c r="P156" i="5"/>
  <c r="Q156" i="5" s="1"/>
  <c r="S156" i="5" s="1"/>
  <c r="N239" i="5"/>
  <c r="W473" i="6"/>
  <c r="U473" i="6"/>
  <c r="V473" i="6" s="1"/>
  <c r="X473" i="6" s="1"/>
  <c r="U546" i="6"/>
  <c r="W546" i="6" s="1"/>
  <c r="S207" i="6"/>
  <c r="T207" i="6" s="1"/>
  <c r="M70" i="5"/>
  <c r="N70" i="5" s="1"/>
  <c r="U561" i="6"/>
  <c r="U494" i="6"/>
  <c r="V494" i="6"/>
  <c r="U382" i="6"/>
  <c r="U763" i="6"/>
  <c r="U84" i="6"/>
  <c r="R753" i="6"/>
  <c r="U697" i="6"/>
  <c r="W697" i="6" s="1"/>
  <c r="U503" i="6"/>
  <c r="V503" i="6" s="1"/>
  <c r="S751" i="6"/>
  <c r="T751" i="6" s="1"/>
  <c r="S758" i="6"/>
  <c r="T758" i="6" s="1"/>
  <c r="S539" i="6"/>
  <c r="T539" i="6" s="1"/>
  <c r="S405" i="6"/>
  <c r="T405" i="6" s="1"/>
  <c r="S82" i="6"/>
  <c r="U460" i="6"/>
  <c r="W460" i="6" s="1"/>
  <c r="U310" i="6"/>
  <c r="V310" i="6" s="1"/>
  <c r="S205" i="6"/>
  <c r="U76" i="6"/>
  <c r="W76" i="6" s="1"/>
  <c r="U342" i="6"/>
  <c r="W342" i="6" s="1"/>
  <c r="U137" i="6"/>
  <c r="V137" i="6" s="1"/>
  <c r="U488" i="6"/>
  <c r="V488" i="6" s="1"/>
  <c r="S355" i="6"/>
  <c r="S283" i="6"/>
  <c r="T283" i="6" s="1"/>
  <c r="U731" i="6"/>
  <c r="W731" i="6" s="1"/>
  <c r="U650" i="6"/>
  <c r="W650" i="6" s="1"/>
  <c r="R629" i="6"/>
  <c r="R615" i="6"/>
  <c r="U613" i="6"/>
  <c r="V613" i="6" s="1"/>
  <c r="P606" i="6"/>
  <c r="Q606" i="6" s="1"/>
  <c r="R606" i="6" s="1"/>
  <c r="P607" i="6"/>
  <c r="Q607" i="6" s="1"/>
  <c r="R607" i="6" s="1"/>
  <c r="R664" i="6"/>
  <c r="U532" i="6"/>
  <c r="W532" i="6" s="1"/>
  <c r="U591" i="6"/>
  <c r="P601" i="6"/>
  <c r="Q601" i="6" s="1"/>
  <c r="R601" i="6" s="1"/>
  <c r="R452" i="6"/>
  <c r="U533" i="6"/>
  <c r="W533" i="6" s="1"/>
  <c r="P377" i="6"/>
  <c r="Q377" i="6" s="1"/>
  <c r="R377" i="6" s="1"/>
  <c r="P378" i="6"/>
  <c r="Q378" i="6" s="1"/>
  <c r="R378" i="6" s="1"/>
  <c r="P400" i="6"/>
  <c r="Q400" i="6" s="1"/>
  <c r="R400" i="6" s="1"/>
  <c r="P346" i="6"/>
  <c r="Q346" i="6" s="1"/>
  <c r="R346" i="6" s="1"/>
  <c r="U246" i="6"/>
  <c r="R124" i="6"/>
  <c r="U192" i="6"/>
  <c r="V192" i="6" s="1"/>
  <c r="S741" i="6"/>
  <c r="S742" i="6"/>
  <c r="S762" i="6"/>
  <c r="T762" i="6" s="1"/>
  <c r="S690" i="6"/>
  <c r="T690" i="6" s="1"/>
  <c r="S540" i="6"/>
  <c r="T540" i="6" s="1"/>
  <c r="S545" i="6"/>
  <c r="T545" i="6" s="1"/>
  <c r="U404" i="6"/>
  <c r="S259" i="6"/>
  <c r="T259" i="6" s="1"/>
  <c r="S240" i="6"/>
  <c r="T240" i="6" s="1"/>
  <c r="S102" i="6"/>
  <c r="T102" i="6" s="1"/>
  <c r="U50" i="6"/>
  <c r="V50" i="6" s="1"/>
  <c r="W110" i="6"/>
  <c r="S573" i="6"/>
  <c r="T573" i="6" s="1"/>
  <c r="S565" i="6"/>
  <c r="S586" i="6"/>
  <c r="T586" i="6" s="1"/>
  <c r="S420" i="6"/>
  <c r="T420" i="6" s="1"/>
  <c r="S419" i="6"/>
  <c r="T419" i="6" s="1"/>
  <c r="S439" i="6"/>
  <c r="T439" i="6" s="1"/>
  <c r="S598" i="6"/>
  <c r="T598" i="6" s="1"/>
  <c r="S592" i="6"/>
  <c r="S603" i="6"/>
  <c r="T603" i="6" s="1"/>
  <c r="U455" i="6"/>
  <c r="V455" i="6" s="1"/>
  <c r="S314" i="6"/>
  <c r="T314" i="6" s="1"/>
  <c r="S294" i="6"/>
  <c r="S318" i="6"/>
  <c r="T318" i="6" s="1"/>
  <c r="S157" i="6"/>
  <c r="T157" i="6" s="1"/>
  <c r="S148" i="6"/>
  <c r="T148" i="6" s="1"/>
  <c r="S168" i="6"/>
  <c r="T168" i="6" s="1"/>
  <c r="S217" i="6"/>
  <c r="T217" i="6" s="1"/>
  <c r="S206" i="6"/>
  <c r="S226" i="6"/>
  <c r="T226" i="6" s="1"/>
  <c r="S51" i="6"/>
  <c r="S60" i="6"/>
  <c r="T60" i="6" s="1"/>
  <c r="V140" i="6"/>
  <c r="X140" i="6" s="1"/>
  <c r="Y140" i="6" s="1"/>
  <c r="AA140" i="6" s="1"/>
  <c r="U718" i="6"/>
  <c r="W718" i="6" s="1"/>
  <c r="S727" i="6"/>
  <c r="T727" i="6" s="1"/>
  <c r="S650" i="6"/>
  <c r="S659" i="6"/>
  <c r="T659" i="6" s="1"/>
  <c r="S662" i="6"/>
  <c r="T662" i="6" s="1"/>
  <c r="S648" i="6"/>
  <c r="T648" i="6" s="1"/>
  <c r="U627" i="6"/>
  <c r="W627" i="6" s="1"/>
  <c r="S175" i="6"/>
  <c r="S193" i="6"/>
  <c r="T193" i="6" s="1"/>
  <c r="S186" i="6"/>
  <c r="T186" i="6" s="1"/>
  <c r="S513" i="6"/>
  <c r="T513" i="6" s="1"/>
  <c r="S521" i="6"/>
  <c r="T521" i="6" s="1"/>
  <c r="S508" i="6"/>
  <c r="T508" i="6" s="1"/>
  <c r="S320" i="6"/>
  <c r="S332" i="6"/>
  <c r="T332" i="6" s="1"/>
  <c r="S345" i="6"/>
  <c r="T345" i="6" s="1"/>
  <c r="S129" i="6"/>
  <c r="T129" i="6" s="1"/>
  <c r="S119" i="6"/>
  <c r="T119" i="6" s="1"/>
  <c r="S120" i="6"/>
  <c r="T120" i="6" s="1"/>
  <c r="U496" i="6"/>
  <c r="V496" i="6" s="1"/>
  <c r="S471" i="6"/>
  <c r="S497" i="6"/>
  <c r="T497" i="6" s="1"/>
  <c r="S366" i="6"/>
  <c r="T366" i="6" s="1"/>
  <c r="S363" i="6"/>
  <c r="T363" i="6" s="1"/>
  <c r="S361" i="6"/>
  <c r="T361" i="6" s="1"/>
  <c r="S263" i="6"/>
  <c r="S260" i="6"/>
  <c r="S280" i="6"/>
  <c r="T280" i="6" s="1"/>
  <c r="AF81" i="4"/>
  <c r="M267" i="5"/>
  <c r="M256" i="5"/>
  <c r="M287" i="5"/>
  <c r="N287" i="5" s="1"/>
  <c r="M257" i="5"/>
  <c r="N257" i="5" s="1"/>
  <c r="M40" i="5"/>
  <c r="M230" i="5"/>
  <c r="O230" i="5" s="1"/>
  <c r="M137" i="5"/>
  <c r="M164" i="5"/>
  <c r="N164" i="5" s="1"/>
  <c r="O164" i="5"/>
  <c r="M286" i="5"/>
  <c r="O286" i="5"/>
  <c r="M196" i="5"/>
  <c r="AT49" i="3"/>
  <c r="BB49" i="3"/>
  <c r="B49" i="3" s="1"/>
  <c r="N127" i="5"/>
  <c r="M246" i="5"/>
  <c r="W36" i="5"/>
  <c r="N66" i="5"/>
  <c r="P66" i="5" s="1"/>
  <c r="Q66" i="5" s="1"/>
  <c r="S66" i="5" s="1"/>
  <c r="N163" i="5"/>
  <c r="M163" i="5"/>
  <c r="O163" i="5" s="1"/>
  <c r="P135" i="5"/>
  <c r="Q135" i="5" s="1"/>
  <c r="S135" i="5" s="1"/>
  <c r="J106" i="5"/>
  <c r="K106" i="5" s="1"/>
  <c r="L106" i="5" s="1"/>
  <c r="BJ28" i="3" l="1"/>
  <c r="BK27" i="3"/>
  <c r="W746" i="6"/>
  <c r="V746" i="6"/>
  <c r="X746" i="6" s="1"/>
  <c r="Y746" i="6" s="1"/>
  <c r="AA746" i="6" s="1"/>
  <c r="V331" i="6"/>
  <c r="W331" i="6"/>
  <c r="W384" i="6"/>
  <c r="V384" i="6"/>
  <c r="W427" i="6"/>
  <c r="V427" i="6"/>
  <c r="P227" i="5"/>
  <c r="Q227" i="5" s="1"/>
  <c r="S227" i="5" s="1"/>
  <c r="N54" i="5"/>
  <c r="O61" i="5"/>
  <c r="P61" i="5" s="1"/>
  <c r="Q61" i="5" s="1"/>
  <c r="S61" i="5" s="1"/>
  <c r="T61" i="5" s="1"/>
  <c r="U61" i="5" s="1"/>
  <c r="O177" i="5"/>
  <c r="P177" i="5" s="1"/>
  <c r="Q177" i="5" s="1"/>
  <c r="S177" i="5" s="1"/>
  <c r="T177" i="5" s="1"/>
  <c r="U177" i="5" s="1"/>
  <c r="O52" i="5"/>
  <c r="M52" i="5"/>
  <c r="N52" i="5" s="1"/>
  <c r="V443" i="6"/>
  <c r="O218" i="5"/>
  <c r="V101" i="6"/>
  <c r="N100" i="5"/>
  <c r="V325" i="6"/>
  <c r="V460" i="6"/>
  <c r="X460" i="6" s="1"/>
  <c r="N221" i="5"/>
  <c r="P221" i="5" s="1"/>
  <c r="Q221" i="5" s="1"/>
  <c r="S221" i="5" s="1"/>
  <c r="O141" i="5"/>
  <c r="P141" i="5" s="1"/>
  <c r="Q141" i="5" s="1"/>
  <c r="S141" i="5" s="1"/>
  <c r="O65" i="5"/>
  <c r="P212" i="5"/>
  <c r="Q212" i="5" s="1"/>
  <c r="S212" i="5" s="1"/>
  <c r="N96" i="5"/>
  <c r="P96" i="5" s="1"/>
  <c r="Q96" i="5" s="1"/>
  <c r="S96" i="5" s="1"/>
  <c r="W253" i="6"/>
  <c r="W407" i="6"/>
  <c r="N260" i="5"/>
  <c r="U114" i="6"/>
  <c r="W114" i="6" s="1"/>
  <c r="W159" i="6"/>
  <c r="X159" i="6" s="1"/>
  <c r="Y159" i="6" s="1"/>
  <c r="AA159" i="6" s="1"/>
  <c r="AB159" i="6" s="1"/>
  <c r="AC159" i="6" s="1"/>
  <c r="W90" i="6"/>
  <c r="X90" i="6" s="1"/>
  <c r="Y90" i="6" s="1"/>
  <c r="AA90" i="6" s="1"/>
  <c r="AB90" i="6" s="1"/>
  <c r="AC90" i="6" s="1"/>
  <c r="C32" i="3"/>
  <c r="AM32" i="3" s="1"/>
  <c r="W112" i="6"/>
  <c r="W188" i="6"/>
  <c r="O108" i="5"/>
  <c r="P108" i="5" s="1"/>
  <c r="Q108" i="5" s="1"/>
  <c r="S108" i="5" s="1"/>
  <c r="M233" i="5"/>
  <c r="O233" i="5" s="1"/>
  <c r="N233" i="5"/>
  <c r="P233" i="5" s="1"/>
  <c r="Q233" i="5" s="1"/>
  <c r="S233" i="5" s="1"/>
  <c r="X75" i="6"/>
  <c r="Y75" i="6" s="1"/>
  <c r="AA75" i="6" s="1"/>
  <c r="O257" i="5"/>
  <c r="P257" i="5" s="1"/>
  <c r="Q257" i="5" s="1"/>
  <c r="S257" i="5" s="1"/>
  <c r="V461" i="6"/>
  <c r="O42" i="5"/>
  <c r="P42" i="5" s="1"/>
  <c r="Q42" i="5" s="1"/>
  <c r="S42" i="5" s="1"/>
  <c r="T42" i="5" s="1"/>
  <c r="U42" i="5" s="1"/>
  <c r="O130" i="5"/>
  <c r="W75" i="6"/>
  <c r="V484" i="6"/>
  <c r="V698" i="6"/>
  <c r="C45" i="4"/>
  <c r="V737" i="6"/>
  <c r="X737" i="6" s="1"/>
  <c r="Y737" i="6" s="1"/>
  <c r="AA737" i="6" s="1"/>
  <c r="O160" i="5"/>
  <c r="V610" i="6"/>
  <c r="X610" i="6" s="1"/>
  <c r="Y610" i="6" s="1"/>
  <c r="AA610" i="6" s="1"/>
  <c r="AB610" i="6" s="1"/>
  <c r="AC610" i="6" s="1"/>
  <c r="V214" i="6"/>
  <c r="X214" i="6" s="1"/>
  <c r="Y214" i="6" s="1"/>
  <c r="AA214" i="6" s="1"/>
  <c r="P154" i="5"/>
  <c r="Q154" i="5" s="1"/>
  <c r="S154" i="5" s="1"/>
  <c r="T154" i="5" s="1"/>
  <c r="U154" i="5" s="1"/>
  <c r="W517" i="6"/>
  <c r="X442" i="6"/>
  <c r="Y442" i="6" s="1"/>
  <c r="AA442" i="6" s="1"/>
  <c r="W307" i="6"/>
  <c r="X307" i="6" s="1"/>
  <c r="Y307" i="6" s="1"/>
  <c r="AA307" i="6" s="1"/>
  <c r="BB24" i="3"/>
  <c r="B24" i="3" s="1"/>
  <c r="BK28" i="3"/>
  <c r="X321" i="6"/>
  <c r="Y321" i="6" s="1"/>
  <c r="AA321" i="6" s="1"/>
  <c r="AB321" i="6" s="1"/>
  <c r="AC321" i="6" s="1"/>
  <c r="W245" i="6"/>
  <c r="X245" i="6" s="1"/>
  <c r="Y245" i="6" s="1"/>
  <c r="AA245" i="6" s="1"/>
  <c r="W293" i="6"/>
  <c r="P149" i="5"/>
  <c r="Q149" i="5" s="1"/>
  <c r="S149" i="5" s="1"/>
  <c r="P49" i="5"/>
  <c r="Q49" i="5" s="1"/>
  <c r="S49" i="5" s="1"/>
  <c r="V720" i="6"/>
  <c r="X608" i="6"/>
  <c r="P243" i="5"/>
  <c r="Q243" i="5" s="1"/>
  <c r="S243" i="5" s="1"/>
  <c r="W737" i="6"/>
  <c r="V155" i="6"/>
  <c r="X155" i="6" s="1"/>
  <c r="Y155" i="6" s="1"/>
  <c r="AA155" i="6" s="1"/>
  <c r="W562" i="6"/>
  <c r="X562" i="6" s="1"/>
  <c r="Y562" i="6" s="1"/>
  <c r="AA562" i="6" s="1"/>
  <c r="N78" i="5"/>
  <c r="O282" i="5"/>
  <c r="P282" i="5" s="1"/>
  <c r="Q282" i="5" s="1"/>
  <c r="S282" i="5" s="1"/>
  <c r="T282" i="5" s="1"/>
  <c r="V681" i="6"/>
  <c r="W142" i="6"/>
  <c r="N166" i="5"/>
  <c r="W232" i="6"/>
  <c r="X232" i="6" s="1"/>
  <c r="V630" i="6"/>
  <c r="O262" i="5"/>
  <c r="P262" i="5" s="1"/>
  <c r="Q262" i="5" s="1"/>
  <c r="S262" i="5" s="1"/>
  <c r="T262" i="5" s="1"/>
  <c r="U262" i="5" s="1"/>
  <c r="V235" i="6"/>
  <c r="W137" i="6"/>
  <c r="X137" i="6" s="1"/>
  <c r="Y137" i="6" s="1"/>
  <c r="AA137" i="6" s="1"/>
  <c r="AB137" i="6" s="1"/>
  <c r="AC137" i="6" s="1"/>
  <c r="W195" i="6"/>
  <c r="X195" i="6" s="1"/>
  <c r="Y195" i="6" s="1"/>
  <c r="AA195" i="6" s="1"/>
  <c r="W241" i="6"/>
  <c r="N213" i="5"/>
  <c r="W620" i="6"/>
  <c r="W81" i="6"/>
  <c r="X81" i="6" s="1"/>
  <c r="Y81" i="6" s="1"/>
  <c r="AA81" i="6" s="1"/>
  <c r="W467" i="6"/>
  <c r="X467" i="6" s="1"/>
  <c r="Y467" i="6" s="1"/>
  <c r="AA467" i="6" s="1"/>
  <c r="W741" i="6"/>
  <c r="O253" i="5"/>
  <c r="P253" i="5" s="1"/>
  <c r="Q253" i="5" s="1"/>
  <c r="S253" i="5" s="1"/>
  <c r="V297" i="6"/>
  <c r="X297" i="6" s="1"/>
  <c r="Y297" i="6" s="1"/>
  <c r="AA297" i="6" s="1"/>
  <c r="N44" i="5"/>
  <c r="U629" i="6"/>
  <c r="W629" i="6" s="1"/>
  <c r="V206" i="6"/>
  <c r="X206" i="6" s="1"/>
  <c r="Y206" i="6" s="1"/>
  <c r="AA206" i="6" s="1"/>
  <c r="W68" i="6"/>
  <c r="V601" i="6"/>
  <c r="V594" i="6"/>
  <c r="P295" i="5"/>
  <c r="Q295" i="5" s="1"/>
  <c r="S295" i="5" s="1"/>
  <c r="T295" i="5" s="1"/>
  <c r="U295" i="5" s="1"/>
  <c r="O231" i="5"/>
  <c r="U136" i="6"/>
  <c r="W136" i="6" s="1"/>
  <c r="V592" i="6"/>
  <c r="V94" i="6"/>
  <c r="N58" i="5"/>
  <c r="P58" i="5" s="1"/>
  <c r="Q58" i="5" s="1"/>
  <c r="S58" i="5" s="1"/>
  <c r="N51" i="5"/>
  <c r="P51" i="5" s="1"/>
  <c r="Q51" i="5" s="1"/>
  <c r="S51" i="5" s="1"/>
  <c r="V517" i="6"/>
  <c r="X517" i="6" s="1"/>
  <c r="Y517" i="6" s="1"/>
  <c r="AA517" i="6" s="1"/>
  <c r="V342" i="6"/>
  <c r="BB28" i="3"/>
  <c r="B28" i="3" s="1"/>
  <c r="C137" i="4" s="1"/>
  <c r="O213" i="5"/>
  <c r="X230" i="6"/>
  <c r="Y230" i="6" s="1"/>
  <c r="AA230" i="6" s="1"/>
  <c r="BB20" i="3"/>
  <c r="B20" i="3" s="1"/>
  <c r="C20" i="3" s="1"/>
  <c r="P231" i="5"/>
  <c r="Q231" i="5" s="1"/>
  <c r="S231" i="5" s="1"/>
  <c r="T231" i="5" s="1"/>
  <c r="U231" i="5" s="1"/>
  <c r="N230" i="5"/>
  <c r="W455" i="6"/>
  <c r="K30" i="6"/>
  <c r="N114" i="5"/>
  <c r="O270" i="5"/>
  <c r="O149" i="5"/>
  <c r="N251" i="5"/>
  <c r="N305" i="5"/>
  <c r="P305" i="5" s="1"/>
  <c r="Q305" i="5" s="1"/>
  <c r="S305" i="5" s="1"/>
  <c r="W421" i="6"/>
  <c r="X421" i="6" s="1"/>
  <c r="Y421" i="6" s="1"/>
  <c r="AA421" i="6" s="1"/>
  <c r="V625" i="6"/>
  <c r="X625" i="6" s="1"/>
  <c r="Y625" i="6" s="1"/>
  <c r="AA625" i="6" s="1"/>
  <c r="W593" i="6"/>
  <c r="X593" i="6" s="1"/>
  <c r="Y593" i="6" s="1"/>
  <c r="AA593" i="6" s="1"/>
  <c r="V52" i="6"/>
  <c r="W185" i="6"/>
  <c r="V203" i="6"/>
  <c r="X203" i="6" s="1"/>
  <c r="Y203" i="6" s="1"/>
  <c r="AA203" i="6" s="1"/>
  <c r="V196" i="6"/>
  <c r="W509" i="6"/>
  <c r="N195" i="5"/>
  <c r="X424" i="6"/>
  <c r="Y424" i="6" s="1"/>
  <c r="AA424" i="6" s="1"/>
  <c r="P289" i="5"/>
  <c r="Q289" i="5" s="1"/>
  <c r="S289" i="5" s="1"/>
  <c r="T289" i="5" s="1"/>
  <c r="U289" i="5" s="1"/>
  <c r="N261" i="5"/>
  <c r="O261" i="5"/>
  <c r="N248" i="5"/>
  <c r="O248" i="5"/>
  <c r="W264" i="6"/>
  <c r="V264" i="6"/>
  <c r="V409" i="6"/>
  <c r="W409" i="6"/>
  <c r="P225" i="5"/>
  <c r="Q225" i="5" s="1"/>
  <c r="S225" i="5" s="1"/>
  <c r="W640" i="6"/>
  <c r="X640" i="6" s="1"/>
  <c r="Y640" i="6" s="1"/>
  <c r="AA640" i="6" s="1"/>
  <c r="P148" i="5"/>
  <c r="N80" i="5"/>
  <c r="P80" i="5" s="1"/>
  <c r="Q80" i="5" s="1"/>
  <c r="S80" i="5" s="1"/>
  <c r="P136" i="5"/>
  <c r="Q136" i="5" s="1"/>
  <c r="S136" i="5" s="1"/>
  <c r="W251" i="6"/>
  <c r="V251" i="6"/>
  <c r="W383" i="6"/>
  <c r="V383" i="6"/>
  <c r="X383" i="6" s="1"/>
  <c r="Y383" i="6" s="1"/>
  <c r="AA383" i="6" s="1"/>
  <c r="O181" i="5"/>
  <c r="N181" i="5"/>
  <c r="W276" i="6"/>
  <c r="V276" i="6"/>
  <c r="X652" i="6"/>
  <c r="Y652" i="6" s="1"/>
  <c r="AA652" i="6" s="1"/>
  <c r="O280" i="5"/>
  <c r="O150" i="5"/>
  <c r="N150" i="5"/>
  <c r="P150" i="5" s="1"/>
  <c r="Q150" i="5" s="1"/>
  <c r="S150" i="5" s="1"/>
  <c r="X418" i="6"/>
  <c r="Y418" i="6" s="1"/>
  <c r="AA418" i="6" s="1"/>
  <c r="W548" i="6"/>
  <c r="V548" i="6"/>
  <c r="W611" i="6"/>
  <c r="V611" i="6"/>
  <c r="O255" i="5"/>
  <c r="N255" i="5"/>
  <c r="N299" i="5"/>
  <c r="O299" i="5"/>
  <c r="W489" i="6"/>
  <c r="V489" i="6"/>
  <c r="W313" i="6"/>
  <c r="V313" i="6"/>
  <c r="X111" i="6"/>
  <c r="Y111" i="6" s="1"/>
  <c r="AA111" i="6" s="1"/>
  <c r="X601" i="6"/>
  <c r="O40" i="5"/>
  <c r="N40" i="5"/>
  <c r="V650" i="6"/>
  <c r="W257" i="6"/>
  <c r="X257" i="6" s="1"/>
  <c r="Y257" i="6" s="1"/>
  <c r="AA257" i="6" s="1"/>
  <c r="AB257" i="6" s="1"/>
  <c r="AC257" i="6" s="1"/>
  <c r="X461" i="6"/>
  <c r="Y461" i="6" s="1"/>
  <c r="AA461" i="6" s="1"/>
  <c r="AB461" i="6" s="1"/>
  <c r="AC461" i="6" s="1"/>
  <c r="P71" i="5"/>
  <c r="Q71" i="5" s="1"/>
  <c r="S71" i="5" s="1"/>
  <c r="T71" i="5" s="1"/>
  <c r="U71" i="5" s="1"/>
  <c r="N185" i="5"/>
  <c r="O185" i="5"/>
  <c r="V632" i="6"/>
  <c r="W632" i="6"/>
  <c r="V596" i="6"/>
  <c r="W596" i="6"/>
  <c r="T133" i="5"/>
  <c r="U133" i="5" s="1"/>
  <c r="N197" i="5"/>
  <c r="P197" i="5" s="1"/>
  <c r="Q197" i="5" s="1"/>
  <c r="S197" i="5" s="1"/>
  <c r="X693" i="6"/>
  <c r="Y693" i="6" s="1"/>
  <c r="AA693" i="6" s="1"/>
  <c r="N290" i="5"/>
  <c r="P290" i="5" s="1"/>
  <c r="Q290" i="5" s="1"/>
  <c r="S290" i="5" s="1"/>
  <c r="U290" i="5" s="1"/>
  <c r="W672" i="6"/>
  <c r="X672" i="6" s="1"/>
  <c r="Y672" i="6" s="1"/>
  <c r="AA672" i="6" s="1"/>
  <c r="V672" i="6"/>
  <c r="W302" i="6"/>
  <c r="V302" i="6"/>
  <c r="N151" i="5"/>
  <c r="O151" i="5"/>
  <c r="W684" i="6"/>
  <c r="V684" i="6"/>
  <c r="W555" i="6"/>
  <c r="V555" i="6"/>
  <c r="V76" i="6"/>
  <c r="W561" i="6"/>
  <c r="V561" i="6"/>
  <c r="X561" i="6" s="1"/>
  <c r="Y561" i="6" s="1"/>
  <c r="AA561" i="6" s="1"/>
  <c r="W723" i="6"/>
  <c r="O247" i="5"/>
  <c r="V645" i="6"/>
  <c r="O74" i="5"/>
  <c r="N74" i="5"/>
  <c r="P74" i="5" s="1"/>
  <c r="Q74" i="5" s="1"/>
  <c r="S74" i="5" s="1"/>
  <c r="W462" i="6"/>
  <c r="X462" i="6" s="1"/>
  <c r="Y462" i="6" s="1"/>
  <c r="AA462" i="6" s="1"/>
  <c r="AB462" i="6" s="1"/>
  <c r="AC462" i="6" s="1"/>
  <c r="W503" i="6"/>
  <c r="W355" i="6"/>
  <c r="X355" i="6" s="1"/>
  <c r="Y355" i="6" s="1"/>
  <c r="AA355" i="6" s="1"/>
  <c r="V355" i="6"/>
  <c r="U55" i="6"/>
  <c r="W55" i="6" s="1"/>
  <c r="BJ25" i="3"/>
  <c r="BB25" i="3" s="1"/>
  <c r="B25" i="3" s="1"/>
  <c r="BK24" i="3"/>
  <c r="O70" i="5"/>
  <c r="P70" i="5" s="1"/>
  <c r="Q70" i="5" s="1"/>
  <c r="S70" i="5" s="1"/>
  <c r="V167" i="6"/>
  <c r="V689" i="6"/>
  <c r="X689" i="6" s="1"/>
  <c r="Y689" i="6" s="1"/>
  <c r="AA689" i="6" s="1"/>
  <c r="V385" i="6"/>
  <c r="X385" i="6" s="1"/>
  <c r="W385" i="6"/>
  <c r="W465" i="6"/>
  <c r="X723" i="6"/>
  <c r="Y723" i="6" s="1"/>
  <c r="AA723" i="6" s="1"/>
  <c r="AB723" i="6" s="1"/>
  <c r="AC723" i="6" s="1"/>
  <c r="O228" i="5"/>
  <c r="N228" i="5"/>
  <c r="P228" i="5" s="1"/>
  <c r="Q228" i="5" s="1"/>
  <c r="S228" i="5" s="1"/>
  <c r="T228" i="5" s="1"/>
  <c r="U228" i="5" s="1"/>
  <c r="W691" i="6"/>
  <c r="X244" i="6"/>
  <c r="Y244" i="6" s="1"/>
  <c r="AA244" i="6" s="1"/>
  <c r="AB244" i="6" s="1"/>
  <c r="AC244" i="6" s="1"/>
  <c r="O240" i="5"/>
  <c r="N240" i="5"/>
  <c r="O246" i="5"/>
  <c r="N246" i="5"/>
  <c r="V84" i="6"/>
  <c r="W84" i="6"/>
  <c r="Y473" i="6"/>
  <c r="AA473" i="6" s="1"/>
  <c r="V296" i="6"/>
  <c r="X296" i="6" s="1"/>
  <c r="Y296" i="6" s="1"/>
  <c r="AA296" i="6" s="1"/>
  <c r="AB296" i="6" s="1"/>
  <c r="AC296" i="6" s="1"/>
  <c r="N178" i="5"/>
  <c r="O178" i="5"/>
  <c r="W464" i="6"/>
  <c r="X464" i="6" s="1"/>
  <c r="Y464" i="6" s="1"/>
  <c r="AA464" i="6" s="1"/>
  <c r="X147" i="6"/>
  <c r="Y147" i="6" s="1"/>
  <c r="AA147" i="6" s="1"/>
  <c r="X69" i="6"/>
  <c r="Y69" i="6" s="1"/>
  <c r="AA69" i="6" s="1"/>
  <c r="AB69" i="6" s="1"/>
  <c r="AC69" i="6" s="1"/>
  <c r="X294" i="6"/>
  <c r="Y294" i="6" s="1"/>
  <c r="AA294" i="6" s="1"/>
  <c r="X135" i="6"/>
  <c r="Y135" i="6" s="1"/>
  <c r="AA135" i="6" s="1"/>
  <c r="N198" i="5"/>
  <c r="O198" i="5"/>
  <c r="W725" i="6"/>
  <c r="X725" i="6" s="1"/>
  <c r="Y725" i="6" s="1"/>
  <c r="AA725" i="6" s="1"/>
  <c r="AB725" i="6" s="1"/>
  <c r="AC725" i="6" s="1"/>
  <c r="V745" i="6"/>
  <c r="W745" i="6"/>
  <c r="W53" i="6"/>
  <c r="V53" i="6"/>
  <c r="V246" i="6"/>
  <c r="W246" i="6"/>
  <c r="V432" i="6"/>
  <c r="X432" i="6" s="1"/>
  <c r="Y432" i="6" s="1"/>
  <c r="AA432" i="6" s="1"/>
  <c r="W694" i="6"/>
  <c r="V694" i="6"/>
  <c r="X694" i="6" s="1"/>
  <c r="Y694" i="6" s="1"/>
  <c r="AA694" i="6" s="1"/>
  <c r="W311" i="6"/>
  <c r="X311" i="6" s="1"/>
  <c r="Y311" i="6" s="1"/>
  <c r="AA311" i="6" s="1"/>
  <c r="X635" i="6"/>
  <c r="Y635" i="6" s="1"/>
  <c r="AA635" i="6" s="1"/>
  <c r="W291" i="6"/>
  <c r="X291" i="6" s="1"/>
  <c r="Y291" i="6" s="1"/>
  <c r="AA291" i="6" s="1"/>
  <c r="AB291" i="6" s="1"/>
  <c r="AC291" i="6" s="1"/>
  <c r="W488" i="6"/>
  <c r="X488" i="6" s="1"/>
  <c r="Y488" i="6" s="1"/>
  <c r="AA488" i="6" s="1"/>
  <c r="N237" i="5"/>
  <c r="X720" i="6"/>
  <c r="Y720" i="6" s="1"/>
  <c r="AA720" i="6" s="1"/>
  <c r="Y608" i="6"/>
  <c r="AA608" i="6" s="1"/>
  <c r="O87" i="5"/>
  <c r="X541" i="6"/>
  <c r="Y541" i="6" s="1"/>
  <c r="AA541" i="6" s="1"/>
  <c r="AB541" i="6" s="1"/>
  <c r="AC541" i="6" s="1"/>
  <c r="V644" i="6"/>
  <c r="W644" i="6"/>
  <c r="X691" i="6"/>
  <c r="Y691" i="6" s="1"/>
  <c r="AA691" i="6" s="1"/>
  <c r="AB691" i="6" s="1"/>
  <c r="AC691" i="6" s="1"/>
  <c r="P296" i="5"/>
  <c r="Q296" i="5" s="1"/>
  <c r="S296" i="5" s="1"/>
  <c r="T296" i="5" s="1"/>
  <c r="U296" i="5" s="1"/>
  <c r="W288" i="6"/>
  <c r="O288" i="5"/>
  <c r="N288" i="5"/>
  <c r="O137" i="5"/>
  <c r="N137" i="5"/>
  <c r="W496" i="6"/>
  <c r="X496" i="6" s="1"/>
  <c r="Y496" i="6" s="1"/>
  <c r="AA496" i="6" s="1"/>
  <c r="V718" i="6"/>
  <c r="X718" i="6" s="1"/>
  <c r="Y718" i="6" s="1"/>
  <c r="AA718" i="6" s="1"/>
  <c r="W613" i="6"/>
  <c r="X613" i="6" s="1"/>
  <c r="Y613" i="6" s="1"/>
  <c r="AA613" i="6" s="1"/>
  <c r="O188" i="5"/>
  <c r="N188" i="5"/>
  <c r="P188" i="5" s="1"/>
  <c r="Q188" i="5" s="1"/>
  <c r="S188" i="5" s="1"/>
  <c r="N87" i="5"/>
  <c r="V288" i="6"/>
  <c r="X288" i="6" s="1"/>
  <c r="Y288" i="6" s="1"/>
  <c r="AA288" i="6" s="1"/>
  <c r="X698" i="6"/>
  <c r="Y698" i="6" s="1"/>
  <c r="AA698" i="6" s="1"/>
  <c r="AB698" i="6" s="1"/>
  <c r="AC698" i="6" s="1"/>
  <c r="O105" i="5"/>
  <c r="N105" i="5"/>
  <c r="W200" i="6"/>
  <c r="X200" i="6" s="1"/>
  <c r="Y200" i="6" s="1"/>
  <c r="AA200" i="6" s="1"/>
  <c r="AB200" i="6" s="1"/>
  <c r="AC200" i="6" s="1"/>
  <c r="AD200" i="6" s="1"/>
  <c r="X56" i="6"/>
  <c r="Y56" i="6" s="1"/>
  <c r="AA56" i="6" s="1"/>
  <c r="W475" i="6"/>
  <c r="X475" i="6" s="1"/>
  <c r="Y475" i="6" s="1"/>
  <c r="AA475" i="6" s="1"/>
  <c r="AB475" i="6" s="1"/>
  <c r="V654" i="6"/>
  <c r="W654" i="6"/>
  <c r="W338" i="6"/>
  <c r="V524" i="6"/>
  <c r="X524" i="6" s="1"/>
  <c r="Y524" i="6" s="1"/>
  <c r="AA524" i="6" s="1"/>
  <c r="W634" i="6"/>
  <c r="V634" i="6"/>
  <c r="N301" i="5"/>
  <c r="O301" i="5"/>
  <c r="N266" i="5"/>
  <c r="X407" i="6"/>
  <c r="Y407" i="6" s="1"/>
  <c r="AA407" i="6" s="1"/>
  <c r="AB407" i="6" s="1"/>
  <c r="AC407" i="6" s="1"/>
  <c r="V589" i="6"/>
  <c r="X589" i="6" s="1"/>
  <c r="Y589" i="6" s="1"/>
  <c r="AA589" i="6" s="1"/>
  <c r="N224" i="5"/>
  <c r="V188" i="6"/>
  <c r="W667" i="6"/>
  <c r="X667" i="6" s="1"/>
  <c r="Y667" i="6" s="1"/>
  <c r="AA667" i="6" s="1"/>
  <c r="V429" i="6"/>
  <c r="X429" i="6" s="1"/>
  <c r="Y429" i="6" s="1"/>
  <c r="AA429" i="6" s="1"/>
  <c r="N160" i="5"/>
  <c r="X506" i="6"/>
  <c r="Y506" i="6" s="1"/>
  <c r="AA506" i="6" s="1"/>
  <c r="W67" i="6"/>
  <c r="O167" i="5"/>
  <c r="V476" i="6"/>
  <c r="W216" i="6"/>
  <c r="X216" i="6" s="1"/>
  <c r="Y216" i="6" s="1"/>
  <c r="AA216" i="6" s="1"/>
  <c r="U116" i="6"/>
  <c r="V116" i="6" s="1"/>
  <c r="X270" i="6"/>
  <c r="Y270" i="6" s="1"/>
  <c r="AA270" i="6" s="1"/>
  <c r="AB270" i="6" s="1"/>
  <c r="AC270" i="6" s="1"/>
  <c r="X163" i="6"/>
  <c r="M249" i="5"/>
  <c r="O249" i="5" s="1"/>
  <c r="M172" i="5"/>
  <c r="N172" i="5" s="1"/>
  <c r="O172" i="5"/>
  <c r="P164" i="5"/>
  <c r="X683" i="6"/>
  <c r="Y683" i="6" s="1"/>
  <c r="AA683" i="6" s="1"/>
  <c r="W712" i="6"/>
  <c r="X712" i="6" s="1"/>
  <c r="Y712" i="6" s="1"/>
  <c r="AA712" i="6" s="1"/>
  <c r="V552" i="6"/>
  <c r="P114" i="5"/>
  <c r="Q114" i="5" s="1"/>
  <c r="S114" i="5" s="1"/>
  <c r="P265" i="5"/>
  <c r="Q265" i="5" s="1"/>
  <c r="S265" i="5" s="1"/>
  <c r="N113" i="5"/>
  <c r="P65" i="5"/>
  <c r="P270" i="5"/>
  <c r="Q270" i="5" s="1"/>
  <c r="S270" i="5" s="1"/>
  <c r="V401" i="6"/>
  <c r="X401" i="6" s="1"/>
  <c r="Y401" i="6" s="1"/>
  <c r="AA401" i="6" s="1"/>
  <c r="AB401" i="6" s="1"/>
  <c r="X519" i="6"/>
  <c r="X253" i="6"/>
  <c r="Y253" i="6" s="1"/>
  <c r="AA253" i="6" s="1"/>
  <c r="AB253" i="6" s="1"/>
  <c r="AC253" i="6" s="1"/>
  <c r="V713" i="6"/>
  <c r="X713" i="6" s="1"/>
  <c r="Y713" i="6" s="1"/>
  <c r="AA713" i="6" s="1"/>
  <c r="AB713" i="6" s="1"/>
  <c r="AC713" i="6" s="1"/>
  <c r="X225" i="6"/>
  <c r="Y225" i="6" s="1"/>
  <c r="AA225" i="6" s="1"/>
  <c r="N98" i="5"/>
  <c r="P98" i="5" s="1"/>
  <c r="Q98" i="5" s="1"/>
  <c r="S98" i="5" s="1"/>
  <c r="O41" i="5"/>
  <c r="P41" i="5" s="1"/>
  <c r="Q41" i="5" s="1"/>
  <c r="S41" i="5" s="1"/>
  <c r="N303" i="5"/>
  <c r="P303" i="5" s="1"/>
  <c r="Q303" i="5" s="1"/>
  <c r="S303" i="5" s="1"/>
  <c r="N201" i="5"/>
  <c r="P201" i="5" s="1"/>
  <c r="Q201" i="5" s="1"/>
  <c r="S201" i="5" s="1"/>
  <c r="V441" i="6"/>
  <c r="N220" i="5"/>
  <c r="P81" i="5"/>
  <c r="Q81" i="5" s="1"/>
  <c r="S81" i="5" s="1"/>
  <c r="T81" i="5" s="1"/>
  <c r="U81" i="5" s="1"/>
  <c r="N104" i="5"/>
  <c r="P104" i="5" s="1"/>
  <c r="Q104" i="5" s="1"/>
  <c r="S104" i="5" s="1"/>
  <c r="V99" i="6"/>
  <c r="P283" i="5"/>
  <c r="Y163" i="6"/>
  <c r="AA163" i="6" s="1"/>
  <c r="AC163" i="6" s="1"/>
  <c r="M92" i="5"/>
  <c r="N92" i="5" s="1"/>
  <c r="P92" i="5" s="1"/>
  <c r="O92" i="5"/>
  <c r="M219" i="5"/>
  <c r="O219" i="5" s="1"/>
  <c r="N219" i="5"/>
  <c r="O45" i="5"/>
  <c r="M45" i="5"/>
  <c r="E22" i="5"/>
  <c r="N94" i="5"/>
  <c r="P94" i="5" s="1"/>
  <c r="Q94" i="5" s="1"/>
  <c r="S94" i="5" s="1"/>
  <c r="T94" i="5" s="1"/>
  <c r="U94" i="5" s="1"/>
  <c r="M245" i="5"/>
  <c r="O245" i="5" s="1"/>
  <c r="X606" i="6"/>
  <c r="Y606" i="6" s="1"/>
  <c r="AA606" i="6" s="1"/>
  <c r="AB606" i="6" s="1"/>
  <c r="AC606" i="6" s="1"/>
  <c r="O269" i="5"/>
  <c r="P269" i="5" s="1"/>
  <c r="Q269" i="5" s="1"/>
  <c r="S269" i="5" s="1"/>
  <c r="X472" i="6"/>
  <c r="Y472" i="6" s="1"/>
  <c r="AA472" i="6" s="1"/>
  <c r="Y460" i="6"/>
  <c r="AA460" i="6" s="1"/>
  <c r="P89" i="5"/>
  <c r="Q89" i="5" s="1"/>
  <c r="S89" i="5" s="1"/>
  <c r="T89" i="5" s="1"/>
  <c r="U89" i="5" s="1"/>
  <c r="N63" i="5"/>
  <c r="X71" i="6"/>
  <c r="Y71" i="6" s="1"/>
  <c r="AA71" i="6" s="1"/>
  <c r="W716" i="6"/>
  <c r="X716" i="6" s="1"/>
  <c r="Y716" i="6" s="1"/>
  <c r="AA716" i="6" s="1"/>
  <c r="W83" i="6"/>
  <c r="X83" i="6" s="1"/>
  <c r="Y83" i="6" s="1"/>
  <c r="AA83" i="6" s="1"/>
  <c r="X68" i="6"/>
  <c r="Y68" i="6" s="1"/>
  <c r="AA68" i="6" s="1"/>
  <c r="AB68" i="6" s="1"/>
  <c r="AC68" i="6" s="1"/>
  <c r="W674" i="6"/>
  <c r="X674" i="6" s="1"/>
  <c r="Y674" i="6" s="1"/>
  <c r="AA674" i="6" s="1"/>
  <c r="V448" i="6"/>
  <c r="X448" i="6" s="1"/>
  <c r="Y448" i="6" s="1"/>
  <c r="AA448" i="6" s="1"/>
  <c r="W92" i="6"/>
  <c r="X92" i="6" s="1"/>
  <c r="Y92" i="6" s="1"/>
  <c r="AA92" i="6" s="1"/>
  <c r="W131" i="6"/>
  <c r="X131" i="6" s="1"/>
  <c r="Y131" i="6" s="1"/>
  <c r="AA131" i="6" s="1"/>
  <c r="V646" i="6"/>
  <c r="X646" i="6" s="1"/>
  <c r="Y646" i="6" s="1"/>
  <c r="AA646" i="6" s="1"/>
  <c r="W563" i="6"/>
  <c r="W750" i="6"/>
  <c r="X750" i="6" s="1"/>
  <c r="V151" i="6"/>
  <c r="O57" i="5"/>
  <c r="P57" i="5" s="1"/>
  <c r="Q57" i="5" s="1"/>
  <c r="S57" i="5" s="1"/>
  <c r="V413" i="6"/>
  <c r="W565" i="6"/>
  <c r="X565" i="6" s="1"/>
  <c r="Y565" i="6" s="1"/>
  <c r="AA565" i="6" s="1"/>
  <c r="M294" i="5"/>
  <c r="O294" i="5" s="1"/>
  <c r="P202" i="5"/>
  <c r="Q202" i="5" s="1"/>
  <c r="S202" i="5" s="1"/>
  <c r="X101" i="6"/>
  <c r="Y101" i="6" s="1"/>
  <c r="AA101" i="6" s="1"/>
  <c r="AB101" i="6" s="1"/>
  <c r="AC101" i="6" s="1"/>
  <c r="V468" i="6"/>
  <c r="W415" i="6"/>
  <c r="X415" i="6" s="1"/>
  <c r="Y415" i="6" s="1"/>
  <c r="AA415" i="6" s="1"/>
  <c r="AB415" i="6" s="1"/>
  <c r="AC415" i="6" s="1"/>
  <c r="V534" i="6"/>
  <c r="X534" i="6" s="1"/>
  <c r="Y534" i="6" s="1"/>
  <c r="AA534" i="6" s="1"/>
  <c r="M285" i="5"/>
  <c r="N285" i="5" s="1"/>
  <c r="E30" i="5"/>
  <c r="BB44" i="3"/>
  <c r="B44" i="3" s="1"/>
  <c r="AT44" i="3"/>
  <c r="X141" i="6"/>
  <c r="Y141" i="6" s="1"/>
  <c r="AA141" i="6" s="1"/>
  <c r="W199" i="6"/>
  <c r="X199" i="6" s="1"/>
  <c r="Y199" i="6" s="1"/>
  <c r="AA199" i="6" s="1"/>
  <c r="X142" i="6"/>
  <c r="Y142" i="6" s="1"/>
  <c r="AA142" i="6" s="1"/>
  <c r="AB142" i="6" s="1"/>
  <c r="W115" i="6"/>
  <c r="X115" i="6" s="1"/>
  <c r="Y115" i="6" s="1"/>
  <c r="AA115" i="6" s="1"/>
  <c r="P218" i="5"/>
  <c r="Q218" i="5" s="1"/>
  <c r="S218" i="5" s="1"/>
  <c r="T218" i="5" s="1"/>
  <c r="U218" i="5" s="1"/>
  <c r="P130" i="5"/>
  <c r="Q130" i="5" s="1"/>
  <c r="S130" i="5" s="1"/>
  <c r="T130" i="5" s="1"/>
  <c r="U130" i="5" s="1"/>
  <c r="AT29" i="3"/>
  <c r="W166" i="6"/>
  <c r="X166" i="6" s="1"/>
  <c r="Y166" i="6" s="1"/>
  <c r="AA166" i="6" s="1"/>
  <c r="AB166" i="6" s="1"/>
  <c r="AC166" i="6" s="1"/>
  <c r="O90" i="5"/>
  <c r="W250" i="6"/>
  <c r="K37" i="6"/>
  <c r="V89" i="6"/>
  <c r="W656" i="6"/>
  <c r="X656" i="6" s="1"/>
  <c r="Y656" i="6" s="1"/>
  <c r="AA656" i="6" s="1"/>
  <c r="AB656" i="6" s="1"/>
  <c r="AC656" i="6" s="1"/>
  <c r="N117" i="5"/>
  <c r="N211" i="5"/>
  <c r="P211" i="5" s="1"/>
  <c r="Q211" i="5" s="1"/>
  <c r="S211" i="5" s="1"/>
  <c r="V290" i="6"/>
  <c r="W655" i="6"/>
  <c r="W335" i="6"/>
  <c r="X335" i="6" s="1"/>
  <c r="Y335" i="6" s="1"/>
  <c r="AA335" i="6" s="1"/>
  <c r="AB335" i="6" s="1"/>
  <c r="AC335" i="6" s="1"/>
  <c r="U617" i="6"/>
  <c r="V617" i="6" s="1"/>
  <c r="X185" i="6"/>
  <c r="Y185" i="6" s="1"/>
  <c r="AA185" i="6" s="1"/>
  <c r="P39" i="5"/>
  <c r="Q39" i="5" s="1"/>
  <c r="S39" i="5" s="1"/>
  <c r="P186" i="5"/>
  <c r="Q186" i="5" s="1"/>
  <c r="S186" i="5" s="1"/>
  <c r="M138" i="5"/>
  <c r="O138" i="5" s="1"/>
  <c r="X741" i="6"/>
  <c r="Y741" i="6" s="1"/>
  <c r="AA741" i="6" s="1"/>
  <c r="W141" i="6"/>
  <c r="P95" i="5"/>
  <c r="Q95" i="5" s="1"/>
  <c r="S95" i="5" s="1"/>
  <c r="Y601" i="6"/>
  <c r="AA601" i="6" s="1"/>
  <c r="X250" i="6"/>
  <c r="P153" i="5"/>
  <c r="Q153" i="5" s="1"/>
  <c r="S153" i="5" s="1"/>
  <c r="U474" i="6"/>
  <c r="W474" i="6" s="1"/>
  <c r="X655" i="6"/>
  <c r="Y655" i="6" s="1"/>
  <c r="AA655" i="6" s="1"/>
  <c r="P144" i="5"/>
  <c r="Q144" i="5" s="1"/>
  <c r="S144" i="5" s="1"/>
  <c r="V731" i="6"/>
  <c r="X731" i="6" s="1"/>
  <c r="Y731" i="6" s="1"/>
  <c r="AA731" i="6" s="1"/>
  <c r="N241" i="5"/>
  <c r="P241" i="5" s="1"/>
  <c r="Q241" i="5" s="1"/>
  <c r="S241" i="5" s="1"/>
  <c r="X277" i="6"/>
  <c r="Y277" i="6" s="1"/>
  <c r="AA277" i="6" s="1"/>
  <c r="W295" i="6"/>
  <c r="X295" i="6" s="1"/>
  <c r="Y295" i="6" s="1"/>
  <c r="AA295" i="6" s="1"/>
  <c r="AB295" i="6" s="1"/>
  <c r="AC295" i="6" s="1"/>
  <c r="N208" i="5"/>
  <c r="P208" i="5" s="1"/>
  <c r="Q208" i="5" s="1"/>
  <c r="S208" i="5" s="1"/>
  <c r="T208" i="5" s="1"/>
  <c r="U208" i="5" s="1"/>
  <c r="W414" i="6"/>
  <c r="X414" i="6" s="1"/>
  <c r="Y414" i="6" s="1"/>
  <c r="AA414" i="6" s="1"/>
  <c r="N85" i="5"/>
  <c r="P85" i="5" s="1"/>
  <c r="Q85" i="5" s="1"/>
  <c r="S85" i="5" s="1"/>
  <c r="X144" i="6"/>
  <c r="Y144" i="6" s="1"/>
  <c r="AA144" i="6" s="1"/>
  <c r="P260" i="5"/>
  <c r="Q260" i="5" s="1"/>
  <c r="S260" i="5" s="1"/>
  <c r="V487" i="6"/>
  <c r="X487" i="6" s="1"/>
  <c r="Y487" i="6" s="1"/>
  <c r="AA487" i="6" s="1"/>
  <c r="AB487" i="6" s="1"/>
  <c r="AC487" i="6" s="1"/>
  <c r="P134" i="5"/>
  <c r="V112" i="6"/>
  <c r="X112" i="6" s="1"/>
  <c r="Y112" i="6" s="1"/>
  <c r="AA112" i="6" s="1"/>
  <c r="AB112" i="6" s="1"/>
  <c r="AC112" i="6" s="1"/>
  <c r="N97" i="5"/>
  <c r="W242" i="6"/>
  <c r="X242" i="6" s="1"/>
  <c r="Y242" i="6" s="1"/>
  <c r="AA242" i="6" s="1"/>
  <c r="V161" i="6"/>
  <c r="W266" i="6"/>
  <c r="X266" i="6" s="1"/>
  <c r="Y266" i="6" s="1"/>
  <c r="AA266" i="6" s="1"/>
  <c r="W642" i="6"/>
  <c r="X642" i="6" s="1"/>
  <c r="Y642" i="6" s="1"/>
  <c r="AA642" i="6" s="1"/>
  <c r="AB642" i="6" s="1"/>
  <c r="AC642" i="6" s="1"/>
  <c r="V685" i="6"/>
  <c r="X685" i="6" s="1"/>
  <c r="P112" i="5"/>
  <c r="Q112" i="5" s="1"/>
  <c r="S112" i="5" s="1"/>
  <c r="V261" i="6"/>
  <c r="V575" i="6"/>
  <c r="X575" i="6" s="1"/>
  <c r="Y575" i="6" s="1"/>
  <c r="AA575" i="6" s="1"/>
  <c r="O235" i="5"/>
  <c r="P235" i="5" s="1"/>
  <c r="Q235" i="5" s="1"/>
  <c r="S235" i="5" s="1"/>
  <c r="O48" i="5"/>
  <c r="P48" i="5" s="1"/>
  <c r="Q48" i="5" s="1"/>
  <c r="S48" i="5" s="1"/>
  <c r="T48" i="5" s="1"/>
  <c r="U48" i="5" s="1"/>
  <c r="V755" i="6"/>
  <c r="W531" i="6"/>
  <c r="X531" i="6" s="1"/>
  <c r="Y531" i="6" s="1"/>
  <c r="AA531" i="6" s="1"/>
  <c r="V263" i="6"/>
  <c r="N292" i="5"/>
  <c r="P292" i="5" s="1"/>
  <c r="Q292" i="5" s="1"/>
  <c r="S292" i="5" s="1"/>
  <c r="V347" i="6"/>
  <c r="P123" i="5"/>
  <c r="Q123" i="5" s="1"/>
  <c r="S123" i="5" s="1"/>
  <c r="O50" i="5"/>
  <c r="P50" i="5" s="1"/>
  <c r="Q50" i="5" s="1"/>
  <c r="S50" i="5" s="1"/>
  <c r="P100" i="5"/>
  <c r="Q100" i="5" s="1"/>
  <c r="S100" i="5" s="1"/>
  <c r="T100" i="5" s="1"/>
  <c r="U100" i="5" s="1"/>
  <c r="X256" i="6"/>
  <c r="Y256" i="6" s="1"/>
  <c r="AA256" i="6" s="1"/>
  <c r="P195" i="5"/>
  <c r="Q195" i="5" s="1"/>
  <c r="S195" i="5" s="1"/>
  <c r="P82" i="5"/>
  <c r="Q82" i="5" s="1"/>
  <c r="S82" i="5" s="1"/>
  <c r="T82" i="5" s="1"/>
  <c r="U82" i="5" s="1"/>
  <c r="X67" i="6"/>
  <c r="Y67" i="6" s="1"/>
  <c r="AA67" i="6" s="1"/>
  <c r="X592" i="6"/>
  <c r="Y592" i="6" s="1"/>
  <c r="AA592" i="6" s="1"/>
  <c r="Y685" i="6"/>
  <c r="AA685" i="6" s="1"/>
  <c r="AB685" i="6" s="1"/>
  <c r="AC685" i="6" s="1"/>
  <c r="P99" i="5"/>
  <c r="Q99" i="5" s="1"/>
  <c r="S99" i="5" s="1"/>
  <c r="P232" i="5"/>
  <c r="Q232" i="5" s="1"/>
  <c r="S232" i="5" s="1"/>
  <c r="AB140" i="6"/>
  <c r="AE140" i="6" s="1"/>
  <c r="T136" i="5"/>
  <c r="C89" i="4"/>
  <c r="C41" i="4"/>
  <c r="J66" i="1"/>
  <c r="C28" i="3"/>
  <c r="T79" i="5"/>
  <c r="U79" i="5" s="1"/>
  <c r="T182" i="5"/>
  <c r="U182" i="5" s="1"/>
  <c r="T204" i="5"/>
  <c r="U204" i="5" s="1"/>
  <c r="AB383" i="6"/>
  <c r="AC383" i="6" s="1"/>
  <c r="T150" i="5"/>
  <c r="AB561" i="6"/>
  <c r="AC561" i="6" s="1"/>
  <c r="C82" i="4"/>
  <c r="C34" i="4"/>
  <c r="C21" i="3"/>
  <c r="C130" i="4"/>
  <c r="AC475" i="6"/>
  <c r="T265" i="5"/>
  <c r="U265" i="5" s="1"/>
  <c r="U132" i="5"/>
  <c r="T132" i="5"/>
  <c r="U282" i="5"/>
  <c r="AB225" i="6"/>
  <c r="AC225" i="6" s="1"/>
  <c r="X36" i="5"/>
  <c r="AB163" i="6"/>
  <c r="AB442" i="6"/>
  <c r="AC442" i="6" s="1"/>
  <c r="T254" i="5"/>
  <c r="U254" i="5" s="1"/>
  <c r="T135" i="5"/>
  <c r="U135" i="5" s="1"/>
  <c r="AB231" i="6"/>
  <c r="AC231" i="6" s="1"/>
  <c r="T56" i="5"/>
  <c r="U56" i="5" s="1"/>
  <c r="AC720" i="6"/>
  <c r="AB720" i="6"/>
  <c r="T152" i="5"/>
  <c r="U152" i="5" s="1"/>
  <c r="AB460" i="6"/>
  <c r="AC460" i="6" s="1"/>
  <c r="AB714" i="6"/>
  <c r="AC714" i="6" s="1"/>
  <c r="T212" i="5"/>
  <c r="U212" i="5" s="1"/>
  <c r="AB111" i="6"/>
  <c r="AC111" i="6"/>
  <c r="AB214" i="6"/>
  <c r="AC214" i="6" s="1"/>
  <c r="T186" i="5"/>
  <c r="W186" i="5" s="1"/>
  <c r="AB97" i="6"/>
  <c r="AC97" i="6" s="1"/>
  <c r="BK25" i="3"/>
  <c r="BJ26" i="3"/>
  <c r="BB26" i="3" s="1"/>
  <c r="B26" i="3" s="1"/>
  <c r="BJ27" i="3"/>
  <c r="BB27" i="3" s="1"/>
  <c r="B27" i="3" s="1"/>
  <c r="BK26" i="3"/>
  <c r="T276" i="5"/>
  <c r="W276" i="5" s="1"/>
  <c r="T96" i="5"/>
  <c r="U96" i="5" s="1"/>
  <c r="V96" i="5" s="1"/>
  <c r="C129" i="4"/>
  <c r="C81" i="4"/>
  <c r="C33" i="4"/>
  <c r="AB446" i="6"/>
  <c r="AC446" i="6" s="1"/>
  <c r="AB652" i="6"/>
  <c r="AC652" i="6" s="1"/>
  <c r="T139" i="5"/>
  <c r="U139" i="5" s="1"/>
  <c r="AB249" i="6"/>
  <c r="AC249" i="6" s="1"/>
  <c r="T83" i="5"/>
  <c r="U83" i="5" s="1"/>
  <c r="AB141" i="6"/>
  <c r="U179" i="5"/>
  <c r="T179" i="5"/>
  <c r="AC142" i="6"/>
  <c r="AB655" i="6"/>
  <c r="AC655" i="6" s="1"/>
  <c r="T227" i="5"/>
  <c r="U227" i="5" s="1"/>
  <c r="T144" i="5"/>
  <c r="U144" i="5" s="1"/>
  <c r="AB741" i="6"/>
  <c r="AC741" i="6" s="1"/>
  <c r="T95" i="5"/>
  <c r="AB473" i="6"/>
  <c r="AC473" i="6" s="1"/>
  <c r="AB56" i="6"/>
  <c r="AC56" i="6" s="1"/>
  <c r="T243" i="5"/>
  <c r="U243" i="5" s="1"/>
  <c r="T183" i="5"/>
  <c r="U183" i="5" s="1"/>
  <c r="T55" i="5"/>
  <c r="U55" i="5" s="1"/>
  <c r="U62" i="5"/>
  <c r="T62" i="5"/>
  <c r="T264" i="5"/>
  <c r="U264" i="5" s="1"/>
  <c r="AB424" i="6"/>
  <c r="AC424" i="6" s="1"/>
  <c r="T123" i="5"/>
  <c r="U123" i="5" s="1"/>
  <c r="AB256" i="6"/>
  <c r="T229" i="5"/>
  <c r="U229" i="5" s="1"/>
  <c r="T43" i="5"/>
  <c r="U43" i="5" s="1"/>
  <c r="AB601" i="6"/>
  <c r="AC601" i="6" s="1"/>
  <c r="T153" i="5"/>
  <c r="U153" i="5" s="1"/>
  <c r="AB277" i="6"/>
  <c r="AC277" i="6" s="1"/>
  <c r="T119" i="5"/>
  <c r="U119" i="5" s="1"/>
  <c r="T233" i="5"/>
  <c r="U233" i="5" s="1"/>
  <c r="T66" i="5"/>
  <c r="W66" i="5" s="1"/>
  <c r="AB432" i="6"/>
  <c r="AC432" i="6" s="1"/>
  <c r="T126" i="5"/>
  <c r="W126" i="5" s="1"/>
  <c r="T49" i="5"/>
  <c r="U49" i="5" s="1"/>
  <c r="T290" i="5"/>
  <c r="T80" i="5"/>
  <c r="U80" i="5" s="1"/>
  <c r="T169" i="5"/>
  <c r="U169" i="5" s="1"/>
  <c r="AC680" i="6"/>
  <c r="AD680" i="6" s="1"/>
  <c r="AB680" i="6"/>
  <c r="AE680" i="6" s="1"/>
  <c r="AB354" i="6"/>
  <c r="AC354" i="6" s="1"/>
  <c r="U182" i="6"/>
  <c r="W182" i="6" s="1"/>
  <c r="AT35" i="3"/>
  <c r="BB35" i="3"/>
  <c r="B35" i="3" s="1"/>
  <c r="U281" i="6"/>
  <c r="W281" i="6" s="1"/>
  <c r="U133" i="6"/>
  <c r="V133" i="6" s="1"/>
  <c r="U198" i="6"/>
  <c r="W198" i="6" s="1"/>
  <c r="U63" i="6"/>
  <c r="V306" i="6"/>
  <c r="U306" i="6"/>
  <c r="W306" i="6" s="1"/>
  <c r="V70" i="6"/>
  <c r="U70" i="6"/>
  <c r="W70" i="6" s="1"/>
  <c r="V498" i="6"/>
  <c r="AT37" i="3"/>
  <c r="BB37" i="3"/>
  <c r="B37" i="3" s="1"/>
  <c r="M274" i="5"/>
  <c r="O274" i="5" s="1"/>
  <c r="U369" i="6"/>
  <c r="W349" i="6"/>
  <c r="U349" i="6"/>
  <c r="U637" i="6"/>
  <c r="V637" i="6" s="1"/>
  <c r="U215" i="6"/>
  <c r="V215" i="6" s="1"/>
  <c r="U619" i="6"/>
  <c r="W619" i="6" s="1"/>
  <c r="V769" i="6"/>
  <c r="U769" i="6"/>
  <c r="W769" i="6" s="1"/>
  <c r="P266" i="5"/>
  <c r="Q266" i="5" s="1"/>
  <c r="S266" i="5" s="1"/>
  <c r="U124" i="6"/>
  <c r="U152" i="6"/>
  <c r="V152" i="6" s="1"/>
  <c r="U615" i="6"/>
  <c r="M116" i="5"/>
  <c r="O116" i="5" s="1"/>
  <c r="M175" i="5"/>
  <c r="N175" i="5" s="1"/>
  <c r="C138" i="4"/>
  <c r="C90" i="4"/>
  <c r="C42" i="4"/>
  <c r="C29" i="3"/>
  <c r="U736" i="6"/>
  <c r="W736" i="6" s="1"/>
  <c r="W170" i="6"/>
  <c r="U239" i="6"/>
  <c r="W239" i="6" s="1"/>
  <c r="K28" i="6"/>
  <c r="W470" i="6"/>
  <c r="U752" i="6"/>
  <c r="V752" i="6" s="1"/>
  <c r="P255" i="5"/>
  <c r="Q255" i="5" s="1"/>
  <c r="S255" i="5" s="1"/>
  <c r="P181" i="5"/>
  <c r="Q181" i="5" s="1"/>
  <c r="S181" i="5" s="1"/>
  <c r="AB472" i="6"/>
  <c r="AC472" i="6" s="1"/>
  <c r="X347" i="6"/>
  <c r="Y347" i="6" s="1"/>
  <c r="AA347" i="6" s="1"/>
  <c r="X235" i="6"/>
  <c r="X151" i="6"/>
  <c r="Y151" i="6" s="1"/>
  <c r="AA151" i="6" s="1"/>
  <c r="J29" i="6"/>
  <c r="J24" i="6"/>
  <c r="J27" i="6"/>
  <c r="J22" i="6"/>
  <c r="J26" i="6"/>
  <c r="J28" i="6"/>
  <c r="J23" i="6"/>
  <c r="J25" i="6"/>
  <c r="D24" i="5"/>
  <c r="D23" i="5"/>
  <c r="D22" i="5"/>
  <c r="X413" i="6"/>
  <c r="Y413" i="6" s="1"/>
  <c r="AA413" i="6" s="1"/>
  <c r="U280" i="6"/>
  <c r="V280" i="6" s="1"/>
  <c r="U402" i="6"/>
  <c r="W402" i="6" s="1"/>
  <c r="T58" i="5"/>
  <c r="U58" i="5" s="1"/>
  <c r="W486" i="6"/>
  <c r="V486" i="6"/>
  <c r="U486" i="6"/>
  <c r="U328" i="6"/>
  <c r="W328" i="6" s="1"/>
  <c r="U309" i="6"/>
  <c r="V309" i="6" s="1"/>
  <c r="U96" i="6"/>
  <c r="W96" i="6" s="1"/>
  <c r="W688" i="6"/>
  <c r="U688" i="6"/>
  <c r="V688" i="6" s="1"/>
  <c r="N196" i="5"/>
  <c r="Q164" i="5"/>
  <c r="S164" i="5" s="1"/>
  <c r="U186" i="6"/>
  <c r="W186" i="6"/>
  <c r="V186" i="6"/>
  <c r="U419" i="6"/>
  <c r="W419" i="6" s="1"/>
  <c r="K34" i="6"/>
  <c r="U102" i="6"/>
  <c r="W102" i="6" s="1"/>
  <c r="W591" i="6"/>
  <c r="X503" i="6"/>
  <c r="Y503" i="6" s="1"/>
  <c r="AA503" i="6" s="1"/>
  <c r="W494" i="6"/>
  <c r="X494" i="6" s="1"/>
  <c r="Y494" i="6" s="1"/>
  <c r="AA494" i="6" s="1"/>
  <c r="P239" i="5"/>
  <c r="Q239" i="5" s="1"/>
  <c r="S239" i="5" s="1"/>
  <c r="U275" i="6"/>
  <c r="W275" i="6" s="1"/>
  <c r="U344" i="6"/>
  <c r="V344" i="6" s="1"/>
  <c r="U636" i="6"/>
  <c r="V636" i="6" s="1"/>
  <c r="U146" i="6"/>
  <c r="V146" i="6" s="1"/>
  <c r="U458" i="6"/>
  <c r="W458" i="6" s="1"/>
  <c r="U653" i="6"/>
  <c r="V653" i="6" s="1"/>
  <c r="U358" i="6"/>
  <c r="T252" i="5"/>
  <c r="U252" i="5" s="1"/>
  <c r="U192" i="5"/>
  <c r="T192" i="5"/>
  <c r="O46" i="5"/>
  <c r="P46" i="5" s="1"/>
  <c r="Q46" i="5" s="1"/>
  <c r="S46" i="5" s="1"/>
  <c r="W733" i="6"/>
  <c r="X733" i="6" s="1"/>
  <c r="Y733" i="6" s="1"/>
  <c r="AA733" i="6" s="1"/>
  <c r="P247" i="5"/>
  <c r="Q247" i="5" s="1"/>
  <c r="S247" i="5" s="1"/>
  <c r="T275" i="5"/>
  <c r="U275" i="5" s="1"/>
  <c r="N171" i="5"/>
  <c r="U65" i="6"/>
  <c r="W65" i="6" s="1"/>
  <c r="V456" i="6"/>
  <c r="U456" i="6"/>
  <c r="W456" i="6" s="1"/>
  <c r="V254" i="6"/>
  <c r="U254" i="6"/>
  <c r="W254" i="6" s="1"/>
  <c r="U756" i="6"/>
  <c r="V756" i="6" s="1"/>
  <c r="W628" i="6"/>
  <c r="X628" i="6" s="1"/>
  <c r="Y628" i="6" s="1"/>
  <c r="AA628" i="6" s="1"/>
  <c r="V499" i="6"/>
  <c r="X499" i="6" s="1"/>
  <c r="Y499" i="6" s="1"/>
  <c r="AA499" i="6" s="1"/>
  <c r="W568" i="6"/>
  <c r="V704" i="6"/>
  <c r="V172" i="6"/>
  <c r="X172" i="6" s="1"/>
  <c r="Y172" i="6" s="1"/>
  <c r="AA172" i="6" s="1"/>
  <c r="N277" i="5"/>
  <c r="M236" i="5"/>
  <c r="O236" i="5" s="1"/>
  <c r="O146" i="5"/>
  <c r="P146" i="5" s="1"/>
  <c r="Q146" i="5" s="1"/>
  <c r="S146" i="5" s="1"/>
  <c r="Q65" i="5"/>
  <c r="S65" i="5" s="1"/>
  <c r="U269" i="6"/>
  <c r="K29" i="6"/>
  <c r="V178" i="6"/>
  <c r="X178" i="6" s="1"/>
  <c r="Y178" i="6" s="1"/>
  <c r="AA178" i="6" s="1"/>
  <c r="U719" i="6"/>
  <c r="W719" i="6" s="1"/>
  <c r="K44" i="6"/>
  <c r="U218" i="6"/>
  <c r="V218" i="6" s="1"/>
  <c r="U316" i="6"/>
  <c r="W316" i="6" s="1"/>
  <c r="V447" i="6"/>
  <c r="X447" i="6" s="1"/>
  <c r="Y447" i="6" s="1"/>
  <c r="AA447" i="6" s="1"/>
  <c r="V557" i="6"/>
  <c r="X557" i="6" s="1"/>
  <c r="Y557" i="6" s="1"/>
  <c r="AA557" i="6" s="1"/>
  <c r="V61" i="6"/>
  <c r="U61" i="6"/>
  <c r="W61" i="6" s="1"/>
  <c r="U463" i="6"/>
  <c r="V463" i="6" s="1"/>
  <c r="V93" i="6"/>
  <c r="X93" i="6" s="1"/>
  <c r="Y93" i="6" s="1"/>
  <c r="AA93" i="6" s="1"/>
  <c r="W498" i="6"/>
  <c r="Y519" i="6"/>
  <c r="AA519" i="6" s="1"/>
  <c r="V51" i="6"/>
  <c r="X51" i="6" s="1"/>
  <c r="Y51" i="6" s="1"/>
  <c r="AA51" i="6" s="1"/>
  <c r="Y385" i="6"/>
  <c r="AA385" i="6" s="1"/>
  <c r="N159" i="5"/>
  <c r="P159" i="5" s="1"/>
  <c r="Q159" i="5" s="1"/>
  <c r="S159" i="5" s="1"/>
  <c r="O124" i="5"/>
  <c r="P187" i="5"/>
  <c r="Q187" i="5" s="1"/>
  <c r="S187" i="5" s="1"/>
  <c r="O53" i="5"/>
  <c r="P53" i="5" s="1"/>
  <c r="Q53" i="5" s="1"/>
  <c r="S53" i="5" s="1"/>
  <c r="P304" i="5"/>
  <c r="Q304" i="5" s="1"/>
  <c r="S304" i="5" s="1"/>
  <c r="P291" i="5"/>
  <c r="Q291" i="5" s="1"/>
  <c r="S291" i="5" s="1"/>
  <c r="N147" i="5"/>
  <c r="P147" i="5" s="1"/>
  <c r="Q147" i="5" s="1"/>
  <c r="S147" i="5" s="1"/>
  <c r="N118" i="5"/>
  <c r="U336" i="6"/>
  <c r="U229" i="6"/>
  <c r="W229" i="6" s="1"/>
  <c r="W265" i="6"/>
  <c r="X265" i="6" s="1"/>
  <c r="Y265" i="6" s="1"/>
  <c r="AA265" i="6" s="1"/>
  <c r="V238" i="6"/>
  <c r="W744" i="6"/>
  <c r="O64" i="5"/>
  <c r="P64" i="5" s="1"/>
  <c r="Q64" i="5" s="1"/>
  <c r="S64" i="5" s="1"/>
  <c r="N215" i="5"/>
  <c r="N234" i="5"/>
  <c r="P234" i="5" s="1"/>
  <c r="Q234" i="5" s="1"/>
  <c r="S234" i="5" s="1"/>
  <c r="X54" i="3"/>
  <c r="N54" i="3"/>
  <c r="W54" i="3"/>
  <c r="M54" i="3"/>
  <c r="BM54" i="3"/>
  <c r="V54" i="3"/>
  <c r="L54" i="3"/>
  <c r="T54" i="3"/>
  <c r="J54" i="3"/>
  <c r="K54" i="3"/>
  <c r="I54" i="3"/>
  <c r="AM54" i="3"/>
  <c r="G54" i="3"/>
  <c r="H54" i="3" s="1"/>
  <c r="AL54" i="3"/>
  <c r="D54" i="3"/>
  <c r="BL54" i="3"/>
  <c r="Y54" i="3"/>
  <c r="U54" i="3"/>
  <c r="S54" i="3"/>
  <c r="R54" i="3"/>
  <c r="W451" i="6"/>
  <c r="X451" i="6" s="1"/>
  <c r="Y451" i="6" s="1"/>
  <c r="AA451" i="6" s="1"/>
  <c r="U408" i="6"/>
  <c r="W408" i="6" s="1"/>
  <c r="V696" i="6"/>
  <c r="V184" i="6"/>
  <c r="V449" i="6"/>
  <c r="X449" i="6" s="1"/>
  <c r="Y449" i="6" s="1"/>
  <c r="AA449" i="6" s="1"/>
  <c r="U665" i="6"/>
  <c r="N298" i="5"/>
  <c r="N68" i="5"/>
  <c r="U62" i="6"/>
  <c r="W62" i="6" s="1"/>
  <c r="V469" i="6"/>
  <c r="X469" i="6" s="1"/>
  <c r="Y469" i="6" s="1"/>
  <c r="AA469" i="6" s="1"/>
  <c r="V558" i="6"/>
  <c r="V711" i="6"/>
  <c r="W320" i="6"/>
  <c r="V376" i="6"/>
  <c r="V393" i="6"/>
  <c r="N259" i="5"/>
  <c r="V143" i="6"/>
  <c r="V612" i="6"/>
  <c r="X612" i="6" s="1"/>
  <c r="W584" i="6"/>
  <c r="X584" i="6" s="1"/>
  <c r="Y584" i="6" s="1"/>
  <c r="AA584" i="6" s="1"/>
  <c r="V389" i="6"/>
  <c r="X684" i="6"/>
  <c r="Y684" i="6" s="1"/>
  <c r="AA684" i="6" s="1"/>
  <c r="W173" i="6"/>
  <c r="W621" i="6"/>
  <c r="X621" i="6" s="1"/>
  <c r="Y621" i="6" s="1"/>
  <c r="AA621" i="6" s="1"/>
  <c r="Q134" i="5"/>
  <c r="S134" i="5" s="1"/>
  <c r="N190" i="5"/>
  <c r="P190" i="5" s="1"/>
  <c r="Q190" i="5" s="1"/>
  <c r="S190" i="5" s="1"/>
  <c r="W156" i="6"/>
  <c r="X156" i="6" s="1"/>
  <c r="Y156" i="6" s="1"/>
  <c r="AA156" i="6" s="1"/>
  <c r="BL32" i="3"/>
  <c r="U32" i="3"/>
  <c r="K32" i="3"/>
  <c r="T32" i="3"/>
  <c r="J32" i="3"/>
  <c r="G32" i="3"/>
  <c r="H32" i="3" s="1"/>
  <c r="V32" i="3"/>
  <c r="BM32" i="3"/>
  <c r="R32" i="3"/>
  <c r="N32" i="3"/>
  <c r="X32" i="3"/>
  <c r="W32" i="3"/>
  <c r="AL32" i="3"/>
  <c r="Y32" i="3"/>
  <c r="V30" i="3"/>
  <c r="L30" i="3"/>
  <c r="U30" i="3"/>
  <c r="K30" i="3"/>
  <c r="T30" i="3"/>
  <c r="J30" i="3"/>
  <c r="AL30" i="3"/>
  <c r="R30" i="3"/>
  <c r="N30" i="3"/>
  <c r="M30" i="3"/>
  <c r="BM30" i="3"/>
  <c r="I30" i="3"/>
  <c r="BL30" i="3"/>
  <c r="Y30" i="3"/>
  <c r="G30" i="3"/>
  <c r="H30" i="3" s="1"/>
  <c r="AM30" i="3"/>
  <c r="X30" i="3"/>
  <c r="D30" i="3"/>
  <c r="S30" i="3"/>
  <c r="W30" i="3"/>
  <c r="V381" i="6"/>
  <c r="N47" i="5"/>
  <c r="N101" i="5"/>
  <c r="W54" i="6"/>
  <c r="X54" i="6" s="1"/>
  <c r="Y54" i="6" s="1"/>
  <c r="AA54" i="6" s="1"/>
  <c r="O273" i="5"/>
  <c r="P273" i="5" s="1"/>
  <c r="Q273" i="5" s="1"/>
  <c r="S273" i="5" s="1"/>
  <c r="Q283" i="5"/>
  <c r="S283" i="5" s="1"/>
  <c r="V271" i="6"/>
  <c r="N120" i="5"/>
  <c r="X76" i="6"/>
  <c r="Y76" i="6" s="1"/>
  <c r="AA76" i="6" s="1"/>
  <c r="T156" i="5"/>
  <c r="T51" i="5"/>
  <c r="U51" i="5" s="1"/>
  <c r="U360" i="6"/>
  <c r="W360" i="6" s="1"/>
  <c r="U599" i="6"/>
  <c r="K40" i="6"/>
  <c r="X167" i="6"/>
  <c r="Y167" i="6" s="1"/>
  <c r="AA167" i="6" s="1"/>
  <c r="X98" i="6"/>
  <c r="Y98" i="6" s="1"/>
  <c r="AA98" i="6" s="1"/>
  <c r="X484" i="6"/>
  <c r="Y484" i="6" s="1"/>
  <c r="AA484" i="6" s="1"/>
  <c r="U220" i="6"/>
  <c r="U450" i="6"/>
  <c r="W450" i="6" s="1"/>
  <c r="W304" i="6"/>
  <c r="V304" i="6"/>
  <c r="U304" i="6"/>
  <c r="W704" i="6"/>
  <c r="U340" i="6"/>
  <c r="V340" i="6"/>
  <c r="U221" i="6"/>
  <c r="W305" i="6"/>
  <c r="V305" i="6"/>
  <c r="U305" i="6"/>
  <c r="U609" i="6"/>
  <c r="U431" i="6"/>
  <c r="V431" i="6" s="1"/>
  <c r="U529" i="6"/>
  <c r="AB418" i="6"/>
  <c r="AC418" i="6" s="1"/>
  <c r="C133" i="4"/>
  <c r="C85" i="4"/>
  <c r="C37" i="4"/>
  <c r="C24" i="3"/>
  <c r="X634" i="6"/>
  <c r="Y634" i="6" s="1"/>
  <c r="AA634" i="6" s="1"/>
  <c r="N124" i="5"/>
  <c r="P124" i="5" s="1"/>
  <c r="Q124" i="5" s="1"/>
  <c r="S124" i="5" s="1"/>
  <c r="O118" i="5"/>
  <c r="U375" i="6"/>
  <c r="U329" i="6"/>
  <c r="K31" i="6"/>
  <c r="U657" i="6"/>
  <c r="W657" i="6" s="1"/>
  <c r="U154" i="6"/>
  <c r="W154" i="6" s="1"/>
  <c r="U425" i="6"/>
  <c r="W425" i="6"/>
  <c r="V233" i="6"/>
  <c r="X233" i="6" s="1"/>
  <c r="Y233" i="6" s="1"/>
  <c r="AA233" i="6" s="1"/>
  <c r="U390" i="6"/>
  <c r="W390" i="6" s="1"/>
  <c r="AB410" i="6"/>
  <c r="AE410" i="6" s="1"/>
  <c r="V744" i="6"/>
  <c r="X744" i="6" s="1"/>
  <c r="Y744" i="6" s="1"/>
  <c r="AA744" i="6" s="1"/>
  <c r="P223" i="5"/>
  <c r="Q223" i="5" s="1"/>
  <c r="S223" i="5" s="1"/>
  <c r="O215" i="5"/>
  <c r="O234" i="5"/>
  <c r="W284" i="6"/>
  <c r="U284" i="6"/>
  <c r="V284" i="6" s="1"/>
  <c r="V95" i="6"/>
  <c r="X95" i="6" s="1"/>
  <c r="Y95" i="6" s="1"/>
  <c r="AA95" i="6" s="1"/>
  <c r="V169" i="6"/>
  <c r="X169" i="6" s="1"/>
  <c r="Y169" i="6" s="1"/>
  <c r="AA169" i="6" s="1"/>
  <c r="V430" i="6"/>
  <c r="X430" i="6" s="1"/>
  <c r="Y430" i="6" s="1"/>
  <c r="AA430" i="6" s="1"/>
  <c r="W570" i="6"/>
  <c r="X570" i="6" s="1"/>
  <c r="Y570" i="6" s="1"/>
  <c r="AA570" i="6" s="1"/>
  <c r="U553" i="6"/>
  <c r="W696" i="6"/>
  <c r="W184" i="6"/>
  <c r="V350" i="6"/>
  <c r="X350" i="6" s="1"/>
  <c r="V739" i="6"/>
  <c r="U739" i="6"/>
  <c r="X412" i="6"/>
  <c r="Y412" i="6" s="1"/>
  <c r="AA412" i="6" s="1"/>
  <c r="O298" i="5"/>
  <c r="C142" i="4"/>
  <c r="C94" i="4"/>
  <c r="C46" i="4"/>
  <c r="C33" i="3"/>
  <c r="AT46" i="3"/>
  <c r="BB46" i="3"/>
  <c r="B46" i="3" s="1"/>
  <c r="O68" i="5"/>
  <c r="N91" i="5"/>
  <c r="P91" i="5" s="1"/>
  <c r="Q91" i="5" s="1"/>
  <c r="S91" i="5" s="1"/>
  <c r="V105" i="6"/>
  <c r="X105" i="6" s="1"/>
  <c r="Y105" i="6" s="1"/>
  <c r="AA105" i="6" s="1"/>
  <c r="U73" i="6"/>
  <c r="V73" i="6" s="1"/>
  <c r="U150" i="6"/>
  <c r="W150" i="6" s="1"/>
  <c r="U428" i="6"/>
  <c r="W428" i="6" s="1"/>
  <c r="U392" i="6"/>
  <c r="W392" i="6" s="1"/>
  <c r="W558" i="6"/>
  <c r="V86" i="6"/>
  <c r="X86" i="6" s="1"/>
  <c r="Y86" i="6" s="1"/>
  <c r="AA86" i="6" s="1"/>
  <c r="W711" i="6"/>
  <c r="V320" i="6"/>
  <c r="N69" i="5"/>
  <c r="P69" i="5" s="1"/>
  <c r="Q69" i="5" s="1"/>
  <c r="S69" i="5" s="1"/>
  <c r="W376" i="6"/>
  <c r="O77" i="5"/>
  <c r="P77" i="5" s="1"/>
  <c r="Q77" i="5" s="1"/>
  <c r="S77" i="5" s="1"/>
  <c r="O293" i="5"/>
  <c r="P293" i="5" s="1"/>
  <c r="Q293" i="5" s="1"/>
  <c r="S293" i="5" s="1"/>
  <c r="X194" i="6"/>
  <c r="Y194" i="6" s="1"/>
  <c r="AA194" i="6" s="1"/>
  <c r="W85" i="6"/>
  <c r="X85" i="6" s="1"/>
  <c r="Y85" i="6" s="1"/>
  <c r="AA85" i="6" s="1"/>
  <c r="X596" i="6"/>
  <c r="Y596" i="6" s="1"/>
  <c r="AA596" i="6" s="1"/>
  <c r="W393" i="6"/>
  <c r="O250" i="5"/>
  <c r="P250" i="5" s="1"/>
  <c r="Q250" i="5" s="1"/>
  <c r="S250" i="5" s="1"/>
  <c r="O259" i="5"/>
  <c r="W143" i="6"/>
  <c r="X427" i="6"/>
  <c r="Y427" i="6" s="1"/>
  <c r="AA427" i="6" s="1"/>
  <c r="V248" i="6"/>
  <c r="X248" i="6" s="1"/>
  <c r="Y248" i="6" s="1"/>
  <c r="AA248" i="6" s="1"/>
  <c r="W389" i="6"/>
  <c r="W351" i="6"/>
  <c r="X351" i="6" s="1"/>
  <c r="Y351" i="6" s="1"/>
  <c r="AA351" i="6" s="1"/>
  <c r="T143" i="5"/>
  <c r="U143" i="5"/>
  <c r="V173" i="6"/>
  <c r="P97" i="5"/>
  <c r="Q97" i="5" s="1"/>
  <c r="S97" i="5" s="1"/>
  <c r="X563" i="6"/>
  <c r="Y563" i="6" s="1"/>
  <c r="AA563" i="6" s="1"/>
  <c r="W381" i="6"/>
  <c r="O47" i="5"/>
  <c r="J34" i="6"/>
  <c r="J35" i="6"/>
  <c r="J36" i="6"/>
  <c r="J31" i="6"/>
  <c r="J37" i="6"/>
  <c r="J33" i="6"/>
  <c r="J32" i="6"/>
  <c r="J30" i="6"/>
  <c r="D27" i="5"/>
  <c r="D26" i="5"/>
  <c r="D25" i="5"/>
  <c r="X325" i="6"/>
  <c r="Y325" i="6" s="1"/>
  <c r="AA325" i="6" s="1"/>
  <c r="W471" i="6"/>
  <c r="X471" i="6" s="1"/>
  <c r="Y471" i="6" s="1"/>
  <c r="AA471" i="6" s="1"/>
  <c r="W271" i="6"/>
  <c r="P170" i="5"/>
  <c r="Q170" i="5" s="1"/>
  <c r="S170" i="5" s="1"/>
  <c r="O120" i="5"/>
  <c r="V57" i="6"/>
  <c r="X57" i="6" s="1"/>
  <c r="Y57" i="6" s="1"/>
  <c r="AA57" i="6" s="1"/>
  <c r="U659" i="6"/>
  <c r="V659" i="6" s="1"/>
  <c r="K42" i="6"/>
  <c r="U439" i="6"/>
  <c r="W439" i="6" s="1"/>
  <c r="U193" i="6"/>
  <c r="U727" i="6"/>
  <c r="X465" i="6"/>
  <c r="Y465" i="6" s="1"/>
  <c r="AA465" i="6" s="1"/>
  <c r="U420" i="6"/>
  <c r="V420" i="6" s="1"/>
  <c r="V240" i="6"/>
  <c r="U240" i="6"/>
  <c r="W240" i="6" s="1"/>
  <c r="X555" i="6"/>
  <c r="Y555" i="6" s="1"/>
  <c r="AA555" i="6" s="1"/>
  <c r="X650" i="6"/>
  <c r="V207" i="6"/>
  <c r="U207" i="6"/>
  <c r="P271" i="5"/>
  <c r="Q271" i="5" s="1"/>
  <c r="S271" i="5" s="1"/>
  <c r="U330" i="6"/>
  <c r="U149" i="6"/>
  <c r="W149" i="6" s="1"/>
  <c r="K25" i="6"/>
  <c r="X443" i="6"/>
  <c r="Y443" i="6" s="1"/>
  <c r="AA443" i="6" s="1"/>
  <c r="V479" i="6"/>
  <c r="U479" i="6"/>
  <c r="W479" i="6" s="1"/>
  <c r="K36" i="6"/>
  <c r="X754" i="6"/>
  <c r="Y754" i="6" s="1"/>
  <c r="AA754" i="6" s="1"/>
  <c r="C128" i="4"/>
  <c r="C80" i="4"/>
  <c r="C32" i="4"/>
  <c r="C19" i="3"/>
  <c r="V767" i="6"/>
  <c r="U767" i="6"/>
  <c r="T158" i="5"/>
  <c r="U158" i="5" s="1"/>
  <c r="O191" i="5"/>
  <c r="P191" i="5" s="1"/>
  <c r="Q191" i="5" s="1"/>
  <c r="S191" i="5" s="1"/>
  <c r="V356" i="6"/>
  <c r="U356" i="6"/>
  <c r="O196" i="5"/>
  <c r="O287" i="5"/>
  <c r="P287" i="5" s="1"/>
  <c r="Q287" i="5" s="1"/>
  <c r="S287" i="5" s="1"/>
  <c r="U361" i="6"/>
  <c r="W361" i="6" s="1"/>
  <c r="U119" i="6"/>
  <c r="K24" i="6"/>
  <c r="V168" i="6"/>
  <c r="X168" i="6" s="1"/>
  <c r="Y168" i="6" s="1"/>
  <c r="AA168" i="6" s="1"/>
  <c r="U168" i="6"/>
  <c r="W168" i="6" s="1"/>
  <c r="U586" i="6"/>
  <c r="V586" i="6" s="1"/>
  <c r="U259" i="6"/>
  <c r="V591" i="6"/>
  <c r="V763" i="6"/>
  <c r="N75" i="5"/>
  <c r="P75" i="5" s="1"/>
  <c r="Q75" i="5" s="1"/>
  <c r="S75" i="5" s="1"/>
  <c r="C56" i="3"/>
  <c r="C117" i="4"/>
  <c r="C69" i="4"/>
  <c r="C165" i="4"/>
  <c r="N272" i="5"/>
  <c r="P272" i="5" s="1"/>
  <c r="Q272" i="5" s="1"/>
  <c r="S272" i="5" s="1"/>
  <c r="V359" i="6"/>
  <c r="U359" i="6"/>
  <c r="W359" i="6"/>
  <c r="K32" i="6"/>
  <c r="U730" i="6"/>
  <c r="W730" i="6" s="1"/>
  <c r="U312" i="6"/>
  <c r="W312" i="6" s="1"/>
  <c r="U587" i="6"/>
  <c r="W587" i="6" s="1"/>
  <c r="V699" i="6"/>
  <c r="U699" i="6"/>
  <c r="W699" i="6" s="1"/>
  <c r="V701" i="6"/>
  <c r="X701" i="6" s="1"/>
  <c r="Y701" i="6" s="1"/>
  <c r="AA701" i="6" s="1"/>
  <c r="V537" i="6"/>
  <c r="X537" i="6" s="1"/>
  <c r="Y537" i="6" s="1"/>
  <c r="AA537" i="6" s="1"/>
  <c r="O281" i="5"/>
  <c r="P281" i="5" s="1"/>
  <c r="Q281" i="5" s="1"/>
  <c r="S281" i="5" s="1"/>
  <c r="P280" i="5"/>
  <c r="Q280" i="5" s="1"/>
  <c r="S280" i="5" s="1"/>
  <c r="Q300" i="5"/>
  <c r="S300" i="5" s="1"/>
  <c r="U274" i="6"/>
  <c r="W274" i="6" s="1"/>
  <c r="U523" i="6"/>
  <c r="V679" i="6"/>
  <c r="U679" i="6"/>
  <c r="W679" i="6"/>
  <c r="U602" i="6"/>
  <c r="W602" i="6" s="1"/>
  <c r="V602" i="6"/>
  <c r="X602" i="6" s="1"/>
  <c r="Y602" i="6" s="1"/>
  <c r="AA602" i="6" s="1"/>
  <c r="U255" i="6"/>
  <c r="V255" i="6" s="1"/>
  <c r="U753" i="6"/>
  <c r="V753" i="6" s="1"/>
  <c r="U211" i="6"/>
  <c r="V406" i="6"/>
  <c r="X406" i="6" s="1"/>
  <c r="Y406" i="6" s="1"/>
  <c r="AA406" i="6" s="1"/>
  <c r="P142" i="5"/>
  <c r="Q142" i="5" s="1"/>
  <c r="S142" i="5" s="1"/>
  <c r="C112" i="4"/>
  <c r="C64" i="4"/>
  <c r="C160" i="4"/>
  <c r="C51" i="3"/>
  <c r="W379" i="6"/>
  <c r="U379" i="6"/>
  <c r="V379" i="6" s="1"/>
  <c r="V339" i="6"/>
  <c r="X339" i="6" s="1"/>
  <c r="U339" i="6"/>
  <c r="Y339" i="6" s="1"/>
  <c r="AA339" i="6" s="1"/>
  <c r="W339" i="6"/>
  <c r="V724" i="6"/>
  <c r="X724" i="6" s="1"/>
  <c r="Y724" i="6" s="1"/>
  <c r="AA724" i="6" s="1"/>
  <c r="U209" i="6"/>
  <c r="W209" i="6" s="1"/>
  <c r="K27" i="6"/>
  <c r="U597" i="6"/>
  <c r="V597" i="6" s="1"/>
  <c r="U480" i="6"/>
  <c r="W480" i="6" s="1"/>
  <c r="V158" i="6"/>
  <c r="X158" i="6" s="1"/>
  <c r="Y158" i="6" s="1"/>
  <c r="AA158" i="6" s="1"/>
  <c r="W459" i="6"/>
  <c r="X459" i="6" s="1"/>
  <c r="Y459" i="6" s="1"/>
  <c r="AA459" i="6" s="1"/>
  <c r="U91" i="6"/>
  <c r="W91" i="6" s="1"/>
  <c r="N278" i="5"/>
  <c r="U624" i="6"/>
  <c r="P209" i="5"/>
  <c r="Q209" i="5" s="1"/>
  <c r="S209" i="5" s="1"/>
  <c r="V109" i="6"/>
  <c r="X109" i="6" s="1"/>
  <c r="Y109" i="6" s="1"/>
  <c r="AA109" i="6" s="1"/>
  <c r="W187" i="6"/>
  <c r="X187" i="6" s="1"/>
  <c r="Y187" i="6" s="1"/>
  <c r="AA187" i="6" s="1"/>
  <c r="C161" i="4"/>
  <c r="C113" i="4"/>
  <c r="C65" i="4"/>
  <c r="C52" i="3"/>
  <c r="U514" i="6"/>
  <c r="V514" i="6" s="1"/>
  <c r="U668" i="6"/>
  <c r="W668" i="6" s="1"/>
  <c r="U108" i="6"/>
  <c r="W108" i="6" s="1"/>
  <c r="U395" i="6"/>
  <c r="W395" i="6" s="1"/>
  <c r="V416" i="6"/>
  <c r="X416" i="6" s="1"/>
  <c r="Y416" i="6" s="1"/>
  <c r="AA416" i="6" s="1"/>
  <c r="O214" i="5"/>
  <c r="P214" i="5" s="1"/>
  <c r="Q214" i="5" s="1"/>
  <c r="S214" i="5" s="1"/>
  <c r="U348" i="6"/>
  <c r="V738" i="6"/>
  <c r="X738" i="6" s="1"/>
  <c r="Y738" i="6" s="1"/>
  <c r="AA738" i="6" s="1"/>
  <c r="X536" i="6"/>
  <c r="Y536" i="6" s="1"/>
  <c r="AA536" i="6" s="1"/>
  <c r="X681" i="6"/>
  <c r="Y681" i="6" s="1"/>
  <c r="AA681" i="6" s="1"/>
  <c r="U282" i="6"/>
  <c r="W282" i="6" s="1"/>
  <c r="U122" i="6"/>
  <c r="V122" i="6" s="1"/>
  <c r="W122" i="6"/>
  <c r="U510" i="6"/>
  <c r="V510" i="6" s="1"/>
  <c r="V616" i="6"/>
  <c r="U616" i="6"/>
  <c r="W616" i="6" s="1"/>
  <c r="U574" i="6"/>
  <c r="W574" i="6" s="1"/>
  <c r="V574" i="6"/>
  <c r="U400" i="6"/>
  <c r="W400" i="6" s="1"/>
  <c r="U692" i="6"/>
  <c r="V692" i="6" s="1"/>
  <c r="V560" i="6"/>
  <c r="V436" i="6"/>
  <c r="X436" i="6" s="1"/>
  <c r="Y436" i="6" s="1"/>
  <c r="AA436" i="6" s="1"/>
  <c r="W175" i="6"/>
  <c r="X175" i="6" s="1"/>
  <c r="Y175" i="6" s="1"/>
  <c r="AA175" i="6" s="1"/>
  <c r="Y263" i="6"/>
  <c r="AA263" i="6" s="1"/>
  <c r="V236" i="6"/>
  <c r="X236" i="6" s="1"/>
  <c r="Y236" i="6" s="1"/>
  <c r="AA236" i="6" s="1"/>
  <c r="O140" i="5"/>
  <c r="N67" i="5"/>
  <c r="V107" i="6"/>
  <c r="X107" i="6" s="1"/>
  <c r="Y107" i="6" s="1"/>
  <c r="AA107" i="6" s="1"/>
  <c r="O161" i="5"/>
  <c r="P161" i="5" s="1"/>
  <c r="Q161" i="5" s="1"/>
  <c r="S161" i="5" s="1"/>
  <c r="W116" i="6"/>
  <c r="X262" i="6"/>
  <c r="Y262" i="6" s="1"/>
  <c r="AA262" i="6" s="1"/>
  <c r="W337" i="6"/>
  <c r="X337" i="6" s="1"/>
  <c r="Y337" i="6" s="1"/>
  <c r="AA337" i="6" s="1"/>
  <c r="W327" i="6"/>
  <c r="X327" i="6" s="1"/>
  <c r="Y327" i="6" s="1"/>
  <c r="AA327" i="6" s="1"/>
  <c r="X196" i="6"/>
  <c r="Y196" i="6" s="1"/>
  <c r="AA196" i="6" s="1"/>
  <c r="U367" i="6"/>
  <c r="AT57" i="3"/>
  <c r="BB57" i="3"/>
  <c r="B57" i="3" s="1"/>
  <c r="AB288" i="6"/>
  <c r="X384" i="6"/>
  <c r="Y384" i="6" s="1"/>
  <c r="AA384" i="6" s="1"/>
  <c r="P251" i="5"/>
  <c r="Q251" i="5" s="1"/>
  <c r="S251" i="5" s="1"/>
  <c r="C132" i="4"/>
  <c r="C84" i="4"/>
  <c r="C36" i="4"/>
  <c r="C23" i="3"/>
  <c r="U490" i="6"/>
  <c r="V490" i="6" s="1"/>
  <c r="U520" i="6"/>
  <c r="V520" i="6" s="1"/>
  <c r="U666" i="6"/>
  <c r="V666" i="6" s="1"/>
  <c r="U317" i="6"/>
  <c r="W317" i="6" s="1"/>
  <c r="V426" i="6"/>
  <c r="U426" i="6"/>
  <c r="W426" i="6" s="1"/>
  <c r="U88" i="6"/>
  <c r="W88" i="6" s="1"/>
  <c r="U544" i="6"/>
  <c r="X505" i="6"/>
  <c r="Y505" i="6" s="1"/>
  <c r="AA505" i="6" s="1"/>
  <c r="T189" i="5"/>
  <c r="U189" i="5" s="1"/>
  <c r="P63" i="5"/>
  <c r="Q63" i="5" s="1"/>
  <c r="S63" i="5" s="1"/>
  <c r="P44" i="5"/>
  <c r="Q44" i="5" s="1"/>
  <c r="S44" i="5" s="1"/>
  <c r="U285" i="6"/>
  <c r="U334" i="6"/>
  <c r="U106" i="6"/>
  <c r="U766" i="6"/>
  <c r="W766" i="6" s="1"/>
  <c r="P166" i="5"/>
  <c r="Q166" i="5" s="1"/>
  <c r="S166" i="5" s="1"/>
  <c r="P224" i="5"/>
  <c r="Q224" i="5" s="1"/>
  <c r="S224" i="5" s="1"/>
  <c r="T121" i="5"/>
  <c r="U121" i="5" s="1"/>
  <c r="U125" i="6"/>
  <c r="V125" i="6" s="1"/>
  <c r="W527" i="6"/>
  <c r="V527" i="6"/>
  <c r="U527" i="6"/>
  <c r="U197" i="6"/>
  <c r="W197" i="6" s="1"/>
  <c r="U228" i="6"/>
  <c r="X313" i="6"/>
  <c r="Y313" i="6" s="1"/>
  <c r="AA313" i="6" s="1"/>
  <c r="U398" i="6"/>
  <c r="W398" i="6" s="1"/>
  <c r="AB75" i="6"/>
  <c r="AC75" i="6" s="1"/>
  <c r="X263" i="6"/>
  <c r="X204" i="6"/>
  <c r="Y204" i="6" s="1"/>
  <c r="AA204" i="6" s="1"/>
  <c r="X89" i="6"/>
  <c r="Y89" i="6" s="1"/>
  <c r="AA89" i="6" s="1"/>
  <c r="X594" i="6"/>
  <c r="Y594" i="6" s="1"/>
  <c r="AA594" i="6" s="1"/>
  <c r="P279" i="5"/>
  <c r="Q279" i="5" s="1"/>
  <c r="S279" i="5" s="1"/>
  <c r="X441" i="6"/>
  <c r="Y441" i="6" s="1"/>
  <c r="AA441" i="6" s="1"/>
  <c r="X290" i="6"/>
  <c r="Y290" i="6" s="1"/>
  <c r="AA290" i="6" s="1"/>
  <c r="X476" i="6"/>
  <c r="Y476" i="6" s="1"/>
  <c r="AA476" i="6" s="1"/>
  <c r="W268" i="6"/>
  <c r="P163" i="5"/>
  <c r="Q163" i="5" s="1"/>
  <c r="S163" i="5" s="1"/>
  <c r="U513" i="6"/>
  <c r="W513" i="6" s="1"/>
  <c r="U226" i="6"/>
  <c r="V226" i="6" s="1"/>
  <c r="W226" i="6"/>
  <c r="T155" i="5"/>
  <c r="U155" i="5" s="1"/>
  <c r="P40" i="5"/>
  <c r="Q40" i="5" s="1"/>
  <c r="S40" i="5" s="1"/>
  <c r="U148" i="6"/>
  <c r="V148" i="6" s="1"/>
  <c r="U690" i="6"/>
  <c r="W763" i="6"/>
  <c r="AB202" i="6"/>
  <c r="AC202" i="6" s="1"/>
  <c r="U572" i="6"/>
  <c r="W572" i="6" s="1"/>
  <c r="V572" i="6"/>
  <c r="U322" i="6"/>
  <c r="W322" i="6" s="1"/>
  <c r="AB517" i="6"/>
  <c r="AC517" i="6" s="1"/>
  <c r="X622" i="6"/>
  <c r="Y622" i="6" s="1"/>
  <c r="AA622" i="6" s="1"/>
  <c r="T225" i="5"/>
  <c r="U225" i="5" s="1"/>
  <c r="X213" i="6"/>
  <c r="Y213" i="6" s="1"/>
  <c r="AA213" i="6" s="1"/>
  <c r="AB467" i="6"/>
  <c r="AC467" i="6" s="1"/>
  <c r="AB135" i="6"/>
  <c r="AC135" i="6" s="1"/>
  <c r="V623" i="6"/>
  <c r="W623" i="6"/>
  <c r="U623" i="6"/>
  <c r="C147" i="4"/>
  <c r="C99" i="4"/>
  <c r="C51" i="4"/>
  <c r="C38" i="3"/>
  <c r="P288" i="5"/>
  <c r="Q288" i="5" s="1"/>
  <c r="S288" i="5" s="1"/>
  <c r="M106" i="5"/>
  <c r="O106" i="5" s="1"/>
  <c r="N286" i="5"/>
  <c r="P286" i="5" s="1"/>
  <c r="Q286" i="5" s="1"/>
  <c r="S286" i="5" s="1"/>
  <c r="O267" i="5"/>
  <c r="U366" i="6"/>
  <c r="W366" i="6" s="1"/>
  <c r="U345" i="6"/>
  <c r="V345" i="6" s="1"/>
  <c r="V627" i="6"/>
  <c r="X627" i="6" s="1"/>
  <c r="Y627" i="6" s="1"/>
  <c r="AA627" i="6" s="1"/>
  <c r="U157" i="6"/>
  <c r="U573" i="6"/>
  <c r="V573" i="6" s="1"/>
  <c r="V404" i="6"/>
  <c r="U762" i="6"/>
  <c r="V762" i="6"/>
  <c r="U405" i="6"/>
  <c r="V697" i="6"/>
  <c r="X697" i="6" s="1"/>
  <c r="Y697" i="6" s="1"/>
  <c r="AA697" i="6" s="1"/>
  <c r="V546" i="6"/>
  <c r="X546" i="6" s="1"/>
  <c r="Y546" i="6" s="1"/>
  <c r="AA546" i="6" s="1"/>
  <c r="N184" i="5"/>
  <c r="P184" i="5" s="1"/>
  <c r="Q184" i="5" s="1"/>
  <c r="S184" i="5" s="1"/>
  <c r="U493" i="6"/>
  <c r="V493" i="6" s="1"/>
  <c r="U303" i="6"/>
  <c r="W303" i="6" s="1"/>
  <c r="X110" i="6"/>
  <c r="Y110" i="6" s="1"/>
  <c r="AA110" i="6" s="1"/>
  <c r="U687" i="6"/>
  <c r="U435" i="6"/>
  <c r="V435" i="6" s="1"/>
  <c r="W742" i="6"/>
  <c r="X742" i="6" s="1"/>
  <c r="Y742" i="6" s="1"/>
  <c r="AA742" i="6" s="1"/>
  <c r="W706" i="6"/>
  <c r="X706" i="6" s="1"/>
  <c r="Y706" i="6" s="1"/>
  <c r="AA706" i="6" s="1"/>
  <c r="P72" i="5"/>
  <c r="Q72" i="5" s="1"/>
  <c r="S72" i="5" s="1"/>
  <c r="C102" i="4"/>
  <c r="C54" i="4"/>
  <c r="C150" i="4"/>
  <c r="C41" i="3"/>
  <c r="C151" i="4"/>
  <c r="C103" i="4"/>
  <c r="C55" i="4"/>
  <c r="C42" i="3"/>
  <c r="U422" i="6"/>
  <c r="V422" i="6" s="1"/>
  <c r="N300" i="5"/>
  <c r="P300" i="5" s="1"/>
  <c r="N84" i="5"/>
  <c r="P84" i="5" s="1"/>
  <c r="Q84" i="5" s="1"/>
  <c r="S84" i="5" s="1"/>
  <c r="P193" i="5"/>
  <c r="Q193" i="5" s="1"/>
  <c r="S193" i="5" s="1"/>
  <c r="N165" i="5"/>
  <c r="P165" i="5" s="1"/>
  <c r="Q165" i="5" s="1"/>
  <c r="S165" i="5" s="1"/>
  <c r="AT45" i="3"/>
  <c r="BB45" i="3"/>
  <c r="B45" i="3" s="1"/>
  <c r="U279" i="6"/>
  <c r="V279" i="6" s="1"/>
  <c r="U134" i="6"/>
  <c r="U180" i="6"/>
  <c r="W180" i="6" s="1"/>
  <c r="U669" i="6"/>
  <c r="U162" i="6"/>
  <c r="U394" i="6"/>
  <c r="W394" i="6" s="1"/>
  <c r="V528" i="6"/>
  <c r="U528" i="6"/>
  <c r="W528" i="6" s="1"/>
  <c r="W213" i="6"/>
  <c r="T205" i="5"/>
  <c r="U205" i="5" s="1"/>
  <c r="AT47" i="3"/>
  <c r="BB47" i="3"/>
  <c r="B47" i="3" s="1"/>
  <c r="W481" i="6"/>
  <c r="V481" i="6"/>
  <c r="U481" i="6"/>
  <c r="U649" i="6"/>
  <c r="U578" i="6"/>
  <c r="V578" i="6" s="1"/>
  <c r="U391" i="6"/>
  <c r="W391" i="6" s="1"/>
  <c r="W258" i="6"/>
  <c r="X258" i="6" s="1"/>
  <c r="Y258" i="6" s="1"/>
  <c r="AA258" i="6" s="1"/>
  <c r="U117" i="6"/>
  <c r="V179" i="6"/>
  <c r="O278" i="5"/>
  <c r="W378" i="6"/>
  <c r="V78" i="6"/>
  <c r="X78" i="6" s="1"/>
  <c r="Y78" i="6" s="1"/>
  <c r="AA78" i="6" s="1"/>
  <c r="V547" i="6"/>
  <c r="X547" i="6" s="1"/>
  <c r="Y547" i="6" s="1"/>
  <c r="AA547" i="6" s="1"/>
  <c r="N125" i="5"/>
  <c r="P125" i="5" s="1"/>
  <c r="Q125" i="5" s="1"/>
  <c r="S125" i="5" s="1"/>
  <c r="U477" i="6"/>
  <c r="U522" i="6"/>
  <c r="U300" i="6"/>
  <c r="W300" i="6" s="1"/>
  <c r="U576" i="6"/>
  <c r="V576" i="6" s="1"/>
  <c r="U87" i="6"/>
  <c r="U542" i="6"/>
  <c r="W542" i="6" s="1"/>
  <c r="T157" i="5"/>
  <c r="U157" i="5" s="1"/>
  <c r="U364" i="6"/>
  <c r="W364" i="6" s="1"/>
  <c r="U315" i="6"/>
  <c r="W315" i="6" s="1"/>
  <c r="W607" i="6"/>
  <c r="U607" i="6"/>
  <c r="V607" i="6" s="1"/>
  <c r="Y350" i="6"/>
  <c r="AA350" i="6" s="1"/>
  <c r="U585" i="6"/>
  <c r="V585" i="6" s="1"/>
  <c r="M284" i="5"/>
  <c r="O284" i="5" s="1"/>
  <c r="N238" i="5"/>
  <c r="P238" i="5" s="1"/>
  <c r="Q238" i="5" s="1"/>
  <c r="S238" i="5" s="1"/>
  <c r="U273" i="6"/>
  <c r="W273" i="6" s="1"/>
  <c r="U123" i="6"/>
  <c r="W123" i="6" s="1"/>
  <c r="W507" i="6"/>
  <c r="V507" i="6"/>
  <c r="U507" i="6"/>
  <c r="U633" i="6"/>
  <c r="V633" i="6" s="1"/>
  <c r="U208" i="6"/>
  <c r="W208" i="6" s="1"/>
  <c r="V577" i="6"/>
  <c r="X577" i="6" s="1"/>
  <c r="Y577" i="6" s="1"/>
  <c r="AA577" i="6" s="1"/>
  <c r="V386" i="6"/>
  <c r="U764" i="6"/>
  <c r="W764" i="6"/>
  <c r="Y232" i="6"/>
  <c r="AA232" i="6" s="1"/>
  <c r="U631" i="6"/>
  <c r="V631" i="6" s="1"/>
  <c r="U543" i="6"/>
  <c r="W560" i="6"/>
  <c r="W686" i="6"/>
  <c r="X686" i="6" s="1"/>
  <c r="Y686" i="6" s="1"/>
  <c r="AA686" i="6" s="1"/>
  <c r="W128" i="6"/>
  <c r="X128" i="6" s="1"/>
  <c r="Y128" i="6" s="1"/>
  <c r="AA128" i="6" s="1"/>
  <c r="N107" i="5"/>
  <c r="P107" i="5" s="1"/>
  <c r="Q107" i="5" s="1"/>
  <c r="S107" i="5" s="1"/>
  <c r="O131" i="5"/>
  <c r="P131" i="5" s="1"/>
  <c r="Q131" i="5" s="1"/>
  <c r="S131" i="5" s="1"/>
  <c r="V466" i="6"/>
  <c r="V399" i="6"/>
  <c r="V504" i="6"/>
  <c r="X504" i="6" s="1"/>
  <c r="Y504" i="6" s="1"/>
  <c r="AA504" i="6" s="1"/>
  <c r="N207" i="5"/>
  <c r="P207" i="5" s="1"/>
  <c r="Q207" i="5" s="1"/>
  <c r="S207" i="5" s="1"/>
  <c r="O263" i="5"/>
  <c r="P263" i="5" s="1"/>
  <c r="Q263" i="5" s="1"/>
  <c r="S263" i="5" s="1"/>
  <c r="W682" i="6"/>
  <c r="X682" i="6" s="1"/>
  <c r="Y682" i="6" s="1"/>
  <c r="AA682" i="6" s="1"/>
  <c r="V564" i="6"/>
  <c r="X564" i="6" s="1"/>
  <c r="Y564" i="6" s="1"/>
  <c r="AA564" i="6" s="1"/>
  <c r="O103" i="5"/>
  <c r="N140" i="5"/>
  <c r="V222" i="6"/>
  <c r="X222" i="6" s="1"/>
  <c r="Y222" i="6" s="1"/>
  <c r="AA222" i="6" s="1"/>
  <c r="V595" i="6"/>
  <c r="W445" i="6"/>
  <c r="X445" i="6" s="1"/>
  <c r="Y445" i="6" s="1"/>
  <c r="AA445" i="6" s="1"/>
  <c r="O203" i="5"/>
  <c r="O67" i="5"/>
  <c r="V709" i="6"/>
  <c r="X709" i="6" s="1"/>
  <c r="Y709" i="6" s="1"/>
  <c r="AA709" i="6" s="1"/>
  <c r="N180" i="5"/>
  <c r="O111" i="5"/>
  <c r="P111" i="5" s="1"/>
  <c r="Q111" i="5" s="1"/>
  <c r="S111" i="5" s="1"/>
  <c r="N217" i="5"/>
  <c r="P217" i="5" s="1"/>
  <c r="Q217" i="5" s="1"/>
  <c r="S217" i="5" s="1"/>
  <c r="O93" i="5"/>
  <c r="P93" i="5" s="1"/>
  <c r="Q93" i="5" s="1"/>
  <c r="S93" i="5" s="1"/>
  <c r="V444" i="6"/>
  <c r="X444" i="6" s="1"/>
  <c r="Y444" i="6" s="1"/>
  <c r="AA444" i="6" s="1"/>
  <c r="N38" i="5"/>
  <c r="P38" i="5" s="1"/>
  <c r="Q38" i="5" s="1"/>
  <c r="S38" i="5" s="1"/>
  <c r="X234" i="6"/>
  <c r="Y234" i="6" s="1"/>
  <c r="AA234" i="6" s="1"/>
  <c r="U363" i="6"/>
  <c r="W363" i="6"/>
  <c r="X647" i="6"/>
  <c r="Y647" i="6" s="1"/>
  <c r="AA647" i="6" s="1"/>
  <c r="U700" i="6"/>
  <c r="P113" i="5"/>
  <c r="Q113" i="5" s="1"/>
  <c r="S113" i="5" s="1"/>
  <c r="U397" i="6"/>
  <c r="V397" i="6" s="1"/>
  <c r="AC401" i="6"/>
  <c r="U130" i="6"/>
  <c r="X645" i="6"/>
  <c r="Y645" i="6" s="1"/>
  <c r="AA645" i="6" s="1"/>
  <c r="U497" i="6"/>
  <c r="W497" i="6" s="1"/>
  <c r="W404" i="6"/>
  <c r="U357" i="6"/>
  <c r="W357" i="6" s="1"/>
  <c r="U189" i="6"/>
  <c r="U721" i="6"/>
  <c r="V721" i="6" s="1"/>
  <c r="U559" i="6"/>
  <c r="V559" i="6" s="1"/>
  <c r="X620" i="6"/>
  <c r="Y620" i="6" s="1"/>
  <c r="AA620" i="6" s="1"/>
  <c r="V299" i="6"/>
  <c r="X299" i="6" s="1"/>
  <c r="Y299" i="6" s="1"/>
  <c r="AA299" i="6" s="1"/>
  <c r="U478" i="6"/>
  <c r="U638" i="6"/>
  <c r="V638" i="6" s="1"/>
  <c r="U579" i="6"/>
  <c r="W579" i="6" s="1"/>
  <c r="U388" i="6"/>
  <c r="V388" i="6" s="1"/>
  <c r="U205" i="6"/>
  <c r="V205" i="6" s="1"/>
  <c r="V289" i="6"/>
  <c r="X289" i="6" s="1"/>
  <c r="Y289" i="6" s="1"/>
  <c r="AA289" i="6" s="1"/>
  <c r="U165" i="6"/>
  <c r="W165" i="6" s="1"/>
  <c r="W604" i="6"/>
  <c r="X604" i="6" s="1"/>
  <c r="Y604" i="6" s="1"/>
  <c r="AA604" i="6" s="1"/>
  <c r="W179" i="6"/>
  <c r="M226" i="5"/>
  <c r="T216" i="5"/>
  <c r="W216" i="5" s="1"/>
  <c r="P261" i="5"/>
  <c r="Q261" i="5" s="1"/>
  <c r="S261" i="5" s="1"/>
  <c r="U126" i="6"/>
  <c r="V580" i="6"/>
  <c r="W580" i="6"/>
  <c r="U580" i="6"/>
  <c r="U247" i="6"/>
  <c r="V247" i="6" s="1"/>
  <c r="AB440" i="6"/>
  <c r="AE440" i="6" s="1"/>
  <c r="P122" i="5"/>
  <c r="Q122" i="5" s="1"/>
  <c r="S122" i="5" s="1"/>
  <c r="U512" i="6"/>
  <c r="W512" i="6" s="1"/>
  <c r="U677" i="6"/>
  <c r="V677" i="6" s="1"/>
  <c r="U298" i="6"/>
  <c r="W298" i="6" s="1"/>
  <c r="U423" i="6"/>
  <c r="W423" i="6" s="1"/>
  <c r="V100" i="6"/>
  <c r="X100" i="6" s="1"/>
  <c r="Y100" i="6" s="1"/>
  <c r="AA100" i="6" s="1"/>
  <c r="U368" i="6"/>
  <c r="BB58" i="3"/>
  <c r="B58" i="3" s="1"/>
  <c r="AT58" i="3"/>
  <c r="U362" i="6"/>
  <c r="V362" i="6" s="1"/>
  <c r="W362" i="6"/>
  <c r="U346" i="6"/>
  <c r="W346" i="6" s="1"/>
  <c r="U670" i="6"/>
  <c r="W670" i="6" s="1"/>
  <c r="U219" i="6"/>
  <c r="V219" i="6" s="1"/>
  <c r="W386" i="6"/>
  <c r="V639" i="6"/>
  <c r="X702" i="6"/>
  <c r="Y702" i="6" s="1"/>
  <c r="AA702" i="6" s="1"/>
  <c r="P90" i="5"/>
  <c r="Q90" i="5" s="1"/>
  <c r="S90" i="5" s="1"/>
  <c r="W466" i="6"/>
  <c r="W399" i="6"/>
  <c r="P117" i="5"/>
  <c r="Q117" i="5" s="1"/>
  <c r="S117" i="5" s="1"/>
  <c r="T201" i="5"/>
  <c r="U201" i="5" s="1"/>
  <c r="X276" i="6"/>
  <c r="Y276" i="6" s="1"/>
  <c r="AA276" i="6" s="1"/>
  <c r="O180" i="5"/>
  <c r="T40" i="3"/>
  <c r="J40" i="3"/>
  <c r="AM40" i="3"/>
  <c r="S40" i="3"/>
  <c r="I40" i="3"/>
  <c r="AL40" i="3"/>
  <c r="R40" i="3"/>
  <c r="D40" i="3"/>
  <c r="BM40" i="3"/>
  <c r="V40" i="3"/>
  <c r="BL40" i="3"/>
  <c r="U40" i="3"/>
  <c r="N40" i="3"/>
  <c r="M40" i="3"/>
  <c r="L40" i="3"/>
  <c r="K40" i="3"/>
  <c r="G40" i="3"/>
  <c r="H40" i="3" s="1"/>
  <c r="Y40" i="3"/>
  <c r="X40" i="3"/>
  <c r="W40" i="3"/>
  <c r="V735" i="6"/>
  <c r="X735" i="6" s="1"/>
  <c r="Y735" i="6" s="1"/>
  <c r="AA735" i="6" s="1"/>
  <c r="V323" i="6"/>
  <c r="X323" i="6" s="1"/>
  <c r="Y323" i="6" s="1"/>
  <c r="AA323" i="6" s="1"/>
  <c r="V268" i="6"/>
  <c r="X99" i="6"/>
  <c r="Y99" i="6" s="1"/>
  <c r="AA99" i="6" s="1"/>
  <c r="W94" i="6"/>
  <c r="X94" i="6" s="1"/>
  <c r="Y94" i="6" s="1"/>
  <c r="AA94" i="6" s="1"/>
  <c r="U516" i="6"/>
  <c r="W516" i="6" s="1"/>
  <c r="U433" i="6"/>
  <c r="W433" i="6" s="1"/>
  <c r="W396" i="6"/>
  <c r="V396" i="6"/>
  <c r="U396" i="6"/>
  <c r="U326" i="6"/>
  <c r="U515" i="6"/>
  <c r="V515" i="6" s="1"/>
  <c r="U58" i="6"/>
  <c r="V58" i="6" s="1"/>
  <c r="U582" i="6"/>
  <c r="W582" i="6" s="1"/>
  <c r="X241" i="6"/>
  <c r="Y241" i="6" s="1"/>
  <c r="AA241" i="6" s="1"/>
  <c r="N256" i="5"/>
  <c r="N267" i="5"/>
  <c r="U603" i="6"/>
  <c r="V533" i="6"/>
  <c r="X533" i="6" s="1"/>
  <c r="Y533" i="6" s="1"/>
  <c r="AA533" i="6" s="1"/>
  <c r="V532" i="6"/>
  <c r="X532" i="6" s="1"/>
  <c r="Y532" i="6" s="1"/>
  <c r="AA532" i="6" s="1"/>
  <c r="U283" i="6"/>
  <c r="V283" i="6" s="1"/>
  <c r="X342" i="6"/>
  <c r="Y342" i="6" s="1"/>
  <c r="AA342" i="6" s="1"/>
  <c r="W310" i="6"/>
  <c r="X310" i="6" s="1"/>
  <c r="Y310" i="6" s="1"/>
  <c r="AA310" i="6" s="1"/>
  <c r="U758" i="6"/>
  <c r="W758" i="6" s="1"/>
  <c r="V382" i="6"/>
  <c r="N168" i="5"/>
  <c r="P168" i="5" s="1"/>
  <c r="Q168" i="5" s="1"/>
  <c r="S168" i="5" s="1"/>
  <c r="U495" i="6"/>
  <c r="W495" i="6" s="1"/>
  <c r="U664" i="6"/>
  <c r="V664" i="6" s="1"/>
  <c r="U79" i="6"/>
  <c r="W79" i="6" s="1"/>
  <c r="U437" i="6"/>
  <c r="U757" i="6"/>
  <c r="W757" i="6" s="1"/>
  <c r="W171" i="6"/>
  <c r="X171" i="6" s="1"/>
  <c r="Y171" i="6" s="1"/>
  <c r="AA171" i="6" s="1"/>
  <c r="V726" i="6"/>
  <c r="X732" i="6"/>
  <c r="Y732" i="6" s="1"/>
  <c r="AA732" i="6" s="1"/>
  <c r="N37" i="5"/>
  <c r="P37" i="5" s="1"/>
  <c r="Q37" i="5" s="1"/>
  <c r="S37" i="5" s="1"/>
  <c r="U127" i="6"/>
  <c r="U722" i="6"/>
  <c r="U153" i="6"/>
  <c r="W153" i="6" s="1"/>
  <c r="U583" i="6"/>
  <c r="X293" i="6"/>
  <c r="Y293" i="6" s="1"/>
  <c r="AA293" i="6" s="1"/>
  <c r="P102" i="5"/>
  <c r="Q102" i="5" s="1"/>
  <c r="S102" i="5" s="1"/>
  <c r="T242" i="5"/>
  <c r="U242" i="5" s="1"/>
  <c r="U482" i="6"/>
  <c r="V482" i="6" s="1"/>
  <c r="U626" i="6"/>
  <c r="V626" i="6" s="1"/>
  <c r="U452" i="6"/>
  <c r="W452" i="6" s="1"/>
  <c r="X614" i="6"/>
  <c r="Y614" i="6" s="1"/>
  <c r="AA614" i="6" s="1"/>
  <c r="U566" i="6"/>
  <c r="U556" i="6"/>
  <c r="X338" i="6"/>
  <c r="Y338" i="6" s="1"/>
  <c r="AA338" i="6" s="1"/>
  <c r="U671" i="6"/>
  <c r="V671" i="6" s="1"/>
  <c r="Q148" i="5"/>
  <c r="S148" i="5" s="1"/>
  <c r="V378" i="6"/>
  <c r="V201" i="6"/>
  <c r="X201" i="6" s="1"/>
  <c r="Y201" i="6" s="1"/>
  <c r="AA201" i="6" s="1"/>
  <c r="V550" i="6"/>
  <c r="X550" i="6" s="1"/>
  <c r="Y550" i="6" s="1"/>
  <c r="AA550" i="6" s="1"/>
  <c r="P109" i="5"/>
  <c r="Q109" i="5" s="1"/>
  <c r="S109" i="5" s="1"/>
  <c r="C92" i="4"/>
  <c r="C31" i="3"/>
  <c r="C44" i="4"/>
  <c r="C140" i="4"/>
  <c r="V502" i="6"/>
  <c r="V600" i="6"/>
  <c r="X600" i="6" s="1"/>
  <c r="Y600" i="6" s="1"/>
  <c r="AA600" i="6" s="1"/>
  <c r="V641" i="6"/>
  <c r="N268" i="5"/>
  <c r="N206" i="5"/>
  <c r="O174" i="5"/>
  <c r="N297" i="5"/>
  <c r="P297" i="5" s="1"/>
  <c r="Q297" i="5" s="1"/>
  <c r="S297" i="5" s="1"/>
  <c r="N88" i="5"/>
  <c r="P88" i="5" s="1"/>
  <c r="Q88" i="5" s="1"/>
  <c r="S88" i="5" s="1"/>
  <c r="U286" i="6"/>
  <c r="W286" i="6" s="1"/>
  <c r="U121" i="6"/>
  <c r="W121" i="6" s="1"/>
  <c r="W183" i="6"/>
  <c r="X183" i="6" s="1"/>
  <c r="Y183" i="6" s="1"/>
  <c r="AA183" i="6" s="1"/>
  <c r="U66" i="6"/>
  <c r="W66" i="6" s="1"/>
  <c r="U571" i="6"/>
  <c r="U707" i="6"/>
  <c r="U174" i="6"/>
  <c r="W174" i="6" s="1"/>
  <c r="V387" i="6"/>
  <c r="X387" i="6" s="1"/>
  <c r="Y387" i="6" s="1"/>
  <c r="AA387" i="6" s="1"/>
  <c r="M76" i="5"/>
  <c r="N76" i="5" s="1"/>
  <c r="T99" i="5"/>
  <c r="U99" i="5" s="1"/>
  <c r="N128" i="5"/>
  <c r="P128" i="5" s="1"/>
  <c r="Q128" i="5" s="1"/>
  <c r="S128" i="5" s="1"/>
  <c r="N115" i="5"/>
  <c r="P115" i="5" s="1"/>
  <c r="Q115" i="5" s="1"/>
  <c r="S115" i="5" s="1"/>
  <c r="U373" i="6"/>
  <c r="V373" i="6" s="1"/>
  <c r="U663" i="6"/>
  <c r="W663" i="6" s="1"/>
  <c r="U64" i="6"/>
  <c r="V64" i="6" s="1"/>
  <c r="U301" i="6"/>
  <c r="W301" i="6" s="1"/>
  <c r="W618" i="6"/>
  <c r="X618" i="6" s="1"/>
  <c r="Y618" i="6" s="1"/>
  <c r="AA618" i="6" s="1"/>
  <c r="V567" i="6"/>
  <c r="X567" i="6" s="1"/>
  <c r="Y567" i="6" s="1"/>
  <c r="AA567" i="6" s="1"/>
  <c r="U538" i="6"/>
  <c r="W538" i="6" s="1"/>
  <c r="V759" i="6"/>
  <c r="X673" i="6"/>
  <c r="Y673" i="6" s="1"/>
  <c r="AA673" i="6" s="1"/>
  <c r="W530" i="6"/>
  <c r="N59" i="5"/>
  <c r="U374" i="6"/>
  <c r="W374" i="6" s="1"/>
  <c r="U333" i="6"/>
  <c r="W113" i="6"/>
  <c r="X113" i="6" s="1"/>
  <c r="Y113" i="6" s="1"/>
  <c r="AA113" i="6" s="1"/>
  <c r="U661" i="6"/>
  <c r="V661" i="6" s="1"/>
  <c r="U453" i="6"/>
  <c r="V453" i="6" s="1"/>
  <c r="W639" i="6"/>
  <c r="V501" i="6"/>
  <c r="X501" i="6" s="1"/>
  <c r="Y501" i="6" s="1"/>
  <c r="AA501" i="6" s="1"/>
  <c r="O110" i="5"/>
  <c r="P110" i="5" s="1"/>
  <c r="Q110" i="5" s="1"/>
  <c r="S110" i="5" s="1"/>
  <c r="X630" i="6"/>
  <c r="Y630" i="6" s="1"/>
  <c r="AA630" i="6" s="1"/>
  <c r="W145" i="6"/>
  <c r="X145" i="6" s="1"/>
  <c r="Y145" i="6" s="1"/>
  <c r="AA145" i="6" s="1"/>
  <c r="Y250" i="6"/>
  <c r="AA250" i="6" s="1"/>
  <c r="V743" i="6"/>
  <c r="X743" i="6" s="1"/>
  <c r="Y743" i="6" s="1"/>
  <c r="AA743" i="6" s="1"/>
  <c r="X509" i="6"/>
  <c r="Y509" i="6" s="1"/>
  <c r="AA509" i="6" s="1"/>
  <c r="W588" i="6"/>
  <c r="X588" i="6" s="1"/>
  <c r="Y588" i="6" s="1"/>
  <c r="AA588" i="6" s="1"/>
  <c r="W176" i="6"/>
  <c r="X176" i="6" s="1"/>
  <c r="Y176" i="6" s="1"/>
  <c r="AA176" i="6" s="1"/>
  <c r="W243" i="6"/>
  <c r="X243" i="6" s="1"/>
  <c r="Y243" i="6" s="1"/>
  <c r="AA243" i="6" s="1"/>
  <c r="N173" i="5"/>
  <c r="V164" i="6"/>
  <c r="V525" i="6"/>
  <c r="X525" i="6" s="1"/>
  <c r="Y525" i="6" s="1"/>
  <c r="AA525" i="6" s="1"/>
  <c r="V535" i="6"/>
  <c r="X535" i="6" s="1"/>
  <c r="Y535" i="6" s="1"/>
  <c r="AA535" i="6" s="1"/>
  <c r="N103" i="5"/>
  <c r="P103" i="5" s="1"/>
  <c r="Q103" i="5" s="1"/>
  <c r="S103" i="5" s="1"/>
  <c r="Y235" i="6"/>
  <c r="AA235" i="6" s="1"/>
  <c r="W595" i="6"/>
  <c r="N203" i="5"/>
  <c r="P203" i="5" s="1"/>
  <c r="Q203" i="5" s="1"/>
  <c r="S203" i="5" s="1"/>
  <c r="Y750" i="6"/>
  <c r="AA750" i="6" s="1"/>
  <c r="W353" i="6"/>
  <c r="X353" i="6" s="1"/>
  <c r="Y353" i="6" s="1"/>
  <c r="AA353" i="6" s="1"/>
  <c r="V715" i="6"/>
  <c r="X715" i="6" s="1"/>
  <c r="Y715" i="6" s="1"/>
  <c r="AA715" i="6" s="1"/>
  <c r="N200" i="5"/>
  <c r="P200" i="5" s="1"/>
  <c r="Q200" i="5" s="1"/>
  <c r="S200" i="5" s="1"/>
  <c r="AF72" i="4"/>
  <c r="G26" i="4"/>
  <c r="T257" i="5"/>
  <c r="U257" i="5"/>
  <c r="U318" i="6"/>
  <c r="V318" i="6" s="1"/>
  <c r="X246" i="6"/>
  <c r="Y246" i="6" s="1"/>
  <c r="AA246" i="6" s="1"/>
  <c r="W491" i="6"/>
  <c r="U491" i="6"/>
  <c r="V491" i="6" s="1"/>
  <c r="U660" i="6"/>
  <c r="W660" i="6" s="1"/>
  <c r="U760" i="6"/>
  <c r="V760" i="6" s="1"/>
  <c r="W760" i="6"/>
  <c r="AT39" i="3"/>
  <c r="BB39" i="3"/>
  <c r="B39" i="3" s="1"/>
  <c r="P127" i="5"/>
  <c r="Q127" i="5" s="1"/>
  <c r="S127" i="5" s="1"/>
  <c r="P230" i="5"/>
  <c r="Q230" i="5" s="1"/>
  <c r="S230" i="5" s="1"/>
  <c r="O256" i="5"/>
  <c r="U648" i="6"/>
  <c r="W648" i="6" s="1"/>
  <c r="U60" i="6"/>
  <c r="U314" i="6"/>
  <c r="V314" i="6" s="1"/>
  <c r="U545" i="6"/>
  <c r="W545" i="6" s="1"/>
  <c r="W192" i="6"/>
  <c r="X192" i="6" s="1"/>
  <c r="Y192" i="6" s="1"/>
  <c r="AA192" i="6" s="1"/>
  <c r="W382" i="6"/>
  <c r="O73" i="5"/>
  <c r="P73" i="5" s="1"/>
  <c r="Q73" i="5" s="1"/>
  <c r="S73" i="5" s="1"/>
  <c r="P105" i="5"/>
  <c r="Q105" i="5" s="1"/>
  <c r="S105" i="5" s="1"/>
  <c r="P237" i="5"/>
  <c r="Q237" i="5" s="1"/>
  <c r="S237" i="5" s="1"/>
  <c r="U138" i="6"/>
  <c r="W138" i="6" s="1"/>
  <c r="U181" i="6"/>
  <c r="W181" i="6" s="1"/>
  <c r="V181" i="6"/>
  <c r="U678" i="6"/>
  <c r="V678" i="6" s="1"/>
  <c r="U224" i="6"/>
  <c r="W224" i="6" s="1"/>
  <c r="V224" i="6"/>
  <c r="U417" i="6"/>
  <c r="W417" i="6" s="1"/>
  <c r="X103" i="6"/>
  <c r="Y103" i="6" s="1"/>
  <c r="AA103" i="6" s="1"/>
  <c r="U749" i="6"/>
  <c r="K45" i="6"/>
  <c r="U658" i="6"/>
  <c r="V658" i="6" s="1"/>
  <c r="V104" i="6"/>
  <c r="X104" i="6" s="1"/>
  <c r="Y104" i="6" s="1"/>
  <c r="AA104" i="6" s="1"/>
  <c r="W726" i="6"/>
  <c r="O37" i="5"/>
  <c r="X500" i="6"/>
  <c r="Y500" i="6" s="1"/>
  <c r="AA500" i="6" s="1"/>
  <c r="O171" i="5"/>
  <c r="AT36" i="3"/>
  <c r="BB36" i="3"/>
  <c r="B36" i="3" s="1"/>
  <c r="AF120" i="4"/>
  <c r="H26" i="4"/>
  <c r="U377" i="6"/>
  <c r="V377" i="6" s="1"/>
  <c r="U341" i="6"/>
  <c r="V341" i="6" s="1"/>
  <c r="U643" i="6"/>
  <c r="V643" i="6" s="1"/>
  <c r="U728" i="6"/>
  <c r="U308" i="6"/>
  <c r="W308" i="6" s="1"/>
  <c r="U581" i="6"/>
  <c r="V581" i="6"/>
  <c r="U551" i="6"/>
  <c r="W551" i="6" s="1"/>
  <c r="V365" i="6"/>
  <c r="U365" i="6"/>
  <c r="W365" i="6" s="1"/>
  <c r="V568" i="6"/>
  <c r="X568" i="6" s="1"/>
  <c r="Y568" i="6" s="1"/>
  <c r="AA568" i="6" s="1"/>
  <c r="O277" i="5"/>
  <c r="T108" i="5"/>
  <c r="U108" i="5" s="1"/>
  <c r="BB48" i="3"/>
  <c r="B48" i="3" s="1"/>
  <c r="AT48" i="3"/>
  <c r="U132" i="6"/>
  <c r="U518" i="6"/>
  <c r="W518" i="6" s="1"/>
  <c r="V675" i="6"/>
  <c r="U675" i="6"/>
  <c r="W675" i="6" s="1"/>
  <c r="U72" i="6"/>
  <c r="W72" i="6" s="1"/>
  <c r="AB147" i="6"/>
  <c r="AC147" i="6" s="1"/>
  <c r="U252" i="6"/>
  <c r="U554" i="6"/>
  <c r="U765" i="6"/>
  <c r="W765" i="6" s="1"/>
  <c r="U352" i="6"/>
  <c r="V352" i="6" s="1"/>
  <c r="U434" i="6"/>
  <c r="W434" i="6" s="1"/>
  <c r="AT53" i="3"/>
  <c r="BB53" i="3"/>
  <c r="B53" i="3" s="1"/>
  <c r="X191" i="6"/>
  <c r="Y191" i="6" s="1"/>
  <c r="AA191" i="6" s="1"/>
  <c r="W502" i="6"/>
  <c r="P78" i="5"/>
  <c r="Q78" i="5" s="1"/>
  <c r="S78" i="5" s="1"/>
  <c r="W641" i="6"/>
  <c r="O268" i="5"/>
  <c r="O206" i="5"/>
  <c r="C111" i="4"/>
  <c r="C159" i="4"/>
  <c r="C63" i="4"/>
  <c r="C50" i="3"/>
  <c r="N174" i="5"/>
  <c r="U139" i="6"/>
  <c r="U77" i="6"/>
  <c r="W77" i="6" s="1"/>
  <c r="X454" i="6"/>
  <c r="Y454" i="6" s="1"/>
  <c r="AA454" i="6" s="1"/>
  <c r="U768" i="6"/>
  <c r="AB710" i="6"/>
  <c r="AE710" i="6" s="1"/>
  <c r="W238" i="6"/>
  <c r="T232" i="5"/>
  <c r="U232" i="5" s="1"/>
  <c r="N244" i="5"/>
  <c r="P244" i="5" s="1"/>
  <c r="Q244" i="5" s="1"/>
  <c r="S244" i="5" s="1"/>
  <c r="U483" i="6"/>
  <c r="U511" i="6"/>
  <c r="V511" i="6" s="1"/>
  <c r="U210" i="6"/>
  <c r="V210" i="6" s="1"/>
  <c r="X438" i="6"/>
  <c r="Y438" i="6" s="1"/>
  <c r="AA438" i="6" s="1"/>
  <c r="U705" i="6"/>
  <c r="W759" i="6"/>
  <c r="X261" i="6"/>
  <c r="Y261" i="6" s="1"/>
  <c r="AA261" i="6" s="1"/>
  <c r="X489" i="6"/>
  <c r="Y489" i="6" s="1"/>
  <c r="AA489" i="6" s="1"/>
  <c r="X761" i="6"/>
  <c r="Y761" i="6" s="1"/>
  <c r="AA761" i="6" s="1"/>
  <c r="V530" i="6"/>
  <c r="O59" i="5"/>
  <c r="AT43" i="3"/>
  <c r="BB43" i="3"/>
  <c r="B43" i="3" s="1"/>
  <c r="C131" i="4"/>
  <c r="C83" i="4"/>
  <c r="C22" i="3"/>
  <c r="C35" i="4"/>
  <c r="U370" i="6"/>
  <c r="U676" i="6"/>
  <c r="U569" i="6"/>
  <c r="W569" i="6" s="1"/>
  <c r="K39" i="6"/>
  <c r="U549" i="6"/>
  <c r="X755" i="6"/>
  <c r="Y755" i="6" s="1"/>
  <c r="AA755" i="6" s="1"/>
  <c r="X717" i="6"/>
  <c r="Y717" i="6" s="1"/>
  <c r="AA717" i="6" s="1"/>
  <c r="X605" i="6"/>
  <c r="Y605" i="6" s="1"/>
  <c r="AA605" i="6" s="1"/>
  <c r="X53" i="6"/>
  <c r="Y53" i="6" s="1"/>
  <c r="AA53" i="6" s="1"/>
  <c r="Y612" i="6"/>
  <c r="AA612" i="6" s="1"/>
  <c r="V82" i="6"/>
  <c r="X82" i="6" s="1"/>
  <c r="Y82" i="6" s="1"/>
  <c r="AA82" i="6" s="1"/>
  <c r="V292" i="6"/>
  <c r="X292" i="6" s="1"/>
  <c r="Y292" i="6" s="1"/>
  <c r="AA292" i="6" s="1"/>
  <c r="O173" i="5"/>
  <c r="W164" i="6"/>
  <c r="N194" i="5"/>
  <c r="P194" i="5" s="1"/>
  <c r="Q194" i="5" s="1"/>
  <c r="S194" i="5" s="1"/>
  <c r="O210" i="5"/>
  <c r="P210" i="5" s="1"/>
  <c r="Q210" i="5" s="1"/>
  <c r="S210" i="5" s="1"/>
  <c r="O101" i="5"/>
  <c r="X52" i="6"/>
  <c r="Y52" i="6" s="1"/>
  <c r="AA52" i="6" s="1"/>
  <c r="P220" i="5"/>
  <c r="Q220" i="5" s="1"/>
  <c r="S220" i="5" s="1"/>
  <c r="X468" i="6"/>
  <c r="Y468" i="6" s="1"/>
  <c r="AA468" i="6" s="1"/>
  <c r="V411" i="6"/>
  <c r="X411" i="6" s="1"/>
  <c r="Y411" i="6" s="1"/>
  <c r="AA411" i="6" s="1"/>
  <c r="P54" i="5"/>
  <c r="Q54" i="5" s="1"/>
  <c r="S54" i="5" s="1"/>
  <c r="V59" i="6"/>
  <c r="X59" i="6" s="1"/>
  <c r="Y59" i="6" s="1"/>
  <c r="AA59" i="6" s="1"/>
  <c r="N60" i="5"/>
  <c r="P60" i="5" s="1"/>
  <c r="Q60" i="5" s="1"/>
  <c r="S60" i="5" s="1"/>
  <c r="X34" i="3"/>
  <c r="N34" i="3"/>
  <c r="W34" i="3"/>
  <c r="M34" i="3"/>
  <c r="BM34" i="3"/>
  <c r="V34" i="3"/>
  <c r="L34" i="3"/>
  <c r="T34" i="3"/>
  <c r="J34" i="3"/>
  <c r="R34" i="3"/>
  <c r="K34" i="3"/>
  <c r="S34" i="3"/>
  <c r="I34" i="3"/>
  <c r="AM34" i="3"/>
  <c r="D34" i="3"/>
  <c r="AL34" i="3"/>
  <c r="Y34" i="3"/>
  <c r="U34" i="3"/>
  <c r="BL34" i="3"/>
  <c r="V703" i="6"/>
  <c r="X703" i="6" s="1"/>
  <c r="Y703" i="6" s="1"/>
  <c r="AA703" i="6" s="1"/>
  <c r="C134" i="4"/>
  <c r="C86" i="4"/>
  <c r="C25" i="3"/>
  <c r="C38" i="4"/>
  <c r="W287" i="6"/>
  <c r="V287" i="6"/>
  <c r="X287" i="6" s="1"/>
  <c r="Y287" i="6" s="1"/>
  <c r="AA287" i="6" s="1"/>
  <c r="U287" i="6"/>
  <c r="M86" i="5"/>
  <c r="U120" i="6"/>
  <c r="U217" i="6"/>
  <c r="P137" i="5"/>
  <c r="Q137" i="5" s="1"/>
  <c r="S137" i="5" s="1"/>
  <c r="U129" i="6"/>
  <c r="W129" i="6" s="1"/>
  <c r="AB608" i="6"/>
  <c r="AC608" i="6" s="1"/>
  <c r="U267" i="6"/>
  <c r="W267" i="6" s="1"/>
  <c r="U223" i="6"/>
  <c r="W223" i="6" s="1"/>
  <c r="U324" i="6"/>
  <c r="W324" i="6" s="1"/>
  <c r="U371" i="6"/>
  <c r="V371" i="6" s="1"/>
  <c r="U160" i="6"/>
  <c r="V160" i="6" s="1"/>
  <c r="AB230" i="6"/>
  <c r="AE230" i="6" s="1"/>
  <c r="AE231" i="6" s="1"/>
  <c r="U403" i="6"/>
  <c r="W403" i="6" s="1"/>
  <c r="U332" i="6"/>
  <c r="W332" i="6" s="1"/>
  <c r="X455" i="6"/>
  <c r="Y455" i="6" s="1"/>
  <c r="AA455" i="6" s="1"/>
  <c r="U539" i="6"/>
  <c r="V539" i="6" s="1"/>
  <c r="K38" i="6"/>
  <c r="U508" i="6"/>
  <c r="V508" i="6" s="1"/>
  <c r="W508" i="6"/>
  <c r="U751" i="6"/>
  <c r="W751" i="6" s="1"/>
  <c r="X552" i="6"/>
  <c r="Y552" i="6" s="1"/>
  <c r="AA552" i="6" s="1"/>
  <c r="C158" i="4"/>
  <c r="C110" i="4"/>
  <c r="C49" i="3"/>
  <c r="C62" i="4"/>
  <c r="U521" i="6"/>
  <c r="V521" i="6" s="1"/>
  <c r="U662" i="6"/>
  <c r="V662" i="6" s="1"/>
  <c r="U598" i="6"/>
  <c r="W598" i="6" s="1"/>
  <c r="W50" i="6"/>
  <c r="X50" i="6" s="1"/>
  <c r="Y50" i="6" s="1"/>
  <c r="AA50" i="6" s="1"/>
  <c r="U540" i="6"/>
  <c r="W540" i="6" s="1"/>
  <c r="V540" i="6"/>
  <c r="Y650" i="6"/>
  <c r="AA650" i="6" s="1"/>
  <c r="U278" i="6"/>
  <c r="U118" i="6"/>
  <c r="W118" i="6" s="1"/>
  <c r="U177" i="6"/>
  <c r="V177" i="6" s="1"/>
  <c r="T199" i="5"/>
  <c r="U199" i="5" s="1"/>
  <c r="U485" i="6"/>
  <c r="U343" i="6"/>
  <c r="V343" i="6" s="1"/>
  <c r="W343" i="6"/>
  <c r="W74" i="6"/>
  <c r="V74" i="6"/>
  <c r="U74" i="6"/>
  <c r="U319" i="6"/>
  <c r="V319" i="6"/>
  <c r="U695" i="6"/>
  <c r="W695" i="6" s="1"/>
  <c r="V740" i="6"/>
  <c r="X740" i="6" s="1"/>
  <c r="Y740" i="6" s="1"/>
  <c r="AA740" i="6" s="1"/>
  <c r="U372" i="6"/>
  <c r="V372" i="6" s="1"/>
  <c r="W80" i="6"/>
  <c r="X80" i="6" s="1"/>
  <c r="Y80" i="6" s="1"/>
  <c r="AA80" i="6" s="1"/>
  <c r="AT55" i="3"/>
  <c r="BB55" i="3"/>
  <c r="B55" i="3" s="1"/>
  <c r="U272" i="6"/>
  <c r="U526" i="6"/>
  <c r="V526" i="6" s="1"/>
  <c r="U747" i="6"/>
  <c r="V747" i="6" s="1"/>
  <c r="AB380" i="6"/>
  <c r="AE380" i="6" s="1"/>
  <c r="I26" i="4"/>
  <c r="AF168" i="4"/>
  <c r="U734" i="6"/>
  <c r="W734" i="6" s="1"/>
  <c r="W96" i="5"/>
  <c r="U212" i="6"/>
  <c r="W212" i="6" s="1"/>
  <c r="U748" i="6"/>
  <c r="W748" i="6"/>
  <c r="T112" i="5"/>
  <c r="U112" i="5" s="1"/>
  <c r="U492" i="6"/>
  <c r="W492" i="6" s="1"/>
  <c r="V492" i="6"/>
  <c r="U190" i="6"/>
  <c r="U227" i="6"/>
  <c r="V227" i="6" s="1"/>
  <c r="U457" i="6"/>
  <c r="W457" i="6" s="1"/>
  <c r="U237" i="6"/>
  <c r="V237" i="6" s="1"/>
  <c r="U708" i="6"/>
  <c r="W708" i="6" s="1"/>
  <c r="V590" i="6"/>
  <c r="X590" i="6" s="1"/>
  <c r="Y590" i="6" s="1"/>
  <c r="AA590" i="6" s="1"/>
  <c r="M176" i="5"/>
  <c r="O176" i="5" s="1"/>
  <c r="U729" i="6"/>
  <c r="V729" i="6" s="1"/>
  <c r="V170" i="6"/>
  <c r="X170" i="6" s="1"/>
  <c r="Y170" i="6" s="1"/>
  <c r="AA170" i="6" s="1"/>
  <c r="V470" i="6"/>
  <c r="X470" i="6" s="1"/>
  <c r="Y470" i="6" s="1"/>
  <c r="AA470" i="6" s="1"/>
  <c r="P167" i="5"/>
  <c r="Q167" i="5" s="1"/>
  <c r="S167" i="5" s="1"/>
  <c r="X161" i="6"/>
  <c r="Y161" i="6" s="1"/>
  <c r="AA161" i="6" s="1"/>
  <c r="V260" i="6"/>
  <c r="X260" i="6" s="1"/>
  <c r="Y260" i="6" s="1"/>
  <c r="AA260" i="6" s="1"/>
  <c r="W523" i="6" l="1"/>
  <c r="V523" i="6"/>
  <c r="W649" i="6"/>
  <c r="V649" i="6"/>
  <c r="W369" i="6"/>
  <c r="V369" i="6"/>
  <c r="V403" i="6"/>
  <c r="V106" i="6"/>
  <c r="X106" i="6" s="1"/>
  <c r="Y106" i="6" s="1"/>
  <c r="AA106" i="6" s="1"/>
  <c r="W106" i="6"/>
  <c r="V229" i="6"/>
  <c r="W753" i="6"/>
  <c r="V274" i="6"/>
  <c r="V312" i="6"/>
  <c r="V615" i="6"/>
  <c r="W615" i="6"/>
  <c r="V765" i="6"/>
  <c r="X765" i="6" s="1"/>
  <c r="Y765" i="6" s="1"/>
  <c r="AA765" i="6" s="1"/>
  <c r="AB765" i="6" s="1"/>
  <c r="AC765" i="6" s="1"/>
  <c r="V174" i="6"/>
  <c r="W609" i="6"/>
  <c r="V609" i="6"/>
  <c r="W661" i="6"/>
  <c r="W677" i="6"/>
  <c r="W478" i="6"/>
  <c r="V478" i="6"/>
  <c r="X478" i="6" s="1"/>
  <c r="V129" i="6"/>
  <c r="V768" i="6"/>
  <c r="W768" i="6"/>
  <c r="X572" i="6"/>
  <c r="W162" i="6"/>
  <c r="V162" i="6"/>
  <c r="W358" i="6"/>
  <c r="V358" i="6"/>
  <c r="W63" i="6"/>
  <c r="V63" i="6"/>
  <c r="X63" i="6" s="1"/>
  <c r="Y63" i="6" s="1"/>
  <c r="AA63" i="6" s="1"/>
  <c r="T292" i="5"/>
  <c r="U292" i="5" s="1"/>
  <c r="W255" i="6"/>
  <c r="V308" i="6"/>
  <c r="W554" i="6"/>
  <c r="V252" i="6"/>
  <c r="W252" i="6"/>
  <c r="AB737" i="6"/>
  <c r="AC737" i="6" s="1"/>
  <c r="V300" i="6"/>
  <c r="V398" i="6"/>
  <c r="V395" i="6"/>
  <c r="V209" i="6"/>
  <c r="W659" i="6"/>
  <c r="T305" i="5"/>
  <c r="U305" i="5" s="1"/>
  <c r="V554" i="6"/>
  <c r="X554" i="6" s="1"/>
  <c r="Y554" i="6" s="1"/>
  <c r="AA554" i="6" s="1"/>
  <c r="AB554" i="6" s="1"/>
  <c r="AC554" i="6" s="1"/>
  <c r="V751" i="6"/>
  <c r="X491" i="6"/>
  <c r="Y491" i="6" s="1"/>
  <c r="AA491" i="6" s="1"/>
  <c r="V121" i="6"/>
  <c r="X502" i="6"/>
  <c r="Y502" i="6" s="1"/>
  <c r="AA502" i="6" s="1"/>
  <c r="V157" i="6"/>
  <c r="W157" i="6"/>
  <c r="U149" i="5"/>
  <c r="V705" i="6"/>
  <c r="X705" i="6" s="1"/>
  <c r="Y705" i="6" s="1"/>
  <c r="AA705" i="6" s="1"/>
  <c r="AB705" i="6" s="1"/>
  <c r="AC705" i="6" s="1"/>
  <c r="W705" i="6"/>
  <c r="W520" i="6"/>
  <c r="X520" i="6" s="1"/>
  <c r="Y520" i="6" s="1"/>
  <c r="AA520" i="6" s="1"/>
  <c r="AB520" i="6" s="1"/>
  <c r="AC520" i="6" s="1"/>
  <c r="V708" i="6"/>
  <c r="W397" i="6"/>
  <c r="X227" i="6"/>
  <c r="W227" i="6"/>
  <c r="V569" i="6"/>
  <c r="U197" i="5"/>
  <c r="P52" i="5"/>
  <c r="Q52" i="5" s="1"/>
  <c r="S52" i="5" s="1"/>
  <c r="T52" i="5" s="1"/>
  <c r="U52" i="5" s="1"/>
  <c r="X623" i="6"/>
  <c r="Y623" i="6" s="1"/>
  <c r="AA623" i="6" s="1"/>
  <c r="P172" i="5"/>
  <c r="X654" i="6"/>
  <c r="Y654" i="6" s="1"/>
  <c r="AA654" i="6" s="1"/>
  <c r="AB654" i="6" s="1"/>
  <c r="AC654" i="6" s="1"/>
  <c r="P178" i="5"/>
  <c r="Q178" i="5" s="1"/>
  <c r="S178" i="5" s="1"/>
  <c r="V182" i="6"/>
  <c r="U186" i="5"/>
  <c r="V186" i="5" s="1"/>
  <c r="P160" i="5"/>
  <c r="Q160" i="5" s="1"/>
  <c r="S160" i="5" s="1"/>
  <c r="X644" i="6"/>
  <c r="Y644" i="6" s="1"/>
  <c r="AA644" i="6" s="1"/>
  <c r="AB644" i="6" s="1"/>
  <c r="AC644" i="6" s="1"/>
  <c r="X331" i="6"/>
  <c r="Y331" i="6" s="1"/>
  <c r="AA331" i="6" s="1"/>
  <c r="V419" i="6"/>
  <c r="T270" i="5"/>
  <c r="U270" i="5" s="1"/>
  <c r="U150" i="5"/>
  <c r="V114" i="6"/>
  <c r="X114" i="6" s="1"/>
  <c r="Y114" i="6" s="1"/>
  <c r="AA114" i="6" s="1"/>
  <c r="W280" i="6"/>
  <c r="X280" i="6" s="1"/>
  <c r="Y280" i="6" s="1"/>
  <c r="AA280" i="6" s="1"/>
  <c r="AB280" i="6" s="1"/>
  <c r="AC280" i="6" s="1"/>
  <c r="AB71" i="6"/>
  <c r="AC71" i="6" s="1"/>
  <c r="AC256" i="6"/>
  <c r="AC141" i="6"/>
  <c r="N294" i="5"/>
  <c r="X251" i="6"/>
  <c r="Y251" i="6" s="1"/>
  <c r="AA251" i="6" s="1"/>
  <c r="AB294" i="6"/>
  <c r="AC294" i="6" s="1"/>
  <c r="U136" i="5"/>
  <c r="I32" i="3"/>
  <c r="AB592" i="6"/>
  <c r="AC592" i="6" s="1"/>
  <c r="AB635" i="6"/>
  <c r="AC635" i="6" s="1"/>
  <c r="T149" i="5"/>
  <c r="T197" i="5"/>
  <c r="T114" i="5"/>
  <c r="U114" i="5" s="1"/>
  <c r="X116" i="6"/>
  <c r="Y116" i="6" s="1"/>
  <c r="AA116" i="6" s="1"/>
  <c r="W521" i="6"/>
  <c r="X521" i="6" s="1"/>
  <c r="Y521" i="6" s="1"/>
  <c r="AA521" i="6" s="1"/>
  <c r="AB521" i="6" s="1"/>
  <c r="AC521" i="6" s="1"/>
  <c r="W352" i="6"/>
  <c r="P59" i="5"/>
  <c r="Q59" i="5" s="1"/>
  <c r="S59" i="5" s="1"/>
  <c r="T59" i="5" s="1"/>
  <c r="U59" i="5" s="1"/>
  <c r="V452" i="6"/>
  <c r="V208" i="6"/>
  <c r="W578" i="6"/>
  <c r="W490" i="6"/>
  <c r="V629" i="6"/>
  <c r="X629" i="6" s="1"/>
  <c r="Y629" i="6" s="1"/>
  <c r="AA629" i="6" s="1"/>
  <c r="V390" i="6"/>
  <c r="L32" i="3"/>
  <c r="S32" i="3"/>
  <c r="V328" i="6"/>
  <c r="U95" i="5"/>
  <c r="X188" i="6"/>
  <c r="Y188" i="6" s="1"/>
  <c r="AA188" i="6" s="1"/>
  <c r="V55" i="6"/>
  <c r="X55" i="6" s="1"/>
  <c r="Y55" i="6" s="1"/>
  <c r="AA55" i="6" s="1"/>
  <c r="V136" i="6"/>
  <c r="X136" i="6" s="1"/>
  <c r="Y136" i="6" s="1"/>
  <c r="AA136" i="6" s="1"/>
  <c r="X466" i="6"/>
  <c r="Y466" i="6" s="1"/>
  <c r="AA466" i="6" s="1"/>
  <c r="V364" i="6"/>
  <c r="V513" i="6"/>
  <c r="X574" i="6"/>
  <c r="Y574" i="6" s="1"/>
  <c r="AA574" i="6" s="1"/>
  <c r="AB574" i="6" s="1"/>
  <c r="AC574" i="6" s="1"/>
  <c r="V668" i="6"/>
  <c r="X668" i="6" s="1"/>
  <c r="Y668" i="6" s="1"/>
  <c r="AA668" i="6" s="1"/>
  <c r="AB668" i="6" s="1"/>
  <c r="AC668" i="6" s="1"/>
  <c r="AC410" i="6"/>
  <c r="AD410" i="6" s="1"/>
  <c r="X508" i="6"/>
  <c r="Y508" i="6" s="1"/>
  <c r="AA508" i="6" s="1"/>
  <c r="AB508" i="6" s="1"/>
  <c r="AC508" i="6" s="1"/>
  <c r="X181" i="6"/>
  <c r="Y181" i="6" s="1"/>
  <c r="AA181" i="6" s="1"/>
  <c r="AB181" i="6" s="1"/>
  <c r="AC181" i="6" s="1"/>
  <c r="X591" i="6"/>
  <c r="Y591" i="6" s="1"/>
  <c r="AA591" i="6" s="1"/>
  <c r="D32" i="3"/>
  <c r="X378" i="6"/>
  <c r="Y378" i="6" s="1"/>
  <c r="AA378" i="6" s="1"/>
  <c r="M32" i="3"/>
  <c r="X393" i="6"/>
  <c r="Y393" i="6" s="1"/>
  <c r="AA393" i="6" s="1"/>
  <c r="V281" i="6"/>
  <c r="X281" i="6" s="1"/>
  <c r="Y281" i="6" s="1"/>
  <c r="AA281" i="6" s="1"/>
  <c r="P213" i="5"/>
  <c r="Q213" i="5" s="1"/>
  <c r="S213" i="5" s="1"/>
  <c r="T213" i="5" s="1"/>
  <c r="U213" i="5" s="1"/>
  <c r="V553" i="6"/>
  <c r="W553" i="6"/>
  <c r="AB115" i="6"/>
  <c r="AC115" i="6" s="1"/>
  <c r="AB613" i="6"/>
  <c r="AC613" i="6" s="1"/>
  <c r="AB242" i="6"/>
  <c r="AC242" i="6" s="1"/>
  <c r="T70" i="5"/>
  <c r="U70" i="5" s="1"/>
  <c r="W127" i="6"/>
  <c r="V127" i="6"/>
  <c r="V624" i="6"/>
  <c r="W624" i="6"/>
  <c r="W678" i="6"/>
  <c r="X678" i="6" s="1"/>
  <c r="Y678" i="6" s="1"/>
  <c r="AA678" i="6" s="1"/>
  <c r="AB678" i="6" s="1"/>
  <c r="AC678" i="6" s="1"/>
  <c r="W405" i="6"/>
  <c r="V405" i="6"/>
  <c r="X343" i="6"/>
  <c r="Y343" i="6" s="1"/>
  <c r="AA343" i="6" s="1"/>
  <c r="V545" i="6"/>
  <c r="X545" i="6" s="1"/>
  <c r="AB199" i="6"/>
  <c r="AC199" i="6" s="1"/>
  <c r="AC380" i="6"/>
  <c r="AD380" i="6" s="1"/>
  <c r="AF380" i="6" s="1"/>
  <c r="V556" i="6"/>
  <c r="W515" i="6"/>
  <c r="V457" i="6"/>
  <c r="X457" i="6" s="1"/>
  <c r="Y457" i="6" s="1"/>
  <c r="AA457" i="6" s="1"/>
  <c r="W539" i="6"/>
  <c r="X352" i="6"/>
  <c r="V417" i="6"/>
  <c r="X417" i="6" s="1"/>
  <c r="X760" i="6"/>
  <c r="Y760" i="6" s="1"/>
  <c r="AA760" i="6" s="1"/>
  <c r="AB760" i="6" s="1"/>
  <c r="AC760" i="6" s="1"/>
  <c r="V707" i="6"/>
  <c r="W556" i="6"/>
  <c r="W687" i="6"/>
  <c r="X687" i="6" s="1"/>
  <c r="Y687" i="6" s="1"/>
  <c r="AA687" i="6" s="1"/>
  <c r="V687" i="6"/>
  <c r="W348" i="6"/>
  <c r="V348" i="6"/>
  <c r="X348" i="6" s="1"/>
  <c r="Y348" i="6" s="1"/>
  <c r="AA348" i="6" s="1"/>
  <c r="AE200" i="6"/>
  <c r="AE201" i="6" s="1"/>
  <c r="AE202" i="6" s="1"/>
  <c r="W259" i="6"/>
  <c r="V259" i="6"/>
  <c r="V727" i="6"/>
  <c r="W727" i="6"/>
  <c r="V529" i="6"/>
  <c r="W529" i="6"/>
  <c r="V126" i="6"/>
  <c r="W126" i="6"/>
  <c r="AB92" i="6"/>
  <c r="AC92" i="6" s="1"/>
  <c r="V538" i="6"/>
  <c r="N176" i="5"/>
  <c r="V695" i="6"/>
  <c r="X695" i="6" s="1"/>
  <c r="Y695" i="6" s="1"/>
  <c r="AA695" i="6" s="1"/>
  <c r="W662" i="6"/>
  <c r="X768" i="6"/>
  <c r="Y768" i="6" s="1"/>
  <c r="AA768" i="6" s="1"/>
  <c r="V72" i="6"/>
  <c r="X72" i="6" s="1"/>
  <c r="Y72" i="6" s="1"/>
  <c r="AA72" i="6" s="1"/>
  <c r="W314" i="6"/>
  <c r="X314" i="6" s="1"/>
  <c r="Y314" i="6" s="1"/>
  <c r="AA314" i="6" s="1"/>
  <c r="AB314" i="6" s="1"/>
  <c r="AC314" i="6" s="1"/>
  <c r="W707" i="6"/>
  <c r="W566" i="6"/>
  <c r="V566" i="6"/>
  <c r="W583" i="6"/>
  <c r="V583" i="6"/>
  <c r="W117" i="6"/>
  <c r="X359" i="6"/>
  <c r="Y359" i="6" s="1"/>
  <c r="AA359" i="6" s="1"/>
  <c r="AB359" i="6" s="1"/>
  <c r="AC359" i="6" s="1"/>
  <c r="W193" i="6"/>
  <c r="V193" i="6"/>
  <c r="W665" i="6"/>
  <c r="V665" i="6"/>
  <c r="T50" i="5"/>
  <c r="U50" i="5" s="1"/>
  <c r="AB674" i="6"/>
  <c r="AC674" i="6" s="1"/>
  <c r="AB216" i="6"/>
  <c r="AC216" i="6"/>
  <c r="AB524" i="6"/>
  <c r="AC524" i="6" s="1"/>
  <c r="AC288" i="6"/>
  <c r="W87" i="6"/>
  <c r="V87" i="6"/>
  <c r="V690" i="6"/>
  <c r="X690" i="6" s="1"/>
  <c r="Y690" i="6" s="1"/>
  <c r="AA690" i="6" s="1"/>
  <c r="AB690" i="6" s="1"/>
  <c r="AC690" i="6" s="1"/>
  <c r="W690" i="6"/>
  <c r="W544" i="6"/>
  <c r="V544" i="6"/>
  <c r="X544" i="6" s="1"/>
  <c r="Y544" i="6" s="1"/>
  <c r="AA544" i="6" s="1"/>
  <c r="W372" i="6"/>
  <c r="X372" i="6" s="1"/>
  <c r="Y372" i="6" s="1"/>
  <c r="AA372" i="6" s="1"/>
  <c r="AB372" i="6" s="1"/>
  <c r="AC372" i="6" s="1"/>
  <c r="V516" i="6"/>
  <c r="W543" i="6"/>
  <c r="V543" i="6"/>
  <c r="X543" i="6" s="1"/>
  <c r="Y543" i="6" s="1"/>
  <c r="AA543" i="6" s="1"/>
  <c r="AB131" i="6"/>
  <c r="AC131" i="6" s="1"/>
  <c r="AB496" i="6"/>
  <c r="AC496" i="6" s="1"/>
  <c r="Y417" i="6"/>
  <c r="AA417" i="6" s="1"/>
  <c r="W272" i="6"/>
  <c r="V272" i="6"/>
  <c r="X662" i="6"/>
  <c r="Y662" i="6" s="1"/>
  <c r="AA662" i="6" s="1"/>
  <c r="X224" i="6"/>
  <c r="Y224" i="6" s="1"/>
  <c r="AA224" i="6" s="1"/>
  <c r="X164" i="6"/>
  <c r="Y164" i="6" s="1"/>
  <c r="AA164" i="6" s="1"/>
  <c r="V117" i="6"/>
  <c r="X117" i="6" s="1"/>
  <c r="Y117" i="6" s="1"/>
  <c r="AA117" i="6" s="1"/>
  <c r="V285" i="6"/>
  <c r="W285" i="6"/>
  <c r="Y227" i="6"/>
  <c r="AA227" i="6" s="1"/>
  <c r="P173" i="5"/>
  <c r="Q173" i="5" s="1"/>
  <c r="S173" i="5" s="1"/>
  <c r="T173" i="5" s="1"/>
  <c r="V374" i="6"/>
  <c r="X374" i="6" s="1"/>
  <c r="Y374" i="6" s="1"/>
  <c r="AA374" i="6" s="1"/>
  <c r="O76" i="5"/>
  <c r="P76" i="5" s="1"/>
  <c r="Q76" i="5" s="1"/>
  <c r="S76" i="5" s="1"/>
  <c r="T76" i="5" s="1"/>
  <c r="U76" i="5" s="1"/>
  <c r="V153" i="6"/>
  <c r="V757" i="6"/>
  <c r="V758" i="6"/>
  <c r="AB488" i="6"/>
  <c r="AC488" i="6"/>
  <c r="AB83" i="6"/>
  <c r="AC83" i="6" s="1"/>
  <c r="V734" i="6"/>
  <c r="X734" i="6" s="1"/>
  <c r="Y734" i="6" s="1"/>
  <c r="AA734" i="6" s="1"/>
  <c r="V223" i="6"/>
  <c r="W377" i="6"/>
  <c r="W156" i="5"/>
  <c r="U156" i="5"/>
  <c r="V156" i="5" s="1"/>
  <c r="T260" i="5"/>
  <c r="U260" i="5" s="1"/>
  <c r="T269" i="5"/>
  <c r="U269" i="5" s="1"/>
  <c r="X540" i="6"/>
  <c r="Y540" i="6" s="1"/>
  <c r="AA540" i="6" s="1"/>
  <c r="W219" i="6"/>
  <c r="X219" i="6" s="1"/>
  <c r="Y219" i="6" s="1"/>
  <c r="AA219" i="6" s="1"/>
  <c r="AC230" i="6"/>
  <c r="AD230" i="6" s="1"/>
  <c r="AD231" i="6" s="1"/>
  <c r="Y545" i="6"/>
  <c r="AA545" i="6" s="1"/>
  <c r="V267" i="6"/>
  <c r="X267" i="6" s="1"/>
  <c r="Y267" i="6" s="1"/>
  <c r="AA267" i="6" s="1"/>
  <c r="W190" i="6"/>
  <c r="V190" i="6"/>
  <c r="X190" i="6" s="1"/>
  <c r="Y190" i="6" s="1"/>
  <c r="AA190" i="6" s="1"/>
  <c r="X377" i="6"/>
  <c r="V663" i="6"/>
  <c r="X663" i="6" s="1"/>
  <c r="Y663" i="6" s="1"/>
  <c r="AA663" i="6" s="1"/>
  <c r="W368" i="6"/>
  <c r="V368" i="6"/>
  <c r="V669" i="6"/>
  <c r="W669" i="6"/>
  <c r="X513" i="6"/>
  <c r="Y513" i="6" s="1"/>
  <c r="AA513" i="6" s="1"/>
  <c r="W220" i="6"/>
  <c r="V220" i="6"/>
  <c r="X220" i="6" s="1"/>
  <c r="Y220" i="6" s="1"/>
  <c r="AA220" i="6" s="1"/>
  <c r="T211" i="5"/>
  <c r="U211" i="5" s="1"/>
  <c r="T41" i="5"/>
  <c r="U41" i="5" s="1"/>
  <c r="X362" i="6"/>
  <c r="Y362" i="6" s="1"/>
  <c r="AA362" i="6" s="1"/>
  <c r="AB362" i="6" s="1"/>
  <c r="AC362" i="6" s="1"/>
  <c r="X580" i="6"/>
  <c r="Y580" i="6" s="1"/>
  <c r="AA580" i="6" s="1"/>
  <c r="X607" i="6"/>
  <c r="Y607" i="6" s="1"/>
  <c r="AA607" i="6" s="1"/>
  <c r="AB607" i="6" s="1"/>
  <c r="AC607" i="6" s="1"/>
  <c r="V317" i="6"/>
  <c r="X560" i="6"/>
  <c r="Y560" i="6" s="1"/>
  <c r="AA560" i="6" s="1"/>
  <c r="W510" i="6"/>
  <c r="X510" i="6" s="1"/>
  <c r="Y510" i="6" s="1"/>
  <c r="AA510" i="6" s="1"/>
  <c r="W514" i="6"/>
  <c r="X514" i="6" s="1"/>
  <c r="Y514" i="6" s="1"/>
  <c r="AA514" i="6" s="1"/>
  <c r="AB514" i="6" s="1"/>
  <c r="X255" i="6"/>
  <c r="Y255" i="6" s="1"/>
  <c r="AA255" i="6" s="1"/>
  <c r="V450" i="6"/>
  <c r="V408" i="6"/>
  <c r="W218" i="6"/>
  <c r="X218" i="6" s="1"/>
  <c r="Y218" i="6" s="1"/>
  <c r="AA218" i="6" s="1"/>
  <c r="V349" i="6"/>
  <c r="X349" i="6" s="1"/>
  <c r="Y349" i="6" s="1"/>
  <c r="AA349" i="6" s="1"/>
  <c r="AB349" i="6" s="1"/>
  <c r="AC349" i="6" s="1"/>
  <c r="P198" i="5"/>
  <c r="Q198" i="5" s="1"/>
  <c r="S198" i="5" s="1"/>
  <c r="X611" i="6"/>
  <c r="Y611" i="6" s="1"/>
  <c r="AA611" i="6" s="1"/>
  <c r="V165" i="6"/>
  <c r="V363" i="6"/>
  <c r="X363" i="6" s="1"/>
  <c r="Y363" i="6" s="1"/>
  <c r="AA363" i="6" s="1"/>
  <c r="AB363" i="6" s="1"/>
  <c r="AC363" i="6" s="1"/>
  <c r="V273" i="6"/>
  <c r="X273" i="6" s="1"/>
  <c r="Y273" i="6" s="1"/>
  <c r="AA273" i="6" s="1"/>
  <c r="AB273" i="6" s="1"/>
  <c r="AC273" i="6" s="1"/>
  <c r="V366" i="6"/>
  <c r="X366" i="6" s="1"/>
  <c r="Y366" i="6" s="1"/>
  <c r="AA366" i="6" s="1"/>
  <c r="W340" i="6"/>
  <c r="X340" i="6" s="1"/>
  <c r="Y340" i="6" s="1"/>
  <c r="AA340" i="6" s="1"/>
  <c r="N236" i="5"/>
  <c r="X306" i="6"/>
  <c r="Y306" i="6" s="1"/>
  <c r="AA306" i="6" s="1"/>
  <c r="T39" i="5"/>
  <c r="U39" i="5" s="1"/>
  <c r="Q172" i="5"/>
  <c r="S172" i="5" s="1"/>
  <c r="P301" i="5"/>
  <c r="Q301" i="5" s="1"/>
  <c r="S301" i="5" s="1"/>
  <c r="T301" i="5" s="1"/>
  <c r="U301" i="5" s="1"/>
  <c r="W617" i="6"/>
  <c r="X617" i="6" s="1"/>
  <c r="Y617" i="6" s="1"/>
  <c r="AA617" i="6" s="1"/>
  <c r="AB617" i="6" s="1"/>
  <c r="AC617" i="6" s="1"/>
  <c r="X84" i="6"/>
  <c r="Y84" i="6" s="1"/>
  <c r="AA84" i="6" s="1"/>
  <c r="P151" i="5"/>
  <c r="Q151" i="5" s="1"/>
  <c r="S151" i="5" s="1"/>
  <c r="X595" i="6"/>
  <c r="Y595" i="6" s="1"/>
  <c r="AA595" i="6" s="1"/>
  <c r="AB595" i="6" s="1"/>
  <c r="AC595" i="6" s="1"/>
  <c r="X528" i="6"/>
  <c r="Y528" i="6" s="1"/>
  <c r="AA528" i="6" s="1"/>
  <c r="AB528" i="6" s="1"/>
  <c r="X122" i="6"/>
  <c r="Y122" i="6" s="1"/>
  <c r="AA122" i="6" s="1"/>
  <c r="P215" i="5"/>
  <c r="Q215" i="5" s="1"/>
  <c r="S215" i="5" s="1"/>
  <c r="X229" i="6"/>
  <c r="Y229" i="6" s="1"/>
  <c r="AA229" i="6" s="1"/>
  <c r="V96" i="6"/>
  <c r="V239" i="6"/>
  <c r="X239" i="6" s="1"/>
  <c r="Y239" i="6" s="1"/>
  <c r="AA239" i="6" s="1"/>
  <c r="V619" i="6"/>
  <c r="X619" i="6" s="1"/>
  <c r="Y619" i="6" s="1"/>
  <c r="AA619" i="6" s="1"/>
  <c r="T195" i="5"/>
  <c r="U195" i="5" s="1"/>
  <c r="Q92" i="5"/>
  <c r="S92" i="5" s="1"/>
  <c r="T92" i="5" s="1"/>
  <c r="U92" i="5" s="1"/>
  <c r="P246" i="5"/>
  <c r="Q246" i="5" s="1"/>
  <c r="S246" i="5" s="1"/>
  <c r="X302" i="6"/>
  <c r="Y302" i="6" s="1"/>
  <c r="AA302" i="6" s="1"/>
  <c r="AB302" i="6" s="1"/>
  <c r="AC302" i="6" s="1"/>
  <c r="P299" i="5"/>
  <c r="Q299" i="5" s="1"/>
  <c r="S299" i="5" s="1"/>
  <c r="X548" i="6"/>
  <c r="Y548" i="6" s="1"/>
  <c r="AA548" i="6" s="1"/>
  <c r="AB548" i="6" s="1"/>
  <c r="AC548" i="6" s="1"/>
  <c r="P248" i="5"/>
  <c r="Q248" i="5" s="1"/>
  <c r="S248" i="5" s="1"/>
  <c r="V700" i="6"/>
  <c r="V315" i="6"/>
  <c r="X315" i="6" s="1"/>
  <c r="Y315" i="6" s="1"/>
  <c r="AA315" i="6" s="1"/>
  <c r="V180" i="6"/>
  <c r="Y572" i="6"/>
  <c r="AA572" i="6" s="1"/>
  <c r="V197" i="6"/>
  <c r="W666" i="6"/>
  <c r="X666" i="6" s="1"/>
  <c r="Y666" i="6" s="1"/>
  <c r="AA666" i="6" s="1"/>
  <c r="AB666" i="6" s="1"/>
  <c r="AC666" i="6" s="1"/>
  <c r="V400" i="6"/>
  <c r="V91" i="6"/>
  <c r="V149" i="6"/>
  <c r="V439" i="6"/>
  <c r="V154" i="6"/>
  <c r="V719" i="6"/>
  <c r="X719" i="6" s="1"/>
  <c r="Y719" i="6" s="1"/>
  <c r="AA719" i="6" s="1"/>
  <c r="X254" i="6"/>
  <c r="Y254" i="6" s="1"/>
  <c r="AA254" i="6" s="1"/>
  <c r="X186" i="6"/>
  <c r="Y186" i="6" s="1"/>
  <c r="AA186" i="6" s="1"/>
  <c r="X615" i="6"/>
  <c r="Y615" i="6" s="1"/>
  <c r="AA615" i="6" s="1"/>
  <c r="AB615" i="6" s="1"/>
  <c r="AC615" i="6" s="1"/>
  <c r="C105" i="4"/>
  <c r="C44" i="3"/>
  <c r="C57" i="4"/>
  <c r="C153" i="4"/>
  <c r="P120" i="5"/>
  <c r="Q120" i="5" s="1"/>
  <c r="S120" i="5" s="1"/>
  <c r="X711" i="6"/>
  <c r="Y711" i="6" s="1"/>
  <c r="AA711" i="6" s="1"/>
  <c r="AB711" i="6" s="1"/>
  <c r="T202" i="5"/>
  <c r="U202" i="5" s="1"/>
  <c r="X632" i="6"/>
  <c r="Y632" i="6" s="1"/>
  <c r="AA632" i="6" s="1"/>
  <c r="W700" i="6"/>
  <c r="X252" i="6"/>
  <c r="Y252" i="6" s="1"/>
  <c r="AA252" i="6" s="1"/>
  <c r="P268" i="5"/>
  <c r="Q268" i="5" s="1"/>
  <c r="S268" i="5" s="1"/>
  <c r="N226" i="5"/>
  <c r="P226" i="5" s="1"/>
  <c r="Q226" i="5" s="1"/>
  <c r="S226" i="5" s="1"/>
  <c r="T226" i="5" s="1"/>
  <c r="U226" i="5" s="1"/>
  <c r="W721" i="6"/>
  <c r="X721" i="6" s="1"/>
  <c r="Y721" i="6" s="1"/>
  <c r="AA721" i="6" s="1"/>
  <c r="W631" i="6"/>
  <c r="X631" i="6" s="1"/>
  <c r="Y631" i="6" s="1"/>
  <c r="AA631" i="6" s="1"/>
  <c r="AB631" i="6" s="1"/>
  <c r="AC631" i="6" s="1"/>
  <c r="V394" i="6"/>
  <c r="X157" i="6"/>
  <c r="Y157" i="6" s="1"/>
  <c r="AA157" i="6" s="1"/>
  <c r="AB157" i="6" s="1"/>
  <c r="AC157" i="6" s="1"/>
  <c r="V88" i="6"/>
  <c r="V730" i="6"/>
  <c r="X730" i="6" s="1"/>
  <c r="Y730" i="6" s="1"/>
  <c r="AA730" i="6" s="1"/>
  <c r="X320" i="6"/>
  <c r="Y320" i="6" s="1"/>
  <c r="AA320" i="6" s="1"/>
  <c r="X271" i="6"/>
  <c r="Y271" i="6" s="1"/>
  <c r="AA271" i="6" s="1"/>
  <c r="V316" i="6"/>
  <c r="X316" i="6" s="1"/>
  <c r="Y316" i="6" s="1"/>
  <c r="AA316" i="6" s="1"/>
  <c r="W309" i="6"/>
  <c r="X309" i="6" s="1"/>
  <c r="Y309" i="6" s="1"/>
  <c r="AA309" i="6" s="1"/>
  <c r="V198" i="6"/>
  <c r="O285" i="5"/>
  <c r="N45" i="5"/>
  <c r="P45" i="5" s="1"/>
  <c r="Q45" i="5" s="1"/>
  <c r="S45" i="5" s="1"/>
  <c r="N249" i="5"/>
  <c r="P249" i="5" s="1"/>
  <c r="Q249" i="5" s="1"/>
  <c r="S249" i="5" s="1"/>
  <c r="T249" i="5" s="1"/>
  <c r="U249" i="5" s="1"/>
  <c r="X745" i="6"/>
  <c r="Y745" i="6" s="1"/>
  <c r="AA745" i="6" s="1"/>
  <c r="AB745" i="6" s="1"/>
  <c r="AC745" i="6" s="1"/>
  <c r="P240" i="5"/>
  <c r="Q240" i="5" s="1"/>
  <c r="S240" i="5" s="1"/>
  <c r="T240" i="5" s="1"/>
  <c r="U240" i="5" s="1"/>
  <c r="N138" i="5"/>
  <c r="P138" i="5" s="1"/>
  <c r="Q138" i="5" s="1"/>
  <c r="S138" i="5" s="1"/>
  <c r="T138" i="5" s="1"/>
  <c r="U138" i="5" s="1"/>
  <c r="X396" i="6"/>
  <c r="Y396" i="6" s="1"/>
  <c r="AA396" i="6" s="1"/>
  <c r="AB396" i="6" s="1"/>
  <c r="AC396" i="6" s="1"/>
  <c r="X268" i="6"/>
  <c r="Y268" i="6" s="1"/>
  <c r="AA268" i="6" s="1"/>
  <c r="AB268" i="6" s="1"/>
  <c r="AC268" i="6" s="1"/>
  <c r="V346" i="6"/>
  <c r="O226" i="5"/>
  <c r="X507" i="6"/>
  <c r="Y507" i="6" s="1"/>
  <c r="AA507" i="6" s="1"/>
  <c r="W585" i="6"/>
  <c r="X578" i="6"/>
  <c r="Y578" i="6" s="1"/>
  <c r="AA578" i="6" s="1"/>
  <c r="X527" i="6"/>
  <c r="Y527" i="6" s="1"/>
  <c r="AA527" i="6" s="1"/>
  <c r="X659" i="6"/>
  <c r="Y659" i="6" s="1"/>
  <c r="AA659" i="6" s="1"/>
  <c r="AB659" i="6" s="1"/>
  <c r="AC659" i="6" s="1"/>
  <c r="V657" i="6"/>
  <c r="V458" i="6"/>
  <c r="X458" i="6" s="1"/>
  <c r="Y458" i="6" s="1"/>
  <c r="AA458" i="6" s="1"/>
  <c r="P285" i="5"/>
  <c r="Q285" i="5" s="1"/>
  <c r="S285" i="5" s="1"/>
  <c r="P294" i="5"/>
  <c r="Q294" i="5" s="1"/>
  <c r="S294" i="5" s="1"/>
  <c r="P185" i="5"/>
  <c r="Q185" i="5" s="1"/>
  <c r="S185" i="5" s="1"/>
  <c r="T185" i="5" s="1"/>
  <c r="U185" i="5" s="1"/>
  <c r="X409" i="6"/>
  <c r="Y409" i="6" s="1"/>
  <c r="AA409" i="6" s="1"/>
  <c r="Y478" i="6"/>
  <c r="AA478" i="6" s="1"/>
  <c r="AB478" i="6" s="1"/>
  <c r="AC478" i="6" s="1"/>
  <c r="P180" i="5"/>
  <c r="Q180" i="5" s="1"/>
  <c r="S180" i="5" s="1"/>
  <c r="X585" i="6"/>
  <c r="Y585" i="6" s="1"/>
  <c r="AA585" i="6" s="1"/>
  <c r="X162" i="6"/>
  <c r="Y162" i="6" s="1"/>
  <c r="AA162" i="6" s="1"/>
  <c r="X379" i="6"/>
  <c r="Y379" i="6" s="1"/>
  <c r="AA379" i="6" s="1"/>
  <c r="X305" i="6"/>
  <c r="Y305" i="6" s="1"/>
  <c r="AA305" i="6" s="1"/>
  <c r="AB305" i="6" s="1"/>
  <c r="AC305" i="6" s="1"/>
  <c r="X752" i="6"/>
  <c r="P219" i="5"/>
  <c r="Q219" i="5" s="1"/>
  <c r="S219" i="5" s="1"/>
  <c r="T219" i="5" s="1"/>
  <c r="U219" i="5" s="1"/>
  <c r="V102" i="6"/>
  <c r="W752" i="6"/>
  <c r="N245" i="5"/>
  <c r="P245" i="5" s="1"/>
  <c r="Q245" i="5" s="1"/>
  <c r="S245" i="5" s="1"/>
  <c r="T245" i="5" s="1"/>
  <c r="U245" i="5" s="1"/>
  <c r="V474" i="6"/>
  <c r="X474" i="6" s="1"/>
  <c r="Y474" i="6" s="1"/>
  <c r="AA474" i="6" s="1"/>
  <c r="AB474" i="6" s="1"/>
  <c r="AC474" i="6" s="1"/>
  <c r="P87" i="5"/>
  <c r="Q87" i="5" s="1"/>
  <c r="S87" i="5" s="1"/>
  <c r="T87" i="5" s="1"/>
  <c r="U87" i="5" s="1"/>
  <c r="X264" i="6"/>
  <c r="Y264" i="6" s="1"/>
  <c r="AA264" i="6" s="1"/>
  <c r="AB264" i="6" s="1"/>
  <c r="AC264" i="6" s="1"/>
  <c r="T38" i="5"/>
  <c r="U38" i="5" s="1"/>
  <c r="AB122" i="6"/>
  <c r="AC122" i="6" s="1"/>
  <c r="AB99" i="6"/>
  <c r="AC99" i="6" s="1"/>
  <c r="AB647" i="6"/>
  <c r="AC647" i="6" s="1"/>
  <c r="T131" i="5"/>
  <c r="U131" i="5" s="1"/>
  <c r="AB622" i="6"/>
  <c r="AC622" i="6" s="1"/>
  <c r="AB187" i="6"/>
  <c r="AC187" i="6" s="1"/>
  <c r="AB158" i="6"/>
  <c r="AC158" i="6" s="1"/>
  <c r="AB167" i="6"/>
  <c r="AC167" i="6" s="1"/>
  <c r="AB417" i="6"/>
  <c r="AC417" i="6" s="1"/>
  <c r="T203" i="5"/>
  <c r="U203" i="5" s="1"/>
  <c r="AB176" i="6"/>
  <c r="AC176" i="6" s="1"/>
  <c r="AB100" i="6"/>
  <c r="AC100" i="6" s="1"/>
  <c r="T111" i="5"/>
  <c r="U111" i="5" s="1"/>
  <c r="AB564" i="6"/>
  <c r="AC564" i="6" s="1"/>
  <c r="AB507" i="6"/>
  <c r="AC507" i="6" s="1"/>
  <c r="AB546" i="6"/>
  <c r="AC546" i="6" s="1"/>
  <c r="AB337" i="6"/>
  <c r="AC337" i="6" s="1"/>
  <c r="AB109" i="6"/>
  <c r="AC109" i="6"/>
  <c r="AB537" i="6"/>
  <c r="AC537" i="6" s="1"/>
  <c r="AB471" i="6"/>
  <c r="AC471" i="6" s="1"/>
  <c r="T250" i="5"/>
  <c r="U250" i="5" s="1"/>
  <c r="AB469" i="6"/>
  <c r="AC469" i="6" s="1"/>
  <c r="T180" i="5"/>
  <c r="U180" i="5" s="1"/>
  <c r="AB682" i="6"/>
  <c r="AC682" i="6" s="1"/>
  <c r="T107" i="5"/>
  <c r="U107" i="5" s="1"/>
  <c r="AB585" i="6"/>
  <c r="AC585" i="6" s="1"/>
  <c r="AB672" i="6"/>
  <c r="AC672" i="6" s="1"/>
  <c r="AB175" i="6"/>
  <c r="AC175" i="6" s="1"/>
  <c r="AB738" i="6"/>
  <c r="AC738" i="6"/>
  <c r="AB701" i="6"/>
  <c r="AC701" i="6" s="1"/>
  <c r="T191" i="5"/>
  <c r="U191" i="5"/>
  <c r="AC86" i="6"/>
  <c r="AB86" i="6"/>
  <c r="AB534" i="6"/>
  <c r="AC534" i="6" s="1"/>
  <c r="AB584" i="6"/>
  <c r="AC584" i="6" s="1"/>
  <c r="AC265" i="6"/>
  <c r="AB265" i="6"/>
  <c r="AB343" i="6"/>
  <c r="AC343" i="6" s="1"/>
  <c r="AB164" i="6"/>
  <c r="AB206" i="6"/>
  <c r="AC206" i="6" s="1"/>
  <c r="AB600" i="6"/>
  <c r="AC600" i="6" s="1"/>
  <c r="AB80" i="6"/>
  <c r="AE80" i="6" s="1"/>
  <c r="T53" i="5"/>
  <c r="U53" i="5"/>
  <c r="AB411" i="6"/>
  <c r="AC411" i="6" s="1"/>
  <c r="AD411" i="6" s="1"/>
  <c r="T103" i="5"/>
  <c r="U103" i="5" s="1"/>
  <c r="AB533" i="6"/>
  <c r="AC533" i="6" s="1"/>
  <c r="AB702" i="6"/>
  <c r="AC702" i="6" s="1"/>
  <c r="AC580" i="6"/>
  <c r="AB580" i="6"/>
  <c r="T263" i="5"/>
  <c r="U263" i="5"/>
  <c r="AB686" i="6"/>
  <c r="AC686" i="6" s="1"/>
  <c r="T165" i="5"/>
  <c r="U165" i="5"/>
  <c r="T161" i="5"/>
  <c r="U161" i="5" s="1"/>
  <c r="AB85" i="6"/>
  <c r="AC85" i="6" s="1"/>
  <c r="T273" i="5"/>
  <c r="U273" i="5" s="1"/>
  <c r="T146" i="5"/>
  <c r="U146" i="5" s="1"/>
  <c r="AC715" i="6"/>
  <c r="AB715" i="6"/>
  <c r="T297" i="5"/>
  <c r="U297" i="5" s="1"/>
  <c r="AB183" i="6"/>
  <c r="AC183" i="6" s="1"/>
  <c r="T37" i="5"/>
  <c r="W37" i="5" s="1"/>
  <c r="AB604" i="6"/>
  <c r="AC604" i="6" s="1"/>
  <c r="AB623" i="6"/>
  <c r="AC623" i="6" s="1"/>
  <c r="AB513" i="6"/>
  <c r="AC513" i="6" s="1"/>
  <c r="AB436" i="6"/>
  <c r="AC436" i="6" s="1"/>
  <c r="AB168" i="6"/>
  <c r="AC168" i="6" s="1"/>
  <c r="AB156" i="6"/>
  <c r="AC156" i="6" s="1"/>
  <c r="AB93" i="6"/>
  <c r="AC93" i="6"/>
  <c r="AB628" i="6"/>
  <c r="AC628" i="6" s="1"/>
  <c r="AB170" i="6"/>
  <c r="AE170" i="6" s="1"/>
  <c r="AB454" i="6"/>
  <c r="AC454" i="6" s="1"/>
  <c r="AB568" i="6"/>
  <c r="AC568" i="6"/>
  <c r="AB535" i="6"/>
  <c r="AC535" i="6" s="1"/>
  <c r="AB113" i="6"/>
  <c r="AC113" i="6" s="1"/>
  <c r="AB299" i="6"/>
  <c r="AC299" i="6"/>
  <c r="T125" i="5"/>
  <c r="U125" i="5" s="1"/>
  <c r="AB591" i="6"/>
  <c r="AC591" i="6" s="1"/>
  <c r="AB351" i="6"/>
  <c r="AC351" i="6" s="1"/>
  <c r="AB451" i="6"/>
  <c r="AC451" i="6" s="1"/>
  <c r="AB567" i="6"/>
  <c r="AC567" i="6" s="1"/>
  <c r="AB455" i="6"/>
  <c r="AC455" i="6" s="1"/>
  <c r="AB588" i="6"/>
  <c r="AC588" i="6" s="1"/>
  <c r="AB378" i="6"/>
  <c r="AC378" i="6" s="1"/>
  <c r="AB323" i="6"/>
  <c r="AC323" i="6" s="1"/>
  <c r="AB470" i="6"/>
  <c r="AE470" i="6" s="1"/>
  <c r="AB768" i="6"/>
  <c r="AC768" i="6" s="1"/>
  <c r="AB72" i="6"/>
  <c r="AC72" i="6" s="1"/>
  <c r="AB502" i="6"/>
  <c r="AC502" i="6" s="1"/>
  <c r="AB128" i="6"/>
  <c r="AC128" i="6" s="1"/>
  <c r="AB540" i="6"/>
  <c r="AC540" i="6"/>
  <c r="AB104" i="6"/>
  <c r="AC104" i="6" s="1"/>
  <c r="AB491" i="6"/>
  <c r="AC491" i="6" s="1"/>
  <c r="T200" i="5"/>
  <c r="U200" i="5" s="1"/>
  <c r="AB145" i="6"/>
  <c r="AC145" i="6" s="1"/>
  <c r="T115" i="5"/>
  <c r="U115" i="5" s="1"/>
  <c r="T88" i="5"/>
  <c r="U88" i="5" s="1"/>
  <c r="AB171" i="6"/>
  <c r="AC171" i="6" s="1"/>
  <c r="AB445" i="6"/>
  <c r="AC445" i="6" s="1"/>
  <c r="AB504" i="6"/>
  <c r="AC504" i="6"/>
  <c r="AB577" i="6"/>
  <c r="AC577" i="6" s="1"/>
  <c r="T84" i="5"/>
  <c r="U84" i="5" s="1"/>
  <c r="AB107" i="6"/>
  <c r="AC107" i="6" s="1"/>
  <c r="AB602" i="6"/>
  <c r="AC602" i="6" s="1"/>
  <c r="AB327" i="6"/>
  <c r="AC327" i="6" s="1"/>
  <c r="T293" i="5"/>
  <c r="U293" i="5" s="1"/>
  <c r="AB393" i="6"/>
  <c r="AC393" i="6" s="1"/>
  <c r="T234" i="5"/>
  <c r="U234" i="5" s="1"/>
  <c r="AB306" i="6"/>
  <c r="AC306" i="6" s="1"/>
  <c r="X96" i="5"/>
  <c r="T73" i="5"/>
  <c r="U73" i="5" s="1"/>
  <c r="T287" i="5"/>
  <c r="U287" i="5" s="1"/>
  <c r="AB54" i="6"/>
  <c r="AC54" i="6" s="1"/>
  <c r="T215" i="5"/>
  <c r="U215" i="5" s="1"/>
  <c r="AB590" i="6"/>
  <c r="AE590" i="6" s="1"/>
  <c r="AB353" i="6"/>
  <c r="AC353" i="6" s="1"/>
  <c r="T110" i="5"/>
  <c r="U110" i="5" s="1"/>
  <c r="AB618" i="6"/>
  <c r="AC618" i="6" s="1"/>
  <c r="AB94" i="6"/>
  <c r="AC94" i="6" s="1"/>
  <c r="AB444" i="6"/>
  <c r="AC444" i="6" s="1"/>
  <c r="AB222" i="6"/>
  <c r="AC222" i="6" s="1"/>
  <c r="AB78" i="6"/>
  <c r="AC78" i="6" s="1"/>
  <c r="T44" i="5"/>
  <c r="U44" i="5" s="1"/>
  <c r="AB427" i="6"/>
  <c r="AC427" i="6" s="1"/>
  <c r="AB570" i="6"/>
  <c r="AC570" i="6" s="1"/>
  <c r="AB621" i="6"/>
  <c r="AC621" i="6" s="1"/>
  <c r="T64" i="5"/>
  <c r="U64" i="5" s="1"/>
  <c r="AB186" i="6"/>
  <c r="AC186" i="6" s="1"/>
  <c r="AB733" i="6"/>
  <c r="AC733" i="6" s="1"/>
  <c r="AF200" i="6"/>
  <c r="AB547" i="6"/>
  <c r="AC547" i="6" s="1"/>
  <c r="T286" i="5"/>
  <c r="U286" i="5" s="1"/>
  <c r="T77" i="5"/>
  <c r="U77" i="5" s="1"/>
  <c r="T244" i="5"/>
  <c r="U244" i="5" s="1"/>
  <c r="AB695" i="6"/>
  <c r="AC695" i="6" s="1"/>
  <c r="AB50" i="6"/>
  <c r="AE50" i="6" s="1"/>
  <c r="AB703" i="6"/>
  <c r="AC703" i="6" s="1"/>
  <c r="T60" i="5"/>
  <c r="U60" i="5" s="1"/>
  <c r="T210" i="5"/>
  <c r="U210" i="5" s="1"/>
  <c r="AB489" i="6"/>
  <c r="AC489" i="6" s="1"/>
  <c r="AB192" i="6"/>
  <c r="AC192" i="6" s="1"/>
  <c r="AB501" i="6"/>
  <c r="AC501" i="6" s="1"/>
  <c r="AB258" i="6"/>
  <c r="AC258" i="6" s="1"/>
  <c r="T93" i="5"/>
  <c r="U93" i="5" s="1"/>
  <c r="AB466" i="6"/>
  <c r="AC466" i="6" s="1"/>
  <c r="AB706" i="6"/>
  <c r="AC706" i="6" s="1"/>
  <c r="T214" i="5"/>
  <c r="U214" i="5" s="1"/>
  <c r="AB236" i="6"/>
  <c r="AC236" i="6" s="1"/>
  <c r="AB459" i="6"/>
  <c r="AC459" i="6" s="1"/>
  <c r="AB406" i="6"/>
  <c r="AC406" i="6" s="1"/>
  <c r="AB116" i="6"/>
  <c r="AC116" i="6" s="1"/>
  <c r="AB744" i="6"/>
  <c r="AC744" i="6" s="1"/>
  <c r="T124" i="5"/>
  <c r="U124" i="5" s="1"/>
  <c r="T120" i="5"/>
  <c r="U120" i="5" s="1"/>
  <c r="AB494" i="6"/>
  <c r="AC494" i="6" s="1"/>
  <c r="T128" i="5"/>
  <c r="U128" i="5" s="1"/>
  <c r="T261" i="5"/>
  <c r="U261" i="5" s="1"/>
  <c r="T238" i="5"/>
  <c r="U238" i="5" s="1"/>
  <c r="AB213" i="6"/>
  <c r="AC213" i="6" s="1"/>
  <c r="AB416" i="6"/>
  <c r="AC416" i="6" s="1"/>
  <c r="AB724" i="6"/>
  <c r="AC724" i="6" s="1"/>
  <c r="AB563" i="6"/>
  <c r="AC563" i="6" s="1"/>
  <c r="AB252" i="6"/>
  <c r="AC252" i="6" s="1"/>
  <c r="AB243" i="6"/>
  <c r="AC243" i="6" s="1"/>
  <c r="AB310" i="6"/>
  <c r="AC310" i="6" s="1"/>
  <c r="T217" i="5"/>
  <c r="U217" i="5" s="1"/>
  <c r="AB742" i="6"/>
  <c r="AC742" i="6" s="1"/>
  <c r="T281" i="5"/>
  <c r="U281" i="5" s="1"/>
  <c r="AB271" i="6"/>
  <c r="AC271" i="6"/>
  <c r="T147" i="5"/>
  <c r="U147" i="5" s="1"/>
  <c r="AB51" i="6"/>
  <c r="AC51" i="6" s="1"/>
  <c r="U46" i="5"/>
  <c r="T46" i="5"/>
  <c r="C116" i="4"/>
  <c r="C55" i="3"/>
  <c r="C164" i="4"/>
  <c r="C68" i="4"/>
  <c r="V278" i="6"/>
  <c r="W278" i="6"/>
  <c r="O86" i="5"/>
  <c r="AB605" i="6"/>
  <c r="AC605" i="6" s="1"/>
  <c r="V549" i="6"/>
  <c r="W676" i="6"/>
  <c r="V77" i="6"/>
  <c r="X77" i="6" s="1"/>
  <c r="Y77" i="6" s="1"/>
  <c r="AA77" i="6" s="1"/>
  <c r="V434" i="6"/>
  <c r="X434" i="6" s="1"/>
  <c r="Y434" i="6" s="1"/>
  <c r="AA434" i="6" s="1"/>
  <c r="V551" i="6"/>
  <c r="X551" i="6" s="1"/>
  <c r="Y551" i="6" s="1"/>
  <c r="AA551" i="6" s="1"/>
  <c r="T198" i="5"/>
  <c r="U198" i="5" s="1"/>
  <c r="V437" i="6"/>
  <c r="V582" i="6"/>
  <c r="X582" i="6" s="1"/>
  <c r="X492" i="6"/>
  <c r="Y492" i="6" s="1"/>
  <c r="AA492" i="6" s="1"/>
  <c r="V212" i="6"/>
  <c r="X212" i="6" s="1"/>
  <c r="Y212" i="6" s="1"/>
  <c r="AA212" i="6" s="1"/>
  <c r="AB552" i="6"/>
  <c r="AC552" i="6" s="1"/>
  <c r="T78" i="5"/>
  <c r="U78" i="5" s="1"/>
  <c r="W132" i="6"/>
  <c r="AB509" i="6"/>
  <c r="AC509" i="6" s="1"/>
  <c r="V333" i="6"/>
  <c r="V477" i="6"/>
  <c r="AB562" i="6"/>
  <c r="AC562" i="6" s="1"/>
  <c r="W729" i="6"/>
  <c r="X729" i="6" s="1"/>
  <c r="Y729" i="6" s="1"/>
  <c r="AA729" i="6" s="1"/>
  <c r="X708" i="6"/>
  <c r="Y708" i="6" s="1"/>
  <c r="AA708" i="6" s="1"/>
  <c r="AB740" i="6"/>
  <c r="AE740" i="6" s="1"/>
  <c r="AE741" i="6" s="1"/>
  <c r="X74" i="6"/>
  <c r="Y74" i="6" s="1"/>
  <c r="AA74" i="6" s="1"/>
  <c r="W485" i="6"/>
  <c r="X751" i="6"/>
  <c r="Y751" i="6" s="1"/>
  <c r="AA751" i="6" s="1"/>
  <c r="X539" i="6"/>
  <c r="Y539" i="6" s="1"/>
  <c r="AA539" i="6" s="1"/>
  <c r="X403" i="6"/>
  <c r="Y403" i="6" s="1"/>
  <c r="AA403" i="6" s="1"/>
  <c r="W371" i="6"/>
  <c r="X371" i="6" s="1"/>
  <c r="Y371" i="6" s="1"/>
  <c r="AA371" i="6" s="1"/>
  <c r="X129" i="6"/>
  <c r="Y129" i="6" s="1"/>
  <c r="AA129" i="6" s="1"/>
  <c r="V120" i="6"/>
  <c r="P34" i="3"/>
  <c r="O34" i="3"/>
  <c r="Q34" i="3" s="1"/>
  <c r="T220" i="5"/>
  <c r="U220" i="5" s="1"/>
  <c r="X569" i="6"/>
  <c r="Y569" i="6" s="1"/>
  <c r="AA569" i="6" s="1"/>
  <c r="W210" i="6"/>
  <c r="X210" i="6" s="1"/>
  <c r="Y210" i="6" s="1"/>
  <c r="AA210" i="6" s="1"/>
  <c r="W483" i="6"/>
  <c r="P174" i="5"/>
  <c r="Q174" i="5" s="1"/>
  <c r="S174" i="5" s="1"/>
  <c r="AB191" i="6"/>
  <c r="AC191" i="6" s="1"/>
  <c r="Y352" i="6"/>
  <c r="AA352" i="6" s="1"/>
  <c r="V132" i="6"/>
  <c r="W643" i="6"/>
  <c r="X643" i="6" s="1"/>
  <c r="Y643" i="6" s="1"/>
  <c r="AA643" i="6" s="1"/>
  <c r="T237" i="5"/>
  <c r="U237" i="5" s="1"/>
  <c r="W318" i="6"/>
  <c r="X318" i="6" s="1"/>
  <c r="Y318" i="6" s="1"/>
  <c r="AA318" i="6" s="1"/>
  <c r="AB250" i="6"/>
  <c r="AC250" i="6" s="1"/>
  <c r="W64" i="6"/>
  <c r="X64" i="6" s="1"/>
  <c r="Y64" i="6" s="1"/>
  <c r="AA64" i="6" s="1"/>
  <c r="T299" i="5"/>
  <c r="U299" i="5" s="1"/>
  <c r="V571" i="6"/>
  <c r="X571" i="6" s="1"/>
  <c r="Y571" i="6" s="1"/>
  <c r="AA571" i="6" s="1"/>
  <c r="AB338" i="6"/>
  <c r="AC338" i="6" s="1"/>
  <c r="W482" i="6"/>
  <c r="X482" i="6" s="1"/>
  <c r="Y482" i="6" s="1"/>
  <c r="AA482" i="6" s="1"/>
  <c r="X127" i="6"/>
  <c r="Y127" i="6" s="1"/>
  <c r="AA127" i="6" s="1"/>
  <c r="X757" i="6"/>
  <c r="Y757" i="6" s="1"/>
  <c r="AA757" i="6" s="1"/>
  <c r="V79" i="6"/>
  <c r="X79" i="6" s="1"/>
  <c r="Y79" i="6" s="1"/>
  <c r="AA79" i="6" s="1"/>
  <c r="X382" i="6"/>
  <c r="Y382" i="6" s="1"/>
  <c r="AA382" i="6" s="1"/>
  <c r="W283" i="6"/>
  <c r="X283" i="6" s="1"/>
  <c r="Y283" i="6" s="1"/>
  <c r="AA283" i="6" s="1"/>
  <c r="P256" i="5"/>
  <c r="Q256" i="5" s="1"/>
  <c r="S256" i="5" s="1"/>
  <c r="AC735" i="6"/>
  <c r="AB735" i="6"/>
  <c r="V670" i="6"/>
  <c r="X670" i="6" s="1"/>
  <c r="C167" i="4"/>
  <c r="C71" i="4"/>
  <c r="C119" i="4"/>
  <c r="C58" i="3"/>
  <c r="V423" i="6"/>
  <c r="X423" i="6" s="1"/>
  <c r="V512" i="6"/>
  <c r="X512" i="6" s="1"/>
  <c r="Y512" i="6" s="1"/>
  <c r="AA512" i="6" s="1"/>
  <c r="W247" i="6"/>
  <c r="X247" i="6" s="1"/>
  <c r="Y247" i="6" s="1"/>
  <c r="AA247" i="6" s="1"/>
  <c r="W388" i="6"/>
  <c r="X388" i="6" s="1"/>
  <c r="Y388" i="6" s="1"/>
  <c r="AA388" i="6" s="1"/>
  <c r="V130" i="6"/>
  <c r="T113" i="5"/>
  <c r="U113" i="5" s="1"/>
  <c r="AB731" i="6"/>
  <c r="AC731" i="6" s="1"/>
  <c r="V764" i="6"/>
  <c r="X764" i="6" s="1"/>
  <c r="Y764" i="6" s="1"/>
  <c r="AA764" i="6" s="1"/>
  <c r="W633" i="6"/>
  <c r="X633" i="6" s="1"/>
  <c r="Y633" i="6" s="1"/>
  <c r="AA633" i="6" s="1"/>
  <c r="X87" i="6"/>
  <c r="Y87" i="6" s="1"/>
  <c r="AA87" i="6" s="1"/>
  <c r="X300" i="6"/>
  <c r="Y300" i="6" s="1"/>
  <c r="AA300" i="6" s="1"/>
  <c r="W279" i="6"/>
  <c r="X279" i="6" s="1"/>
  <c r="Y279" i="6" s="1"/>
  <c r="AA279" i="6" s="1"/>
  <c r="W422" i="6"/>
  <c r="X422" i="6" s="1"/>
  <c r="Y422" i="6" s="1"/>
  <c r="AA422" i="6" s="1"/>
  <c r="T72" i="5"/>
  <c r="U72" i="5" s="1"/>
  <c r="W148" i="6"/>
  <c r="X148" i="6" s="1"/>
  <c r="Y148" i="6" s="1"/>
  <c r="AA148" i="6" s="1"/>
  <c r="X226" i="6"/>
  <c r="Y226" i="6" s="1"/>
  <c r="AA226" i="6" s="1"/>
  <c r="AB476" i="6"/>
  <c r="AC476" i="6" s="1"/>
  <c r="AB625" i="6"/>
  <c r="AC625" i="6" s="1"/>
  <c r="X398" i="6"/>
  <c r="Y398" i="6" s="1"/>
  <c r="AA398" i="6" s="1"/>
  <c r="X197" i="6"/>
  <c r="Y197" i="6" s="1"/>
  <c r="AA197" i="6" s="1"/>
  <c r="V766" i="6"/>
  <c r="X766" i="6" s="1"/>
  <c r="Y766" i="6" s="1"/>
  <c r="AA766" i="6" s="1"/>
  <c r="M23" i="3"/>
  <c r="L23" i="3"/>
  <c r="AD23" i="3"/>
  <c r="T23" i="3"/>
  <c r="J23" i="3"/>
  <c r="D23" i="3"/>
  <c r="S23" i="3"/>
  <c r="K23" i="3"/>
  <c r="I23" i="3"/>
  <c r="AC23" i="3"/>
  <c r="AB23" i="3"/>
  <c r="Y23" i="3"/>
  <c r="AA23" i="3"/>
  <c r="V367" i="6"/>
  <c r="T209" i="5"/>
  <c r="U209" i="5" s="1"/>
  <c r="T142" i="5"/>
  <c r="U142" i="5" s="1"/>
  <c r="Y361" i="6"/>
  <c r="AA361" i="6" s="1"/>
  <c r="AC443" i="6"/>
  <c r="AB443" i="6"/>
  <c r="T241" i="5"/>
  <c r="U241" i="5" s="1"/>
  <c r="AB355" i="6"/>
  <c r="AC355" i="6" s="1"/>
  <c r="X173" i="6"/>
  <c r="Y173" i="6" s="1"/>
  <c r="AA173" i="6" s="1"/>
  <c r="V428" i="6"/>
  <c r="X428" i="6" s="1"/>
  <c r="Y428" i="6" s="1"/>
  <c r="AA428" i="6" s="1"/>
  <c r="W73" i="6"/>
  <c r="X73" i="6" s="1"/>
  <c r="Y73" i="6" s="1"/>
  <c r="AA73" i="6" s="1"/>
  <c r="V425" i="6"/>
  <c r="X425" i="6" s="1"/>
  <c r="Y425" i="6" s="1"/>
  <c r="AA425" i="6" s="1"/>
  <c r="V329" i="6"/>
  <c r="T188" i="5"/>
  <c r="U188" i="5" s="1"/>
  <c r="P298" i="5"/>
  <c r="Q298" i="5" s="1"/>
  <c r="S298" i="5" s="1"/>
  <c r="T304" i="5"/>
  <c r="U304" i="5" s="1"/>
  <c r="AB414" i="6"/>
  <c r="AC414" i="6" s="1"/>
  <c r="V269" i="6"/>
  <c r="X704" i="6"/>
  <c r="Y704" i="6" s="1"/>
  <c r="AA704" i="6" s="1"/>
  <c r="W756" i="6"/>
  <c r="X756" i="6" s="1"/>
  <c r="Y756" i="6" s="1"/>
  <c r="AA756" i="6" s="1"/>
  <c r="P171" i="5"/>
  <c r="Q171" i="5" s="1"/>
  <c r="S171" i="5" s="1"/>
  <c r="W146" i="6"/>
  <c r="X146" i="6" s="1"/>
  <c r="Y146" i="6" s="1"/>
  <c r="AA146" i="6" s="1"/>
  <c r="V736" i="6"/>
  <c r="X736" i="6" s="1"/>
  <c r="Y736" i="6" s="1"/>
  <c r="AA736" i="6" s="1"/>
  <c r="O175" i="5"/>
  <c r="P175" i="5" s="1"/>
  <c r="Q175" i="5" s="1"/>
  <c r="S175" i="5" s="1"/>
  <c r="W152" i="6"/>
  <c r="X152" i="6" s="1"/>
  <c r="Y152" i="6" s="1"/>
  <c r="AA152" i="6" s="1"/>
  <c r="W215" i="6"/>
  <c r="X215" i="6" s="1"/>
  <c r="Y215" i="6" s="1"/>
  <c r="AA215" i="6" s="1"/>
  <c r="X498" i="6"/>
  <c r="Y498" i="6" s="1"/>
  <c r="AA498" i="6" s="1"/>
  <c r="AF680" i="6"/>
  <c r="M21" i="3"/>
  <c r="L21" i="3"/>
  <c r="AD21" i="3"/>
  <c r="T21" i="3"/>
  <c r="J21" i="3"/>
  <c r="AB21" i="3"/>
  <c r="K21" i="3"/>
  <c r="AA21" i="3"/>
  <c r="I21" i="3"/>
  <c r="D21" i="3"/>
  <c r="N21" i="3" s="1"/>
  <c r="Y21" i="3"/>
  <c r="AC21" i="3"/>
  <c r="S21" i="3"/>
  <c r="AB260" i="6"/>
  <c r="AE260" i="6" s="1"/>
  <c r="P176" i="5"/>
  <c r="W747" i="6"/>
  <c r="X747" i="6" s="1"/>
  <c r="Y747" i="6" s="1"/>
  <c r="AA747" i="6" s="1"/>
  <c r="T137" i="5"/>
  <c r="U137" i="5" s="1"/>
  <c r="U230" i="5"/>
  <c r="T230" i="5"/>
  <c r="V518" i="6"/>
  <c r="X518" i="6" s="1"/>
  <c r="V660" i="6"/>
  <c r="X660" i="6" s="1"/>
  <c r="AB245" i="6"/>
  <c r="AC245" i="6" s="1"/>
  <c r="AB387" i="6"/>
  <c r="AC387" i="6" s="1"/>
  <c r="AB289" i="6"/>
  <c r="AC289" i="6" s="1"/>
  <c r="AB162" i="6"/>
  <c r="AC162" i="6" s="1"/>
  <c r="AB59" i="6"/>
  <c r="AC59" i="6" s="1"/>
  <c r="AB667" i="6"/>
  <c r="AC667" i="6" s="1"/>
  <c r="W549" i="6"/>
  <c r="V676" i="6"/>
  <c r="V728" i="6"/>
  <c r="W177" i="6"/>
  <c r="X177" i="6" s="1"/>
  <c r="Y177" i="6" s="1"/>
  <c r="AA177" i="6" s="1"/>
  <c r="AC287" i="6"/>
  <c r="AB287" i="6"/>
  <c r="T255" i="5"/>
  <c r="U255" i="5" s="1"/>
  <c r="W120" i="6"/>
  <c r="M25" i="3"/>
  <c r="L25" i="3"/>
  <c r="AD25" i="3"/>
  <c r="T25" i="3"/>
  <c r="J25" i="3"/>
  <c r="AC25" i="3"/>
  <c r="AB25" i="3"/>
  <c r="K25" i="3"/>
  <c r="AA25" i="3"/>
  <c r="I25" i="3"/>
  <c r="S25" i="3"/>
  <c r="Y25" i="3"/>
  <c r="D25" i="3"/>
  <c r="AB52" i="6"/>
  <c r="AC52" i="6" s="1"/>
  <c r="AB755" i="6"/>
  <c r="AC755" i="6" s="1"/>
  <c r="M22" i="3"/>
  <c r="L22" i="3"/>
  <c r="AD22" i="3"/>
  <c r="T22" i="3"/>
  <c r="J22" i="3"/>
  <c r="Y22" i="3"/>
  <c r="D22" i="3"/>
  <c r="N22" i="3" s="1"/>
  <c r="S22" i="3"/>
  <c r="K22" i="3"/>
  <c r="I22" i="3"/>
  <c r="AC22" i="3"/>
  <c r="AB22" i="3"/>
  <c r="AA22" i="3"/>
  <c r="AB261" i="6"/>
  <c r="AC261" i="6" s="1"/>
  <c r="T50" i="3"/>
  <c r="J50" i="3"/>
  <c r="AM50" i="3"/>
  <c r="S50" i="3"/>
  <c r="I50" i="3"/>
  <c r="AL50" i="3"/>
  <c r="R50" i="3"/>
  <c r="D50" i="3"/>
  <c r="BL50" i="3"/>
  <c r="U50" i="3"/>
  <c r="N50" i="3"/>
  <c r="M50" i="3"/>
  <c r="Y50" i="3"/>
  <c r="V50" i="3"/>
  <c r="X50" i="3"/>
  <c r="BM50" i="3"/>
  <c r="W50" i="3"/>
  <c r="L50" i="3"/>
  <c r="K50" i="3"/>
  <c r="G50" i="3"/>
  <c r="H50" i="3" s="1"/>
  <c r="C162" i="4"/>
  <c r="C66" i="4"/>
  <c r="C114" i="4"/>
  <c r="C53" i="3"/>
  <c r="X365" i="6"/>
  <c r="Y365" i="6" s="1"/>
  <c r="AA365" i="6" s="1"/>
  <c r="X308" i="6"/>
  <c r="Y308" i="6" s="1"/>
  <c r="AA308" i="6" s="1"/>
  <c r="W658" i="6"/>
  <c r="X658" i="6" s="1"/>
  <c r="Y658" i="6" s="1"/>
  <c r="AA658" i="6" s="1"/>
  <c r="T105" i="5"/>
  <c r="U105" i="5" s="1"/>
  <c r="V648" i="6"/>
  <c r="X648" i="6" s="1"/>
  <c r="Y648" i="6" s="1"/>
  <c r="AA648" i="6" s="1"/>
  <c r="Y660" i="6"/>
  <c r="AA660" i="6" s="1"/>
  <c r="X661" i="6"/>
  <c r="Y661" i="6" s="1"/>
  <c r="AA661" i="6" s="1"/>
  <c r="X538" i="6"/>
  <c r="Y538" i="6" s="1"/>
  <c r="AA538" i="6" s="1"/>
  <c r="W571" i="6"/>
  <c r="X641" i="6"/>
  <c r="Y641" i="6" s="1"/>
  <c r="AA641" i="6" s="1"/>
  <c r="AB201" i="6"/>
  <c r="AC201" i="6" s="1"/>
  <c r="AD201" i="6" s="1"/>
  <c r="AB532" i="6"/>
  <c r="AC532" i="6" s="1"/>
  <c r="AB241" i="6"/>
  <c r="AC241" i="6" s="1"/>
  <c r="X516" i="6"/>
  <c r="Y516" i="6" s="1"/>
  <c r="AA516" i="6" s="1"/>
  <c r="X639" i="6"/>
  <c r="Y639" i="6" s="1"/>
  <c r="AA639" i="6" s="1"/>
  <c r="Y423" i="6"/>
  <c r="AA423" i="6" s="1"/>
  <c r="U216" i="5"/>
  <c r="V216" i="5" s="1"/>
  <c r="V357" i="6"/>
  <c r="X357" i="6" s="1"/>
  <c r="Y357" i="6" s="1"/>
  <c r="AA357" i="6" s="1"/>
  <c r="W130" i="6"/>
  <c r="V522" i="6"/>
  <c r="X481" i="6"/>
  <c r="Y481" i="6" s="1"/>
  <c r="AA481" i="6" s="1"/>
  <c r="X180" i="6"/>
  <c r="Y180" i="6" s="1"/>
  <c r="AA180" i="6" s="1"/>
  <c r="C45" i="3"/>
  <c r="C154" i="4"/>
  <c r="C106" i="4"/>
  <c r="C58" i="4"/>
  <c r="W493" i="6"/>
  <c r="X493" i="6" s="1"/>
  <c r="Y493" i="6" s="1"/>
  <c r="AA493" i="6" s="1"/>
  <c r="AB290" i="6"/>
  <c r="AE290" i="6" s="1"/>
  <c r="AE291" i="6" s="1"/>
  <c r="X426" i="6"/>
  <c r="Y426" i="6" s="1"/>
  <c r="AA426" i="6" s="1"/>
  <c r="W367" i="6"/>
  <c r="X400" i="6"/>
  <c r="Y400" i="6" s="1"/>
  <c r="AA400" i="6" s="1"/>
  <c r="X616" i="6"/>
  <c r="Y616" i="6" s="1"/>
  <c r="AA616" i="6" s="1"/>
  <c r="X679" i="6"/>
  <c r="Y679" i="6" s="1"/>
  <c r="AA679" i="6" s="1"/>
  <c r="X699" i="6"/>
  <c r="Y699" i="6" s="1"/>
  <c r="AA699" i="6" s="1"/>
  <c r="X312" i="6"/>
  <c r="Y312" i="6" s="1"/>
  <c r="AA312" i="6" s="1"/>
  <c r="V361" i="6"/>
  <c r="X361" i="6" s="1"/>
  <c r="T221" i="5"/>
  <c r="U221" i="5" s="1"/>
  <c r="X240" i="6"/>
  <c r="Y240" i="6" s="1"/>
  <c r="AA240" i="6" s="1"/>
  <c r="AB105" i="6"/>
  <c r="AC105" i="6" s="1"/>
  <c r="AB412" i="6"/>
  <c r="AC412" i="6" s="1"/>
  <c r="AF410" i="6"/>
  <c r="X154" i="6"/>
  <c r="Y154" i="6" s="1"/>
  <c r="AA154" i="6" s="1"/>
  <c r="W329" i="6"/>
  <c r="T253" i="5"/>
  <c r="U253" i="5" s="1"/>
  <c r="X450" i="6"/>
  <c r="Y450" i="6" s="1"/>
  <c r="AA450" i="6" s="1"/>
  <c r="AB185" i="6"/>
  <c r="AC185" i="6"/>
  <c r="X381" i="6"/>
  <c r="Y381" i="6" s="1"/>
  <c r="AA381" i="6" s="1"/>
  <c r="X408" i="6"/>
  <c r="Y408" i="6" s="1"/>
  <c r="AA408" i="6" s="1"/>
  <c r="AB229" i="6"/>
  <c r="AC229" i="6" s="1"/>
  <c r="AB557" i="6"/>
  <c r="AC557" i="6" s="1"/>
  <c r="W269" i="6"/>
  <c r="X769" i="6"/>
  <c r="Y769" i="6" s="1"/>
  <c r="AA769" i="6" s="1"/>
  <c r="AB36" i="5"/>
  <c r="AA36" i="5"/>
  <c r="Z36" i="5"/>
  <c r="Y36" i="5"/>
  <c r="X272" i="6"/>
  <c r="Y272" i="6" s="1"/>
  <c r="AA272" i="6" s="1"/>
  <c r="AF230" i="6"/>
  <c r="AC612" i="6"/>
  <c r="AB612" i="6"/>
  <c r="C36" i="3"/>
  <c r="C97" i="4"/>
  <c r="C49" i="4"/>
  <c r="C145" i="4"/>
  <c r="AB630" i="6"/>
  <c r="AC630" i="6" s="1"/>
  <c r="X174" i="6"/>
  <c r="Y174" i="6" s="1"/>
  <c r="AA174" i="6" s="1"/>
  <c r="V286" i="6"/>
  <c r="X286" i="6" s="1"/>
  <c r="Y286" i="6" s="1"/>
  <c r="AA286" i="6" s="1"/>
  <c r="X452" i="6"/>
  <c r="Y452" i="6" s="1"/>
  <c r="AA452" i="6" s="1"/>
  <c r="X153" i="6"/>
  <c r="Y153" i="6" s="1"/>
  <c r="AA153" i="6" s="1"/>
  <c r="W664" i="6"/>
  <c r="X664" i="6" s="1"/>
  <c r="Y664" i="6" s="1"/>
  <c r="AA664" i="6" s="1"/>
  <c r="X758" i="6"/>
  <c r="Y758" i="6" s="1"/>
  <c r="AA758" i="6" s="1"/>
  <c r="Y582" i="6"/>
  <c r="AA582" i="6" s="1"/>
  <c r="X515" i="6"/>
  <c r="Y515" i="6" s="1"/>
  <c r="AA515" i="6" s="1"/>
  <c r="U117" i="5"/>
  <c r="T117" i="5"/>
  <c r="X346" i="6"/>
  <c r="Y346" i="6" s="1"/>
  <c r="AA346" i="6" s="1"/>
  <c r="W217" i="5"/>
  <c r="W218" i="5" s="1"/>
  <c r="W219" i="5" s="1"/>
  <c r="X165" i="6"/>
  <c r="Y165" i="6" s="1"/>
  <c r="AA165" i="6" s="1"/>
  <c r="X386" i="6"/>
  <c r="Y386" i="6" s="1"/>
  <c r="AA386" i="6" s="1"/>
  <c r="W522" i="6"/>
  <c r="BM42" i="3"/>
  <c r="V42" i="3"/>
  <c r="L42" i="3"/>
  <c r="BL42" i="3"/>
  <c r="U42" i="3"/>
  <c r="K42" i="3"/>
  <c r="T42" i="3"/>
  <c r="J42" i="3"/>
  <c r="AL42" i="3"/>
  <c r="R42" i="3"/>
  <c r="M42" i="3"/>
  <c r="N42" i="3"/>
  <c r="G42" i="3"/>
  <c r="H42" i="3" s="1"/>
  <c r="AM42" i="3"/>
  <c r="D42" i="3"/>
  <c r="Y42" i="3"/>
  <c r="X42" i="3"/>
  <c r="I42" i="3"/>
  <c r="W42" i="3"/>
  <c r="S42" i="3"/>
  <c r="T272" i="5"/>
  <c r="U272" i="5" s="1"/>
  <c r="W762" i="6"/>
  <c r="X762" i="6" s="1"/>
  <c r="Y762" i="6" s="1"/>
  <c r="AA762" i="6" s="1"/>
  <c r="T74" i="5"/>
  <c r="U74" i="5" s="1"/>
  <c r="T224" i="5"/>
  <c r="U224" i="5" s="1"/>
  <c r="V282" i="6"/>
  <c r="X282" i="6" s="1"/>
  <c r="Y282" i="6" s="1"/>
  <c r="AA282" i="6" s="1"/>
  <c r="V108" i="6"/>
  <c r="X108" i="6" s="1"/>
  <c r="Y108" i="6" s="1"/>
  <c r="AA108" i="6" s="1"/>
  <c r="W211" i="6"/>
  <c r="T300" i="5"/>
  <c r="U300" i="5" s="1"/>
  <c r="T271" i="5"/>
  <c r="U271" i="5" s="1"/>
  <c r="T91" i="5"/>
  <c r="U91" i="5" s="1"/>
  <c r="AB421" i="6"/>
  <c r="AC421" i="6" s="1"/>
  <c r="X284" i="6"/>
  <c r="Y284" i="6" s="1"/>
  <c r="AA284" i="6" s="1"/>
  <c r="AB684" i="6"/>
  <c r="AC684" i="6" s="1"/>
  <c r="AB144" i="6"/>
  <c r="AC144" i="6" s="1"/>
  <c r="W463" i="6"/>
  <c r="X463" i="6" s="1"/>
  <c r="Y463" i="6" s="1"/>
  <c r="AA463" i="6" s="1"/>
  <c r="AB447" i="6"/>
  <c r="AC447" i="6" s="1"/>
  <c r="T65" i="5"/>
  <c r="U65" i="5" s="1"/>
  <c r="AB81" i="6"/>
  <c r="AC81" i="6" s="1"/>
  <c r="V65" i="6"/>
  <c r="X65" i="6" s="1"/>
  <c r="Y65" i="6" s="1"/>
  <c r="AA65" i="6" s="1"/>
  <c r="W653" i="6"/>
  <c r="X653" i="6" s="1"/>
  <c r="Y653" i="6" s="1"/>
  <c r="AA653" i="6" s="1"/>
  <c r="N116" i="5"/>
  <c r="P116" i="5" s="1"/>
  <c r="Q116" i="5" s="1"/>
  <c r="S116" i="5" s="1"/>
  <c r="X70" i="6"/>
  <c r="Y70" i="6" s="1"/>
  <c r="AA70" i="6" s="1"/>
  <c r="M28" i="3"/>
  <c r="L28" i="3"/>
  <c r="AD28" i="3"/>
  <c r="T28" i="3"/>
  <c r="J28" i="3"/>
  <c r="D28" i="3"/>
  <c r="N28" i="3" s="1"/>
  <c r="S28" i="3"/>
  <c r="AC28" i="3"/>
  <c r="AB28" i="3"/>
  <c r="AA28" i="3"/>
  <c r="O65" i="1"/>
  <c r="Y28" i="3"/>
  <c r="I28" i="3"/>
  <c r="K28" i="3"/>
  <c r="V298" i="6"/>
  <c r="X298" i="6" s="1"/>
  <c r="Y298" i="6" s="1"/>
  <c r="AA298" i="6" s="1"/>
  <c r="V579" i="6"/>
  <c r="X579" i="6" s="1"/>
  <c r="Y579" i="6" s="1"/>
  <c r="AA579" i="6" s="1"/>
  <c r="V497" i="6"/>
  <c r="X497" i="6" s="1"/>
  <c r="AB429" i="6"/>
  <c r="AC429" i="6" s="1"/>
  <c r="W576" i="6"/>
  <c r="X576" i="6" s="1"/>
  <c r="Y576" i="6" s="1"/>
  <c r="AA576" i="6" s="1"/>
  <c r="AB550" i="6"/>
  <c r="AC550" i="6" s="1"/>
  <c r="C156" i="4"/>
  <c r="C108" i="4"/>
  <c r="C47" i="3"/>
  <c r="C60" i="4"/>
  <c r="W134" i="6"/>
  <c r="W435" i="6"/>
  <c r="X435" i="6" s="1"/>
  <c r="Y435" i="6" s="1"/>
  <c r="AA435" i="6" s="1"/>
  <c r="AB110" i="6"/>
  <c r="AE110" i="6" s="1"/>
  <c r="AE111" i="6" s="1"/>
  <c r="AE112" i="6" s="1"/>
  <c r="AE113" i="6" s="1"/>
  <c r="T184" i="5"/>
  <c r="U184" i="5" s="1"/>
  <c r="T288" i="5"/>
  <c r="U288" i="5" s="1"/>
  <c r="T85" i="5"/>
  <c r="U85" i="5" s="1"/>
  <c r="T40" i="5"/>
  <c r="U40" i="5" s="1"/>
  <c r="AB313" i="6"/>
  <c r="AC313" i="6" s="1"/>
  <c r="T166" i="5"/>
  <c r="U166" i="5" s="1"/>
  <c r="BM52" i="3"/>
  <c r="V52" i="3"/>
  <c r="L52" i="3"/>
  <c r="BL52" i="3"/>
  <c r="U52" i="3"/>
  <c r="K52" i="3"/>
  <c r="T52" i="3"/>
  <c r="J52" i="3"/>
  <c r="AL52" i="3"/>
  <c r="R52" i="3"/>
  <c r="N52" i="3"/>
  <c r="M52" i="3"/>
  <c r="I52" i="3"/>
  <c r="W52" i="3"/>
  <c r="S52" i="3"/>
  <c r="AM52" i="3"/>
  <c r="D52" i="3"/>
  <c r="G52" i="3"/>
  <c r="H52" i="3" s="1"/>
  <c r="Y52" i="3"/>
  <c r="X52" i="3"/>
  <c r="X209" i="6"/>
  <c r="Y209" i="6" s="1"/>
  <c r="AA209" i="6" s="1"/>
  <c r="V211" i="6"/>
  <c r="T280" i="5"/>
  <c r="U280" i="5" s="1"/>
  <c r="X259" i="6"/>
  <c r="Y259" i="6" s="1"/>
  <c r="AA259" i="6" s="1"/>
  <c r="X149" i="6"/>
  <c r="Y149" i="6" s="1"/>
  <c r="AA149" i="6" s="1"/>
  <c r="T104" i="5"/>
  <c r="U104" i="5" s="1"/>
  <c r="AB596" i="6"/>
  <c r="AC596" i="6" s="1"/>
  <c r="X390" i="6"/>
  <c r="Y390" i="6" s="1"/>
  <c r="AA390" i="6" s="1"/>
  <c r="AB634" i="6"/>
  <c r="AC634" i="6" s="1"/>
  <c r="W599" i="6"/>
  <c r="W157" i="5"/>
  <c r="W158" i="5" s="1"/>
  <c r="AB413" i="6"/>
  <c r="AC413" i="6" s="1"/>
  <c r="X389" i="6"/>
  <c r="Y389" i="6" s="1"/>
  <c r="AA389" i="6" s="1"/>
  <c r="X558" i="6"/>
  <c r="Y558" i="6" s="1"/>
  <c r="AA558" i="6" s="1"/>
  <c r="X665" i="6"/>
  <c r="Y665" i="6" s="1"/>
  <c r="AA665" i="6" s="1"/>
  <c r="W336" i="6"/>
  <c r="AB297" i="6"/>
  <c r="AC297" i="6" s="1"/>
  <c r="AB499" i="6"/>
  <c r="AC499" i="6" s="1"/>
  <c r="T178" i="5"/>
  <c r="U178" i="5" s="1"/>
  <c r="V275" i="6"/>
  <c r="X275" i="6" s="1"/>
  <c r="Y275" i="6" s="1"/>
  <c r="AA275" i="6" s="1"/>
  <c r="X102" i="6"/>
  <c r="Y102" i="6" s="1"/>
  <c r="AA102" i="6" s="1"/>
  <c r="X688" i="6"/>
  <c r="Y688" i="6" s="1"/>
  <c r="AA688" i="6" s="1"/>
  <c r="X328" i="6"/>
  <c r="Y328" i="6" s="1"/>
  <c r="AA328" i="6" s="1"/>
  <c r="T181" i="5"/>
  <c r="U181" i="5" s="1"/>
  <c r="BL29" i="3"/>
  <c r="X29" i="3"/>
  <c r="N29" i="3"/>
  <c r="W29" i="3"/>
  <c r="M29" i="3"/>
  <c r="V29" i="3"/>
  <c r="L29" i="3"/>
  <c r="T29" i="3"/>
  <c r="J29" i="3"/>
  <c r="R29" i="3"/>
  <c r="K29" i="3"/>
  <c r="I29" i="3"/>
  <c r="AM29" i="3"/>
  <c r="G29" i="3"/>
  <c r="H29" i="3" s="1"/>
  <c r="AL29" i="3"/>
  <c r="D29" i="3"/>
  <c r="BM29" i="3"/>
  <c r="U29" i="3"/>
  <c r="Y29" i="3"/>
  <c r="S29" i="3"/>
  <c r="X369" i="6"/>
  <c r="Y369" i="6" s="1"/>
  <c r="AA369" i="6" s="1"/>
  <c r="AB750" i="6"/>
  <c r="AC750" i="6" s="1"/>
  <c r="T235" i="5"/>
  <c r="U235" i="5" s="1"/>
  <c r="T148" i="5"/>
  <c r="U148" i="5" s="1"/>
  <c r="AC292" i="6"/>
  <c r="AB292" i="6"/>
  <c r="AB525" i="6"/>
  <c r="AC525" i="6" s="1"/>
  <c r="AL38" i="3"/>
  <c r="R38" i="3"/>
  <c r="G38" i="3"/>
  <c r="H38" i="3" s="1"/>
  <c r="D38" i="3"/>
  <c r="X38" i="3"/>
  <c r="N38" i="3"/>
  <c r="BM38" i="3"/>
  <c r="T38" i="3"/>
  <c r="BL38" i="3"/>
  <c r="S38" i="3"/>
  <c r="L38" i="3"/>
  <c r="M38" i="3"/>
  <c r="K38" i="3"/>
  <c r="J38" i="3"/>
  <c r="I38" i="3"/>
  <c r="AM38" i="3"/>
  <c r="Y38" i="3"/>
  <c r="W38" i="3"/>
  <c r="V38" i="3"/>
  <c r="U38" i="3"/>
  <c r="AC441" i="6"/>
  <c r="AB441" i="6"/>
  <c r="AE441" i="6" s="1"/>
  <c r="AE442" i="6" s="1"/>
  <c r="AE443" i="6" s="1"/>
  <c r="AE444" i="6" s="1"/>
  <c r="AE445" i="6" s="1"/>
  <c r="AE446" i="6" s="1"/>
  <c r="T251" i="5"/>
  <c r="U251" i="5"/>
  <c r="AB718" i="6"/>
  <c r="AC718" i="6" s="1"/>
  <c r="AB709" i="6"/>
  <c r="AC709" i="6" s="1"/>
  <c r="AB560" i="6"/>
  <c r="AE560" i="6" s="1"/>
  <c r="AE561" i="6" s="1"/>
  <c r="X523" i="6"/>
  <c r="Y523" i="6" s="1"/>
  <c r="AA523" i="6" s="1"/>
  <c r="AB754" i="6"/>
  <c r="AC754" i="6" s="1"/>
  <c r="X193" i="6"/>
  <c r="Y193" i="6" s="1"/>
  <c r="AA193" i="6" s="1"/>
  <c r="C46" i="3"/>
  <c r="C107" i="4"/>
  <c r="C59" i="4"/>
  <c r="C155" i="4"/>
  <c r="M24" i="3"/>
  <c r="L24" i="3"/>
  <c r="AD24" i="3"/>
  <c r="T24" i="3"/>
  <c r="J24" i="3"/>
  <c r="AB24" i="3"/>
  <c r="K24" i="3"/>
  <c r="AC24" i="3"/>
  <c r="Y24" i="3"/>
  <c r="S24" i="3"/>
  <c r="I24" i="3"/>
  <c r="D24" i="3"/>
  <c r="N24" i="3" s="1"/>
  <c r="AA24" i="3"/>
  <c r="V157" i="5"/>
  <c r="X156" i="5"/>
  <c r="AC67" i="6"/>
  <c r="AB67" i="6"/>
  <c r="T266" i="5"/>
  <c r="U266" i="5" s="1"/>
  <c r="T187" i="5"/>
  <c r="U187" i="5" s="1"/>
  <c r="V187" i="5" s="1"/>
  <c r="P236" i="5"/>
  <c r="Q236" i="5" s="1"/>
  <c r="S236" i="5" s="1"/>
  <c r="T247" i="5"/>
  <c r="U247" i="5" s="1"/>
  <c r="W636" i="6"/>
  <c r="X636" i="6" s="1"/>
  <c r="Y636" i="6" s="1"/>
  <c r="AA636" i="6" s="1"/>
  <c r="V402" i="6"/>
  <c r="X402" i="6" s="1"/>
  <c r="Y402" i="6" s="1"/>
  <c r="AA402" i="6" s="1"/>
  <c r="V124" i="6"/>
  <c r="W637" i="6"/>
  <c r="X637" i="6" s="1"/>
  <c r="Y637" i="6" s="1"/>
  <c r="AA637" i="6" s="1"/>
  <c r="N274" i="5"/>
  <c r="P274" i="5" s="1"/>
  <c r="Q274" i="5" s="1"/>
  <c r="S274" i="5" s="1"/>
  <c r="X198" i="6"/>
  <c r="Y198" i="6" s="1"/>
  <c r="AA198" i="6" s="1"/>
  <c r="U126" i="5"/>
  <c r="V126" i="5" s="1"/>
  <c r="U276" i="5"/>
  <c r="V276" i="5" s="1"/>
  <c r="AB500" i="6"/>
  <c r="AE500" i="6" s="1"/>
  <c r="AE501" i="6" s="1"/>
  <c r="AE502" i="6" s="1"/>
  <c r="V332" i="6"/>
  <c r="X332" i="6" s="1"/>
  <c r="Y332" i="6" s="1"/>
  <c r="AA332" i="6" s="1"/>
  <c r="T194" i="5"/>
  <c r="U194" i="5" s="1"/>
  <c r="C148" i="4"/>
  <c r="C39" i="3"/>
  <c r="C100" i="4"/>
  <c r="C52" i="4"/>
  <c r="AB620" i="6"/>
  <c r="AE620" i="6" s="1"/>
  <c r="AC620" i="6"/>
  <c r="AD620" i="6" s="1"/>
  <c r="W189" i="6"/>
  <c r="Y497" i="6"/>
  <c r="AA497" i="6" s="1"/>
  <c r="AB694" i="6"/>
  <c r="AC694" i="6" s="1"/>
  <c r="T248" i="5"/>
  <c r="U248" i="5" s="1"/>
  <c r="V134" i="6"/>
  <c r="AB589" i="6"/>
  <c r="AC589" i="6"/>
  <c r="V480" i="6"/>
  <c r="X480" i="6" s="1"/>
  <c r="Y480" i="6" s="1"/>
  <c r="AA480" i="6" s="1"/>
  <c r="D56" i="3"/>
  <c r="Y56" i="3"/>
  <c r="X56" i="3"/>
  <c r="N56" i="3"/>
  <c r="BM56" i="3"/>
  <c r="V56" i="3"/>
  <c r="L56" i="3"/>
  <c r="M56" i="3"/>
  <c r="K56" i="3"/>
  <c r="J56" i="3"/>
  <c r="I56" i="3"/>
  <c r="W56" i="3"/>
  <c r="U56" i="3"/>
  <c r="R56" i="3"/>
  <c r="BL56" i="3"/>
  <c r="T56" i="3"/>
  <c r="S56" i="3"/>
  <c r="AM56" i="3"/>
  <c r="G56" i="3"/>
  <c r="H56" i="3" s="1"/>
  <c r="AL56" i="3"/>
  <c r="W586" i="6"/>
  <c r="X586" i="6" s="1"/>
  <c r="Y586" i="6" s="1"/>
  <c r="AA586" i="6" s="1"/>
  <c r="V119" i="6"/>
  <c r="AB155" i="6"/>
  <c r="AC155" i="6"/>
  <c r="W767" i="6"/>
  <c r="X767" i="6" s="1"/>
  <c r="Y767" i="6" s="1"/>
  <c r="AA767" i="6" s="1"/>
  <c r="W207" i="6"/>
  <c r="X207" i="6" s="1"/>
  <c r="Y207" i="6" s="1"/>
  <c r="AA207" i="6" s="1"/>
  <c r="W420" i="6"/>
  <c r="X420" i="6" s="1"/>
  <c r="Y420" i="6" s="1"/>
  <c r="AA420" i="6" s="1"/>
  <c r="AB57" i="6"/>
  <c r="AC57" i="6" s="1"/>
  <c r="AB325" i="6"/>
  <c r="AC325" i="6" s="1"/>
  <c r="T97" i="5"/>
  <c r="U97" i="5" s="1"/>
  <c r="V97" i="5" s="1"/>
  <c r="AB248" i="6"/>
  <c r="AC248" i="6" s="1"/>
  <c r="AB194" i="6"/>
  <c r="AC194" i="6" s="1"/>
  <c r="V150" i="6"/>
  <c r="X150" i="6" s="1"/>
  <c r="Y150" i="6" s="1"/>
  <c r="AA150" i="6" s="1"/>
  <c r="W739" i="6"/>
  <c r="X739" i="6" s="1"/>
  <c r="Y739" i="6" s="1"/>
  <c r="AA739" i="6" s="1"/>
  <c r="AB430" i="6"/>
  <c r="AC430" i="6" s="1"/>
  <c r="X657" i="6"/>
  <c r="Y657" i="6" s="1"/>
  <c r="AA657" i="6" s="1"/>
  <c r="W375" i="6"/>
  <c r="W431" i="6"/>
  <c r="X431" i="6" s="1"/>
  <c r="Y431" i="6" s="1"/>
  <c r="AA431" i="6" s="1"/>
  <c r="V599" i="6"/>
  <c r="AB76" i="6"/>
  <c r="AC76" i="6" s="1"/>
  <c r="AB746" i="6"/>
  <c r="AC746" i="6" s="1"/>
  <c r="V336" i="6"/>
  <c r="AB683" i="6"/>
  <c r="AC683" i="6" s="1"/>
  <c r="T75" i="5"/>
  <c r="U75" i="5" s="1"/>
  <c r="X96" i="6"/>
  <c r="Y96" i="6" s="1"/>
  <c r="AA96" i="6" s="1"/>
  <c r="AB151" i="6"/>
  <c r="AC151" i="6" s="1"/>
  <c r="W124" i="6"/>
  <c r="C35" i="3"/>
  <c r="C144" i="4"/>
  <c r="C96" i="4"/>
  <c r="C48" i="4"/>
  <c r="X675" i="6"/>
  <c r="Y675" i="6" s="1"/>
  <c r="AA675" i="6" s="1"/>
  <c r="V66" i="6"/>
  <c r="X66" i="6" s="1"/>
  <c r="T122" i="5"/>
  <c r="U122" i="5" s="1"/>
  <c r="AM49" i="3"/>
  <c r="S49" i="3"/>
  <c r="I49" i="3"/>
  <c r="AL49" i="3"/>
  <c r="R49" i="3"/>
  <c r="G49" i="3"/>
  <c r="H49" i="3" s="1"/>
  <c r="Y49" i="3"/>
  <c r="BM49" i="3"/>
  <c r="T49" i="3"/>
  <c r="BL49" i="3"/>
  <c r="N49" i="3"/>
  <c r="L49" i="3"/>
  <c r="M49" i="3"/>
  <c r="K49" i="3"/>
  <c r="J49" i="3"/>
  <c r="D49" i="3"/>
  <c r="X49" i="3"/>
  <c r="U49" i="3"/>
  <c r="W49" i="3"/>
  <c r="V49" i="3"/>
  <c r="V324" i="6"/>
  <c r="X324" i="6" s="1"/>
  <c r="Y324" i="6" s="1"/>
  <c r="AA324" i="6" s="1"/>
  <c r="AB307" i="6"/>
  <c r="AC307" i="6" s="1"/>
  <c r="W437" i="6"/>
  <c r="W603" i="6"/>
  <c r="V326" i="6"/>
  <c r="AB266" i="6"/>
  <c r="AC266" i="6" s="1"/>
  <c r="W205" i="6"/>
  <c r="X205" i="6" s="1"/>
  <c r="Y205" i="6" s="1"/>
  <c r="AA205" i="6" s="1"/>
  <c r="AB234" i="6"/>
  <c r="AC234" i="6" s="1"/>
  <c r="X208" i="6"/>
  <c r="Y208" i="6" s="1"/>
  <c r="AA208" i="6" s="1"/>
  <c r="AB350" i="6"/>
  <c r="AE350" i="6" s="1"/>
  <c r="AB311" i="6"/>
  <c r="AC311" i="6"/>
  <c r="X649" i="6"/>
  <c r="Y649" i="6" s="1"/>
  <c r="AA649" i="6" s="1"/>
  <c r="W187" i="5"/>
  <c r="W188" i="5" s="1"/>
  <c r="W189" i="5" s="1"/>
  <c r="T279" i="5"/>
  <c r="U279" i="5"/>
  <c r="V228" i="6"/>
  <c r="X317" i="6"/>
  <c r="Y317" i="6" s="1"/>
  <c r="AA317" i="6" s="1"/>
  <c r="AC384" i="6"/>
  <c r="AB384" i="6"/>
  <c r="AB196" i="6"/>
  <c r="AC196" i="6" s="1"/>
  <c r="T207" i="5"/>
  <c r="U207" i="5" s="1"/>
  <c r="AB320" i="6"/>
  <c r="AE320" i="6" s="1"/>
  <c r="AE321" i="6" s="1"/>
  <c r="T167" i="5"/>
  <c r="U167" i="5" s="1"/>
  <c r="Q176" i="5"/>
  <c r="S176" i="5" s="1"/>
  <c r="V748" i="6"/>
  <c r="X748" i="6" s="1"/>
  <c r="Y748" i="6" s="1"/>
  <c r="AA748" i="6" s="1"/>
  <c r="W526" i="6"/>
  <c r="X526" i="6" s="1"/>
  <c r="Y526" i="6" s="1"/>
  <c r="AA526" i="6" s="1"/>
  <c r="W319" i="6"/>
  <c r="X319" i="6" s="1"/>
  <c r="Y319" i="6" s="1"/>
  <c r="AA319" i="6" s="1"/>
  <c r="AB650" i="6"/>
  <c r="AE650" i="6" s="1"/>
  <c r="AE651" i="6" s="1"/>
  <c r="AE652" i="6" s="1"/>
  <c r="W160" i="6"/>
  <c r="X160" i="6" s="1"/>
  <c r="Y160" i="6" s="1"/>
  <c r="AA160" i="6" s="1"/>
  <c r="W217" i="6"/>
  <c r="AB136" i="6"/>
  <c r="AC136" i="6" s="1"/>
  <c r="AC55" i="6"/>
  <c r="AB55" i="6"/>
  <c r="V370" i="6"/>
  <c r="W511" i="6"/>
  <c r="X511" i="6" s="1"/>
  <c r="Y511" i="6" s="1"/>
  <c r="AA511" i="6" s="1"/>
  <c r="AC710" i="6"/>
  <c r="AD710" i="6" s="1"/>
  <c r="V139" i="6"/>
  <c r="Y518" i="6"/>
  <c r="AA518" i="6" s="1"/>
  <c r="W581" i="6"/>
  <c r="X581" i="6" s="1"/>
  <c r="Y581" i="6" s="1"/>
  <c r="AA581" i="6" s="1"/>
  <c r="W728" i="6"/>
  <c r="Y377" i="6"/>
  <c r="AA377" i="6" s="1"/>
  <c r="V749" i="6"/>
  <c r="W60" i="6"/>
  <c r="W453" i="6"/>
  <c r="X453" i="6" s="1"/>
  <c r="Y453" i="6" s="1"/>
  <c r="AA453" i="6" s="1"/>
  <c r="W333" i="6"/>
  <c r="AB673" i="6"/>
  <c r="AC673" i="6" s="1"/>
  <c r="V301" i="6"/>
  <c r="X301" i="6" s="1"/>
  <c r="Y301" i="6" s="1"/>
  <c r="AA301" i="6" s="1"/>
  <c r="W373" i="6"/>
  <c r="X373" i="6" s="1"/>
  <c r="Y373" i="6" s="1"/>
  <c r="AA373" i="6" s="1"/>
  <c r="Y66" i="6"/>
  <c r="AA66" i="6" s="1"/>
  <c r="W671" i="6"/>
  <c r="X671" i="6" s="1"/>
  <c r="Y671" i="6" s="1"/>
  <c r="AA671" i="6" s="1"/>
  <c r="W626" i="6"/>
  <c r="X626" i="6" s="1"/>
  <c r="Y626" i="6" s="1"/>
  <c r="AA626" i="6" s="1"/>
  <c r="AB293" i="6"/>
  <c r="AC293" i="6" s="1"/>
  <c r="V722" i="6"/>
  <c r="AB732" i="6"/>
  <c r="AC732" i="6" s="1"/>
  <c r="V495" i="6"/>
  <c r="X495" i="6" s="1"/>
  <c r="Y495" i="6" s="1"/>
  <c r="AA495" i="6" s="1"/>
  <c r="AB342" i="6"/>
  <c r="AC342" i="6" s="1"/>
  <c r="V603" i="6"/>
  <c r="W58" i="6"/>
  <c r="X58" i="6" s="1"/>
  <c r="Y58" i="6" s="1"/>
  <c r="AA58" i="6" s="1"/>
  <c r="W326" i="6"/>
  <c r="V433" i="6"/>
  <c r="X433" i="6" s="1"/>
  <c r="Y433" i="6" s="1"/>
  <c r="AA433" i="6" s="1"/>
  <c r="AC440" i="6"/>
  <c r="AD440" i="6" s="1"/>
  <c r="W638" i="6"/>
  <c r="X638" i="6" s="1"/>
  <c r="Y638" i="6" s="1"/>
  <c r="AA638" i="6" s="1"/>
  <c r="W559" i="6"/>
  <c r="X559" i="6" s="1"/>
  <c r="Y559" i="6" s="1"/>
  <c r="AA559" i="6" s="1"/>
  <c r="V189" i="6"/>
  <c r="AB531" i="6"/>
  <c r="AC531" i="6" s="1"/>
  <c r="V123" i="6"/>
  <c r="X123" i="6" s="1"/>
  <c r="N284" i="5"/>
  <c r="P284" i="5" s="1"/>
  <c r="Q284" i="5" s="1"/>
  <c r="S284" i="5" s="1"/>
  <c r="V542" i="6"/>
  <c r="X542" i="6" s="1"/>
  <c r="Y542" i="6" s="1"/>
  <c r="AA542" i="6" s="1"/>
  <c r="W477" i="6"/>
  <c r="AB640" i="6"/>
  <c r="AC640" i="6" s="1"/>
  <c r="BL41" i="3"/>
  <c r="U41" i="3"/>
  <c r="K41" i="3"/>
  <c r="T41" i="3"/>
  <c r="J41" i="3"/>
  <c r="AM41" i="3"/>
  <c r="S41" i="3"/>
  <c r="I41" i="3"/>
  <c r="G41" i="3"/>
  <c r="H41" i="3" s="1"/>
  <c r="BM41" i="3"/>
  <c r="R41" i="3"/>
  <c r="M41" i="3"/>
  <c r="N41" i="3"/>
  <c r="Y41" i="3"/>
  <c r="X41" i="3"/>
  <c r="W41" i="3"/>
  <c r="V41" i="3"/>
  <c r="L41" i="3"/>
  <c r="D41" i="3"/>
  <c r="AL41" i="3"/>
  <c r="V303" i="6"/>
  <c r="X303" i="6" s="1"/>
  <c r="Y303" i="6" s="1"/>
  <c r="AA303" i="6" s="1"/>
  <c r="X404" i="6"/>
  <c r="Y404" i="6" s="1"/>
  <c r="AA404" i="6" s="1"/>
  <c r="W345" i="6"/>
  <c r="X345" i="6" s="1"/>
  <c r="Y345" i="6" s="1"/>
  <c r="AA345" i="6" s="1"/>
  <c r="V322" i="6"/>
  <c r="X322" i="6" s="1"/>
  <c r="Y322" i="6" s="1"/>
  <c r="AA322" i="6" s="1"/>
  <c r="T163" i="5"/>
  <c r="U163" i="5" s="1"/>
  <c r="W228" i="6"/>
  <c r="W125" i="6"/>
  <c r="X125" i="6" s="1"/>
  <c r="Y125" i="6" s="1"/>
  <c r="AA125" i="6" s="1"/>
  <c r="AB575" i="6"/>
  <c r="AC575" i="6" s="1"/>
  <c r="V334" i="6"/>
  <c r="T63" i="5"/>
  <c r="U63" i="5" s="1"/>
  <c r="W692" i="6"/>
  <c r="X692" i="6" s="1"/>
  <c r="Y692" i="6" s="1"/>
  <c r="AA692" i="6" s="1"/>
  <c r="AB681" i="6"/>
  <c r="AE681" i="6" s="1"/>
  <c r="AE682" i="6" s="1"/>
  <c r="AE683" i="6" s="1"/>
  <c r="AE684" i="6" s="1"/>
  <c r="AE685" i="6" s="1"/>
  <c r="AE686" i="6" s="1"/>
  <c r="P278" i="5"/>
  <c r="Q278" i="5" s="1"/>
  <c r="S278" i="5" s="1"/>
  <c r="BL51" i="3"/>
  <c r="U51" i="3"/>
  <c r="K51" i="3"/>
  <c r="T51" i="3"/>
  <c r="J51" i="3"/>
  <c r="AM51" i="3"/>
  <c r="S51" i="3"/>
  <c r="I51" i="3"/>
  <c r="G51" i="3"/>
  <c r="H51" i="3" s="1"/>
  <c r="N51" i="3"/>
  <c r="M51" i="3"/>
  <c r="L51" i="3"/>
  <c r="D51" i="3"/>
  <c r="AL51" i="3"/>
  <c r="Y51" i="3"/>
  <c r="X51" i="3"/>
  <c r="W51" i="3"/>
  <c r="V51" i="3"/>
  <c r="R51" i="3"/>
  <c r="BM51" i="3"/>
  <c r="V587" i="6"/>
  <c r="X587" i="6" s="1"/>
  <c r="Y587" i="6" s="1"/>
  <c r="AA587" i="6" s="1"/>
  <c r="W119" i="6"/>
  <c r="W356" i="6"/>
  <c r="X356" i="6" s="1"/>
  <c r="Y356" i="6" s="1"/>
  <c r="AA356" i="6" s="1"/>
  <c r="V330" i="6"/>
  <c r="T303" i="5"/>
  <c r="U303" i="5" s="1"/>
  <c r="V392" i="6"/>
  <c r="X392" i="6" s="1"/>
  <c r="Y392" i="6" s="1"/>
  <c r="AA392" i="6" s="1"/>
  <c r="BM33" i="3"/>
  <c r="V33" i="3"/>
  <c r="L33" i="3"/>
  <c r="BL33" i="3"/>
  <c r="U33" i="3"/>
  <c r="K33" i="3"/>
  <c r="T33" i="3"/>
  <c r="J33" i="3"/>
  <c r="AL33" i="3"/>
  <c r="R33" i="3"/>
  <c r="S33" i="3"/>
  <c r="N33" i="3"/>
  <c r="AM33" i="3"/>
  <c r="D33" i="3"/>
  <c r="Y33" i="3"/>
  <c r="X33" i="3"/>
  <c r="W33" i="3"/>
  <c r="G33" i="3"/>
  <c r="H33" i="3" s="1"/>
  <c r="I33" i="3"/>
  <c r="M33" i="3"/>
  <c r="V375" i="6"/>
  <c r="X375" i="6" s="1"/>
  <c r="Y375" i="6" s="1"/>
  <c r="AA375" i="6" s="1"/>
  <c r="W221" i="6"/>
  <c r="P30" i="3"/>
  <c r="O30" i="3"/>
  <c r="P32" i="3"/>
  <c r="O32" i="3"/>
  <c r="AB506" i="6"/>
  <c r="AC506" i="6" s="1"/>
  <c r="X143" i="6"/>
  <c r="Y143" i="6" s="1"/>
  <c r="AA143" i="6" s="1"/>
  <c r="V62" i="6"/>
  <c r="X62" i="6" s="1"/>
  <c r="Y62" i="6" s="1"/>
  <c r="AA62" i="6" s="1"/>
  <c r="AB449" i="6"/>
  <c r="AC449" i="6" s="1"/>
  <c r="X238" i="6"/>
  <c r="Y238" i="6" s="1"/>
  <c r="AA238" i="6" s="1"/>
  <c r="T159" i="5"/>
  <c r="U159" i="5" s="1"/>
  <c r="AB178" i="6"/>
  <c r="AC178" i="6" s="1"/>
  <c r="AB712" i="6"/>
  <c r="AC712" i="6" s="1"/>
  <c r="T164" i="5"/>
  <c r="U164" i="5" s="1"/>
  <c r="Y752" i="6"/>
  <c r="AA752" i="6" s="1"/>
  <c r="AB114" i="6"/>
  <c r="AC114" i="6" s="1"/>
  <c r="M20" i="3"/>
  <c r="L20" i="3"/>
  <c r="AD20" i="3"/>
  <c r="T20" i="3"/>
  <c r="J20" i="3"/>
  <c r="AC20" i="3"/>
  <c r="AB20" i="3"/>
  <c r="K20" i="3"/>
  <c r="AA20" i="3"/>
  <c r="I20" i="3"/>
  <c r="D20" i="3"/>
  <c r="N20" i="3" s="1"/>
  <c r="Y20" i="3"/>
  <c r="S20" i="3"/>
  <c r="W341" i="6"/>
  <c r="X341" i="6" s="1"/>
  <c r="Y341" i="6" s="1"/>
  <c r="AA341" i="6" s="1"/>
  <c r="T168" i="5"/>
  <c r="U168" i="5" s="1"/>
  <c r="AB448" i="6"/>
  <c r="AC448" i="6" s="1"/>
  <c r="V217" i="6"/>
  <c r="AB545" i="6"/>
  <c r="AC545" i="6" s="1"/>
  <c r="V60" i="6"/>
  <c r="X60" i="6" s="1"/>
  <c r="Y60" i="6" s="1"/>
  <c r="AA60" i="6" s="1"/>
  <c r="AB235" i="6"/>
  <c r="AC235" i="6" s="1"/>
  <c r="X759" i="6"/>
  <c r="Y759" i="6" s="1"/>
  <c r="AA759" i="6" s="1"/>
  <c r="T31" i="3"/>
  <c r="J31" i="3"/>
  <c r="AM31" i="3"/>
  <c r="S31" i="3"/>
  <c r="I31" i="3"/>
  <c r="AL31" i="3"/>
  <c r="R31" i="3"/>
  <c r="D31" i="3"/>
  <c r="W31" i="3"/>
  <c r="BM31" i="3"/>
  <c r="V31" i="3"/>
  <c r="BL31" i="3"/>
  <c r="U31" i="3"/>
  <c r="M31" i="3"/>
  <c r="L31" i="3"/>
  <c r="K31" i="3"/>
  <c r="G31" i="3"/>
  <c r="H31" i="3" s="1"/>
  <c r="N31" i="3"/>
  <c r="Y31" i="3"/>
  <c r="X31" i="3"/>
  <c r="W722" i="6"/>
  <c r="X726" i="6"/>
  <c r="Y726" i="6" s="1"/>
  <c r="AA726" i="6" s="1"/>
  <c r="T90" i="5"/>
  <c r="U90" i="5" s="1"/>
  <c r="Y670" i="6"/>
  <c r="AA670" i="6" s="1"/>
  <c r="X677" i="6"/>
  <c r="Y677" i="6" s="1"/>
  <c r="AA677" i="6" s="1"/>
  <c r="AB645" i="6"/>
  <c r="AC645" i="6" s="1"/>
  <c r="X397" i="6"/>
  <c r="Y397" i="6" s="1"/>
  <c r="AA397" i="6" s="1"/>
  <c r="AB232" i="6"/>
  <c r="AC232" i="6" s="1"/>
  <c r="Y123" i="6"/>
  <c r="AA123" i="6" s="1"/>
  <c r="X364" i="6"/>
  <c r="Y364" i="6" s="1"/>
  <c r="AA364" i="6" s="1"/>
  <c r="V391" i="6"/>
  <c r="X391" i="6" s="1"/>
  <c r="Y391" i="6" s="1"/>
  <c r="AA391" i="6" s="1"/>
  <c r="AB693" i="6"/>
  <c r="AC693" i="6" s="1"/>
  <c r="W573" i="6"/>
  <c r="X573" i="6" s="1"/>
  <c r="Y573" i="6" s="1"/>
  <c r="AA573" i="6" s="1"/>
  <c r="N106" i="5"/>
  <c r="P106" i="5" s="1"/>
  <c r="Q106" i="5" s="1"/>
  <c r="S106" i="5" s="1"/>
  <c r="AB89" i="6"/>
  <c r="AC89" i="6" s="1"/>
  <c r="W334" i="6"/>
  <c r="X88" i="6"/>
  <c r="Y88" i="6" s="1"/>
  <c r="AA88" i="6" s="1"/>
  <c r="X490" i="6"/>
  <c r="Y490" i="6" s="1"/>
  <c r="AA490" i="6" s="1"/>
  <c r="AB263" i="6"/>
  <c r="AC263" i="6" s="1"/>
  <c r="AB536" i="6"/>
  <c r="AC536" i="6" s="1"/>
  <c r="W597" i="6"/>
  <c r="X597" i="6" s="1"/>
  <c r="Y597" i="6" s="1"/>
  <c r="AA597" i="6" s="1"/>
  <c r="X753" i="6"/>
  <c r="Y753" i="6" s="1"/>
  <c r="AA753" i="6" s="1"/>
  <c r="X479" i="6"/>
  <c r="Y479" i="6" s="1"/>
  <c r="AA479" i="6" s="1"/>
  <c r="W330" i="6"/>
  <c r="AB465" i="6"/>
  <c r="AC465" i="6" s="1"/>
  <c r="X439" i="6"/>
  <c r="Y439" i="6" s="1"/>
  <c r="AA439" i="6" s="1"/>
  <c r="T170" i="5"/>
  <c r="U170" i="5" s="1"/>
  <c r="AB169" i="6"/>
  <c r="AC169" i="6" s="1"/>
  <c r="V221" i="6"/>
  <c r="X304" i="6"/>
  <c r="Y304" i="6" s="1"/>
  <c r="AA304" i="6" s="1"/>
  <c r="V360" i="6"/>
  <c r="X360" i="6" s="1"/>
  <c r="Y360" i="6" s="1"/>
  <c r="AA360" i="6" s="1"/>
  <c r="T57" i="5"/>
  <c r="U57" i="5" s="1"/>
  <c r="AB593" i="6"/>
  <c r="AC593" i="6" s="1"/>
  <c r="P259" i="5"/>
  <c r="Q259" i="5" s="1"/>
  <c r="S259" i="5" s="1"/>
  <c r="AB716" i="6"/>
  <c r="AC716" i="6"/>
  <c r="P118" i="5"/>
  <c r="Q118" i="5" s="1"/>
  <c r="S118" i="5" s="1"/>
  <c r="AB385" i="6"/>
  <c r="AC385" i="6" s="1"/>
  <c r="AB464" i="6"/>
  <c r="AC464" i="6" s="1"/>
  <c r="AB409" i="6"/>
  <c r="AC409" i="6" s="1"/>
  <c r="X358" i="6"/>
  <c r="Y358" i="6" s="1"/>
  <c r="AA358" i="6" s="1"/>
  <c r="W344" i="6"/>
  <c r="X344" i="6" s="1"/>
  <c r="Y344" i="6" s="1"/>
  <c r="AA344" i="6" s="1"/>
  <c r="T239" i="5"/>
  <c r="U239" i="5" s="1"/>
  <c r="X419" i="6"/>
  <c r="Y419" i="6" s="1"/>
  <c r="AA419" i="6" s="1"/>
  <c r="P196" i="5"/>
  <c r="Q196" i="5" s="1"/>
  <c r="S196" i="5" s="1"/>
  <c r="X486" i="6"/>
  <c r="Y486" i="6" s="1"/>
  <c r="AA486" i="6" s="1"/>
  <c r="AB347" i="6"/>
  <c r="AC347" i="6" s="1"/>
  <c r="C136" i="4"/>
  <c r="C88" i="4"/>
  <c r="C27" i="3"/>
  <c r="C40" i="4"/>
  <c r="N86" i="5"/>
  <c r="P86" i="5" s="1"/>
  <c r="Q86" i="5" s="1"/>
  <c r="S86" i="5" s="1"/>
  <c r="C157" i="4"/>
  <c r="C109" i="4"/>
  <c r="C61" i="4"/>
  <c r="C48" i="3"/>
  <c r="W237" i="6"/>
  <c r="X237" i="6" s="1"/>
  <c r="Y237" i="6" s="1"/>
  <c r="AA237" i="6" s="1"/>
  <c r="AB53" i="6"/>
  <c r="AC53" i="6" s="1"/>
  <c r="V598" i="6"/>
  <c r="X598" i="6" s="1"/>
  <c r="Y598" i="6" s="1"/>
  <c r="AA598" i="6" s="1"/>
  <c r="AB203" i="6"/>
  <c r="AC203" i="6" s="1"/>
  <c r="C152" i="4"/>
  <c r="C104" i="4"/>
  <c r="C56" i="4"/>
  <c r="C43" i="3"/>
  <c r="T127" i="5"/>
  <c r="W127" i="5" s="1"/>
  <c r="W128" i="5" s="1"/>
  <c r="W129" i="5" s="1"/>
  <c r="W130" i="5" s="1"/>
  <c r="W131" i="5" s="1"/>
  <c r="W132" i="5" s="1"/>
  <c r="W133" i="5" s="1"/>
  <c r="T193" i="5"/>
  <c r="U193" i="5"/>
  <c r="AB161" i="6"/>
  <c r="AC161" i="6" s="1"/>
  <c r="T54" i="5"/>
  <c r="U54" i="5" s="1"/>
  <c r="X530" i="6"/>
  <c r="Y530" i="6" s="1"/>
  <c r="AA530" i="6" s="1"/>
  <c r="W749" i="6"/>
  <c r="V485" i="6"/>
  <c r="X485" i="6" s="1"/>
  <c r="Y485" i="6" s="1"/>
  <c r="AA485" i="6" s="1"/>
  <c r="V118" i="6"/>
  <c r="X118" i="6" s="1"/>
  <c r="Y118" i="6" s="1"/>
  <c r="AA118" i="6" s="1"/>
  <c r="W370" i="6"/>
  <c r="V483" i="6"/>
  <c r="X483" i="6" s="1"/>
  <c r="Y483" i="6" s="1"/>
  <c r="AA483" i="6" s="1"/>
  <c r="V138" i="6"/>
  <c r="X138" i="6" s="1"/>
  <c r="Y138" i="6" s="1"/>
  <c r="AA138" i="6" s="1"/>
  <c r="AB565" i="6"/>
  <c r="AC565" i="6" s="1"/>
  <c r="AB594" i="6"/>
  <c r="AC594" i="6"/>
  <c r="AB195" i="6"/>
  <c r="AC195" i="6"/>
  <c r="AB262" i="6"/>
  <c r="AC262" i="6" s="1"/>
  <c r="P67" i="5"/>
  <c r="Q67" i="5" s="1"/>
  <c r="S67" i="5" s="1"/>
  <c r="X395" i="6"/>
  <c r="Y395" i="6" s="1"/>
  <c r="AA395" i="6" s="1"/>
  <c r="X91" i="6"/>
  <c r="Y91" i="6" s="1"/>
  <c r="AA91" i="6" s="1"/>
  <c r="AB339" i="6"/>
  <c r="AC339" i="6" s="1"/>
  <c r="X274" i="6"/>
  <c r="Y274" i="6" s="1"/>
  <c r="AA274" i="6" s="1"/>
  <c r="X763" i="6"/>
  <c r="Y763" i="6" s="1"/>
  <c r="AA763" i="6" s="1"/>
  <c r="B59" i="3"/>
  <c r="AB555" i="6"/>
  <c r="AC555" i="6" s="1"/>
  <c r="T190" i="5"/>
  <c r="U190" i="5" s="1"/>
  <c r="AB95" i="6"/>
  <c r="AC95" i="6" s="1"/>
  <c r="T223" i="5"/>
  <c r="U223" i="5"/>
  <c r="X609" i="6"/>
  <c r="Y609" i="6" s="1"/>
  <c r="AA609" i="6" s="1"/>
  <c r="AB484" i="6"/>
  <c r="AC484" i="6" s="1"/>
  <c r="P101" i="5"/>
  <c r="Q101" i="5" s="1"/>
  <c r="S101" i="5" s="1"/>
  <c r="X184" i="6"/>
  <c r="Y184" i="6" s="1"/>
  <c r="AA184" i="6" s="1"/>
  <c r="AB233" i="6"/>
  <c r="AC233" i="6" s="1"/>
  <c r="X61" i="6"/>
  <c r="Y61" i="6" s="1"/>
  <c r="AA61" i="6" s="1"/>
  <c r="P277" i="5"/>
  <c r="Q277" i="5" s="1"/>
  <c r="S277" i="5" s="1"/>
  <c r="X456" i="6"/>
  <c r="Y456" i="6" s="1"/>
  <c r="AA456" i="6" s="1"/>
  <c r="AB646" i="6"/>
  <c r="AC646" i="6" s="1"/>
  <c r="C146" i="4"/>
  <c r="C98" i="4"/>
  <c r="C37" i="3"/>
  <c r="C50" i="4"/>
  <c r="W133" i="6"/>
  <c r="X133" i="6" s="1"/>
  <c r="Y133" i="6" s="1"/>
  <c r="AA133" i="6" s="1"/>
  <c r="X182" i="6"/>
  <c r="Y182" i="6" s="1"/>
  <c r="AA182" i="6" s="1"/>
  <c r="U66" i="5"/>
  <c r="V66" i="5" s="1"/>
  <c r="C87" i="4"/>
  <c r="C135" i="4"/>
  <c r="C26" i="3"/>
  <c r="C39" i="4"/>
  <c r="X186" i="5"/>
  <c r="AE141" i="6"/>
  <c r="AE142" i="6" s="1"/>
  <c r="AB227" i="6"/>
  <c r="AC227" i="6" s="1"/>
  <c r="T102" i="5"/>
  <c r="U102" i="5" s="1"/>
  <c r="X223" i="6"/>
  <c r="Y223" i="6" s="1"/>
  <c r="AA223" i="6" s="1"/>
  <c r="AB438" i="6"/>
  <c r="AC438" i="6" s="1"/>
  <c r="AB761" i="6"/>
  <c r="AC761" i="6" s="1"/>
  <c r="W139" i="6"/>
  <c r="X121" i="6"/>
  <c r="Y121" i="6" s="1"/>
  <c r="AA121" i="6" s="1"/>
  <c r="X583" i="6"/>
  <c r="Y583" i="6" s="1"/>
  <c r="AA583" i="6" s="1"/>
  <c r="AB627" i="6"/>
  <c r="AC627" i="6" s="1"/>
  <c r="T141" i="5"/>
  <c r="U141" i="5"/>
  <c r="X394" i="6"/>
  <c r="Y394" i="6" s="1"/>
  <c r="AA394" i="6" s="1"/>
  <c r="AB689" i="6"/>
  <c r="AC689" i="6" s="1"/>
  <c r="AB204" i="6"/>
  <c r="AC204" i="6" s="1"/>
  <c r="C118" i="4"/>
  <c r="C166" i="4"/>
  <c r="C57" i="3"/>
  <c r="C70" i="4"/>
  <c r="AB468" i="6"/>
  <c r="AC468" i="6" s="1"/>
  <c r="AB82" i="6"/>
  <c r="AC82" i="6" s="1"/>
  <c r="AB717" i="6"/>
  <c r="AC717" i="6" s="1"/>
  <c r="AB103" i="6"/>
  <c r="AC103" i="6" s="1"/>
  <c r="AB246" i="6"/>
  <c r="AC246" i="6" s="1"/>
  <c r="AB743" i="6"/>
  <c r="AC743" i="6" s="1"/>
  <c r="P206" i="5"/>
  <c r="Q206" i="5" s="1"/>
  <c r="S206" i="5" s="1"/>
  <c r="T109" i="5"/>
  <c r="U109" i="5" s="1"/>
  <c r="AB614" i="6"/>
  <c r="AC614" i="6"/>
  <c r="P267" i="5"/>
  <c r="Q267" i="5" s="1"/>
  <c r="S267" i="5" s="1"/>
  <c r="P40" i="3"/>
  <c r="O40" i="3"/>
  <c r="Q40" i="3" s="1"/>
  <c r="AB276" i="6"/>
  <c r="AC276" i="6" s="1"/>
  <c r="P140" i="5"/>
  <c r="Q140" i="5" s="1"/>
  <c r="S140" i="5" s="1"/>
  <c r="X399" i="6"/>
  <c r="Y399" i="6" s="1"/>
  <c r="AA399" i="6" s="1"/>
  <c r="X179" i="6"/>
  <c r="Y179" i="6" s="1"/>
  <c r="AA179" i="6" s="1"/>
  <c r="AB505" i="6"/>
  <c r="AC505" i="6" s="1"/>
  <c r="AB697" i="6"/>
  <c r="AC697" i="6" s="1"/>
  <c r="M19" i="3"/>
  <c r="L19" i="3"/>
  <c r="AD19" i="3"/>
  <c r="T19" i="3"/>
  <c r="J19" i="3"/>
  <c r="AB19" i="3"/>
  <c r="K19" i="3"/>
  <c r="AC19" i="3"/>
  <c r="AA19" i="3"/>
  <c r="Y19" i="3"/>
  <c r="S19" i="3"/>
  <c r="I19" i="3"/>
  <c r="D19" i="3"/>
  <c r="G19" i="3" s="1"/>
  <c r="H19" i="3" s="1"/>
  <c r="AH19" i="3"/>
  <c r="AF19" i="3"/>
  <c r="U98" i="5"/>
  <c r="T98" i="5"/>
  <c r="T69" i="5"/>
  <c r="U69" i="5" s="1"/>
  <c r="AB629" i="6"/>
  <c r="AC629" i="6" s="1"/>
  <c r="AB98" i="6"/>
  <c r="AC98" i="6" s="1"/>
  <c r="T283" i="5"/>
  <c r="U283" i="5"/>
  <c r="P47" i="5"/>
  <c r="Q47" i="5" s="1"/>
  <c r="S47" i="5" s="1"/>
  <c r="T134" i="5"/>
  <c r="U134" i="5" s="1"/>
  <c r="X376" i="6"/>
  <c r="Y376" i="6" s="1"/>
  <c r="AA376" i="6" s="1"/>
  <c r="P68" i="5"/>
  <c r="Q68" i="5" s="1"/>
  <c r="S68" i="5" s="1"/>
  <c r="X696" i="6"/>
  <c r="Y696" i="6" s="1"/>
  <c r="AA696" i="6" s="1"/>
  <c r="P54" i="3"/>
  <c r="O54" i="3"/>
  <c r="Q54" i="3" s="1"/>
  <c r="T291" i="5"/>
  <c r="U291" i="5" s="1"/>
  <c r="AB519" i="6"/>
  <c r="AC519" i="6"/>
  <c r="AB172" i="6"/>
  <c r="AC172" i="6" s="1"/>
  <c r="AB503" i="6"/>
  <c r="AC503" i="6" s="1"/>
  <c r="AC140" i="6"/>
  <c r="AD140" i="6" s="1"/>
  <c r="X566" i="6" l="1"/>
  <c r="Y566" i="6" s="1"/>
  <c r="AA566" i="6" s="1"/>
  <c r="AB566" i="6" s="1"/>
  <c r="AC566" i="6" s="1"/>
  <c r="AE562" i="6"/>
  <c r="AE563" i="6" s="1"/>
  <c r="AE564" i="6" s="1"/>
  <c r="AC572" i="6"/>
  <c r="AB188" i="6"/>
  <c r="AC188" i="6" s="1"/>
  <c r="X126" i="6"/>
  <c r="Y126" i="6" s="1"/>
  <c r="AA126" i="6" s="1"/>
  <c r="AB126" i="6" s="1"/>
  <c r="AC126" i="6" s="1"/>
  <c r="X700" i="6"/>
  <c r="Y700" i="6" s="1"/>
  <c r="AA700" i="6" s="1"/>
  <c r="AB700" i="6" s="1"/>
  <c r="AC700" i="6" s="1"/>
  <c r="AB251" i="6"/>
  <c r="AC251" i="6"/>
  <c r="AC331" i="6"/>
  <c r="AB331" i="6"/>
  <c r="X603" i="6"/>
  <c r="Y603" i="6" s="1"/>
  <c r="AA603" i="6" s="1"/>
  <c r="AE621" i="6"/>
  <c r="AE622" i="6" s="1"/>
  <c r="AE623" i="6" s="1"/>
  <c r="AE411" i="6"/>
  <c r="AC164" i="6"/>
  <c r="X529" i="6"/>
  <c r="Y529" i="6" s="1"/>
  <c r="AA529" i="6" s="1"/>
  <c r="AE351" i="6"/>
  <c r="X707" i="6"/>
  <c r="Y707" i="6" s="1"/>
  <c r="AA707" i="6" s="1"/>
  <c r="AB707" i="6" s="1"/>
  <c r="AC707" i="6" s="1"/>
  <c r="U160" i="5"/>
  <c r="T160" i="5"/>
  <c r="AC260" i="6"/>
  <c r="AD260" i="6" s="1"/>
  <c r="AB572" i="6"/>
  <c r="AE591" i="6"/>
  <c r="AE592" i="6" s="1"/>
  <c r="AB267" i="6"/>
  <c r="AC267" i="6" s="1"/>
  <c r="AB224" i="6"/>
  <c r="AC224" i="6" s="1"/>
  <c r="AB721" i="6"/>
  <c r="AC721" i="6" s="1"/>
  <c r="T45" i="5"/>
  <c r="U45" i="5"/>
  <c r="AC711" i="6"/>
  <c r="AE711" i="6"/>
  <c r="AB309" i="6"/>
  <c r="AC309" i="6" s="1"/>
  <c r="AB340" i="6"/>
  <c r="AC340" i="6" s="1"/>
  <c r="AB218" i="6"/>
  <c r="AC218" i="6" s="1"/>
  <c r="AB117" i="6"/>
  <c r="AC117" i="6"/>
  <c r="AB219" i="6"/>
  <c r="AC219" i="6" s="1"/>
  <c r="AB544" i="6"/>
  <c r="AC544" i="6" s="1"/>
  <c r="AB527" i="6"/>
  <c r="AC527" i="6" s="1"/>
  <c r="Q32" i="3"/>
  <c r="G28" i="3"/>
  <c r="H28" i="3" s="1"/>
  <c r="G21" i="3"/>
  <c r="H21" i="3" s="1"/>
  <c r="T285" i="5"/>
  <c r="U285" i="5"/>
  <c r="AB632" i="6"/>
  <c r="AC632" i="6"/>
  <c r="U246" i="5"/>
  <c r="V246" i="5" s="1"/>
  <c r="X246" i="5" s="1"/>
  <c r="T246" i="5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X556" i="6"/>
  <c r="Y556" i="6" s="1"/>
  <c r="AA556" i="6" s="1"/>
  <c r="G22" i="3"/>
  <c r="H22" i="3" s="1"/>
  <c r="AC740" i="6"/>
  <c r="AD740" i="6" s="1"/>
  <c r="T151" i="5"/>
  <c r="U151" i="5" s="1"/>
  <c r="X727" i="6"/>
  <c r="Y727" i="6" s="1"/>
  <c r="AA727" i="6" s="1"/>
  <c r="U127" i="5"/>
  <c r="G20" i="3"/>
  <c r="H20" i="3" s="1"/>
  <c r="AB254" i="6"/>
  <c r="AC254" i="6" s="1"/>
  <c r="AC514" i="6"/>
  <c r="AB84" i="6"/>
  <c r="AC84" i="6" s="1"/>
  <c r="X624" i="6"/>
  <c r="Y624" i="6" s="1"/>
  <c r="AA624" i="6" s="1"/>
  <c r="Q30" i="3"/>
  <c r="AE503" i="6"/>
  <c r="AE504" i="6" s="1"/>
  <c r="X669" i="6"/>
  <c r="Y669" i="6" s="1"/>
  <c r="AA669" i="6" s="1"/>
  <c r="AB669" i="6" s="1"/>
  <c r="AC669" i="6" s="1"/>
  <c r="W190" i="5"/>
  <c r="W191" i="5" s="1"/>
  <c r="W192" i="5" s="1"/>
  <c r="W193" i="5" s="1"/>
  <c r="W194" i="5" s="1"/>
  <c r="W195" i="5" s="1"/>
  <c r="AC681" i="6"/>
  <c r="AD681" i="6" s="1"/>
  <c r="AF681" i="6" s="1"/>
  <c r="X326" i="6"/>
  <c r="Y326" i="6" s="1"/>
  <c r="AA326" i="6" s="1"/>
  <c r="AB326" i="6" s="1"/>
  <c r="G24" i="3"/>
  <c r="H24" i="3" s="1"/>
  <c r="X676" i="6"/>
  <c r="Y676" i="6" s="1"/>
  <c r="AA676" i="6" s="1"/>
  <c r="X549" i="6"/>
  <c r="Y549" i="6" s="1"/>
  <c r="AA549" i="6" s="1"/>
  <c r="X368" i="6"/>
  <c r="Y368" i="6" s="1"/>
  <c r="AA368" i="6" s="1"/>
  <c r="AB368" i="6" s="1"/>
  <c r="AC368" i="6" s="1"/>
  <c r="X553" i="6"/>
  <c r="Y553" i="6" s="1"/>
  <c r="AA553" i="6" s="1"/>
  <c r="W220" i="5"/>
  <c r="X367" i="6"/>
  <c r="Y367" i="6" s="1"/>
  <c r="AA367" i="6" s="1"/>
  <c r="AB367" i="6" s="1"/>
  <c r="AC367" i="6" s="1"/>
  <c r="AB315" i="6"/>
  <c r="AC315" i="6" s="1"/>
  <c r="W38" i="5"/>
  <c r="W39" i="5" s="1"/>
  <c r="AB379" i="6"/>
  <c r="AC379" i="6" s="1"/>
  <c r="T268" i="5"/>
  <c r="U268" i="5" s="1"/>
  <c r="T172" i="5"/>
  <c r="U172" i="5" s="1"/>
  <c r="Z23" i="3"/>
  <c r="AC528" i="6"/>
  <c r="AE471" i="6"/>
  <c r="AE472" i="6" s="1"/>
  <c r="AE473" i="6" s="1"/>
  <c r="AB255" i="6"/>
  <c r="AC255" i="6" s="1"/>
  <c r="X285" i="6"/>
  <c r="Y285" i="6" s="1"/>
  <c r="AA285" i="6" s="1"/>
  <c r="AC350" i="6"/>
  <c r="AD350" i="6" s="1"/>
  <c r="X134" i="6"/>
  <c r="Y134" i="6" s="1"/>
  <c r="AA134" i="6" s="1"/>
  <c r="AB134" i="6" s="1"/>
  <c r="AC134" i="6" s="1"/>
  <c r="AC560" i="6"/>
  <c r="AD560" i="6" s="1"/>
  <c r="U173" i="5"/>
  <c r="AC470" i="6"/>
  <c r="AD470" i="6" s="1"/>
  <c r="AF470" i="6" s="1"/>
  <c r="K44" i="3"/>
  <c r="R44" i="3"/>
  <c r="X44" i="3"/>
  <c r="I44" i="3"/>
  <c r="N44" i="3"/>
  <c r="AL44" i="3"/>
  <c r="W44" i="3"/>
  <c r="D44" i="3"/>
  <c r="M44" i="3"/>
  <c r="BL44" i="3"/>
  <c r="BM44" i="3"/>
  <c r="Y44" i="3"/>
  <c r="V44" i="3"/>
  <c r="U44" i="3"/>
  <c r="L44" i="3"/>
  <c r="S44" i="3"/>
  <c r="T44" i="3"/>
  <c r="G44" i="3"/>
  <c r="H44" i="3" s="1"/>
  <c r="J44" i="3"/>
  <c r="AM44" i="3"/>
  <c r="AB611" i="6"/>
  <c r="AC611" i="6" s="1"/>
  <c r="X330" i="6"/>
  <c r="Y330" i="6" s="1"/>
  <c r="AA330" i="6" s="1"/>
  <c r="X334" i="6"/>
  <c r="Y334" i="6" s="1"/>
  <c r="AA334" i="6" s="1"/>
  <c r="AC170" i="6"/>
  <c r="AD170" i="6" s="1"/>
  <c r="AD171" i="6" s="1"/>
  <c r="T294" i="5"/>
  <c r="U294" i="5" s="1"/>
  <c r="X405" i="6"/>
  <c r="Y405" i="6" s="1"/>
  <c r="AA405" i="6" s="1"/>
  <c r="AB405" i="6" s="1"/>
  <c r="AC405" i="6" s="1"/>
  <c r="AB118" i="6"/>
  <c r="AC118" i="6" s="1"/>
  <c r="T284" i="5"/>
  <c r="U284" i="5" s="1"/>
  <c r="AB603" i="6"/>
  <c r="AC603" i="6" s="1"/>
  <c r="AB373" i="6"/>
  <c r="AC373" i="6" s="1"/>
  <c r="AB581" i="6"/>
  <c r="AC581" i="6" s="1"/>
  <c r="AB675" i="6"/>
  <c r="AC675" i="6" s="1"/>
  <c r="AB65" i="6"/>
  <c r="AC65" i="6" s="1"/>
  <c r="AB282" i="6"/>
  <c r="AC282" i="6" s="1"/>
  <c r="AB664" i="6"/>
  <c r="AC664" i="6" s="1"/>
  <c r="AB180" i="6"/>
  <c r="AC180" i="6" s="1"/>
  <c r="AB747" i="6"/>
  <c r="AC747" i="6" s="1"/>
  <c r="AB283" i="6"/>
  <c r="AC283" i="6" s="1"/>
  <c r="AB431" i="6"/>
  <c r="AC431" i="6" s="1"/>
  <c r="AB73" i="6"/>
  <c r="AC73" i="6" s="1"/>
  <c r="AB64" i="6"/>
  <c r="AC64" i="6" s="1"/>
  <c r="AB394" i="6"/>
  <c r="AC394" i="6" s="1"/>
  <c r="AB223" i="6"/>
  <c r="AC223" i="6" s="1"/>
  <c r="AB586" i="6"/>
  <c r="AC586" i="6" s="1"/>
  <c r="AB597" i="6"/>
  <c r="AC597" i="6" s="1"/>
  <c r="AB573" i="6"/>
  <c r="AC573" i="6"/>
  <c r="AB375" i="6"/>
  <c r="AC375" i="6" s="1"/>
  <c r="AD682" i="6"/>
  <c r="AB322" i="6"/>
  <c r="AC322" i="6" s="1"/>
  <c r="AB495" i="6"/>
  <c r="AC495" i="6" s="1"/>
  <c r="V188" i="5"/>
  <c r="X187" i="5"/>
  <c r="AC767" i="6"/>
  <c r="AB767" i="6"/>
  <c r="AB281" i="6"/>
  <c r="AC281" i="6" s="1"/>
  <c r="AB165" i="6"/>
  <c r="AC165" i="6" s="1"/>
  <c r="AB452" i="6"/>
  <c r="AC452" i="6" s="1"/>
  <c r="AB676" i="6"/>
  <c r="AC676" i="6" s="1"/>
  <c r="AB152" i="6"/>
  <c r="AC152" i="6" s="1"/>
  <c r="AB428" i="6"/>
  <c r="AC428" i="6" s="1"/>
  <c r="AB764" i="6"/>
  <c r="AC764" i="6" s="1"/>
  <c r="AB79" i="6"/>
  <c r="AC79" i="6" s="1"/>
  <c r="AB729" i="6"/>
  <c r="AC729" i="6" s="1"/>
  <c r="AB212" i="6"/>
  <c r="AC212" i="6" s="1"/>
  <c r="AB549" i="6"/>
  <c r="AC549" i="6" s="1"/>
  <c r="T86" i="5"/>
  <c r="U86" i="5" s="1"/>
  <c r="AB523" i="6"/>
  <c r="AC523" i="6" s="1"/>
  <c r="AB653" i="6"/>
  <c r="AC653" i="6" s="1"/>
  <c r="AB658" i="6"/>
  <c r="AC658" i="6" s="1"/>
  <c r="T175" i="5"/>
  <c r="U175" i="5" s="1"/>
  <c r="AB492" i="6"/>
  <c r="AC492" i="6" s="1"/>
  <c r="T106" i="5"/>
  <c r="U106" i="5" s="1"/>
  <c r="P24" i="3"/>
  <c r="O24" i="3"/>
  <c r="AB391" i="6"/>
  <c r="AC391" i="6" s="1"/>
  <c r="AB692" i="6"/>
  <c r="AC692" i="6" s="1"/>
  <c r="AB345" i="6"/>
  <c r="AC345" i="6" s="1"/>
  <c r="AB559" i="6"/>
  <c r="AC559" i="6" s="1"/>
  <c r="AC453" i="6"/>
  <c r="AB453" i="6"/>
  <c r="AB637" i="6"/>
  <c r="AC637" i="6" s="1"/>
  <c r="AB259" i="6"/>
  <c r="AC259" i="6" s="1"/>
  <c r="AB493" i="6"/>
  <c r="AC493" i="6" s="1"/>
  <c r="AF201" i="6"/>
  <c r="AD202" i="6"/>
  <c r="AC736" i="6"/>
  <c r="AB736" i="6"/>
  <c r="AB210" i="6"/>
  <c r="AC210" i="6" s="1"/>
  <c r="AC356" i="6"/>
  <c r="AB356" i="6"/>
  <c r="AB96" i="6"/>
  <c r="AC96" i="6" s="1"/>
  <c r="AB633" i="6"/>
  <c r="AC633" i="6" s="1"/>
  <c r="AB609" i="6"/>
  <c r="AC609" i="6" s="1"/>
  <c r="AB369" i="6"/>
  <c r="AC369" i="6" s="1"/>
  <c r="AB638" i="6"/>
  <c r="AC638" i="6" s="1"/>
  <c r="AB511" i="6"/>
  <c r="AC511" i="6" s="1"/>
  <c r="AB319" i="6"/>
  <c r="AC319" i="6" s="1"/>
  <c r="AC739" i="6"/>
  <c r="AB739" i="6"/>
  <c r="AB576" i="6"/>
  <c r="AC576" i="6" s="1"/>
  <c r="AB70" i="6"/>
  <c r="AC70" i="6" s="1"/>
  <c r="AB357" i="6"/>
  <c r="AC357" i="6" s="1"/>
  <c r="AC146" i="6"/>
  <c r="AB146" i="6"/>
  <c r="AB148" i="6"/>
  <c r="AC148" i="6" s="1"/>
  <c r="AB482" i="6"/>
  <c r="AC482" i="6" s="1"/>
  <c r="AB318" i="6"/>
  <c r="AC318" i="6" s="1"/>
  <c r="AB344" i="6"/>
  <c r="AC344" i="6" s="1"/>
  <c r="AB358" i="6"/>
  <c r="AC358" i="6" s="1"/>
  <c r="AB341" i="6"/>
  <c r="AC341" i="6" s="1"/>
  <c r="AB330" i="6"/>
  <c r="AC330" i="6" s="1"/>
  <c r="AB334" i="6"/>
  <c r="AC334" i="6" s="1"/>
  <c r="AB526" i="6"/>
  <c r="AC526" i="6" s="1"/>
  <c r="AC150" i="6"/>
  <c r="AB150" i="6"/>
  <c r="AB207" i="6"/>
  <c r="AC207" i="6" s="1"/>
  <c r="T116" i="5"/>
  <c r="U116" i="5" s="1"/>
  <c r="AB463" i="6"/>
  <c r="AC463" i="6" s="1"/>
  <c r="AB272" i="6"/>
  <c r="AC272" i="6" s="1"/>
  <c r="AB748" i="6"/>
  <c r="AC748" i="6" s="1"/>
  <c r="AC324" i="6"/>
  <c r="AB324" i="6"/>
  <c r="AB402" i="6"/>
  <c r="AC402" i="6" s="1"/>
  <c r="AB515" i="6"/>
  <c r="AC515" i="6" s="1"/>
  <c r="AB679" i="6"/>
  <c r="AC679" i="6" s="1"/>
  <c r="AB756" i="6"/>
  <c r="AC756" i="6" s="1"/>
  <c r="AB766" i="6"/>
  <c r="AC766" i="6" s="1"/>
  <c r="AB422" i="6"/>
  <c r="AC422" i="6" s="1"/>
  <c r="AD412" i="6"/>
  <c r="AF411" i="6"/>
  <c r="AC160" i="6"/>
  <c r="AB160" i="6"/>
  <c r="AC63" i="6"/>
  <c r="AB63" i="6"/>
  <c r="AB626" i="6"/>
  <c r="AC626" i="6" s="1"/>
  <c r="AC121" i="6"/>
  <c r="AB121" i="6"/>
  <c r="AB483" i="6"/>
  <c r="AC483" i="6" s="1"/>
  <c r="AB671" i="6"/>
  <c r="AC671" i="6" s="1"/>
  <c r="AC636" i="6"/>
  <c r="AB636" i="6"/>
  <c r="AB435" i="6"/>
  <c r="AC435" i="6" s="1"/>
  <c r="AB579" i="6"/>
  <c r="AC579" i="6" s="1"/>
  <c r="AB177" i="6"/>
  <c r="AC177" i="6" s="1"/>
  <c r="AC425" i="6"/>
  <c r="AB425" i="6"/>
  <c r="AB279" i="6"/>
  <c r="AC279" i="6" s="1"/>
  <c r="AB388" i="6"/>
  <c r="AC388" i="6" s="1"/>
  <c r="AB571" i="6"/>
  <c r="AC571" i="6" s="1"/>
  <c r="AB485" i="6"/>
  <c r="AC485" i="6" s="1"/>
  <c r="V98" i="5"/>
  <c r="AB215" i="6"/>
  <c r="AC215" i="6" s="1"/>
  <c r="AB762" i="6"/>
  <c r="AC762" i="6" s="1"/>
  <c r="AB286" i="6"/>
  <c r="AC286" i="6" s="1"/>
  <c r="AB182" i="6"/>
  <c r="AC182" i="6" s="1"/>
  <c r="AB133" i="6"/>
  <c r="AC133" i="6" s="1"/>
  <c r="AB583" i="6"/>
  <c r="AC583" i="6" s="1"/>
  <c r="AB61" i="6"/>
  <c r="AC61" i="6" s="1"/>
  <c r="AC433" i="6"/>
  <c r="AB433" i="6"/>
  <c r="AB237" i="6"/>
  <c r="AC237" i="6" s="1"/>
  <c r="AB125" i="6"/>
  <c r="AC125" i="6" s="1"/>
  <c r="AB360" i="6"/>
  <c r="AC360" i="6"/>
  <c r="AB60" i="6"/>
  <c r="AC60" i="6" s="1"/>
  <c r="AB587" i="6"/>
  <c r="AC587" i="6" s="1"/>
  <c r="AB542" i="6"/>
  <c r="AC542" i="6" s="1"/>
  <c r="AB58" i="6"/>
  <c r="AC58" i="6" s="1"/>
  <c r="AB205" i="6"/>
  <c r="AC205" i="6" s="1"/>
  <c r="AB420" i="6"/>
  <c r="AC420" i="6" s="1"/>
  <c r="AB298" i="6"/>
  <c r="AC298" i="6" s="1"/>
  <c r="P28" i="3"/>
  <c r="O28" i="3"/>
  <c r="Q28" i="3" s="1"/>
  <c r="P21" i="3"/>
  <c r="O21" i="3"/>
  <c r="AB247" i="6"/>
  <c r="AC247" i="6" s="1"/>
  <c r="AC108" i="6"/>
  <c r="AB108" i="6"/>
  <c r="AB582" i="6"/>
  <c r="AC582" i="6" s="1"/>
  <c r="AB381" i="6"/>
  <c r="AE381" i="6" s="1"/>
  <c r="AB699" i="6"/>
  <c r="AC699" i="6" s="1"/>
  <c r="X522" i="6"/>
  <c r="Y522" i="6" s="1"/>
  <c r="AA522" i="6" s="1"/>
  <c r="AB538" i="6"/>
  <c r="AC538" i="6" s="1"/>
  <c r="W53" i="3"/>
  <c r="M53" i="3"/>
  <c r="BM53" i="3"/>
  <c r="V53" i="3"/>
  <c r="L53" i="3"/>
  <c r="BL53" i="3"/>
  <c r="U53" i="3"/>
  <c r="K53" i="3"/>
  <c r="AM53" i="3"/>
  <c r="S53" i="3"/>
  <c r="I53" i="3"/>
  <c r="N53" i="3"/>
  <c r="J53" i="3"/>
  <c r="Y53" i="3"/>
  <c r="G53" i="3"/>
  <c r="H53" i="3" s="1"/>
  <c r="X53" i="3"/>
  <c r="T53" i="3"/>
  <c r="R53" i="3"/>
  <c r="AL53" i="3"/>
  <c r="D53" i="3"/>
  <c r="AE412" i="6"/>
  <c r="AE413" i="6" s="1"/>
  <c r="AE414" i="6" s="1"/>
  <c r="AE415" i="6" s="1"/>
  <c r="AE416" i="6" s="1"/>
  <c r="AE417" i="6" s="1"/>
  <c r="AE418" i="6" s="1"/>
  <c r="AB757" i="6"/>
  <c r="AC757" i="6" s="1"/>
  <c r="AC751" i="6"/>
  <c r="AB751" i="6"/>
  <c r="AC708" i="6"/>
  <c r="AB708" i="6"/>
  <c r="AB190" i="6"/>
  <c r="AC190" i="6" s="1"/>
  <c r="AB758" i="6"/>
  <c r="AC758" i="6" s="1"/>
  <c r="AB687" i="6"/>
  <c r="AC687" i="6" s="1"/>
  <c r="AH680" i="6"/>
  <c r="AG680" i="6"/>
  <c r="AI680" i="6"/>
  <c r="AJ680" i="6"/>
  <c r="T171" i="5"/>
  <c r="U171" i="5" s="1"/>
  <c r="T298" i="5"/>
  <c r="U298" i="5" s="1"/>
  <c r="AB553" i="6"/>
  <c r="AC553" i="6" s="1"/>
  <c r="AB127" i="6"/>
  <c r="AC127" i="6" s="1"/>
  <c r="AC374" i="6"/>
  <c r="AB374" i="6"/>
  <c r="AB352" i="6"/>
  <c r="AC352" i="6" s="1"/>
  <c r="AB371" i="6"/>
  <c r="AC371" i="6" s="1"/>
  <c r="T196" i="5"/>
  <c r="U196" i="5" s="1"/>
  <c r="P20" i="3"/>
  <c r="O20" i="3"/>
  <c r="P51" i="3"/>
  <c r="O51" i="3"/>
  <c r="W134" i="5"/>
  <c r="W135" i="5" s="1"/>
  <c r="W136" i="5" s="1"/>
  <c r="W137" i="5" s="1"/>
  <c r="W138" i="5" s="1"/>
  <c r="W139" i="5" s="1"/>
  <c r="P56" i="3"/>
  <c r="O56" i="3"/>
  <c r="Q56" i="3" s="1"/>
  <c r="AE505" i="6"/>
  <c r="AE506" i="6" s="1"/>
  <c r="AE507" i="6" s="1"/>
  <c r="AE508" i="6" s="1"/>
  <c r="AE509" i="6" s="1"/>
  <c r="AC62" i="6"/>
  <c r="AB62" i="6"/>
  <c r="G47" i="3"/>
  <c r="H47" i="3" s="1"/>
  <c r="D47" i="3"/>
  <c r="Y47" i="3"/>
  <c r="W47" i="3"/>
  <c r="M47" i="3"/>
  <c r="R47" i="3"/>
  <c r="N47" i="3"/>
  <c r="L47" i="3"/>
  <c r="K47" i="3"/>
  <c r="J47" i="3"/>
  <c r="I47" i="3"/>
  <c r="AM47" i="3"/>
  <c r="AL47" i="3"/>
  <c r="X47" i="3"/>
  <c r="V47" i="3"/>
  <c r="BL47" i="3"/>
  <c r="S47" i="3"/>
  <c r="BM47" i="3"/>
  <c r="T47" i="3"/>
  <c r="U47" i="3"/>
  <c r="AB661" i="6"/>
  <c r="AC661" i="6" s="1"/>
  <c r="AB91" i="6"/>
  <c r="AC91" i="6" s="1"/>
  <c r="AL48" i="3"/>
  <c r="R48" i="3"/>
  <c r="G48" i="3"/>
  <c r="H48" i="3" s="1"/>
  <c r="D48" i="3"/>
  <c r="X48" i="3"/>
  <c r="N48" i="3"/>
  <c r="BL48" i="3"/>
  <c r="S48" i="3"/>
  <c r="M48" i="3"/>
  <c r="L48" i="3"/>
  <c r="K48" i="3"/>
  <c r="Y48" i="3"/>
  <c r="W48" i="3"/>
  <c r="T48" i="3"/>
  <c r="V48" i="3"/>
  <c r="U48" i="3"/>
  <c r="BM48" i="3"/>
  <c r="J48" i="3"/>
  <c r="I48" i="3"/>
  <c r="AM48" i="3"/>
  <c r="T118" i="5"/>
  <c r="U118" i="5" s="1"/>
  <c r="AB304" i="6"/>
  <c r="AC304" i="6" s="1"/>
  <c r="AB397" i="6"/>
  <c r="AC397" i="6" s="1"/>
  <c r="AB726" i="6"/>
  <c r="AC726" i="6" s="1"/>
  <c r="T236" i="5"/>
  <c r="U236" i="5" s="1"/>
  <c r="AB143" i="6"/>
  <c r="AC143" i="6" s="1"/>
  <c r="AB404" i="6"/>
  <c r="AC404" i="6" s="1"/>
  <c r="P41" i="3"/>
  <c r="O41" i="3"/>
  <c r="AD441" i="6"/>
  <c r="AF440" i="6"/>
  <c r="AB518" i="6"/>
  <c r="AC518" i="6" s="1"/>
  <c r="X599" i="6"/>
  <c r="Y599" i="6" s="1"/>
  <c r="AA599" i="6" s="1"/>
  <c r="W97" i="5"/>
  <c r="W98" i="5" s="1"/>
  <c r="W99" i="5" s="1"/>
  <c r="W100" i="5" s="1"/>
  <c r="P38" i="3"/>
  <c r="O38" i="3"/>
  <c r="AB558" i="6"/>
  <c r="AC558" i="6" s="1"/>
  <c r="AB390" i="6"/>
  <c r="AC390" i="6" s="1"/>
  <c r="AB239" i="6"/>
  <c r="AC239" i="6" s="1"/>
  <c r="AB510" i="6"/>
  <c r="AC510" i="6" s="1"/>
  <c r="AB386" i="6"/>
  <c r="AC386" i="6" s="1"/>
  <c r="AC616" i="6"/>
  <c r="AB616" i="6"/>
  <c r="AB660" i="6"/>
  <c r="AC660" i="6" s="1"/>
  <c r="Z25" i="3"/>
  <c r="AE261" i="6"/>
  <c r="AE262" i="6" s="1"/>
  <c r="AE263" i="6" s="1"/>
  <c r="AE264" i="6" s="1"/>
  <c r="AE265" i="6" s="1"/>
  <c r="AE266" i="6" s="1"/>
  <c r="AE267" i="6" s="1"/>
  <c r="AE268" i="6" s="1"/>
  <c r="AB361" i="6"/>
  <c r="AC361" i="6" s="1"/>
  <c r="AB226" i="6"/>
  <c r="AC226" i="6" s="1"/>
  <c r="X130" i="6"/>
  <c r="Y130" i="6" s="1"/>
  <c r="AA130" i="6" s="1"/>
  <c r="X437" i="6"/>
  <c r="Y437" i="6" s="1"/>
  <c r="AA437" i="6" s="1"/>
  <c r="Y55" i="3"/>
  <c r="X55" i="3"/>
  <c r="N55" i="3"/>
  <c r="W55" i="3"/>
  <c r="M55" i="3"/>
  <c r="BL55" i="3"/>
  <c r="U55" i="3"/>
  <c r="K55" i="3"/>
  <c r="L55" i="3"/>
  <c r="J55" i="3"/>
  <c r="I55" i="3"/>
  <c r="V55" i="3"/>
  <c r="AM55" i="3"/>
  <c r="G55" i="3"/>
  <c r="H55" i="3" s="1"/>
  <c r="AL55" i="3"/>
  <c r="D55" i="3"/>
  <c r="BM55" i="3"/>
  <c r="T55" i="3"/>
  <c r="S55" i="3"/>
  <c r="R55" i="3"/>
  <c r="AE474" i="6"/>
  <c r="AE475" i="6" s="1"/>
  <c r="AE476" i="6" s="1"/>
  <c r="P29" i="3"/>
  <c r="O29" i="3"/>
  <c r="AB419" i="6"/>
  <c r="AC419" i="6" s="1"/>
  <c r="AB759" i="6"/>
  <c r="AC759" i="6" s="1"/>
  <c r="AB301" i="6"/>
  <c r="AC301" i="6" s="1"/>
  <c r="N19" i="3"/>
  <c r="AB399" i="6"/>
  <c r="AC399" i="6" s="1"/>
  <c r="AB389" i="6"/>
  <c r="AC389" i="6" s="1"/>
  <c r="AB275" i="6"/>
  <c r="AC275" i="6" s="1"/>
  <c r="P42" i="3"/>
  <c r="O42" i="3"/>
  <c r="AB153" i="6"/>
  <c r="AC153" i="6" s="1"/>
  <c r="D36" i="3"/>
  <c r="Y36" i="3"/>
  <c r="X36" i="3"/>
  <c r="N36" i="3"/>
  <c r="BM36" i="3"/>
  <c r="V36" i="3"/>
  <c r="L36" i="3"/>
  <c r="R36" i="3"/>
  <c r="M36" i="3"/>
  <c r="J36" i="3"/>
  <c r="K36" i="3"/>
  <c r="I36" i="3"/>
  <c r="AM36" i="3"/>
  <c r="G36" i="3"/>
  <c r="H36" i="3" s="1"/>
  <c r="AL36" i="3"/>
  <c r="W36" i="3"/>
  <c r="BL36" i="3"/>
  <c r="S36" i="3"/>
  <c r="U36" i="3"/>
  <c r="T36" i="3"/>
  <c r="AB450" i="6"/>
  <c r="AC450" i="6" s="1"/>
  <c r="AB400" i="6"/>
  <c r="AC400" i="6" s="1"/>
  <c r="AB648" i="6"/>
  <c r="AC648" i="6" s="1"/>
  <c r="Z22" i="3"/>
  <c r="N25" i="3"/>
  <c r="X728" i="6"/>
  <c r="Y728" i="6" s="1"/>
  <c r="AA728" i="6" s="1"/>
  <c r="AF260" i="6"/>
  <c r="AD261" i="6"/>
  <c r="AB498" i="6"/>
  <c r="AC498" i="6" s="1"/>
  <c r="N23" i="3"/>
  <c r="AB300" i="6"/>
  <c r="AC300" i="6" s="1"/>
  <c r="AB74" i="6"/>
  <c r="AC74" i="6" s="1"/>
  <c r="AB96" i="5"/>
  <c r="AA96" i="5"/>
  <c r="Y96" i="5"/>
  <c r="Z96" i="5"/>
  <c r="AD471" i="6"/>
  <c r="AE81" i="6"/>
  <c r="AE82" i="6" s="1"/>
  <c r="AE83" i="6" s="1"/>
  <c r="AB665" i="6"/>
  <c r="AC665" i="6" s="1"/>
  <c r="AB730" i="6"/>
  <c r="AC730" i="6" s="1"/>
  <c r="AB179" i="6"/>
  <c r="AC179" i="6" s="1"/>
  <c r="AE143" i="6"/>
  <c r="AE144" i="6" s="1"/>
  <c r="AE145" i="6" s="1"/>
  <c r="AE146" i="6" s="1"/>
  <c r="AE147" i="6" s="1"/>
  <c r="AE148" i="6" s="1"/>
  <c r="AB186" i="5"/>
  <c r="AA186" i="5"/>
  <c r="Z186" i="5"/>
  <c r="Y186" i="5"/>
  <c r="AB395" i="6"/>
  <c r="AC395" i="6" s="1"/>
  <c r="X221" i="6"/>
  <c r="Y221" i="6" s="1"/>
  <c r="AA221" i="6" s="1"/>
  <c r="AB303" i="6"/>
  <c r="AC303" i="6" s="1"/>
  <c r="X722" i="6"/>
  <c r="Y722" i="6" s="1"/>
  <c r="AA722" i="6" s="1"/>
  <c r="AB434" i="6"/>
  <c r="AC434" i="6" s="1"/>
  <c r="T176" i="5"/>
  <c r="U176" i="5" s="1"/>
  <c r="AD351" i="6"/>
  <c r="AF350" i="6"/>
  <c r="AB220" i="6"/>
  <c r="AC220" i="6" s="1"/>
  <c r="AM39" i="3"/>
  <c r="S39" i="3"/>
  <c r="I39" i="3"/>
  <c r="AL39" i="3"/>
  <c r="R39" i="3"/>
  <c r="G39" i="3"/>
  <c r="H39" i="3" s="1"/>
  <c r="Y39" i="3"/>
  <c r="U39" i="3"/>
  <c r="BM39" i="3"/>
  <c r="T39" i="3"/>
  <c r="BL39" i="3"/>
  <c r="M39" i="3"/>
  <c r="N39" i="3"/>
  <c r="X39" i="3"/>
  <c r="W39" i="3"/>
  <c r="V39" i="3"/>
  <c r="L39" i="3"/>
  <c r="K39" i="3"/>
  <c r="J39" i="3"/>
  <c r="D39" i="3"/>
  <c r="AD141" i="6"/>
  <c r="AF140" i="6"/>
  <c r="U47" i="5"/>
  <c r="T47" i="5"/>
  <c r="B12" i="3"/>
  <c r="T140" i="5"/>
  <c r="U140" i="5" s="1"/>
  <c r="T206" i="5"/>
  <c r="U206" i="5" s="1"/>
  <c r="G37" i="3"/>
  <c r="H37" i="3" s="1"/>
  <c r="D37" i="3"/>
  <c r="Y37" i="3"/>
  <c r="W37" i="3"/>
  <c r="M37" i="3"/>
  <c r="BL37" i="3"/>
  <c r="S37" i="3"/>
  <c r="R37" i="3"/>
  <c r="N37" i="3"/>
  <c r="K37" i="3"/>
  <c r="L37" i="3"/>
  <c r="X37" i="3"/>
  <c r="BM37" i="3"/>
  <c r="V37" i="3"/>
  <c r="U37" i="3"/>
  <c r="T37" i="3"/>
  <c r="J37" i="3"/>
  <c r="I37" i="3"/>
  <c r="AL37" i="3"/>
  <c r="AM37" i="3"/>
  <c r="T277" i="5"/>
  <c r="W277" i="5" s="1"/>
  <c r="U277" i="5"/>
  <c r="V277" i="5" s="1"/>
  <c r="U67" i="5"/>
  <c r="V67" i="5" s="1"/>
  <c r="T67" i="5"/>
  <c r="W67" i="5" s="1"/>
  <c r="AB490" i="6"/>
  <c r="AC490" i="6" s="1"/>
  <c r="P33" i="3"/>
  <c r="O33" i="3"/>
  <c r="T278" i="5"/>
  <c r="U278" i="5" s="1"/>
  <c r="X139" i="6"/>
  <c r="Y139" i="6" s="1"/>
  <c r="AA139" i="6" s="1"/>
  <c r="AC332" i="6"/>
  <c r="AB332" i="6"/>
  <c r="AB317" i="6"/>
  <c r="AC317" i="6" s="1"/>
  <c r="AE352" i="6"/>
  <c r="AE353" i="6" s="1"/>
  <c r="AE354" i="6" s="1"/>
  <c r="AE355" i="6" s="1"/>
  <c r="AE356" i="6" s="1"/>
  <c r="Y35" i="3"/>
  <c r="X35" i="3"/>
  <c r="N35" i="3"/>
  <c r="W35" i="3"/>
  <c r="M35" i="3"/>
  <c r="BL35" i="3"/>
  <c r="U35" i="3"/>
  <c r="K35" i="3"/>
  <c r="L35" i="3"/>
  <c r="I35" i="3"/>
  <c r="J35" i="3"/>
  <c r="V35" i="3"/>
  <c r="R35" i="3"/>
  <c r="T35" i="3"/>
  <c r="BM35" i="3"/>
  <c r="S35" i="3"/>
  <c r="AM35" i="3"/>
  <c r="G35" i="3"/>
  <c r="H35" i="3" s="1"/>
  <c r="AL35" i="3"/>
  <c r="D35" i="3"/>
  <c r="AB458" i="6"/>
  <c r="AC458" i="6" s="1"/>
  <c r="X276" i="5"/>
  <c r="AB156" i="5"/>
  <c r="AA156" i="5"/>
  <c r="Z156" i="5"/>
  <c r="Y156" i="5"/>
  <c r="D46" i="3"/>
  <c r="Y46" i="3"/>
  <c r="X46" i="3"/>
  <c r="N46" i="3"/>
  <c r="BM46" i="3"/>
  <c r="V46" i="3"/>
  <c r="L46" i="3"/>
  <c r="M46" i="3"/>
  <c r="K46" i="3"/>
  <c r="J46" i="3"/>
  <c r="I46" i="3"/>
  <c r="W46" i="3"/>
  <c r="U46" i="3"/>
  <c r="R46" i="3"/>
  <c r="T46" i="3"/>
  <c r="BL46" i="3"/>
  <c r="S46" i="3"/>
  <c r="AM46" i="3"/>
  <c r="G46" i="3"/>
  <c r="H46" i="3" s="1"/>
  <c r="AL46" i="3"/>
  <c r="AE565" i="6"/>
  <c r="AE566" i="6" s="1"/>
  <c r="AE567" i="6" s="1"/>
  <c r="AE568" i="6" s="1"/>
  <c r="AB719" i="6"/>
  <c r="AC719" i="6" s="1"/>
  <c r="X211" i="6"/>
  <c r="Y211" i="6" s="1"/>
  <c r="AA211" i="6" s="1"/>
  <c r="AB106" i="6"/>
  <c r="AC106" i="6" s="1"/>
  <c r="W221" i="5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AB240" i="6"/>
  <c r="AC240" i="6" s="1"/>
  <c r="G25" i="3"/>
  <c r="H25" i="3" s="1"/>
  <c r="AB246" i="5"/>
  <c r="AA246" i="5"/>
  <c r="Y246" i="5"/>
  <c r="Z246" i="5"/>
  <c r="AB704" i="6"/>
  <c r="AC704" i="6" s="1"/>
  <c r="AB173" i="6"/>
  <c r="AC173" i="6" s="1"/>
  <c r="AB87" i="6"/>
  <c r="AC87" i="6" s="1"/>
  <c r="T174" i="5"/>
  <c r="U174" i="5" s="1"/>
  <c r="X120" i="6"/>
  <c r="Y120" i="6" s="1"/>
  <c r="AA120" i="6" s="1"/>
  <c r="AE742" i="6"/>
  <c r="AE743" i="6" s="1"/>
  <c r="AE744" i="6" s="1"/>
  <c r="AE745" i="6" s="1"/>
  <c r="AE746" i="6" s="1"/>
  <c r="AE747" i="6" s="1"/>
  <c r="AE748" i="6" s="1"/>
  <c r="X477" i="6"/>
  <c r="Y477" i="6" s="1"/>
  <c r="AA477" i="6" s="1"/>
  <c r="AC80" i="6"/>
  <c r="AD80" i="6" s="1"/>
  <c r="AC439" i="6"/>
  <c r="AB439" i="6"/>
  <c r="AB752" i="6"/>
  <c r="AC752" i="6" s="1"/>
  <c r="AD711" i="6"/>
  <c r="AF710" i="6"/>
  <c r="X228" i="6"/>
  <c r="Y228" i="6" s="1"/>
  <c r="AA228" i="6" s="1"/>
  <c r="AB208" i="6"/>
  <c r="AC208" i="6" s="1"/>
  <c r="AB619" i="6"/>
  <c r="AC619" i="6" s="1"/>
  <c r="AB480" i="6"/>
  <c r="AC480" i="6" s="1"/>
  <c r="AC497" i="6"/>
  <c r="AB497" i="6"/>
  <c r="V127" i="5"/>
  <c r="X126" i="5"/>
  <c r="V158" i="5"/>
  <c r="X157" i="5"/>
  <c r="AB193" i="6"/>
  <c r="AC193" i="6" s="1"/>
  <c r="AF560" i="6"/>
  <c r="AD561" i="6"/>
  <c r="AC328" i="6"/>
  <c r="AB328" i="6"/>
  <c r="AB316" i="6"/>
  <c r="AC316" i="6" s="1"/>
  <c r="AB209" i="6"/>
  <c r="AC209" i="6" s="1"/>
  <c r="AE114" i="6"/>
  <c r="AE115" i="6" s="1"/>
  <c r="AE116" i="6" s="1"/>
  <c r="AE117" i="6" s="1"/>
  <c r="AB346" i="6"/>
  <c r="AC346" i="6" s="1"/>
  <c r="V217" i="5"/>
  <c r="X216" i="5"/>
  <c r="P50" i="3"/>
  <c r="O50" i="3"/>
  <c r="O22" i="3"/>
  <c r="Q22" i="3" s="1"/>
  <c r="R22" i="3" s="1"/>
  <c r="U22" i="3" s="1"/>
  <c r="P22" i="3"/>
  <c r="AB734" i="6"/>
  <c r="AC734" i="6" s="1"/>
  <c r="X269" i="6"/>
  <c r="Y269" i="6" s="1"/>
  <c r="AA269" i="6" s="1"/>
  <c r="AB129" i="6"/>
  <c r="AC129" i="6" s="1"/>
  <c r="AF740" i="6"/>
  <c r="AD741" i="6"/>
  <c r="AE51" i="6"/>
  <c r="AE52" i="6" s="1"/>
  <c r="AE53" i="6" s="1"/>
  <c r="AE54" i="6" s="1"/>
  <c r="AE55" i="6" s="1"/>
  <c r="AE56" i="6" s="1"/>
  <c r="AE57" i="6" s="1"/>
  <c r="AE58" i="6" s="1"/>
  <c r="AE59" i="6" s="1"/>
  <c r="AE60" i="6" s="1"/>
  <c r="AE593" i="6"/>
  <c r="AE594" i="6" s="1"/>
  <c r="AE595" i="6" s="1"/>
  <c r="AE596" i="6" s="1"/>
  <c r="AE597" i="6" s="1"/>
  <c r="AB763" i="6"/>
  <c r="AC763" i="6" s="1"/>
  <c r="T259" i="5"/>
  <c r="U259" i="5" s="1"/>
  <c r="AB479" i="6"/>
  <c r="AC479" i="6"/>
  <c r="AF20" i="3"/>
  <c r="AF21" i="3" s="1"/>
  <c r="AF22" i="3" s="1"/>
  <c r="AF23" i="3" s="1"/>
  <c r="AF24" i="3" s="1"/>
  <c r="AF25" i="3" s="1"/>
  <c r="AB753" i="6"/>
  <c r="AC753" i="6" s="1"/>
  <c r="AB198" i="6"/>
  <c r="AC198" i="6" s="1"/>
  <c r="Q38" i="3"/>
  <c r="AB688" i="6"/>
  <c r="AC688" i="6" s="1"/>
  <c r="W159" i="5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AC110" i="6"/>
  <c r="AD110" i="6" s="1"/>
  <c r="AB174" i="6"/>
  <c r="AC174" i="6" s="1"/>
  <c r="AI230" i="6"/>
  <c r="AH230" i="6"/>
  <c r="AG230" i="6"/>
  <c r="AJ230" i="6"/>
  <c r="AB408" i="6"/>
  <c r="AC408" i="6" s="1"/>
  <c r="AB426" i="6"/>
  <c r="AC426" i="6" s="1"/>
  <c r="Y45" i="3"/>
  <c r="X45" i="3"/>
  <c r="N45" i="3"/>
  <c r="W45" i="3"/>
  <c r="M45" i="3"/>
  <c r="BL45" i="3"/>
  <c r="U45" i="3"/>
  <c r="K45" i="3"/>
  <c r="L45" i="3"/>
  <c r="J45" i="3"/>
  <c r="I45" i="3"/>
  <c r="AM45" i="3"/>
  <c r="G45" i="3"/>
  <c r="H45" i="3" s="1"/>
  <c r="AL45" i="3"/>
  <c r="D45" i="3"/>
  <c r="V45" i="3"/>
  <c r="R45" i="3"/>
  <c r="BM45" i="3"/>
  <c r="T45" i="3"/>
  <c r="S45" i="3"/>
  <c r="AB423" i="6"/>
  <c r="AC423" i="6" s="1"/>
  <c r="AE232" i="6"/>
  <c r="AE233" i="6" s="1"/>
  <c r="AE234" i="6" s="1"/>
  <c r="AE235" i="6" s="1"/>
  <c r="AE236" i="6" s="1"/>
  <c r="AE237" i="6" s="1"/>
  <c r="AE238" i="6" s="1"/>
  <c r="AE239" i="6" s="1"/>
  <c r="AE240" i="6" s="1"/>
  <c r="AE241" i="6" s="1"/>
  <c r="AE242" i="6" s="1"/>
  <c r="AE243" i="6" s="1"/>
  <c r="AE244" i="6" s="1"/>
  <c r="AE245" i="6" s="1"/>
  <c r="AE246" i="6" s="1"/>
  <c r="AE712" i="6"/>
  <c r="AE713" i="6" s="1"/>
  <c r="AE714" i="6" s="1"/>
  <c r="AE715" i="6" s="1"/>
  <c r="AE716" i="6" s="1"/>
  <c r="AE717" i="6" s="1"/>
  <c r="AE718" i="6" s="1"/>
  <c r="AE719" i="6" s="1"/>
  <c r="AE720" i="6" s="1"/>
  <c r="AE721" i="6" s="1"/>
  <c r="G23" i="3"/>
  <c r="H23" i="3" s="1"/>
  <c r="AB197" i="6"/>
  <c r="AC197" i="6" s="1"/>
  <c r="T256" i="5"/>
  <c r="X333" i="6"/>
  <c r="Y333" i="6" s="1"/>
  <c r="AA333" i="6" s="1"/>
  <c r="AB551" i="6"/>
  <c r="AC551" i="6" s="1"/>
  <c r="AC50" i="6"/>
  <c r="AD50" i="6" s="1"/>
  <c r="AC590" i="6"/>
  <c r="AD590" i="6" s="1"/>
  <c r="W40" i="5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AB530" i="6"/>
  <c r="AE530" i="6" s="1"/>
  <c r="AE531" i="6" s="1"/>
  <c r="AE532" i="6" s="1"/>
  <c r="AE533" i="6" s="1"/>
  <c r="AE534" i="6" s="1"/>
  <c r="AE535" i="6" s="1"/>
  <c r="AE536" i="6" s="1"/>
  <c r="AE537" i="6" s="1"/>
  <c r="AE538" i="6" s="1"/>
  <c r="W43" i="3"/>
  <c r="M43" i="3"/>
  <c r="BM43" i="3"/>
  <c r="V43" i="3"/>
  <c r="L43" i="3"/>
  <c r="BL43" i="3"/>
  <c r="U43" i="3"/>
  <c r="K43" i="3"/>
  <c r="AM43" i="3"/>
  <c r="S43" i="3"/>
  <c r="I43" i="3"/>
  <c r="N43" i="3"/>
  <c r="J43" i="3"/>
  <c r="T43" i="3"/>
  <c r="R43" i="3"/>
  <c r="AL43" i="3"/>
  <c r="G43" i="3"/>
  <c r="H43" i="3" s="1"/>
  <c r="D43" i="3"/>
  <c r="Y43" i="3"/>
  <c r="X43" i="3"/>
  <c r="M27" i="3"/>
  <c r="L27" i="3"/>
  <c r="AD27" i="3"/>
  <c r="T27" i="3"/>
  <c r="J27" i="3"/>
  <c r="Y27" i="3"/>
  <c r="D27" i="3"/>
  <c r="G27" i="3" s="1"/>
  <c r="H27" i="3" s="1"/>
  <c r="S27" i="3"/>
  <c r="AA27" i="3"/>
  <c r="AC27" i="3"/>
  <c r="AB27" i="3"/>
  <c r="K27" i="3"/>
  <c r="I27" i="3"/>
  <c r="AB88" i="6"/>
  <c r="AC88" i="6" s="1"/>
  <c r="M26" i="3"/>
  <c r="L26" i="3"/>
  <c r="AD26" i="3"/>
  <c r="T26" i="3"/>
  <c r="J26" i="3"/>
  <c r="AB26" i="3"/>
  <c r="K26" i="3"/>
  <c r="AA26" i="3"/>
  <c r="I26" i="3"/>
  <c r="D26" i="3"/>
  <c r="N26" i="3" s="1"/>
  <c r="Y26" i="3"/>
  <c r="S26" i="3"/>
  <c r="AC26" i="3"/>
  <c r="Q20" i="3"/>
  <c r="R20" i="3" s="1"/>
  <c r="U20" i="3" s="1"/>
  <c r="AB662" i="6"/>
  <c r="AC662" i="6" s="1"/>
  <c r="AE322" i="6"/>
  <c r="AE323" i="6" s="1"/>
  <c r="AE324" i="6" s="1"/>
  <c r="AE325" i="6" s="1"/>
  <c r="AE203" i="6"/>
  <c r="AE204" i="6" s="1"/>
  <c r="AB598" i="6"/>
  <c r="AC598" i="6" s="1"/>
  <c r="AB274" i="6"/>
  <c r="AC274" i="6" s="1"/>
  <c r="Q41" i="3"/>
  <c r="AB138" i="6"/>
  <c r="AC138" i="6" s="1"/>
  <c r="X370" i="6"/>
  <c r="Y370" i="6" s="1"/>
  <c r="AA370" i="6" s="1"/>
  <c r="AE653" i="6"/>
  <c r="AE654" i="6" s="1"/>
  <c r="AE655" i="6" s="1"/>
  <c r="AE656" i="6" s="1"/>
  <c r="AC320" i="6"/>
  <c r="AD320" i="6" s="1"/>
  <c r="X336" i="6"/>
  <c r="Y336" i="6" s="1"/>
  <c r="AA336" i="6" s="1"/>
  <c r="X119" i="6"/>
  <c r="Y119" i="6" s="1"/>
  <c r="AA119" i="6" s="1"/>
  <c r="AF620" i="6"/>
  <c r="AD621" i="6"/>
  <c r="T274" i="5"/>
  <c r="U274" i="5" s="1"/>
  <c r="Z24" i="3"/>
  <c r="AB102" i="6"/>
  <c r="AC102" i="6" s="1"/>
  <c r="AB284" i="6"/>
  <c r="AC284" i="6" s="1"/>
  <c r="AB663" i="6"/>
  <c r="AC663" i="6" s="1"/>
  <c r="AF231" i="6"/>
  <c r="AD232" i="6"/>
  <c r="AB769" i="6"/>
  <c r="AC769" i="6" s="1"/>
  <c r="AB154" i="6"/>
  <c r="AC154" i="6" s="1"/>
  <c r="AE292" i="6"/>
  <c r="AE293" i="6" s="1"/>
  <c r="AE294" i="6" s="1"/>
  <c r="AE295" i="6" s="1"/>
  <c r="AE296" i="6" s="1"/>
  <c r="AE297" i="6" s="1"/>
  <c r="AE298" i="6" s="1"/>
  <c r="AE299" i="6" s="1"/>
  <c r="AE300" i="6" s="1"/>
  <c r="AE301" i="6" s="1"/>
  <c r="AE302" i="6" s="1"/>
  <c r="AE303" i="6" s="1"/>
  <c r="AB639" i="6"/>
  <c r="AC639" i="6" s="1"/>
  <c r="AB641" i="6"/>
  <c r="AC641" i="6"/>
  <c r="AB643" i="6"/>
  <c r="AC643" i="6" s="1"/>
  <c r="AB529" i="6"/>
  <c r="AC529" i="6" s="1"/>
  <c r="AB398" i="6"/>
  <c r="AC398" i="6" s="1"/>
  <c r="AB543" i="6"/>
  <c r="AC543" i="6" s="1"/>
  <c r="AB512" i="6"/>
  <c r="AC512" i="6" s="1"/>
  <c r="AI380" i="6"/>
  <c r="AJ380" i="6"/>
  <c r="AH380" i="6"/>
  <c r="AG380" i="6"/>
  <c r="U37" i="5"/>
  <c r="V37" i="5" s="1"/>
  <c r="AB677" i="6"/>
  <c r="AC677" i="6" s="1"/>
  <c r="P31" i="3"/>
  <c r="O31" i="3"/>
  <c r="AB657" i="6"/>
  <c r="AC657" i="6" s="1"/>
  <c r="AB696" i="6"/>
  <c r="AC696" i="6" s="1"/>
  <c r="AH20" i="3"/>
  <c r="AH21" i="3" s="1"/>
  <c r="AH22" i="3" s="1"/>
  <c r="AH23" i="3" s="1"/>
  <c r="AH24" i="3" s="1"/>
  <c r="AH25" i="3" s="1"/>
  <c r="AB457" i="6"/>
  <c r="AC457" i="6" s="1"/>
  <c r="AB184" i="6"/>
  <c r="AC184" i="6" s="1"/>
  <c r="AB364" i="6"/>
  <c r="AC364" i="6" s="1"/>
  <c r="AB670" i="6"/>
  <c r="AC670" i="6"/>
  <c r="X217" i="6"/>
  <c r="Y217" i="6" s="1"/>
  <c r="AA217" i="6" s="1"/>
  <c r="AB238" i="6"/>
  <c r="AC238" i="6" s="1"/>
  <c r="X189" i="6"/>
  <c r="Y189" i="6" s="1"/>
  <c r="AA189" i="6" s="1"/>
  <c r="X749" i="6"/>
  <c r="Y749" i="6" s="1"/>
  <c r="AA749" i="6" s="1"/>
  <c r="AC650" i="6"/>
  <c r="AD650" i="6" s="1"/>
  <c r="AB149" i="6"/>
  <c r="AC149" i="6" s="1"/>
  <c r="P52" i="3"/>
  <c r="O52" i="3"/>
  <c r="Z28" i="3"/>
  <c r="O69" i="1" s="1"/>
  <c r="AI410" i="6"/>
  <c r="AH410" i="6"/>
  <c r="AG410" i="6"/>
  <c r="AJ410" i="6"/>
  <c r="AC290" i="6"/>
  <c r="AD290" i="6" s="1"/>
  <c r="AB481" i="6"/>
  <c r="AC481" i="6" s="1"/>
  <c r="AB516" i="6"/>
  <c r="AC516" i="6"/>
  <c r="AB308" i="6"/>
  <c r="AC308" i="6" s="1"/>
  <c r="Z21" i="3"/>
  <c r="X329" i="6"/>
  <c r="Y329" i="6" s="1"/>
  <c r="AA329" i="6" s="1"/>
  <c r="AB348" i="6"/>
  <c r="AC348" i="6" s="1"/>
  <c r="AB382" i="6"/>
  <c r="AC382" i="6" s="1"/>
  <c r="AB569" i="6"/>
  <c r="AC569" i="6"/>
  <c r="AB403" i="6"/>
  <c r="AC403" i="6" s="1"/>
  <c r="AB77" i="6"/>
  <c r="AC77" i="6" s="1"/>
  <c r="AJ200" i="6"/>
  <c r="AI200" i="6"/>
  <c r="AH200" i="6"/>
  <c r="AG200" i="6"/>
  <c r="AB376" i="6"/>
  <c r="AC376" i="6" s="1"/>
  <c r="G57" i="3"/>
  <c r="H57" i="3" s="1"/>
  <c r="D57" i="3"/>
  <c r="Y57" i="3"/>
  <c r="W57" i="3"/>
  <c r="M57" i="3"/>
  <c r="N57" i="3"/>
  <c r="L57" i="3"/>
  <c r="K57" i="3"/>
  <c r="X57" i="3"/>
  <c r="I57" i="3"/>
  <c r="J57" i="3"/>
  <c r="AM57" i="3"/>
  <c r="AL57" i="3"/>
  <c r="V57" i="3"/>
  <c r="U57" i="3"/>
  <c r="R57" i="3"/>
  <c r="T57" i="3"/>
  <c r="BM57" i="3"/>
  <c r="BL57" i="3"/>
  <c r="S57" i="3"/>
  <c r="X66" i="5"/>
  <c r="AB392" i="6"/>
  <c r="AC392" i="6" s="1"/>
  <c r="AB649" i="6"/>
  <c r="AC649" i="6" s="1"/>
  <c r="T68" i="5"/>
  <c r="U68" i="5" s="1"/>
  <c r="Z19" i="3"/>
  <c r="T267" i="5"/>
  <c r="U267" i="5"/>
  <c r="T101" i="5"/>
  <c r="U101" i="5" s="1"/>
  <c r="AB486" i="6"/>
  <c r="AC486" i="6" s="1"/>
  <c r="AB123" i="6"/>
  <c r="AC123" i="6" s="1"/>
  <c r="Z20" i="3"/>
  <c r="AB456" i="6"/>
  <c r="AC456" i="6" s="1"/>
  <c r="AB66" i="6"/>
  <c r="AC66" i="6" s="1"/>
  <c r="AB377" i="6"/>
  <c r="AC377" i="6" s="1"/>
  <c r="W196" i="5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O49" i="3"/>
  <c r="P49" i="3"/>
  <c r="AE447" i="6"/>
  <c r="AE448" i="6" s="1"/>
  <c r="AE449" i="6" s="1"/>
  <c r="AE450" i="6" s="1"/>
  <c r="AE451" i="6" s="1"/>
  <c r="AC500" i="6"/>
  <c r="AD500" i="6" s="1"/>
  <c r="X124" i="6"/>
  <c r="Y124" i="6" s="1"/>
  <c r="AA124" i="6" s="1"/>
  <c r="AB312" i="6"/>
  <c r="AC312" i="6" s="1"/>
  <c r="AB366" i="6"/>
  <c r="AC366" i="6" s="1"/>
  <c r="AB578" i="6"/>
  <c r="AC578" i="6" s="1"/>
  <c r="AB365" i="6"/>
  <c r="AC365" i="6"/>
  <c r="AL58" i="3"/>
  <c r="R58" i="3"/>
  <c r="G58" i="3"/>
  <c r="H58" i="3" s="1"/>
  <c r="D58" i="3"/>
  <c r="X58" i="3"/>
  <c r="N58" i="3"/>
  <c r="M58" i="3"/>
  <c r="L58" i="3"/>
  <c r="Y58" i="3"/>
  <c r="J58" i="3"/>
  <c r="K58" i="3"/>
  <c r="W58" i="3"/>
  <c r="V58" i="3"/>
  <c r="BL58" i="3"/>
  <c r="S58" i="3"/>
  <c r="U58" i="3"/>
  <c r="BM58" i="3"/>
  <c r="T58" i="3"/>
  <c r="I58" i="3"/>
  <c r="AM58" i="3"/>
  <c r="X132" i="6"/>
  <c r="Y132" i="6" s="1"/>
  <c r="AA132" i="6" s="1"/>
  <c r="AB539" i="6"/>
  <c r="AC539" i="6" s="1"/>
  <c r="X278" i="6"/>
  <c r="Y278" i="6" s="1"/>
  <c r="AA278" i="6" s="1"/>
  <c r="AE171" i="6"/>
  <c r="AE172" i="6" s="1"/>
  <c r="Q24" i="3" l="1"/>
  <c r="R24" i="3" s="1"/>
  <c r="U24" i="3" s="1"/>
  <c r="Q21" i="3"/>
  <c r="R21" i="3" s="1"/>
  <c r="U21" i="3" s="1"/>
  <c r="Y59" i="3"/>
  <c r="Q51" i="3"/>
  <c r="AE118" i="6"/>
  <c r="W256" i="5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AE84" i="6"/>
  <c r="AE85" i="6" s="1"/>
  <c r="AE86" i="6" s="1"/>
  <c r="AE247" i="6"/>
  <c r="AE248" i="6" s="1"/>
  <c r="AE249" i="6" s="1"/>
  <c r="AE250" i="6" s="1"/>
  <c r="AE251" i="6" s="1"/>
  <c r="AE252" i="6" s="1"/>
  <c r="AE253" i="6" s="1"/>
  <c r="AE254" i="6" s="1"/>
  <c r="AE255" i="6" s="1"/>
  <c r="AE256" i="6" s="1"/>
  <c r="AE257" i="6" s="1"/>
  <c r="AE258" i="6" s="1"/>
  <c r="AE259" i="6" s="1"/>
  <c r="AE173" i="6"/>
  <c r="AE174" i="6" s="1"/>
  <c r="AE175" i="6" s="1"/>
  <c r="AE176" i="6" s="1"/>
  <c r="AE177" i="6" s="1"/>
  <c r="AE178" i="6" s="1"/>
  <c r="AE179" i="6" s="1"/>
  <c r="AE180" i="6" s="1"/>
  <c r="AE181" i="6" s="1"/>
  <c r="AE182" i="6" s="1"/>
  <c r="AE183" i="6" s="1"/>
  <c r="AE184" i="6" s="1"/>
  <c r="AE185" i="6" s="1"/>
  <c r="AE186" i="6" s="1"/>
  <c r="AE187" i="6" s="1"/>
  <c r="AE188" i="6" s="1"/>
  <c r="AE205" i="6"/>
  <c r="AE206" i="6" s="1"/>
  <c r="AE207" i="6" s="1"/>
  <c r="AE208" i="6" s="1"/>
  <c r="AE209" i="6" s="1"/>
  <c r="AE210" i="6" s="1"/>
  <c r="AE61" i="6"/>
  <c r="AE62" i="6" s="1"/>
  <c r="AE63" i="6" s="1"/>
  <c r="AE64" i="6" s="1"/>
  <c r="AE65" i="6" s="1"/>
  <c r="AE304" i="6"/>
  <c r="AE305" i="6" s="1"/>
  <c r="AE306" i="6" s="1"/>
  <c r="AE307" i="6" s="1"/>
  <c r="AE308" i="6" s="1"/>
  <c r="AE309" i="6" s="1"/>
  <c r="AE310" i="6" s="1"/>
  <c r="AE311" i="6" s="1"/>
  <c r="AF170" i="6"/>
  <c r="AE452" i="6"/>
  <c r="AE453" i="6" s="1"/>
  <c r="AE454" i="6" s="1"/>
  <c r="AE455" i="6" s="1"/>
  <c r="AE456" i="6" s="1"/>
  <c r="AE457" i="6" s="1"/>
  <c r="AE458" i="6" s="1"/>
  <c r="AE459" i="6" s="1"/>
  <c r="AE460" i="6" s="1"/>
  <c r="AE461" i="6" s="1"/>
  <c r="AE462" i="6" s="1"/>
  <c r="AE463" i="6" s="1"/>
  <c r="AE464" i="6" s="1"/>
  <c r="AE465" i="6" s="1"/>
  <c r="AE466" i="6" s="1"/>
  <c r="AE467" i="6" s="1"/>
  <c r="AE468" i="6" s="1"/>
  <c r="AE469" i="6" s="1"/>
  <c r="Q31" i="3"/>
  <c r="AE687" i="6"/>
  <c r="K59" i="3"/>
  <c r="AE357" i="6"/>
  <c r="AE358" i="6" s="1"/>
  <c r="AE359" i="6" s="1"/>
  <c r="AE360" i="6" s="1"/>
  <c r="AE361" i="6" s="1"/>
  <c r="AE362" i="6" s="1"/>
  <c r="AE363" i="6" s="1"/>
  <c r="N27" i="3"/>
  <c r="P27" i="3" s="1"/>
  <c r="T59" i="3"/>
  <c r="Q33" i="3"/>
  <c r="Q42" i="3"/>
  <c r="AB556" i="6"/>
  <c r="AC556" i="6" s="1"/>
  <c r="Q52" i="3"/>
  <c r="AE539" i="6"/>
  <c r="AE540" i="6" s="1"/>
  <c r="AE541" i="6" s="1"/>
  <c r="AE542" i="6" s="1"/>
  <c r="AE543" i="6" s="1"/>
  <c r="AE544" i="6" s="1"/>
  <c r="AE545" i="6" s="1"/>
  <c r="AE546" i="6" s="1"/>
  <c r="AE547" i="6" s="1"/>
  <c r="AE548" i="6" s="1"/>
  <c r="AE549" i="6" s="1"/>
  <c r="AE550" i="6" s="1"/>
  <c r="AE551" i="6" s="1"/>
  <c r="AE552" i="6" s="1"/>
  <c r="AE553" i="6" s="1"/>
  <c r="AE554" i="6" s="1"/>
  <c r="AE555" i="6" s="1"/>
  <c r="S59" i="3"/>
  <c r="J59" i="3"/>
  <c r="Q49" i="3"/>
  <c r="M59" i="3"/>
  <c r="Q50" i="3"/>
  <c r="Q29" i="3"/>
  <c r="P44" i="3"/>
  <c r="O44" i="3"/>
  <c r="AB285" i="6"/>
  <c r="AC285" i="6" s="1"/>
  <c r="AC326" i="6"/>
  <c r="AC727" i="6"/>
  <c r="AB727" i="6"/>
  <c r="I59" i="3"/>
  <c r="AE688" i="6"/>
  <c r="AE689" i="6" s="1"/>
  <c r="AE690" i="6" s="1"/>
  <c r="AE691" i="6" s="1"/>
  <c r="AE692" i="6" s="1"/>
  <c r="AE693" i="6" s="1"/>
  <c r="AE694" i="6" s="1"/>
  <c r="AE695" i="6" s="1"/>
  <c r="AE696" i="6" s="1"/>
  <c r="AE697" i="6" s="1"/>
  <c r="AE698" i="6" s="1"/>
  <c r="AE699" i="6" s="1"/>
  <c r="AE700" i="6" s="1"/>
  <c r="AE701" i="6" s="1"/>
  <c r="AE702" i="6" s="1"/>
  <c r="AE703" i="6" s="1"/>
  <c r="AE704" i="6" s="1"/>
  <c r="AE705" i="6" s="1"/>
  <c r="AE706" i="6" s="1"/>
  <c r="AE707" i="6" s="1"/>
  <c r="AE708" i="6" s="1"/>
  <c r="AE709" i="6" s="1"/>
  <c r="V247" i="5"/>
  <c r="AE326" i="6"/>
  <c r="AE327" i="6" s="1"/>
  <c r="AE328" i="6" s="1"/>
  <c r="AE657" i="6"/>
  <c r="AE658" i="6" s="1"/>
  <c r="AE659" i="6" s="1"/>
  <c r="AE660" i="6" s="1"/>
  <c r="AE661" i="6" s="1"/>
  <c r="AE662" i="6" s="1"/>
  <c r="AE663" i="6" s="1"/>
  <c r="AE664" i="6" s="1"/>
  <c r="AE665" i="6" s="1"/>
  <c r="AE666" i="6" s="1"/>
  <c r="AE667" i="6" s="1"/>
  <c r="AE668" i="6" s="1"/>
  <c r="AE669" i="6" s="1"/>
  <c r="AE670" i="6" s="1"/>
  <c r="AE671" i="6" s="1"/>
  <c r="AE672" i="6" s="1"/>
  <c r="AE673" i="6" s="1"/>
  <c r="AE674" i="6" s="1"/>
  <c r="AE675" i="6" s="1"/>
  <c r="AE676" i="6" s="1"/>
  <c r="AE677" i="6" s="1"/>
  <c r="AE678" i="6" s="1"/>
  <c r="AE679" i="6" s="1"/>
  <c r="AB624" i="6"/>
  <c r="AE624" i="6" s="1"/>
  <c r="AE625" i="6" s="1"/>
  <c r="AE626" i="6" s="1"/>
  <c r="AE627" i="6" s="1"/>
  <c r="AE628" i="6" s="1"/>
  <c r="AE629" i="6" s="1"/>
  <c r="AE630" i="6" s="1"/>
  <c r="AE631" i="6" s="1"/>
  <c r="AE632" i="6" s="1"/>
  <c r="AE633" i="6" s="1"/>
  <c r="AE634" i="6" s="1"/>
  <c r="AE635" i="6" s="1"/>
  <c r="AE636" i="6" s="1"/>
  <c r="AE637" i="6" s="1"/>
  <c r="AE638" i="6" s="1"/>
  <c r="AE639" i="6" s="1"/>
  <c r="AE640" i="6" s="1"/>
  <c r="AE641" i="6" s="1"/>
  <c r="AE642" i="6" s="1"/>
  <c r="AE643" i="6" s="1"/>
  <c r="AE644" i="6" s="1"/>
  <c r="AE645" i="6" s="1"/>
  <c r="AE646" i="6" s="1"/>
  <c r="AE647" i="6" s="1"/>
  <c r="AE648" i="6" s="1"/>
  <c r="AE649" i="6" s="1"/>
  <c r="W274" i="5"/>
  <c r="W275" i="5" s="1"/>
  <c r="L59" i="3"/>
  <c r="AH26" i="3"/>
  <c r="AH27" i="3" s="1"/>
  <c r="AH28" i="3" s="1"/>
  <c r="W236" i="5"/>
  <c r="W237" i="5" s="1"/>
  <c r="W238" i="5" s="1"/>
  <c r="W239" i="5" s="1"/>
  <c r="W240" i="5" s="1"/>
  <c r="W241" i="5" s="1"/>
  <c r="W242" i="5" s="1"/>
  <c r="W243" i="5" s="1"/>
  <c r="W244" i="5" s="1"/>
  <c r="W245" i="5" s="1"/>
  <c r="P26" i="3"/>
  <c r="O26" i="3"/>
  <c r="V22" i="3"/>
  <c r="W22" i="3" s="1"/>
  <c r="AD111" i="6"/>
  <c r="AF110" i="6"/>
  <c r="AD172" i="6"/>
  <c r="AF171" i="6"/>
  <c r="AB522" i="6"/>
  <c r="AC522" i="6" s="1"/>
  <c r="AJ411" i="6"/>
  <c r="AI411" i="6"/>
  <c r="AH411" i="6"/>
  <c r="AG411" i="6"/>
  <c r="W174" i="5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AF26" i="3"/>
  <c r="AF27" i="3" s="1"/>
  <c r="AF28" i="3" s="1"/>
  <c r="AC139" i="6"/>
  <c r="AB139" i="6"/>
  <c r="W68" i="5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AD352" i="6"/>
  <c r="AF351" i="6"/>
  <c r="AE149" i="6"/>
  <c r="AE150" i="6" s="1"/>
  <c r="AE151" i="6" s="1"/>
  <c r="AE152" i="6" s="1"/>
  <c r="AE153" i="6" s="1"/>
  <c r="AE154" i="6" s="1"/>
  <c r="AE155" i="6" s="1"/>
  <c r="AE156" i="6" s="1"/>
  <c r="AE157" i="6" s="1"/>
  <c r="AE158" i="6" s="1"/>
  <c r="AE159" i="6" s="1"/>
  <c r="AE160" i="6" s="1"/>
  <c r="AE161" i="6" s="1"/>
  <c r="AE162" i="6" s="1"/>
  <c r="AE163" i="6" s="1"/>
  <c r="AE164" i="6" s="1"/>
  <c r="AE165" i="6" s="1"/>
  <c r="AE166" i="6" s="1"/>
  <c r="AE167" i="6" s="1"/>
  <c r="AE168" i="6" s="1"/>
  <c r="AE169" i="6" s="1"/>
  <c r="O55" i="3"/>
  <c r="P55" i="3"/>
  <c r="Q55" i="3" s="1"/>
  <c r="V24" i="3"/>
  <c r="W24" i="3" s="1"/>
  <c r="AE419" i="6"/>
  <c r="AE420" i="6" s="1"/>
  <c r="AE421" i="6" s="1"/>
  <c r="AE422" i="6" s="1"/>
  <c r="AE423" i="6" s="1"/>
  <c r="AE424" i="6" s="1"/>
  <c r="AE425" i="6" s="1"/>
  <c r="AE426" i="6" s="1"/>
  <c r="AE427" i="6" s="1"/>
  <c r="AE428" i="6" s="1"/>
  <c r="AE429" i="6" s="1"/>
  <c r="AE430" i="6" s="1"/>
  <c r="AE431" i="6" s="1"/>
  <c r="AE432" i="6" s="1"/>
  <c r="AE433" i="6" s="1"/>
  <c r="AE434" i="6" s="1"/>
  <c r="AE435" i="6" s="1"/>
  <c r="AE436" i="6" s="1"/>
  <c r="AD413" i="6"/>
  <c r="AF412" i="6"/>
  <c r="AD203" i="6"/>
  <c r="AF202" i="6"/>
  <c r="AF682" i="6"/>
  <c r="AD683" i="6"/>
  <c r="V218" i="5"/>
  <c r="X217" i="5"/>
  <c r="AD142" i="6"/>
  <c r="AF141" i="6"/>
  <c r="AI350" i="6"/>
  <c r="AG350" i="6"/>
  <c r="AJ350" i="6"/>
  <c r="AH350" i="6"/>
  <c r="AF471" i="6"/>
  <c r="AD472" i="6"/>
  <c r="P23" i="3"/>
  <c r="Q23" i="3" s="1"/>
  <c r="R23" i="3" s="1"/>
  <c r="U23" i="3" s="1"/>
  <c r="O23" i="3"/>
  <c r="V68" i="5"/>
  <c r="X67" i="5"/>
  <c r="G26" i="3"/>
  <c r="H26" i="3" s="1"/>
  <c r="O35" i="3"/>
  <c r="P35" i="3"/>
  <c r="AE510" i="6"/>
  <c r="AE511" i="6" s="1"/>
  <c r="AE512" i="6" s="1"/>
  <c r="AE513" i="6" s="1"/>
  <c r="AE514" i="6" s="1"/>
  <c r="AE515" i="6" s="1"/>
  <c r="AE516" i="6" s="1"/>
  <c r="AE517" i="6" s="1"/>
  <c r="AE518" i="6" s="1"/>
  <c r="AE519" i="6" s="1"/>
  <c r="AE520" i="6" s="1"/>
  <c r="AE521" i="6" s="1"/>
  <c r="V21" i="3"/>
  <c r="W21" i="3" s="1"/>
  <c r="AJ201" i="6"/>
  <c r="AH201" i="6"/>
  <c r="AI201" i="6"/>
  <c r="AG201" i="6"/>
  <c r="AJ681" i="6"/>
  <c r="AI681" i="6"/>
  <c r="AH681" i="6"/>
  <c r="AG681" i="6"/>
  <c r="AB278" i="6"/>
  <c r="AC278" i="6" s="1"/>
  <c r="AF590" i="6"/>
  <c r="AD591" i="6"/>
  <c r="AE598" i="6"/>
  <c r="AB157" i="5"/>
  <c r="AA157" i="5"/>
  <c r="Z157" i="5"/>
  <c r="Y157" i="5"/>
  <c r="AE569" i="6"/>
  <c r="AE570" i="6" s="1"/>
  <c r="AE571" i="6" s="1"/>
  <c r="AE572" i="6" s="1"/>
  <c r="AE573" i="6" s="1"/>
  <c r="AE574" i="6" s="1"/>
  <c r="AE575" i="6" s="1"/>
  <c r="AE576" i="6" s="1"/>
  <c r="AE577" i="6" s="1"/>
  <c r="AE578" i="6" s="1"/>
  <c r="AE579" i="6" s="1"/>
  <c r="AE580" i="6" s="1"/>
  <c r="AE581" i="6" s="1"/>
  <c r="AE582" i="6" s="1"/>
  <c r="AE583" i="6" s="1"/>
  <c r="AE584" i="6" s="1"/>
  <c r="AE585" i="6" s="1"/>
  <c r="AE586" i="6" s="1"/>
  <c r="AE587" i="6" s="1"/>
  <c r="AE588" i="6" s="1"/>
  <c r="AE589" i="6" s="1"/>
  <c r="AF261" i="6"/>
  <c r="AD262" i="6"/>
  <c r="AI440" i="6"/>
  <c r="AH440" i="6"/>
  <c r="AG440" i="6"/>
  <c r="AJ440" i="6"/>
  <c r="O53" i="3"/>
  <c r="Q53" i="3" s="1"/>
  <c r="P53" i="3"/>
  <c r="AE382" i="6"/>
  <c r="AE383" i="6" s="1"/>
  <c r="AE384" i="6" s="1"/>
  <c r="AE385" i="6" s="1"/>
  <c r="AE386" i="6" s="1"/>
  <c r="AE387" i="6" s="1"/>
  <c r="AE388" i="6" s="1"/>
  <c r="AE389" i="6" s="1"/>
  <c r="AE390" i="6" s="1"/>
  <c r="AE391" i="6" s="1"/>
  <c r="AE392" i="6" s="1"/>
  <c r="AE393" i="6" s="1"/>
  <c r="AE394" i="6" s="1"/>
  <c r="AE395" i="6" s="1"/>
  <c r="AE396" i="6" s="1"/>
  <c r="AE397" i="6" s="1"/>
  <c r="AE398" i="6" s="1"/>
  <c r="AE399" i="6" s="1"/>
  <c r="AE400" i="6" s="1"/>
  <c r="AE401" i="6" s="1"/>
  <c r="AE402" i="6" s="1"/>
  <c r="AE403" i="6" s="1"/>
  <c r="AE404" i="6" s="1"/>
  <c r="AE405" i="6" s="1"/>
  <c r="AE406" i="6" s="1"/>
  <c r="AE407" i="6" s="1"/>
  <c r="AE408" i="6" s="1"/>
  <c r="AE409" i="6" s="1"/>
  <c r="AB187" i="5"/>
  <c r="Z187" i="5"/>
  <c r="AA187" i="5"/>
  <c r="Y187" i="5"/>
  <c r="AB66" i="5"/>
  <c r="Y66" i="5"/>
  <c r="AA66" i="5"/>
  <c r="Z66" i="5"/>
  <c r="AB370" i="6"/>
  <c r="AC370" i="6" s="1"/>
  <c r="Z27" i="3"/>
  <c r="AD51" i="6"/>
  <c r="AF50" i="6"/>
  <c r="AB132" i="6"/>
  <c r="AC132" i="6" s="1"/>
  <c r="P43" i="3"/>
  <c r="O43" i="3"/>
  <c r="Q43" i="3" s="1"/>
  <c r="AF290" i="6"/>
  <c r="AD291" i="6"/>
  <c r="AF650" i="6"/>
  <c r="AD651" i="6"/>
  <c r="AF232" i="6"/>
  <c r="AD233" i="6"/>
  <c r="AB333" i="6"/>
  <c r="AC333" i="6" s="1"/>
  <c r="AE66" i="6"/>
  <c r="AE67" i="6" s="1"/>
  <c r="AE68" i="6" s="1"/>
  <c r="AE69" i="6" s="1"/>
  <c r="AE70" i="6" s="1"/>
  <c r="AE71" i="6" s="1"/>
  <c r="AE72" i="6" s="1"/>
  <c r="AE73" i="6" s="1"/>
  <c r="AE74" i="6" s="1"/>
  <c r="AE75" i="6" s="1"/>
  <c r="AE76" i="6" s="1"/>
  <c r="AE77" i="6" s="1"/>
  <c r="AE78" i="6" s="1"/>
  <c r="AE79" i="6" s="1"/>
  <c r="X158" i="5"/>
  <c r="V159" i="5"/>
  <c r="AD81" i="6"/>
  <c r="AF80" i="6"/>
  <c r="AB276" i="5"/>
  <c r="AA276" i="5"/>
  <c r="Z276" i="5"/>
  <c r="Y276" i="5"/>
  <c r="W278" i="5"/>
  <c r="W279" i="5" s="1"/>
  <c r="W280" i="5" s="1"/>
  <c r="W281" i="5" s="1"/>
  <c r="W282" i="5" s="1"/>
  <c r="W283" i="5" s="1"/>
  <c r="W284" i="5" s="1"/>
  <c r="W285" i="5" s="1"/>
  <c r="W286" i="5" s="1"/>
  <c r="W287" i="5" s="1"/>
  <c r="W288" i="5" s="1"/>
  <c r="W289" i="5" s="1"/>
  <c r="W290" i="5" s="1"/>
  <c r="W291" i="5" s="1"/>
  <c r="W292" i="5" s="1"/>
  <c r="W293" i="5" s="1"/>
  <c r="W294" i="5" s="1"/>
  <c r="W295" i="5" s="1"/>
  <c r="W296" i="5" s="1"/>
  <c r="W297" i="5" s="1"/>
  <c r="W298" i="5" s="1"/>
  <c r="W299" i="5" s="1"/>
  <c r="W300" i="5" s="1"/>
  <c r="W301" i="5" s="1"/>
  <c r="W302" i="5" s="1"/>
  <c r="W303" i="5" s="1"/>
  <c r="W304" i="5" s="1"/>
  <c r="W305" i="5" s="1"/>
  <c r="AI260" i="6"/>
  <c r="AH260" i="6"/>
  <c r="AG260" i="6"/>
  <c r="AJ260" i="6"/>
  <c r="AB437" i="6"/>
  <c r="AC437" i="6" s="1"/>
  <c r="AF441" i="6"/>
  <c r="AD442" i="6"/>
  <c r="AC381" i="6"/>
  <c r="AD381" i="6" s="1"/>
  <c r="X188" i="5"/>
  <c r="V189" i="5"/>
  <c r="AD501" i="6"/>
  <c r="AF500" i="6"/>
  <c r="P58" i="3"/>
  <c r="O58" i="3"/>
  <c r="V38" i="5"/>
  <c r="X37" i="5"/>
  <c r="AH231" i="6"/>
  <c r="AJ231" i="6"/>
  <c r="AI231" i="6"/>
  <c r="AG231" i="6"/>
  <c r="AF621" i="6"/>
  <c r="AD622" i="6"/>
  <c r="AB228" i="6"/>
  <c r="AC228" i="6" s="1"/>
  <c r="X277" i="5"/>
  <c r="V278" i="5"/>
  <c r="P19" i="3"/>
  <c r="O19" i="3"/>
  <c r="P47" i="3"/>
  <c r="O47" i="3"/>
  <c r="W140" i="5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AB336" i="6"/>
  <c r="AC336" i="6" s="1"/>
  <c r="AB126" i="5"/>
  <c r="AA126" i="5"/>
  <c r="Z126" i="5"/>
  <c r="Y126" i="5"/>
  <c r="AB477" i="6"/>
  <c r="AC477" i="6" s="1"/>
  <c r="P46" i="3"/>
  <c r="O46" i="3"/>
  <c r="AB728" i="6"/>
  <c r="AC728" i="6" s="1"/>
  <c r="AB189" i="6"/>
  <c r="AE189" i="6" s="1"/>
  <c r="AE190" i="6" s="1"/>
  <c r="AE191" i="6" s="1"/>
  <c r="AE192" i="6" s="1"/>
  <c r="AE193" i="6" s="1"/>
  <c r="AE194" i="6" s="1"/>
  <c r="AE195" i="6" s="1"/>
  <c r="AE196" i="6" s="1"/>
  <c r="AE197" i="6" s="1"/>
  <c r="AE198" i="6" s="1"/>
  <c r="AE199" i="6" s="1"/>
  <c r="AG620" i="6"/>
  <c r="AJ620" i="6"/>
  <c r="AI620" i="6"/>
  <c r="AH620" i="6"/>
  <c r="V20" i="3"/>
  <c r="W20" i="3" s="1"/>
  <c r="U256" i="5"/>
  <c r="AH740" i="6"/>
  <c r="AG740" i="6"/>
  <c r="AI740" i="6"/>
  <c r="AJ740" i="6"/>
  <c r="V128" i="5"/>
  <c r="X127" i="5"/>
  <c r="AI710" i="6"/>
  <c r="AH710" i="6"/>
  <c r="AJ710" i="6"/>
  <c r="AG710" i="6"/>
  <c r="AE364" i="6"/>
  <c r="AE365" i="6" s="1"/>
  <c r="AE366" i="6" s="1"/>
  <c r="AE367" i="6" s="1"/>
  <c r="AE368" i="6" s="1"/>
  <c r="AE369" i="6" s="1"/>
  <c r="AE370" i="6" s="1"/>
  <c r="AE371" i="6" s="1"/>
  <c r="AE372" i="6" s="1"/>
  <c r="AE373" i="6" s="1"/>
  <c r="AE374" i="6" s="1"/>
  <c r="AE375" i="6" s="1"/>
  <c r="AE376" i="6" s="1"/>
  <c r="AE377" i="6" s="1"/>
  <c r="AE378" i="6" s="1"/>
  <c r="AE379" i="6" s="1"/>
  <c r="A5" i="1"/>
  <c r="B19" i="2"/>
  <c r="AB722" i="6"/>
  <c r="AC722" i="6" s="1"/>
  <c r="P25" i="3"/>
  <c r="O25" i="3"/>
  <c r="AB130" i="6"/>
  <c r="AC130" i="6" s="1"/>
  <c r="W101" i="5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X97" i="5"/>
  <c r="P57" i="3"/>
  <c r="O57" i="3"/>
  <c r="Q57" i="3" s="1"/>
  <c r="AG560" i="6"/>
  <c r="AI560" i="6"/>
  <c r="AH560" i="6"/>
  <c r="AJ560" i="6"/>
  <c r="AB221" i="6"/>
  <c r="AC221" i="6" s="1"/>
  <c r="AB329" i="6"/>
  <c r="AE329" i="6" s="1"/>
  <c r="AE330" i="6" s="1"/>
  <c r="AE331" i="6" s="1"/>
  <c r="AE332" i="6" s="1"/>
  <c r="AE333" i="6" s="1"/>
  <c r="AE334" i="6" s="1"/>
  <c r="AE335" i="6" s="1"/>
  <c r="AC329" i="6"/>
  <c r="AB749" i="6"/>
  <c r="AE749" i="6" s="1"/>
  <c r="AE750" i="6" s="1"/>
  <c r="AE751" i="6" s="1"/>
  <c r="AE752" i="6" s="1"/>
  <c r="AE753" i="6" s="1"/>
  <c r="AE754" i="6" s="1"/>
  <c r="AE755" i="6" s="1"/>
  <c r="AE756" i="6" s="1"/>
  <c r="AE757" i="6" s="1"/>
  <c r="AE758" i="6" s="1"/>
  <c r="AE759" i="6" s="1"/>
  <c r="AE760" i="6" s="1"/>
  <c r="AE761" i="6" s="1"/>
  <c r="AE762" i="6" s="1"/>
  <c r="AE763" i="6" s="1"/>
  <c r="AE764" i="6" s="1"/>
  <c r="AE765" i="6" s="1"/>
  <c r="AE766" i="6" s="1"/>
  <c r="AE767" i="6" s="1"/>
  <c r="AE768" i="6" s="1"/>
  <c r="AE769" i="6" s="1"/>
  <c r="AD742" i="6"/>
  <c r="AF741" i="6"/>
  <c r="AB124" i="6"/>
  <c r="AC124" i="6" s="1"/>
  <c r="AB119" i="6"/>
  <c r="AC119" i="6" s="1"/>
  <c r="AC530" i="6"/>
  <c r="AD530" i="6" s="1"/>
  <c r="O45" i="3"/>
  <c r="P45" i="3"/>
  <c r="Y216" i="5"/>
  <c r="AB216" i="5"/>
  <c r="AA216" i="5"/>
  <c r="Z216" i="5"/>
  <c r="AF711" i="6"/>
  <c r="AD712" i="6"/>
  <c r="AB120" i="6"/>
  <c r="AC120" i="6" s="1"/>
  <c r="D59" i="3"/>
  <c r="X98" i="5"/>
  <c r="V99" i="5"/>
  <c r="AE87" i="6"/>
  <c r="AE88" i="6" s="1"/>
  <c r="AE89" i="6" s="1"/>
  <c r="AE90" i="6" s="1"/>
  <c r="AE91" i="6" s="1"/>
  <c r="AE92" i="6" s="1"/>
  <c r="AE93" i="6" s="1"/>
  <c r="AE94" i="6" s="1"/>
  <c r="AE95" i="6" s="1"/>
  <c r="AE96" i="6" s="1"/>
  <c r="AE97" i="6" s="1"/>
  <c r="AE98" i="6" s="1"/>
  <c r="AE99" i="6" s="1"/>
  <c r="AE100" i="6" s="1"/>
  <c r="AE101" i="6" s="1"/>
  <c r="AE102" i="6" s="1"/>
  <c r="AE103" i="6" s="1"/>
  <c r="AE104" i="6" s="1"/>
  <c r="AE105" i="6" s="1"/>
  <c r="AE106" i="6" s="1"/>
  <c r="AE107" i="6" s="1"/>
  <c r="AE108" i="6" s="1"/>
  <c r="AE109" i="6" s="1"/>
  <c r="P36" i="3"/>
  <c r="O36" i="3"/>
  <c r="Q36" i="3" s="1"/>
  <c r="AB599" i="6"/>
  <c r="AC599" i="6" s="1"/>
  <c r="O66" i="1"/>
  <c r="R28" i="3"/>
  <c r="U28" i="3" s="1"/>
  <c r="AC217" i="6"/>
  <c r="AB217" i="6"/>
  <c r="AE312" i="6"/>
  <c r="AE313" i="6" s="1"/>
  <c r="AE314" i="6" s="1"/>
  <c r="AE315" i="6" s="1"/>
  <c r="AE316" i="6" s="1"/>
  <c r="AE317" i="6" s="1"/>
  <c r="AE318" i="6" s="1"/>
  <c r="AE319" i="6" s="1"/>
  <c r="AD321" i="6"/>
  <c r="AF320" i="6"/>
  <c r="Z26" i="3"/>
  <c r="AB269" i="6"/>
  <c r="AC269" i="6" s="1"/>
  <c r="AD562" i="6"/>
  <c r="AF561" i="6"/>
  <c r="AB211" i="6"/>
  <c r="AE211" i="6" s="1"/>
  <c r="AE212" i="6" s="1"/>
  <c r="AE213" i="6" s="1"/>
  <c r="AE214" i="6" s="1"/>
  <c r="AE215" i="6" s="1"/>
  <c r="AE216" i="6" s="1"/>
  <c r="AE217" i="6" s="1"/>
  <c r="AE218" i="6" s="1"/>
  <c r="AE219" i="6" s="1"/>
  <c r="AE220" i="6" s="1"/>
  <c r="AE221" i="6" s="1"/>
  <c r="AE222" i="6" s="1"/>
  <c r="AE223" i="6" s="1"/>
  <c r="AE224" i="6" s="1"/>
  <c r="AE225" i="6" s="1"/>
  <c r="AE226" i="6" s="1"/>
  <c r="AE227" i="6" s="1"/>
  <c r="AE228" i="6" s="1"/>
  <c r="AE229" i="6" s="1"/>
  <c r="P37" i="3"/>
  <c r="O37" i="3"/>
  <c r="Q37" i="3" s="1"/>
  <c r="AH140" i="6"/>
  <c r="AG140" i="6"/>
  <c r="AJ140" i="6"/>
  <c r="AI140" i="6"/>
  <c r="O39" i="3"/>
  <c r="Q39" i="3" s="1"/>
  <c r="P39" i="3"/>
  <c r="AJ470" i="6"/>
  <c r="AH470" i="6"/>
  <c r="AG470" i="6"/>
  <c r="AI470" i="6"/>
  <c r="P48" i="3"/>
  <c r="O48" i="3"/>
  <c r="Q48" i="3" s="1"/>
  <c r="AH170" i="6"/>
  <c r="AG170" i="6"/>
  <c r="AJ170" i="6"/>
  <c r="AI170" i="6"/>
  <c r="Q26" i="3" l="1"/>
  <c r="R26" i="3" s="1"/>
  <c r="U26" i="3" s="1"/>
  <c r="AC189" i="6"/>
  <c r="O27" i="3"/>
  <c r="Q27" i="3" s="1"/>
  <c r="R27" i="3" s="1"/>
  <c r="U27" i="3" s="1"/>
  <c r="V27" i="3" s="1"/>
  <c r="W27" i="3" s="1"/>
  <c r="Q47" i="3"/>
  <c r="Q44" i="3"/>
  <c r="AE336" i="6"/>
  <c r="AE337" i="6" s="1"/>
  <c r="AE338" i="6" s="1"/>
  <c r="AE339" i="6" s="1"/>
  <c r="AE340" i="6" s="1"/>
  <c r="AE341" i="6" s="1"/>
  <c r="AE342" i="6" s="1"/>
  <c r="AE343" i="6" s="1"/>
  <c r="AE344" i="6" s="1"/>
  <c r="AE345" i="6" s="1"/>
  <c r="AE346" i="6" s="1"/>
  <c r="AE347" i="6" s="1"/>
  <c r="AE348" i="6" s="1"/>
  <c r="AE349" i="6" s="1"/>
  <c r="Q25" i="3"/>
  <c r="R25" i="3" s="1"/>
  <c r="U25" i="3" s="1"/>
  <c r="V25" i="3" s="1"/>
  <c r="W25" i="3" s="1"/>
  <c r="Q45" i="3"/>
  <c r="Q46" i="3"/>
  <c r="Q58" i="3"/>
  <c r="AC624" i="6"/>
  <c r="AE556" i="6"/>
  <c r="AE557" i="6" s="1"/>
  <c r="AE558" i="6" s="1"/>
  <c r="AE559" i="6" s="1"/>
  <c r="V248" i="5"/>
  <c r="X247" i="5"/>
  <c r="AC211" i="6"/>
  <c r="AE522" i="6"/>
  <c r="AE523" i="6" s="1"/>
  <c r="AE524" i="6" s="1"/>
  <c r="AE525" i="6" s="1"/>
  <c r="AE526" i="6" s="1"/>
  <c r="AE527" i="6" s="1"/>
  <c r="AE528" i="6" s="1"/>
  <c r="AE529" i="6" s="1"/>
  <c r="AC749" i="6"/>
  <c r="Q35" i="3"/>
  <c r="X20" i="3"/>
  <c r="AM20" i="3" s="1"/>
  <c r="AL20" i="3"/>
  <c r="X22" i="3"/>
  <c r="AM22" i="3" s="1"/>
  <c r="AL22" i="3"/>
  <c r="X21" i="3"/>
  <c r="AM21" i="3" s="1"/>
  <c r="AL21" i="3"/>
  <c r="W23" i="3"/>
  <c r="V23" i="3"/>
  <c r="AF233" i="6"/>
  <c r="AD234" i="6"/>
  <c r="AG590" i="6"/>
  <c r="AJ590" i="6"/>
  <c r="AI590" i="6"/>
  <c r="AH590" i="6"/>
  <c r="V26" i="3"/>
  <c r="W26" i="3"/>
  <c r="X218" i="5"/>
  <c r="V219" i="5"/>
  <c r="X24" i="3"/>
  <c r="AM24" i="3" s="1"/>
  <c r="AL24" i="3"/>
  <c r="AH171" i="6"/>
  <c r="AI171" i="6"/>
  <c r="AG171" i="6"/>
  <c r="AJ171" i="6"/>
  <c r="H11" i="2"/>
  <c r="D11" i="4" s="1"/>
  <c r="G11" i="2"/>
  <c r="C11" i="4" s="1"/>
  <c r="F11" i="2"/>
  <c r="B11" i="4" s="1"/>
  <c r="AB127" i="5"/>
  <c r="AA127" i="5"/>
  <c r="Y127" i="5"/>
  <c r="Z127" i="5"/>
  <c r="Q19" i="3"/>
  <c r="AF501" i="6"/>
  <c r="AD502" i="6"/>
  <c r="AE477" i="6"/>
  <c r="AE478" i="6" s="1"/>
  <c r="AE479" i="6" s="1"/>
  <c r="AE480" i="6" s="1"/>
  <c r="AE481" i="6" s="1"/>
  <c r="AE482" i="6" s="1"/>
  <c r="AE483" i="6" s="1"/>
  <c r="AE484" i="6" s="1"/>
  <c r="AE485" i="6" s="1"/>
  <c r="AE486" i="6" s="1"/>
  <c r="AE487" i="6" s="1"/>
  <c r="AE488" i="6" s="1"/>
  <c r="AE489" i="6" s="1"/>
  <c r="AE490" i="6" s="1"/>
  <c r="AE491" i="6" s="1"/>
  <c r="AE492" i="6" s="1"/>
  <c r="AE493" i="6" s="1"/>
  <c r="AE494" i="6" s="1"/>
  <c r="AE495" i="6" s="1"/>
  <c r="AE496" i="6" s="1"/>
  <c r="AE497" i="6" s="1"/>
  <c r="AE498" i="6" s="1"/>
  <c r="AE499" i="6" s="1"/>
  <c r="X128" i="5"/>
  <c r="V129" i="5"/>
  <c r="P59" i="3"/>
  <c r="AJ80" i="6"/>
  <c r="AI80" i="6"/>
  <c r="AH80" i="6"/>
  <c r="AG80" i="6"/>
  <c r="AJ232" i="6"/>
  <c r="AH232" i="6"/>
  <c r="AG232" i="6"/>
  <c r="AI232" i="6"/>
  <c r="AD473" i="6"/>
  <c r="AF472" i="6"/>
  <c r="AD684" i="6"/>
  <c r="AF683" i="6"/>
  <c r="AE269" i="6"/>
  <c r="AE270" i="6" s="1"/>
  <c r="AE271" i="6" s="1"/>
  <c r="AE272" i="6" s="1"/>
  <c r="AE273" i="6" s="1"/>
  <c r="AE274" i="6" s="1"/>
  <c r="AE275" i="6" s="1"/>
  <c r="AE276" i="6" s="1"/>
  <c r="AE277" i="6" s="1"/>
  <c r="AE278" i="6" s="1"/>
  <c r="AE279" i="6" s="1"/>
  <c r="AE280" i="6" s="1"/>
  <c r="AE281" i="6" s="1"/>
  <c r="AE282" i="6" s="1"/>
  <c r="AE283" i="6" s="1"/>
  <c r="AE284" i="6" s="1"/>
  <c r="AE285" i="6" s="1"/>
  <c r="AE286" i="6" s="1"/>
  <c r="AE287" i="6" s="1"/>
  <c r="AE288" i="6" s="1"/>
  <c r="AE289" i="6" s="1"/>
  <c r="AD173" i="6"/>
  <c r="AF172" i="6"/>
  <c r="AD263" i="6"/>
  <c r="AF262" i="6"/>
  <c r="AE599" i="6"/>
  <c r="AE600" i="6" s="1"/>
  <c r="AE601" i="6" s="1"/>
  <c r="AE602" i="6" s="1"/>
  <c r="AE603" i="6" s="1"/>
  <c r="AE604" i="6" s="1"/>
  <c r="AE605" i="6" s="1"/>
  <c r="AE606" i="6" s="1"/>
  <c r="AE607" i="6" s="1"/>
  <c r="AE608" i="6" s="1"/>
  <c r="AE609" i="6" s="1"/>
  <c r="AE610" i="6" s="1"/>
  <c r="AE611" i="6" s="1"/>
  <c r="AE612" i="6" s="1"/>
  <c r="AE613" i="6" s="1"/>
  <c r="AE614" i="6" s="1"/>
  <c r="AE615" i="6" s="1"/>
  <c r="AE616" i="6" s="1"/>
  <c r="AE617" i="6" s="1"/>
  <c r="AE618" i="6" s="1"/>
  <c r="AE619" i="6" s="1"/>
  <c r="AG471" i="6"/>
  <c r="AJ471" i="6"/>
  <c r="AI471" i="6"/>
  <c r="AH471" i="6"/>
  <c r="AI682" i="6"/>
  <c r="AH682" i="6"/>
  <c r="AG682" i="6"/>
  <c r="AJ682" i="6"/>
  <c r="AI320" i="6"/>
  <c r="AG320" i="6"/>
  <c r="AH320" i="6"/>
  <c r="AJ320" i="6"/>
  <c r="V279" i="5"/>
  <c r="X278" i="5"/>
  <c r="Y188" i="5"/>
  <c r="Z188" i="5"/>
  <c r="AB188" i="5"/>
  <c r="AA188" i="5"/>
  <c r="X159" i="5"/>
  <c r="V160" i="5"/>
  <c r="AD652" i="6"/>
  <c r="AF651" i="6"/>
  <c r="AH261" i="6"/>
  <c r="AG261" i="6"/>
  <c r="AJ261" i="6"/>
  <c r="AI261" i="6"/>
  <c r="AJ202" i="6"/>
  <c r="AH202" i="6"/>
  <c r="AI202" i="6"/>
  <c r="AG202" i="6"/>
  <c r="AH110" i="6"/>
  <c r="AG110" i="6"/>
  <c r="AI110" i="6"/>
  <c r="AJ110" i="6"/>
  <c r="AJ561" i="6"/>
  <c r="AH561" i="6"/>
  <c r="AG561" i="6"/>
  <c r="AI561" i="6"/>
  <c r="AF321" i="6"/>
  <c r="AD322" i="6"/>
  <c r="AI741" i="6"/>
  <c r="AH741" i="6"/>
  <c r="AG741" i="6"/>
  <c r="AJ741" i="6"/>
  <c r="Z277" i="5"/>
  <c r="AA277" i="5"/>
  <c r="Y277" i="5"/>
  <c r="AB277" i="5"/>
  <c r="AE722" i="6"/>
  <c r="AE723" i="6" s="1"/>
  <c r="AE724" i="6" s="1"/>
  <c r="AE725" i="6" s="1"/>
  <c r="AE726" i="6" s="1"/>
  <c r="AE727" i="6" s="1"/>
  <c r="AE728" i="6" s="1"/>
  <c r="AE729" i="6" s="1"/>
  <c r="AE730" i="6" s="1"/>
  <c r="AE731" i="6" s="1"/>
  <c r="AE732" i="6" s="1"/>
  <c r="AE733" i="6" s="1"/>
  <c r="AE734" i="6" s="1"/>
  <c r="AE735" i="6" s="1"/>
  <c r="AE736" i="6" s="1"/>
  <c r="AE737" i="6" s="1"/>
  <c r="AE738" i="6" s="1"/>
  <c r="AE739" i="6" s="1"/>
  <c r="AD382" i="6"/>
  <c r="AF381" i="6"/>
  <c r="Y158" i="5"/>
  <c r="AB158" i="5"/>
  <c r="Z158" i="5"/>
  <c r="AA158" i="5"/>
  <c r="AJ650" i="6"/>
  <c r="AH650" i="6"/>
  <c r="AG650" i="6"/>
  <c r="AI650" i="6"/>
  <c r="AB67" i="5"/>
  <c r="Y67" i="5"/>
  <c r="AA67" i="5"/>
  <c r="Z67" i="5"/>
  <c r="AF203" i="6"/>
  <c r="AD204" i="6"/>
  <c r="AD112" i="6"/>
  <c r="AF111" i="6"/>
  <c r="X189" i="5"/>
  <c r="V190" i="5"/>
  <c r="AF81" i="6"/>
  <c r="AD82" i="6"/>
  <c r="AF562" i="6"/>
  <c r="AD563" i="6"/>
  <c r="AF742" i="6"/>
  <c r="AD743" i="6"/>
  <c r="AB37" i="5"/>
  <c r="AA37" i="5"/>
  <c r="Z37" i="5"/>
  <c r="Y37" i="5"/>
  <c r="X68" i="5"/>
  <c r="V69" i="5"/>
  <c r="AI412" i="6"/>
  <c r="AH412" i="6"/>
  <c r="AG412" i="6"/>
  <c r="AJ412" i="6"/>
  <c r="X38" i="5"/>
  <c r="V39" i="5"/>
  <c r="AD443" i="6"/>
  <c r="AF442" i="6"/>
  <c r="AF413" i="6"/>
  <c r="AD414" i="6"/>
  <c r="AH351" i="6"/>
  <c r="AG351" i="6"/>
  <c r="AI351" i="6"/>
  <c r="AJ351" i="6"/>
  <c r="AF530" i="6"/>
  <c r="AD531" i="6"/>
  <c r="AF622" i="6"/>
  <c r="AD623" i="6"/>
  <c r="AJ441" i="6"/>
  <c r="AI441" i="6"/>
  <c r="AG441" i="6"/>
  <c r="AH441" i="6"/>
  <c r="AF291" i="6"/>
  <c r="AD292" i="6"/>
  <c r="AJ50" i="6"/>
  <c r="AI50" i="6"/>
  <c r="AH50" i="6"/>
  <c r="AG50" i="6"/>
  <c r="AE119" i="6"/>
  <c r="AE120" i="6" s="1"/>
  <c r="AE121" i="6" s="1"/>
  <c r="AE122" i="6" s="1"/>
  <c r="AE123" i="6" s="1"/>
  <c r="AE124" i="6" s="1"/>
  <c r="AE125" i="6" s="1"/>
  <c r="AE126" i="6" s="1"/>
  <c r="AE127" i="6" s="1"/>
  <c r="AE128" i="6" s="1"/>
  <c r="AE129" i="6" s="1"/>
  <c r="AE130" i="6" s="1"/>
  <c r="AE131" i="6" s="1"/>
  <c r="AE132" i="6" s="1"/>
  <c r="AE133" i="6" s="1"/>
  <c r="AE134" i="6" s="1"/>
  <c r="AE135" i="6" s="1"/>
  <c r="AE136" i="6" s="1"/>
  <c r="AE137" i="6" s="1"/>
  <c r="AE138" i="6" s="1"/>
  <c r="AE139" i="6" s="1"/>
  <c r="AH141" i="6"/>
  <c r="AI141" i="6"/>
  <c r="AJ141" i="6"/>
  <c r="AG141" i="6"/>
  <c r="AE437" i="6"/>
  <c r="AE438" i="6" s="1"/>
  <c r="AE439" i="6" s="1"/>
  <c r="AD353" i="6"/>
  <c r="AF352" i="6"/>
  <c r="AB97" i="5"/>
  <c r="Z97" i="5"/>
  <c r="Y97" i="5"/>
  <c r="AA97" i="5"/>
  <c r="AH621" i="6"/>
  <c r="AJ621" i="6"/>
  <c r="AI621" i="6"/>
  <c r="AG621" i="6"/>
  <c r="AI290" i="6"/>
  <c r="AH290" i="6"/>
  <c r="AG290" i="6"/>
  <c r="AJ290" i="6"/>
  <c r="AF51" i="6"/>
  <c r="AD52" i="6"/>
  <c r="AD143" i="6"/>
  <c r="AF142" i="6"/>
  <c r="H59" i="3"/>
  <c r="X99" i="5"/>
  <c r="V100" i="5"/>
  <c r="AD713" i="6"/>
  <c r="AF712" i="6"/>
  <c r="V28" i="3"/>
  <c r="W28" i="3" s="1"/>
  <c r="Y98" i="5"/>
  <c r="AB98" i="5"/>
  <c r="AA98" i="5"/>
  <c r="Z98" i="5"/>
  <c r="AJ711" i="6"/>
  <c r="AI711" i="6"/>
  <c r="AH711" i="6"/>
  <c r="AG711" i="6"/>
  <c r="AH500" i="6"/>
  <c r="AJ500" i="6"/>
  <c r="AG500" i="6"/>
  <c r="AI500" i="6"/>
  <c r="AD592" i="6"/>
  <c r="AF591" i="6"/>
  <c r="AB217" i="5"/>
  <c r="Y217" i="5"/>
  <c r="AA217" i="5"/>
  <c r="Z217" i="5"/>
  <c r="O59" i="3" l="1"/>
  <c r="Y247" i="5"/>
  <c r="AA247" i="5"/>
  <c r="AB247" i="5"/>
  <c r="Z247" i="5"/>
  <c r="V249" i="5"/>
  <c r="X248" i="5"/>
  <c r="AL28" i="3"/>
  <c r="X28" i="3"/>
  <c r="X25" i="3"/>
  <c r="AM25" i="3" s="1"/>
  <c r="AL25" i="3"/>
  <c r="AL27" i="3"/>
  <c r="X27" i="3"/>
  <c r="AM27" i="3" s="1"/>
  <c r="AB189" i="5"/>
  <c r="AA189" i="5"/>
  <c r="Z189" i="5"/>
  <c r="Y189" i="5"/>
  <c r="AF563" i="6"/>
  <c r="AD564" i="6"/>
  <c r="AH51" i="6"/>
  <c r="AG51" i="6"/>
  <c r="AJ51" i="6"/>
  <c r="AI51" i="6"/>
  <c r="AH291" i="6"/>
  <c r="AG291" i="6"/>
  <c r="AJ291" i="6"/>
  <c r="AI291" i="6"/>
  <c r="AJ413" i="6"/>
  <c r="AI413" i="6"/>
  <c r="AH413" i="6"/>
  <c r="AG413" i="6"/>
  <c r="AD113" i="6"/>
  <c r="AF112" i="6"/>
  <c r="AJ262" i="6"/>
  <c r="AI262" i="6"/>
  <c r="AH262" i="6"/>
  <c r="AG262" i="6"/>
  <c r="X129" i="5"/>
  <c r="V130" i="5"/>
  <c r="AD503" i="6"/>
  <c r="AF502" i="6"/>
  <c r="I28" i="4"/>
  <c r="D15" i="4"/>
  <c r="B143" i="4"/>
  <c r="B149" i="4"/>
  <c r="B163" i="4"/>
  <c r="B141" i="4"/>
  <c r="B139" i="4"/>
  <c r="B153" i="4"/>
  <c r="B151" i="4"/>
  <c r="B158" i="4"/>
  <c r="B137" i="4"/>
  <c r="B160" i="4"/>
  <c r="B159" i="4"/>
  <c r="B130" i="4"/>
  <c r="B140" i="4"/>
  <c r="B129" i="4"/>
  <c r="B165" i="4"/>
  <c r="B161" i="4"/>
  <c r="B128" i="4"/>
  <c r="B150" i="4"/>
  <c r="B133" i="4"/>
  <c r="B134" i="4"/>
  <c r="B131" i="4"/>
  <c r="B132" i="4"/>
  <c r="B138" i="4"/>
  <c r="B142" i="4"/>
  <c r="B147" i="4"/>
  <c r="B166" i="4"/>
  <c r="B156" i="4"/>
  <c r="B144" i="4"/>
  <c r="B154" i="4"/>
  <c r="B135" i="4"/>
  <c r="B162" i="4"/>
  <c r="B145" i="4"/>
  <c r="B148" i="4"/>
  <c r="B157" i="4"/>
  <c r="B167" i="4"/>
  <c r="B164" i="4"/>
  <c r="B146" i="4"/>
  <c r="B155" i="4"/>
  <c r="B152" i="4"/>
  <c r="B136" i="4"/>
  <c r="AD235" i="6"/>
  <c r="AF234" i="6"/>
  <c r="AF473" i="6"/>
  <c r="AD474" i="6"/>
  <c r="AD53" i="6"/>
  <c r="AF52" i="6"/>
  <c r="AD415" i="6"/>
  <c r="AF414" i="6"/>
  <c r="AI591" i="6"/>
  <c r="AJ591" i="6"/>
  <c r="AG591" i="6"/>
  <c r="AH591" i="6"/>
  <c r="AI712" i="6"/>
  <c r="AH712" i="6"/>
  <c r="AJ712" i="6"/>
  <c r="AG712" i="6"/>
  <c r="AF531" i="6"/>
  <c r="AD532" i="6"/>
  <c r="AD205" i="6"/>
  <c r="AF204" i="6"/>
  <c r="AD323" i="6"/>
  <c r="AF322" i="6"/>
  <c r="AA278" i="5"/>
  <c r="Y278" i="5"/>
  <c r="AB278" i="5"/>
  <c r="Z278" i="5"/>
  <c r="AF263" i="6"/>
  <c r="AD264" i="6"/>
  <c r="Y128" i="5"/>
  <c r="Z128" i="5"/>
  <c r="AB128" i="5"/>
  <c r="AA128" i="5"/>
  <c r="AG501" i="6"/>
  <c r="AH501" i="6"/>
  <c r="AJ501" i="6"/>
  <c r="AI501" i="6"/>
  <c r="X219" i="5"/>
  <c r="V220" i="5"/>
  <c r="AH233" i="6"/>
  <c r="AJ233" i="6"/>
  <c r="AI233" i="6"/>
  <c r="AG233" i="6"/>
  <c r="AJ651" i="6"/>
  <c r="AI651" i="6"/>
  <c r="AG651" i="6"/>
  <c r="AH651" i="6"/>
  <c r="X279" i="5"/>
  <c r="V280" i="5"/>
  <c r="AJ172" i="6"/>
  <c r="AG172" i="6"/>
  <c r="AI172" i="6"/>
  <c r="AH172" i="6"/>
  <c r="Q59" i="3"/>
  <c r="R19" i="3"/>
  <c r="Y218" i="5"/>
  <c r="AB218" i="5"/>
  <c r="AA218" i="5"/>
  <c r="Z218" i="5"/>
  <c r="AD354" i="6"/>
  <c r="AF353" i="6"/>
  <c r="AI622" i="6"/>
  <c r="AJ622" i="6"/>
  <c r="AH622" i="6"/>
  <c r="AG622" i="6"/>
  <c r="G28" i="4"/>
  <c r="B15" i="4"/>
  <c r="B47" i="4"/>
  <c r="B67" i="4"/>
  <c r="B43" i="4"/>
  <c r="B45" i="4"/>
  <c r="B53" i="4"/>
  <c r="B57" i="4"/>
  <c r="B34" i="4"/>
  <c r="B54" i="4"/>
  <c r="B64" i="4"/>
  <c r="B55" i="4"/>
  <c r="B51" i="4"/>
  <c r="B44" i="4"/>
  <c r="B46" i="4"/>
  <c r="B35" i="4"/>
  <c r="B63" i="4"/>
  <c r="B36" i="4"/>
  <c r="B37" i="4"/>
  <c r="B62" i="4"/>
  <c r="B33" i="4"/>
  <c r="B38" i="4"/>
  <c r="B65" i="4"/>
  <c r="B41" i="4"/>
  <c r="B42" i="4"/>
  <c r="B32" i="4"/>
  <c r="B69" i="4"/>
  <c r="B56" i="4"/>
  <c r="B49" i="4"/>
  <c r="B70" i="4"/>
  <c r="B39" i="4"/>
  <c r="B50" i="4"/>
  <c r="B48" i="4"/>
  <c r="B40" i="4"/>
  <c r="B52" i="4"/>
  <c r="B59" i="4"/>
  <c r="B66" i="4"/>
  <c r="B61" i="4"/>
  <c r="B60" i="4"/>
  <c r="B68" i="4"/>
  <c r="B71" i="4"/>
  <c r="B58" i="4"/>
  <c r="AD293" i="6"/>
  <c r="AF292" i="6"/>
  <c r="AG562" i="6"/>
  <c r="AI562" i="6"/>
  <c r="AH562" i="6"/>
  <c r="AJ562" i="6"/>
  <c r="AH111" i="6"/>
  <c r="AG111" i="6"/>
  <c r="AJ111" i="6"/>
  <c r="AI111" i="6"/>
  <c r="AJ203" i="6"/>
  <c r="AH203" i="6"/>
  <c r="AI203" i="6"/>
  <c r="AG203" i="6"/>
  <c r="AH321" i="6"/>
  <c r="AG321" i="6"/>
  <c r="AJ321" i="6"/>
  <c r="AI321" i="6"/>
  <c r="V101" i="5"/>
  <c r="X100" i="5"/>
  <c r="AJ442" i="6"/>
  <c r="AI442" i="6"/>
  <c r="AH442" i="6"/>
  <c r="AG442" i="6"/>
  <c r="AF652" i="6"/>
  <c r="AD653" i="6"/>
  <c r="AF173" i="6"/>
  <c r="AD174" i="6"/>
  <c r="AL26" i="3"/>
  <c r="X26" i="3"/>
  <c r="AM26" i="3" s="1"/>
  <c r="AD144" i="6"/>
  <c r="AF143" i="6"/>
  <c r="AD383" i="6"/>
  <c r="AF382" i="6"/>
  <c r="AB99" i="5"/>
  <c r="AA99" i="5"/>
  <c r="Z99" i="5"/>
  <c r="Y99" i="5"/>
  <c r="AF443" i="6"/>
  <c r="AD444" i="6"/>
  <c r="AF82" i="6"/>
  <c r="AD83" i="6"/>
  <c r="V161" i="5"/>
  <c r="X160" i="5"/>
  <c r="Y68" i="5"/>
  <c r="AB68" i="5"/>
  <c r="AA68" i="5"/>
  <c r="Z68" i="5"/>
  <c r="AD593" i="6"/>
  <c r="AF592" i="6"/>
  <c r="AD714" i="6"/>
  <c r="AF713" i="6"/>
  <c r="AJ530" i="6"/>
  <c r="AI530" i="6"/>
  <c r="AH530" i="6"/>
  <c r="AG530" i="6"/>
  <c r="V40" i="5"/>
  <c r="X39" i="5"/>
  <c r="AH81" i="6"/>
  <c r="AG81" i="6"/>
  <c r="AJ81" i="6"/>
  <c r="AI81" i="6"/>
  <c r="AB159" i="5"/>
  <c r="AA159" i="5"/>
  <c r="Z159" i="5"/>
  <c r="Y159" i="5"/>
  <c r="AG683" i="6"/>
  <c r="AH683" i="6"/>
  <c r="AJ683" i="6"/>
  <c r="AI683" i="6"/>
  <c r="AL23" i="3"/>
  <c r="X23" i="3"/>
  <c r="AM23" i="3" s="1"/>
  <c r="AJ742" i="6"/>
  <c r="AI742" i="6"/>
  <c r="AH742" i="6"/>
  <c r="AG742" i="6"/>
  <c r="AJ381" i="6"/>
  <c r="AI381" i="6"/>
  <c r="AH381" i="6"/>
  <c r="AG381" i="6"/>
  <c r="H28" i="4"/>
  <c r="C15" i="4"/>
  <c r="B93" i="4"/>
  <c r="B101" i="4"/>
  <c r="B105" i="4"/>
  <c r="B115" i="4"/>
  <c r="B91" i="4"/>
  <c r="B95" i="4"/>
  <c r="B82" i="4"/>
  <c r="B89" i="4"/>
  <c r="B99" i="4"/>
  <c r="B81" i="4"/>
  <c r="B83" i="4"/>
  <c r="B92" i="4"/>
  <c r="B112" i="4"/>
  <c r="B94" i="4"/>
  <c r="B80" i="4"/>
  <c r="B90" i="4"/>
  <c r="B113" i="4"/>
  <c r="B86" i="4"/>
  <c r="B110" i="4"/>
  <c r="B111" i="4"/>
  <c r="B103" i="4"/>
  <c r="B117" i="4"/>
  <c r="B84" i="4"/>
  <c r="B102" i="4"/>
  <c r="B85" i="4"/>
  <c r="B96" i="4"/>
  <c r="B97" i="4"/>
  <c r="B109" i="4"/>
  <c r="B98" i="4"/>
  <c r="B108" i="4"/>
  <c r="B118" i="4"/>
  <c r="B100" i="4"/>
  <c r="B87" i="4"/>
  <c r="B116" i="4"/>
  <c r="B106" i="4"/>
  <c r="B114" i="4"/>
  <c r="B104" i="4"/>
  <c r="B88" i="4"/>
  <c r="B107" i="4"/>
  <c r="B119" i="4"/>
  <c r="AJ142" i="6"/>
  <c r="AI142" i="6"/>
  <c r="AH142" i="6"/>
  <c r="AG142" i="6"/>
  <c r="AI352" i="6"/>
  <c r="AJ352" i="6"/>
  <c r="AH352" i="6"/>
  <c r="AG352" i="6"/>
  <c r="AD624" i="6"/>
  <c r="AF623" i="6"/>
  <c r="Y38" i="5"/>
  <c r="AB38" i="5"/>
  <c r="AA38" i="5"/>
  <c r="Z38" i="5"/>
  <c r="X69" i="5"/>
  <c r="V70" i="5"/>
  <c r="AD744" i="6"/>
  <c r="AF743" i="6"/>
  <c r="V191" i="5"/>
  <c r="X190" i="5"/>
  <c r="AF684" i="6"/>
  <c r="AD685" i="6"/>
  <c r="AJ472" i="6"/>
  <c r="AI472" i="6"/>
  <c r="AH472" i="6"/>
  <c r="AG472" i="6"/>
  <c r="Y248" i="5" l="1"/>
  <c r="Z248" i="5"/>
  <c r="AB248" i="5"/>
  <c r="AA248" i="5"/>
  <c r="X249" i="5"/>
  <c r="V250" i="5"/>
  <c r="AJ82" i="6"/>
  <c r="AI82" i="6"/>
  <c r="AH82" i="6"/>
  <c r="AG82" i="6"/>
  <c r="AI382" i="6"/>
  <c r="AG382" i="6"/>
  <c r="AJ382" i="6"/>
  <c r="AH382" i="6"/>
  <c r="AH173" i="6"/>
  <c r="AJ173" i="6"/>
  <c r="AI173" i="6"/>
  <c r="AG173" i="6"/>
  <c r="AB100" i="5"/>
  <c r="AA100" i="5"/>
  <c r="Z100" i="5"/>
  <c r="Y100" i="5"/>
  <c r="D66" i="4"/>
  <c r="H66" i="4" s="1"/>
  <c r="M66" i="4"/>
  <c r="L66" i="4"/>
  <c r="K66" i="4"/>
  <c r="J66" i="4"/>
  <c r="F66" i="4"/>
  <c r="AA66" i="4"/>
  <c r="I66" i="4"/>
  <c r="G66" i="4"/>
  <c r="AA69" i="4"/>
  <c r="G69" i="4"/>
  <c r="F69" i="4"/>
  <c r="D69" i="4"/>
  <c r="H69" i="4" s="1"/>
  <c r="J69" i="4"/>
  <c r="I69" i="4"/>
  <c r="K69" i="4"/>
  <c r="M69" i="4"/>
  <c r="L69" i="4"/>
  <c r="J63" i="4"/>
  <c r="I63" i="4"/>
  <c r="AA63" i="4"/>
  <c r="G63" i="4"/>
  <c r="F63" i="4"/>
  <c r="M63" i="4"/>
  <c r="L63" i="4"/>
  <c r="D63" i="4"/>
  <c r="H63" i="4" s="1"/>
  <c r="K63" i="4"/>
  <c r="J53" i="4"/>
  <c r="I53" i="4"/>
  <c r="AA53" i="4"/>
  <c r="G53" i="4"/>
  <c r="F53" i="4"/>
  <c r="M53" i="4"/>
  <c r="L53" i="4"/>
  <c r="K53" i="4"/>
  <c r="D53" i="4"/>
  <c r="H53" i="4" s="1"/>
  <c r="AB279" i="5"/>
  <c r="Y279" i="5"/>
  <c r="AA279" i="5"/>
  <c r="Z279" i="5"/>
  <c r="AB219" i="5"/>
  <c r="AA219" i="5"/>
  <c r="Z219" i="5"/>
  <c r="Y219" i="5"/>
  <c r="AF323" i="6"/>
  <c r="AD324" i="6"/>
  <c r="AJ52" i="6"/>
  <c r="AI52" i="6"/>
  <c r="AH52" i="6"/>
  <c r="AG52" i="6"/>
  <c r="AA146" i="4"/>
  <c r="G146" i="4"/>
  <c r="F146" i="4"/>
  <c r="L146" i="4"/>
  <c r="I146" i="4"/>
  <c r="D146" i="4"/>
  <c r="H146" i="4" s="1"/>
  <c r="M146" i="4"/>
  <c r="K146" i="4"/>
  <c r="J146" i="4"/>
  <c r="AA156" i="4"/>
  <c r="G156" i="4"/>
  <c r="F156" i="4"/>
  <c r="L156" i="4"/>
  <c r="I156" i="4"/>
  <c r="D156" i="4"/>
  <c r="H156" i="4" s="1"/>
  <c r="M156" i="4"/>
  <c r="K156" i="4"/>
  <c r="J156" i="4"/>
  <c r="D128" i="4"/>
  <c r="K128" i="4"/>
  <c r="R128" i="4"/>
  <c r="S128" i="4"/>
  <c r="Q128" i="4"/>
  <c r="O128" i="4"/>
  <c r="J128" i="4"/>
  <c r="T128" i="4"/>
  <c r="F128" i="4"/>
  <c r="G128" i="4"/>
  <c r="Z128" i="4"/>
  <c r="I15" i="4"/>
  <c r="D78" i="1" s="1"/>
  <c r="I17" i="4"/>
  <c r="I16" i="4"/>
  <c r="D79" i="1" s="1"/>
  <c r="AA151" i="4"/>
  <c r="G151" i="4"/>
  <c r="F151" i="4"/>
  <c r="E151" i="4"/>
  <c r="L151" i="4"/>
  <c r="I151" i="4"/>
  <c r="D151" i="4"/>
  <c r="H151" i="4" s="1"/>
  <c r="J151" i="4"/>
  <c r="M151" i="4"/>
  <c r="K151" i="4"/>
  <c r="AF503" i="6"/>
  <c r="AD504" i="6"/>
  <c r="V131" i="5"/>
  <c r="X130" i="5"/>
  <c r="AG112" i="6"/>
  <c r="AJ112" i="6"/>
  <c r="AI112" i="6"/>
  <c r="AH112" i="6"/>
  <c r="L52" i="4"/>
  <c r="K52" i="4"/>
  <c r="J52" i="4"/>
  <c r="I52" i="4"/>
  <c r="M52" i="4"/>
  <c r="AA52" i="4"/>
  <c r="G52" i="4"/>
  <c r="F52" i="4"/>
  <c r="D52" i="4"/>
  <c r="H52" i="4" s="1"/>
  <c r="L42" i="4"/>
  <c r="K42" i="4"/>
  <c r="J42" i="4"/>
  <c r="D42" i="4"/>
  <c r="H42" i="4" s="1"/>
  <c r="AA42" i="4"/>
  <c r="M42" i="4"/>
  <c r="G42" i="4"/>
  <c r="I42" i="4"/>
  <c r="F42" i="4"/>
  <c r="D46" i="4"/>
  <c r="H46" i="4" s="1"/>
  <c r="M46" i="4"/>
  <c r="L46" i="4"/>
  <c r="J46" i="4"/>
  <c r="G46" i="4"/>
  <c r="F46" i="4"/>
  <c r="E46" i="4"/>
  <c r="I46" i="4"/>
  <c r="AA46" i="4"/>
  <c r="K46" i="4"/>
  <c r="AD475" i="6"/>
  <c r="AF474" i="6"/>
  <c r="F167" i="4"/>
  <c r="O167" i="4"/>
  <c r="D167" i="4"/>
  <c r="H167" i="4" s="1"/>
  <c r="M167" i="4"/>
  <c r="J167" i="4"/>
  <c r="K167" i="4"/>
  <c r="I167" i="4"/>
  <c r="AA167" i="4"/>
  <c r="G167" i="4"/>
  <c r="L167" i="4"/>
  <c r="F147" i="4"/>
  <c r="E147" i="4"/>
  <c r="D147" i="4"/>
  <c r="H147" i="4" s="1"/>
  <c r="M147" i="4"/>
  <c r="J147" i="4"/>
  <c r="K147" i="4"/>
  <c r="I147" i="4"/>
  <c r="AA147" i="4"/>
  <c r="G147" i="4"/>
  <c r="L147" i="4"/>
  <c r="J165" i="4"/>
  <c r="I165" i="4"/>
  <c r="AA165" i="4"/>
  <c r="G165" i="4"/>
  <c r="D165" i="4"/>
  <c r="H165" i="4" s="1"/>
  <c r="M165" i="4"/>
  <c r="L165" i="4"/>
  <c r="K165" i="4"/>
  <c r="F165" i="4"/>
  <c r="L139" i="4"/>
  <c r="K139" i="4"/>
  <c r="J139" i="4"/>
  <c r="I139" i="4"/>
  <c r="F139" i="4"/>
  <c r="AA139" i="4"/>
  <c r="G139" i="4"/>
  <c r="D139" i="4"/>
  <c r="H139" i="4" s="1"/>
  <c r="M139" i="4"/>
  <c r="AB129" i="5"/>
  <c r="AA129" i="5"/>
  <c r="Z129" i="5"/>
  <c r="Y129" i="5"/>
  <c r="AF113" i="6"/>
  <c r="AD114" i="6"/>
  <c r="B1314" i="4"/>
  <c r="B1270" i="4"/>
  <c r="B1226" i="4"/>
  <c r="B1182" i="4"/>
  <c r="B1094" i="4"/>
  <c r="B1138" i="4"/>
  <c r="B1050" i="4"/>
  <c r="B918" i="4"/>
  <c r="B1006" i="4"/>
  <c r="B742" i="4"/>
  <c r="B874" i="4"/>
  <c r="B962" i="4"/>
  <c r="B830" i="4"/>
  <c r="B610" i="4"/>
  <c r="B786" i="4"/>
  <c r="B698" i="4"/>
  <c r="B654" i="4"/>
  <c r="B478" i="4"/>
  <c r="B566" i="4"/>
  <c r="B258" i="4"/>
  <c r="B522" i="4"/>
  <c r="B346" i="4"/>
  <c r="B434" i="4"/>
  <c r="S81" i="4"/>
  <c r="R81" i="4"/>
  <c r="B302" i="4"/>
  <c r="Q81" i="4"/>
  <c r="G81" i="4"/>
  <c r="Z81" i="4"/>
  <c r="F81" i="4"/>
  <c r="O81" i="4"/>
  <c r="B390" i="4"/>
  <c r="K81" i="4"/>
  <c r="J81" i="4"/>
  <c r="D81" i="4"/>
  <c r="T81" i="4"/>
  <c r="AF53" i="6"/>
  <c r="AD54" i="6"/>
  <c r="AA161" i="4"/>
  <c r="G161" i="4"/>
  <c r="F161" i="4"/>
  <c r="L161" i="4"/>
  <c r="I161" i="4"/>
  <c r="D161" i="4"/>
  <c r="H161" i="4" s="1"/>
  <c r="M161" i="4"/>
  <c r="K161" i="4"/>
  <c r="J161" i="4"/>
  <c r="J43" i="4"/>
  <c r="I43" i="4"/>
  <c r="F43" i="4"/>
  <c r="D43" i="4"/>
  <c r="H43" i="4" s="1"/>
  <c r="AA43" i="4"/>
  <c r="M43" i="4"/>
  <c r="L43" i="4"/>
  <c r="K43" i="4"/>
  <c r="G43" i="4"/>
  <c r="AD355" i="6"/>
  <c r="AF354" i="6"/>
  <c r="AH263" i="6"/>
  <c r="AG263" i="6"/>
  <c r="AI263" i="6"/>
  <c r="AJ263" i="6"/>
  <c r="AJ204" i="6"/>
  <c r="AI204" i="6"/>
  <c r="AH204" i="6"/>
  <c r="AG204" i="6"/>
  <c r="AD686" i="6"/>
  <c r="AF685" i="6"/>
  <c r="B1277" i="4"/>
  <c r="B1189" i="4"/>
  <c r="B1145" i="4"/>
  <c r="B1233" i="4"/>
  <c r="B1321" i="4"/>
  <c r="B1057" i="4"/>
  <c r="B1101" i="4"/>
  <c r="B969" i="4"/>
  <c r="B925" i="4"/>
  <c r="B1013" i="4"/>
  <c r="B837" i="4"/>
  <c r="B881" i="4"/>
  <c r="B749" i="4"/>
  <c r="B705" i="4"/>
  <c r="B793" i="4"/>
  <c r="B441" i="4"/>
  <c r="B573" i="4"/>
  <c r="B617" i="4"/>
  <c r="B661" i="4"/>
  <c r="B529" i="4"/>
  <c r="B485" i="4"/>
  <c r="B353" i="4"/>
  <c r="B309" i="4"/>
  <c r="O88" i="4"/>
  <c r="E88" i="4"/>
  <c r="D88" i="4"/>
  <c r="K88" i="4"/>
  <c r="G88" i="4"/>
  <c r="Z88" i="4"/>
  <c r="F88" i="4"/>
  <c r="T88" i="4"/>
  <c r="R88" i="4"/>
  <c r="B265" i="4"/>
  <c r="S88" i="4"/>
  <c r="J88" i="4"/>
  <c r="B397" i="4"/>
  <c r="Q88" i="4"/>
  <c r="B1342" i="4"/>
  <c r="B1298" i="4"/>
  <c r="B1254" i="4"/>
  <c r="B1078" i="4"/>
  <c r="B1034" i="4"/>
  <c r="B1210" i="4"/>
  <c r="B1122" i="4"/>
  <c r="B1166" i="4"/>
  <c r="B946" i="4"/>
  <c r="B990" i="4"/>
  <c r="B858" i="4"/>
  <c r="B770" i="4"/>
  <c r="B902" i="4"/>
  <c r="B682" i="4"/>
  <c r="B814" i="4"/>
  <c r="B726" i="4"/>
  <c r="B550" i="4"/>
  <c r="B506" i="4"/>
  <c r="B462" i="4"/>
  <c r="B638" i="4"/>
  <c r="B594" i="4"/>
  <c r="B330" i="4"/>
  <c r="B418" i="4"/>
  <c r="B286" i="4"/>
  <c r="M109" i="4"/>
  <c r="L109" i="4"/>
  <c r="K109" i="4"/>
  <c r="J109" i="4"/>
  <c r="I109" i="4"/>
  <c r="B374" i="4"/>
  <c r="AA109" i="4"/>
  <c r="F109" i="4"/>
  <c r="G109" i="4"/>
  <c r="D109" i="4"/>
  <c r="B1319" i="4"/>
  <c r="B1187" i="4"/>
  <c r="B1275" i="4"/>
  <c r="B1231" i="4"/>
  <c r="B1099" i="4"/>
  <c r="B1143" i="4"/>
  <c r="B1055" i="4"/>
  <c r="B1011" i="4"/>
  <c r="B967" i="4"/>
  <c r="B923" i="4"/>
  <c r="B835" i="4"/>
  <c r="B747" i="4"/>
  <c r="B879" i="4"/>
  <c r="B791" i="4"/>
  <c r="B615" i="4"/>
  <c r="B703" i="4"/>
  <c r="B659" i="4"/>
  <c r="B571" i="4"/>
  <c r="B483" i="4"/>
  <c r="B439" i="4"/>
  <c r="B527" i="4"/>
  <c r="B263" i="4"/>
  <c r="B395" i="4"/>
  <c r="B351" i="4"/>
  <c r="S86" i="4"/>
  <c r="R86" i="4"/>
  <c r="Q86" i="4"/>
  <c r="G86" i="4"/>
  <c r="B307" i="4"/>
  <c r="Z86" i="4"/>
  <c r="F86" i="4"/>
  <c r="O86" i="4"/>
  <c r="K86" i="4"/>
  <c r="J86" i="4"/>
  <c r="D86" i="4"/>
  <c r="T86" i="4"/>
  <c r="B1322" i="4"/>
  <c r="B1234" i="4"/>
  <c r="B1058" i="4"/>
  <c r="B1278" i="4"/>
  <c r="B1190" i="4"/>
  <c r="B1102" i="4"/>
  <c r="B1146" i="4"/>
  <c r="B1014" i="4"/>
  <c r="B926" i="4"/>
  <c r="B970" i="4"/>
  <c r="B838" i="4"/>
  <c r="B882" i="4"/>
  <c r="B794" i="4"/>
  <c r="B662" i="4"/>
  <c r="B750" i="4"/>
  <c r="B706" i="4"/>
  <c r="B574" i="4"/>
  <c r="B530" i="4"/>
  <c r="B618" i="4"/>
  <c r="B486" i="4"/>
  <c r="B442" i="4"/>
  <c r="B310" i="4"/>
  <c r="B266" i="4"/>
  <c r="B398" i="4"/>
  <c r="B354" i="4"/>
  <c r="K89" i="4"/>
  <c r="T89" i="4"/>
  <c r="J89" i="4"/>
  <c r="S89" i="4"/>
  <c r="O89" i="4"/>
  <c r="Z89" i="4"/>
  <c r="F89" i="4"/>
  <c r="G89" i="4"/>
  <c r="R89" i="4"/>
  <c r="Q89" i="4"/>
  <c r="D89" i="4"/>
  <c r="AB39" i="5"/>
  <c r="AA39" i="5"/>
  <c r="Z39" i="5"/>
  <c r="Y39" i="5"/>
  <c r="AJ713" i="6"/>
  <c r="AI713" i="6"/>
  <c r="AH713" i="6"/>
  <c r="AG713" i="6"/>
  <c r="AJ443" i="6"/>
  <c r="AI443" i="6"/>
  <c r="AH443" i="6"/>
  <c r="AG443" i="6"/>
  <c r="AH143" i="6"/>
  <c r="AJ143" i="6"/>
  <c r="AG143" i="6"/>
  <c r="AI143" i="6"/>
  <c r="AJ292" i="6"/>
  <c r="AI292" i="6"/>
  <c r="AG292" i="6"/>
  <c r="AH292" i="6"/>
  <c r="Z40" i="4"/>
  <c r="F40" i="4"/>
  <c r="O40" i="4"/>
  <c r="D40" i="4"/>
  <c r="E40" i="4" s="1"/>
  <c r="R40" i="4"/>
  <c r="Q40" i="4"/>
  <c r="K40" i="4"/>
  <c r="J40" i="4"/>
  <c r="T40" i="4"/>
  <c r="S40" i="4"/>
  <c r="G40" i="4"/>
  <c r="D41" i="4"/>
  <c r="T41" i="4"/>
  <c r="J41" i="4"/>
  <c r="R41" i="4"/>
  <c r="Q41" i="4"/>
  <c r="O41" i="4"/>
  <c r="K41" i="4"/>
  <c r="Z41" i="4"/>
  <c r="S41" i="4"/>
  <c r="F41" i="4"/>
  <c r="G41" i="4"/>
  <c r="AA44" i="4"/>
  <c r="G44" i="4"/>
  <c r="F44" i="4"/>
  <c r="D44" i="4"/>
  <c r="H44" i="4" s="1"/>
  <c r="O44" i="4"/>
  <c r="I44" i="4"/>
  <c r="M44" i="4"/>
  <c r="K44" i="4"/>
  <c r="J44" i="4"/>
  <c r="L44" i="4"/>
  <c r="L67" i="4"/>
  <c r="K67" i="4"/>
  <c r="J67" i="4"/>
  <c r="I67" i="4"/>
  <c r="M67" i="4"/>
  <c r="AA67" i="4"/>
  <c r="G67" i="4"/>
  <c r="F67" i="4"/>
  <c r="D67" i="4"/>
  <c r="H67" i="4" s="1"/>
  <c r="AD206" i="6"/>
  <c r="AF205" i="6"/>
  <c r="AJ473" i="6"/>
  <c r="AI473" i="6"/>
  <c r="AG473" i="6"/>
  <c r="AH473" i="6"/>
  <c r="F157" i="4"/>
  <c r="D157" i="4"/>
  <c r="H157" i="4" s="1"/>
  <c r="M157" i="4"/>
  <c r="J157" i="4"/>
  <c r="K157" i="4"/>
  <c r="I157" i="4"/>
  <c r="AA157" i="4"/>
  <c r="G157" i="4"/>
  <c r="L157" i="4"/>
  <c r="F142" i="4"/>
  <c r="D142" i="4"/>
  <c r="H142" i="4" s="1"/>
  <c r="M142" i="4"/>
  <c r="J142" i="4"/>
  <c r="K142" i="4"/>
  <c r="I142" i="4"/>
  <c r="AA142" i="4"/>
  <c r="G142" i="4"/>
  <c r="L142" i="4"/>
  <c r="K129" i="4"/>
  <c r="T129" i="4"/>
  <c r="J129" i="4"/>
  <c r="S129" i="4"/>
  <c r="Z129" i="4"/>
  <c r="F129" i="4"/>
  <c r="G129" i="4"/>
  <c r="D129" i="4"/>
  <c r="R129" i="4"/>
  <c r="Q129" i="4"/>
  <c r="O129" i="4"/>
  <c r="AA141" i="4"/>
  <c r="G141" i="4"/>
  <c r="F141" i="4"/>
  <c r="L141" i="4"/>
  <c r="I141" i="4"/>
  <c r="D141" i="4"/>
  <c r="H141" i="4" s="1"/>
  <c r="M141" i="4"/>
  <c r="K141" i="4"/>
  <c r="J141" i="4"/>
  <c r="B1249" i="4"/>
  <c r="B1073" i="4"/>
  <c r="B1337" i="4"/>
  <c r="B1293" i="4"/>
  <c r="B1205" i="4"/>
  <c r="B1161" i="4"/>
  <c r="B1117" i="4"/>
  <c r="B1029" i="4"/>
  <c r="B985" i="4"/>
  <c r="B941" i="4"/>
  <c r="B765" i="4"/>
  <c r="B897" i="4"/>
  <c r="B809" i="4"/>
  <c r="B677" i="4"/>
  <c r="B853" i="4"/>
  <c r="B721" i="4"/>
  <c r="B633" i="4"/>
  <c r="B589" i="4"/>
  <c r="B545" i="4"/>
  <c r="B501" i="4"/>
  <c r="B457" i="4"/>
  <c r="B325" i="4"/>
  <c r="B281" i="4"/>
  <c r="B413" i="4"/>
  <c r="M104" i="4"/>
  <c r="L104" i="4"/>
  <c r="K104" i="4"/>
  <c r="J104" i="4"/>
  <c r="B369" i="4"/>
  <c r="I104" i="4"/>
  <c r="F104" i="4"/>
  <c r="AA104" i="4"/>
  <c r="G104" i="4"/>
  <c r="D104" i="4"/>
  <c r="B1330" i="4"/>
  <c r="B1286" i="4"/>
  <c r="B1110" i="4"/>
  <c r="B1066" i="4"/>
  <c r="B1242" i="4"/>
  <c r="B1198" i="4"/>
  <c r="B978" i="4"/>
  <c r="B1022" i="4"/>
  <c r="B934" i="4"/>
  <c r="B1154" i="4"/>
  <c r="B846" i="4"/>
  <c r="B890" i="4"/>
  <c r="B714" i="4"/>
  <c r="B802" i="4"/>
  <c r="B670" i="4"/>
  <c r="B538" i="4"/>
  <c r="B758" i="4"/>
  <c r="B494" i="4"/>
  <c r="B626" i="4"/>
  <c r="B582" i="4"/>
  <c r="B362" i="4"/>
  <c r="B406" i="4"/>
  <c r="B450" i="4"/>
  <c r="B318" i="4"/>
  <c r="B274" i="4"/>
  <c r="AA97" i="4"/>
  <c r="G97" i="4"/>
  <c r="F97" i="4"/>
  <c r="D97" i="4"/>
  <c r="E97" i="4" s="1"/>
  <c r="M97" i="4"/>
  <c r="L97" i="4"/>
  <c r="J97" i="4"/>
  <c r="K97" i="4"/>
  <c r="I97" i="4"/>
  <c r="B1302" i="4"/>
  <c r="B1214" i="4"/>
  <c r="B1170" i="4"/>
  <c r="B1258" i="4"/>
  <c r="B1346" i="4"/>
  <c r="B1038" i="4"/>
  <c r="B994" i="4"/>
  <c r="B1082" i="4"/>
  <c r="B1126" i="4"/>
  <c r="B906" i="4"/>
  <c r="B950" i="4"/>
  <c r="B774" i="4"/>
  <c r="B818" i="4"/>
  <c r="B862" i="4"/>
  <c r="B598" i="4"/>
  <c r="B730" i="4"/>
  <c r="B686" i="4"/>
  <c r="B466" i="4"/>
  <c r="B642" i="4"/>
  <c r="B510" i="4"/>
  <c r="AA113" i="4"/>
  <c r="G113" i="4"/>
  <c r="F113" i="4"/>
  <c r="B554" i="4"/>
  <c r="B378" i="4"/>
  <c r="B334" i="4"/>
  <c r="B422" i="4"/>
  <c r="D113" i="4"/>
  <c r="M113" i="4"/>
  <c r="I113" i="4"/>
  <c r="E113" i="4"/>
  <c r="L113" i="4"/>
  <c r="B290" i="4"/>
  <c r="J113" i="4"/>
  <c r="K113" i="4"/>
  <c r="V41" i="5"/>
  <c r="X40" i="5"/>
  <c r="AD715" i="6"/>
  <c r="AF714" i="6"/>
  <c r="AF293" i="6"/>
  <c r="AD294" i="6"/>
  <c r="J48" i="4"/>
  <c r="I48" i="4"/>
  <c r="F48" i="4"/>
  <c r="AA48" i="4"/>
  <c r="L48" i="4"/>
  <c r="K48" i="4"/>
  <c r="G48" i="4"/>
  <c r="D48" i="4"/>
  <c r="H48" i="4" s="1"/>
  <c r="M48" i="4"/>
  <c r="F65" i="4"/>
  <c r="D65" i="4"/>
  <c r="H65" i="4" s="1"/>
  <c r="M65" i="4"/>
  <c r="L65" i="4"/>
  <c r="K65" i="4"/>
  <c r="I65" i="4"/>
  <c r="J65" i="4"/>
  <c r="G65" i="4"/>
  <c r="AA65" i="4"/>
  <c r="D51" i="4"/>
  <c r="H51" i="4" s="1"/>
  <c r="M51" i="4"/>
  <c r="L51" i="4"/>
  <c r="K51" i="4"/>
  <c r="J51" i="4"/>
  <c r="F51" i="4"/>
  <c r="AA51" i="4"/>
  <c r="I51" i="4"/>
  <c r="G51" i="4"/>
  <c r="L47" i="4"/>
  <c r="K47" i="4"/>
  <c r="J47" i="4"/>
  <c r="I47" i="4"/>
  <c r="G47" i="4"/>
  <c r="F47" i="4"/>
  <c r="D47" i="4"/>
  <c r="H47" i="4" s="1"/>
  <c r="M47" i="4"/>
  <c r="AA47" i="4"/>
  <c r="D148" i="4"/>
  <c r="H148" i="4" s="1"/>
  <c r="M148" i="4"/>
  <c r="L148" i="4"/>
  <c r="K148" i="4"/>
  <c r="J148" i="4"/>
  <c r="I148" i="4"/>
  <c r="F148" i="4"/>
  <c r="G148" i="4"/>
  <c r="AA148" i="4"/>
  <c r="D138" i="4"/>
  <c r="H138" i="4" s="1"/>
  <c r="M138" i="4"/>
  <c r="L138" i="4"/>
  <c r="K138" i="4"/>
  <c r="J138" i="4"/>
  <c r="I138" i="4"/>
  <c r="F138" i="4"/>
  <c r="G138" i="4"/>
  <c r="AA138" i="4"/>
  <c r="J140" i="4"/>
  <c r="I140" i="4"/>
  <c r="AA140" i="4"/>
  <c r="G140" i="4"/>
  <c r="D140" i="4"/>
  <c r="H140" i="4" s="1"/>
  <c r="M140" i="4"/>
  <c r="L140" i="4"/>
  <c r="K140" i="4"/>
  <c r="F140" i="4"/>
  <c r="D163" i="4"/>
  <c r="H163" i="4" s="1"/>
  <c r="M163" i="4"/>
  <c r="L163" i="4"/>
  <c r="K163" i="4"/>
  <c r="J163" i="4"/>
  <c r="I163" i="4"/>
  <c r="F163" i="4"/>
  <c r="G163" i="4"/>
  <c r="AA163" i="4"/>
  <c r="L164" i="4"/>
  <c r="K164" i="4"/>
  <c r="J164" i="4"/>
  <c r="I164" i="4"/>
  <c r="F164" i="4"/>
  <c r="AA164" i="4"/>
  <c r="G164" i="4"/>
  <c r="D164" i="4"/>
  <c r="H164" i="4" s="1"/>
  <c r="M164" i="4"/>
  <c r="B1095" i="4"/>
  <c r="B1271" i="4"/>
  <c r="B1051" i="4"/>
  <c r="B1183" i="4"/>
  <c r="B1315" i="4"/>
  <c r="B1227" i="4"/>
  <c r="B963" i="4"/>
  <c r="B1139" i="4"/>
  <c r="B1007" i="4"/>
  <c r="B919" i="4"/>
  <c r="B831" i="4"/>
  <c r="B875" i="4"/>
  <c r="B699" i="4"/>
  <c r="B743" i="4"/>
  <c r="B655" i="4"/>
  <c r="B787" i="4"/>
  <c r="B611" i="4"/>
  <c r="B567" i="4"/>
  <c r="B523" i="4"/>
  <c r="B479" i="4"/>
  <c r="B347" i="4"/>
  <c r="B303" i="4"/>
  <c r="B391" i="4"/>
  <c r="B259" i="4"/>
  <c r="B435" i="4"/>
  <c r="Q82" i="4"/>
  <c r="G82" i="4"/>
  <c r="Z82" i="4"/>
  <c r="F82" i="4"/>
  <c r="O82" i="4"/>
  <c r="D82" i="4"/>
  <c r="S82" i="4"/>
  <c r="R82" i="4"/>
  <c r="K82" i="4"/>
  <c r="J82" i="4"/>
  <c r="T82" i="4"/>
  <c r="AD145" i="6"/>
  <c r="AF144" i="6"/>
  <c r="B1347" i="4"/>
  <c r="B1303" i="4"/>
  <c r="B1259" i="4"/>
  <c r="B1083" i="4"/>
  <c r="B1039" i="4"/>
  <c r="B1215" i="4"/>
  <c r="B1171" i="4"/>
  <c r="B951" i="4"/>
  <c r="B1127" i="4"/>
  <c r="B995" i="4"/>
  <c r="B819" i="4"/>
  <c r="B863" i="4"/>
  <c r="B907" i="4"/>
  <c r="B687" i="4"/>
  <c r="B775" i="4"/>
  <c r="B731" i="4"/>
  <c r="B555" i="4"/>
  <c r="B643" i="4"/>
  <c r="B599" i="4"/>
  <c r="B511" i="4"/>
  <c r="B467" i="4"/>
  <c r="B335" i="4"/>
  <c r="B423" i="4"/>
  <c r="B379" i="4"/>
  <c r="AA114" i="4"/>
  <c r="G114" i="4"/>
  <c r="B291" i="4"/>
  <c r="F114" i="4"/>
  <c r="D114" i="4"/>
  <c r="E114" i="4" s="1"/>
  <c r="K114" i="4"/>
  <c r="M114" i="4"/>
  <c r="I114" i="4"/>
  <c r="L114" i="4"/>
  <c r="J114" i="4"/>
  <c r="B1329" i="4"/>
  <c r="B1285" i="4"/>
  <c r="B1197" i="4"/>
  <c r="B1065" i="4"/>
  <c r="B1241" i="4"/>
  <c r="B1109" i="4"/>
  <c r="B1021" i="4"/>
  <c r="B933" i="4"/>
  <c r="B977" i="4"/>
  <c r="B757" i="4"/>
  <c r="B801" i="4"/>
  <c r="B1153" i="4"/>
  <c r="B845" i="4"/>
  <c r="B625" i="4"/>
  <c r="B889" i="4"/>
  <c r="B713" i="4"/>
  <c r="B669" i="4"/>
  <c r="B537" i="4"/>
  <c r="B493" i="4"/>
  <c r="B449" i="4"/>
  <c r="B581" i="4"/>
  <c r="B273" i="4"/>
  <c r="B405" i="4"/>
  <c r="B361" i="4"/>
  <c r="I96" i="4"/>
  <c r="AA96" i="4"/>
  <c r="G96" i="4"/>
  <c r="F96" i="4"/>
  <c r="B317" i="4"/>
  <c r="K96" i="4"/>
  <c r="J96" i="4"/>
  <c r="D96" i="4"/>
  <c r="M96" i="4"/>
  <c r="L96" i="4"/>
  <c r="B1279" i="4"/>
  <c r="B1323" i="4"/>
  <c r="B1147" i="4"/>
  <c r="B1103" i="4"/>
  <c r="B1235" i="4"/>
  <c r="B1191" i="4"/>
  <c r="B1015" i="4"/>
  <c r="B1059" i="4"/>
  <c r="B927" i="4"/>
  <c r="B795" i="4"/>
  <c r="B883" i="4"/>
  <c r="B839" i="4"/>
  <c r="B971" i="4"/>
  <c r="B707" i="4"/>
  <c r="B663" i="4"/>
  <c r="B751" i="4"/>
  <c r="B619" i="4"/>
  <c r="B531" i="4"/>
  <c r="B575" i="4"/>
  <c r="B487" i="4"/>
  <c r="B355" i="4"/>
  <c r="B311" i="4"/>
  <c r="B399" i="4"/>
  <c r="K90" i="4"/>
  <c r="B443" i="4"/>
  <c r="J90" i="4"/>
  <c r="I90" i="4"/>
  <c r="AA90" i="4"/>
  <c r="G90" i="4"/>
  <c r="B267" i="4"/>
  <c r="M90" i="4"/>
  <c r="L90" i="4"/>
  <c r="F90" i="4"/>
  <c r="D90" i="4"/>
  <c r="B1152" i="4"/>
  <c r="B1108" i="4"/>
  <c r="B1284" i="4"/>
  <c r="B1240" i="4"/>
  <c r="B1328" i="4"/>
  <c r="B1020" i="4"/>
  <c r="B1196" i="4"/>
  <c r="B1064" i="4"/>
  <c r="B976" i="4"/>
  <c r="B932" i="4"/>
  <c r="B888" i="4"/>
  <c r="B800" i="4"/>
  <c r="B756" i="4"/>
  <c r="B712" i="4"/>
  <c r="B668" i="4"/>
  <c r="B844" i="4"/>
  <c r="B624" i="4"/>
  <c r="B580" i="4"/>
  <c r="B536" i="4"/>
  <c r="B360" i="4"/>
  <c r="B404" i="4"/>
  <c r="B316" i="4"/>
  <c r="B492" i="4"/>
  <c r="K95" i="4"/>
  <c r="J95" i="4"/>
  <c r="B448" i="4"/>
  <c r="I95" i="4"/>
  <c r="B272" i="4"/>
  <c r="AA95" i="4"/>
  <c r="G95" i="4"/>
  <c r="L95" i="4"/>
  <c r="M95" i="4"/>
  <c r="F95" i="4"/>
  <c r="D95" i="4"/>
  <c r="E95" i="4" s="1"/>
  <c r="AI592" i="6"/>
  <c r="AG592" i="6"/>
  <c r="AJ592" i="6"/>
  <c r="AH592" i="6"/>
  <c r="J58" i="4"/>
  <c r="I58" i="4"/>
  <c r="AA58" i="4"/>
  <c r="G58" i="4"/>
  <c r="F58" i="4"/>
  <c r="M58" i="4"/>
  <c r="L58" i="4"/>
  <c r="K58" i="4"/>
  <c r="D58" i="4"/>
  <c r="H58" i="4" s="1"/>
  <c r="F50" i="4"/>
  <c r="D50" i="4"/>
  <c r="H50" i="4" s="1"/>
  <c r="M50" i="4"/>
  <c r="L50" i="4"/>
  <c r="K50" i="4"/>
  <c r="J50" i="4"/>
  <c r="I50" i="4"/>
  <c r="G50" i="4"/>
  <c r="AA50" i="4"/>
  <c r="T38" i="4"/>
  <c r="J38" i="4"/>
  <c r="S38" i="4"/>
  <c r="R38" i="4"/>
  <c r="Z38" i="4"/>
  <c r="F38" i="4"/>
  <c r="K38" i="4"/>
  <c r="G38" i="4"/>
  <c r="Q38" i="4"/>
  <c r="O38" i="4"/>
  <c r="D38" i="4"/>
  <c r="E38" i="4" s="1"/>
  <c r="F55" i="4"/>
  <c r="D55" i="4"/>
  <c r="H55" i="4" s="1"/>
  <c r="M55" i="4"/>
  <c r="L55" i="4"/>
  <c r="K55" i="4"/>
  <c r="J55" i="4"/>
  <c r="I55" i="4"/>
  <c r="G55" i="4"/>
  <c r="AA55" i="4"/>
  <c r="AC51" i="4"/>
  <c r="O51" i="4" s="1"/>
  <c r="AC47" i="4"/>
  <c r="O47" i="4" s="1"/>
  <c r="AC45" i="4"/>
  <c r="O45" i="4" s="1"/>
  <c r="AC53" i="4"/>
  <c r="O53" i="4" s="1"/>
  <c r="AE61" i="4"/>
  <c r="AF61" i="4" s="1"/>
  <c r="AC44" i="4"/>
  <c r="AE52" i="4"/>
  <c r="AF52" i="4" s="1"/>
  <c r="AC57" i="4"/>
  <c r="O57" i="4" s="1"/>
  <c r="AE68" i="4"/>
  <c r="AF68" i="4" s="1"/>
  <c r="AC48" i="4"/>
  <c r="O48" i="4" s="1"/>
  <c r="AE56" i="4"/>
  <c r="AF56" i="4" s="1"/>
  <c r="AE63" i="4"/>
  <c r="AF63" i="4" s="1"/>
  <c r="AE69" i="4"/>
  <c r="AF69" i="4" s="1"/>
  <c r="AC56" i="4"/>
  <c r="AC66" i="4"/>
  <c r="O66" i="4" s="1"/>
  <c r="AE47" i="4"/>
  <c r="AF47" i="4" s="1"/>
  <c r="AC52" i="4"/>
  <c r="O52" i="4" s="1"/>
  <c r="AB41" i="4"/>
  <c r="AE42" i="4"/>
  <c r="AF42" i="4" s="1"/>
  <c r="AC50" i="4"/>
  <c r="O50" i="4" s="1"/>
  <c r="AE41" i="4"/>
  <c r="AF41" i="4" s="1"/>
  <c r="AC49" i="4"/>
  <c r="O49" i="4" s="1"/>
  <c r="AC63" i="4"/>
  <c r="O63" i="4" s="1"/>
  <c r="AE50" i="4"/>
  <c r="AF50" i="4" s="1"/>
  <c r="AE58" i="4"/>
  <c r="AF58" i="4" s="1"/>
  <c r="AE64" i="4"/>
  <c r="AF64" i="4" s="1"/>
  <c r="AC68" i="4"/>
  <c r="O68" i="4" s="1"/>
  <c r="AC43" i="4"/>
  <c r="O43" i="4" s="1"/>
  <c r="AE51" i="4"/>
  <c r="AF51" i="4" s="1"/>
  <c r="AC42" i="4"/>
  <c r="O42" i="4" s="1"/>
  <c r="AC70" i="4"/>
  <c r="O70" i="4" s="1"/>
  <c r="AE67" i="4"/>
  <c r="AF67" i="4" s="1"/>
  <c r="AC55" i="4"/>
  <c r="O55" i="4" s="1"/>
  <c r="G21" i="4"/>
  <c r="AC54" i="4"/>
  <c r="AE53" i="4"/>
  <c r="AF53" i="4" s="1"/>
  <c r="AE59" i="4"/>
  <c r="AF59" i="4" s="1"/>
  <c r="AE46" i="4"/>
  <c r="AF46" i="4" s="1"/>
  <c r="AE54" i="4"/>
  <c r="AF54" i="4" s="1"/>
  <c r="AE45" i="4"/>
  <c r="AF45" i="4" s="1"/>
  <c r="AE49" i="4"/>
  <c r="AF49" i="4" s="1"/>
  <c r="AE62" i="4"/>
  <c r="AF62" i="4" s="1"/>
  <c r="AC67" i="4"/>
  <c r="O67" i="4" s="1"/>
  <c r="AC60" i="4"/>
  <c r="AE55" i="4"/>
  <c r="AF55" i="4" s="1"/>
  <c r="AC59" i="4"/>
  <c r="O59" i="4" s="1"/>
  <c r="AE44" i="4"/>
  <c r="AF44" i="4" s="1"/>
  <c r="AE48" i="4"/>
  <c r="AF48" i="4" s="1"/>
  <c r="AC58" i="4"/>
  <c r="O58" i="4" s="1"/>
  <c r="AE66" i="4"/>
  <c r="AF66" i="4" s="1"/>
  <c r="AC65" i="4"/>
  <c r="O65" i="4" s="1"/>
  <c r="AE60" i="4"/>
  <c r="AF60" i="4" s="1"/>
  <c r="AC64" i="4"/>
  <c r="O64" i="4" s="1"/>
  <c r="AE43" i="4"/>
  <c r="AF43" i="4" s="1"/>
  <c r="AC46" i="4"/>
  <c r="O46" i="4" s="1"/>
  <c r="AC61" i="4"/>
  <c r="AE57" i="4"/>
  <c r="AF57" i="4" s="1"/>
  <c r="AC62" i="4"/>
  <c r="O62" i="4" s="1"/>
  <c r="AC41" i="4"/>
  <c r="G15" i="4" s="1"/>
  <c r="B78" i="1" s="1"/>
  <c r="AE65" i="4"/>
  <c r="AF65" i="4" s="1"/>
  <c r="AC69" i="4"/>
  <c r="O69" i="4" s="1"/>
  <c r="AI234" i="6"/>
  <c r="AH234" i="6"/>
  <c r="AG234" i="6"/>
  <c r="AJ234" i="6"/>
  <c r="J145" i="4"/>
  <c r="I145" i="4"/>
  <c r="AA145" i="4"/>
  <c r="G145" i="4"/>
  <c r="D145" i="4"/>
  <c r="H145" i="4" s="1"/>
  <c r="M145" i="4"/>
  <c r="L145" i="4"/>
  <c r="K145" i="4"/>
  <c r="F145" i="4"/>
  <c r="Z132" i="4"/>
  <c r="F132" i="4"/>
  <c r="O132" i="4"/>
  <c r="D132" i="4"/>
  <c r="T132" i="4"/>
  <c r="J132" i="4"/>
  <c r="K132" i="4"/>
  <c r="G132" i="4"/>
  <c r="Q132" i="4"/>
  <c r="S132" i="4"/>
  <c r="R132" i="4"/>
  <c r="T130" i="4"/>
  <c r="J130" i="4"/>
  <c r="S130" i="4"/>
  <c r="R130" i="4"/>
  <c r="Q130" i="4"/>
  <c r="G130" i="4"/>
  <c r="D130" i="4"/>
  <c r="O130" i="4"/>
  <c r="K130" i="4"/>
  <c r="Z130" i="4"/>
  <c r="F130" i="4"/>
  <c r="L149" i="4"/>
  <c r="K149" i="4"/>
  <c r="J149" i="4"/>
  <c r="I149" i="4"/>
  <c r="F149" i="4"/>
  <c r="AA149" i="4"/>
  <c r="G149" i="4"/>
  <c r="D149" i="4"/>
  <c r="H149" i="4" s="1"/>
  <c r="M149" i="4"/>
  <c r="AF744" i="6"/>
  <c r="AD745" i="6"/>
  <c r="AA59" i="4"/>
  <c r="G59" i="4"/>
  <c r="F59" i="4"/>
  <c r="D59" i="4"/>
  <c r="H59" i="4" s="1"/>
  <c r="J59" i="4"/>
  <c r="I59" i="4"/>
  <c r="K59" i="4"/>
  <c r="L59" i="4"/>
  <c r="M59" i="4"/>
  <c r="Z35" i="4"/>
  <c r="F35" i="4"/>
  <c r="O35" i="4"/>
  <c r="D35" i="4"/>
  <c r="E35" i="4" s="1"/>
  <c r="J35" i="4"/>
  <c r="G35" i="4"/>
  <c r="T35" i="4"/>
  <c r="S35" i="4"/>
  <c r="R35" i="4"/>
  <c r="Q35" i="4"/>
  <c r="K35" i="4"/>
  <c r="F45" i="4"/>
  <c r="D45" i="4"/>
  <c r="H45" i="4" s="1"/>
  <c r="L45" i="4"/>
  <c r="G45" i="4"/>
  <c r="I45" i="4"/>
  <c r="AA45" i="4"/>
  <c r="M45" i="4"/>
  <c r="K45" i="4"/>
  <c r="J45" i="4"/>
  <c r="AG353" i="6"/>
  <c r="AJ353" i="6"/>
  <c r="AI353" i="6"/>
  <c r="AH353" i="6"/>
  <c r="B1120" i="4"/>
  <c r="B1076" i="4"/>
  <c r="B1340" i="4"/>
  <c r="B1208" i="4"/>
  <c r="B1296" i="4"/>
  <c r="B1164" i="4"/>
  <c r="B988" i="4"/>
  <c r="B944" i="4"/>
  <c r="B1252" i="4"/>
  <c r="B1032" i="4"/>
  <c r="B900" i="4"/>
  <c r="B812" i="4"/>
  <c r="B768" i="4"/>
  <c r="B856" i="4"/>
  <c r="B724" i="4"/>
  <c r="B680" i="4"/>
  <c r="B636" i="4"/>
  <c r="B592" i="4"/>
  <c r="B548" i="4"/>
  <c r="B504" i="4"/>
  <c r="B372" i="4"/>
  <c r="B328" i="4"/>
  <c r="B416" i="4"/>
  <c r="B284" i="4"/>
  <c r="B460" i="4"/>
  <c r="AA107" i="4"/>
  <c r="G107" i="4"/>
  <c r="F107" i="4"/>
  <c r="D107" i="4"/>
  <c r="E107" i="4" s="1"/>
  <c r="M107" i="4"/>
  <c r="L107" i="4"/>
  <c r="J107" i="4"/>
  <c r="K107" i="4"/>
  <c r="I107" i="4"/>
  <c r="AJ684" i="6"/>
  <c r="AI684" i="6"/>
  <c r="AH684" i="6"/>
  <c r="AG684" i="6"/>
  <c r="B1339" i="4"/>
  <c r="B1251" i="4"/>
  <c r="B1295" i="4"/>
  <c r="B1207" i="4"/>
  <c r="B1075" i="4"/>
  <c r="B1119" i="4"/>
  <c r="B1031" i="4"/>
  <c r="B1163" i="4"/>
  <c r="B943" i="4"/>
  <c r="B767" i="4"/>
  <c r="B855" i="4"/>
  <c r="B987" i="4"/>
  <c r="B899" i="4"/>
  <c r="B635" i="4"/>
  <c r="B723" i="4"/>
  <c r="B811" i="4"/>
  <c r="B679" i="4"/>
  <c r="B591" i="4"/>
  <c r="B547" i="4"/>
  <c r="B503" i="4"/>
  <c r="B459" i="4"/>
  <c r="B283" i="4"/>
  <c r="B415" i="4"/>
  <c r="B371" i="4"/>
  <c r="I106" i="4"/>
  <c r="AA106" i="4"/>
  <c r="G106" i="4"/>
  <c r="F106" i="4"/>
  <c r="K106" i="4"/>
  <c r="J106" i="4"/>
  <c r="D106" i="4"/>
  <c r="E106" i="4" s="1"/>
  <c r="B327" i="4"/>
  <c r="M106" i="4"/>
  <c r="L106" i="4"/>
  <c r="B1318" i="4"/>
  <c r="B1142" i="4"/>
  <c r="B1274" i="4"/>
  <c r="B1098" i="4"/>
  <c r="B1186" i="4"/>
  <c r="B1230" i="4"/>
  <c r="B1010" i="4"/>
  <c r="B1054" i="4"/>
  <c r="B966" i="4"/>
  <c r="B834" i="4"/>
  <c r="B922" i="4"/>
  <c r="B878" i="4"/>
  <c r="B746" i="4"/>
  <c r="B702" i="4"/>
  <c r="B658" i="4"/>
  <c r="B790" i="4"/>
  <c r="B570" i="4"/>
  <c r="B526" i="4"/>
  <c r="B614" i="4"/>
  <c r="B438" i="4"/>
  <c r="B350" i="4"/>
  <c r="B394" i="4"/>
  <c r="B306" i="4"/>
  <c r="B482" i="4"/>
  <c r="K85" i="4"/>
  <c r="T85" i="4"/>
  <c r="J85" i="4"/>
  <c r="S85" i="4"/>
  <c r="R85" i="4"/>
  <c r="Q85" i="4"/>
  <c r="G85" i="4"/>
  <c r="O85" i="4"/>
  <c r="Z85" i="4"/>
  <c r="F85" i="4"/>
  <c r="B262" i="4"/>
  <c r="D85" i="4"/>
  <c r="B1137" i="4"/>
  <c r="B1269" i="4"/>
  <c r="B1225" i="4"/>
  <c r="B1093" i="4"/>
  <c r="B1313" i="4"/>
  <c r="B1181" i="4"/>
  <c r="B1005" i="4"/>
  <c r="B1049" i="4"/>
  <c r="B829" i="4"/>
  <c r="B961" i="4"/>
  <c r="B873" i="4"/>
  <c r="B785" i="4"/>
  <c r="B917" i="4"/>
  <c r="B741" i="4"/>
  <c r="B697" i="4"/>
  <c r="B609" i="4"/>
  <c r="B565" i="4"/>
  <c r="B653" i="4"/>
  <c r="B521" i="4"/>
  <c r="B389" i="4"/>
  <c r="B433" i="4"/>
  <c r="B345" i="4"/>
  <c r="B477" i="4"/>
  <c r="B301" i="4"/>
  <c r="K80" i="4"/>
  <c r="T80" i="4"/>
  <c r="J80" i="4"/>
  <c r="S80" i="4"/>
  <c r="R80" i="4"/>
  <c r="Q80" i="4"/>
  <c r="G80" i="4"/>
  <c r="O80" i="4"/>
  <c r="D80" i="4"/>
  <c r="E80" i="4" s="1"/>
  <c r="Z80" i="4"/>
  <c r="B257" i="4"/>
  <c r="F80" i="4"/>
  <c r="X80" i="4"/>
  <c r="D71" i="4"/>
  <c r="H71" i="4" s="1"/>
  <c r="M71" i="4"/>
  <c r="L71" i="4"/>
  <c r="K71" i="4"/>
  <c r="J71" i="4"/>
  <c r="F71" i="4"/>
  <c r="AA71" i="4"/>
  <c r="O71" i="4"/>
  <c r="I71" i="4"/>
  <c r="G71" i="4"/>
  <c r="R39" i="4"/>
  <c r="Q39" i="4"/>
  <c r="G39" i="4"/>
  <c r="Z39" i="4"/>
  <c r="F39" i="4"/>
  <c r="D39" i="4"/>
  <c r="O39" i="4"/>
  <c r="K39" i="4"/>
  <c r="J39" i="4"/>
  <c r="T39" i="4"/>
  <c r="S39" i="4"/>
  <c r="T33" i="4"/>
  <c r="J33" i="4"/>
  <c r="S33" i="4"/>
  <c r="R33" i="4"/>
  <c r="Z33" i="4"/>
  <c r="F33" i="4"/>
  <c r="G33" i="4"/>
  <c r="D33" i="4"/>
  <c r="E33" i="4" s="1"/>
  <c r="Q33" i="4"/>
  <c r="O33" i="4"/>
  <c r="K33" i="4"/>
  <c r="AD533" i="6"/>
  <c r="AF532" i="6"/>
  <c r="AF235" i="6"/>
  <c r="AD236" i="6"/>
  <c r="F162" i="4"/>
  <c r="D162" i="4"/>
  <c r="H162" i="4" s="1"/>
  <c r="M162" i="4"/>
  <c r="J162" i="4"/>
  <c r="K162" i="4"/>
  <c r="I162" i="4"/>
  <c r="AA162" i="4"/>
  <c r="G162" i="4"/>
  <c r="L162" i="4"/>
  <c r="R131" i="4"/>
  <c r="Q131" i="4"/>
  <c r="G131" i="4"/>
  <c r="Z131" i="4"/>
  <c r="F131" i="4"/>
  <c r="O131" i="4"/>
  <c r="T131" i="4"/>
  <c r="S131" i="4"/>
  <c r="D131" i="4"/>
  <c r="E131" i="4" s="1"/>
  <c r="J131" i="4"/>
  <c r="K131" i="4"/>
  <c r="L159" i="4"/>
  <c r="K159" i="4"/>
  <c r="J159" i="4"/>
  <c r="I159" i="4"/>
  <c r="F159" i="4"/>
  <c r="AA159" i="4"/>
  <c r="G159" i="4"/>
  <c r="D159" i="4"/>
  <c r="H159" i="4" s="1"/>
  <c r="M159" i="4"/>
  <c r="D143" i="4"/>
  <c r="H143" i="4" s="1"/>
  <c r="M143" i="4"/>
  <c r="L143" i="4"/>
  <c r="K143" i="4"/>
  <c r="J143" i="4"/>
  <c r="I143" i="4"/>
  <c r="F143" i="4"/>
  <c r="G143" i="4"/>
  <c r="AA143" i="4"/>
  <c r="J69" i="1"/>
  <c r="AM28" i="3"/>
  <c r="D153" i="4"/>
  <c r="H153" i="4" s="1"/>
  <c r="M153" i="4"/>
  <c r="L153" i="4"/>
  <c r="K153" i="4"/>
  <c r="J153" i="4"/>
  <c r="I153" i="4"/>
  <c r="F153" i="4"/>
  <c r="G153" i="4"/>
  <c r="AA153" i="4"/>
  <c r="AB69" i="5"/>
  <c r="AA69" i="5"/>
  <c r="Z69" i="5"/>
  <c r="Y69" i="5"/>
  <c r="B1287" i="4"/>
  <c r="B1199" i="4"/>
  <c r="B1155" i="4"/>
  <c r="B1331" i="4"/>
  <c r="B1243" i="4"/>
  <c r="B1067" i="4"/>
  <c r="B1111" i="4"/>
  <c r="B935" i="4"/>
  <c r="B1023" i="4"/>
  <c r="B979" i="4"/>
  <c r="B803" i="4"/>
  <c r="B891" i="4"/>
  <c r="B583" i="4"/>
  <c r="B847" i="4"/>
  <c r="B715" i="4"/>
  <c r="B451" i="4"/>
  <c r="B759" i="4"/>
  <c r="B627" i="4"/>
  <c r="B495" i="4"/>
  <c r="B407" i="4"/>
  <c r="B539" i="4"/>
  <c r="B363" i="4"/>
  <c r="B319" i="4"/>
  <c r="D98" i="4"/>
  <c r="B275" i="4"/>
  <c r="M98" i="4"/>
  <c r="L98" i="4"/>
  <c r="K98" i="4"/>
  <c r="B671" i="4"/>
  <c r="AA98" i="4"/>
  <c r="G98" i="4"/>
  <c r="F98" i="4"/>
  <c r="J98" i="4"/>
  <c r="I98" i="4"/>
  <c r="B1343" i="4"/>
  <c r="B1167" i="4"/>
  <c r="B1123" i="4"/>
  <c r="B1299" i="4"/>
  <c r="B1211" i="4"/>
  <c r="B1255" i="4"/>
  <c r="B1035" i="4"/>
  <c r="B991" i="4"/>
  <c r="B947" i="4"/>
  <c r="B1079" i="4"/>
  <c r="B903" i="4"/>
  <c r="B815" i="4"/>
  <c r="B859" i="4"/>
  <c r="B727" i="4"/>
  <c r="B683" i="4"/>
  <c r="B771" i="4"/>
  <c r="B551" i="4"/>
  <c r="B639" i="4"/>
  <c r="B595" i="4"/>
  <c r="B463" i="4"/>
  <c r="B419" i="4"/>
  <c r="B331" i="4"/>
  <c r="L110" i="4"/>
  <c r="B375" i="4"/>
  <c r="B507" i="4"/>
  <c r="M110" i="4"/>
  <c r="K110" i="4"/>
  <c r="J110" i="4"/>
  <c r="I110" i="4"/>
  <c r="AA110" i="4"/>
  <c r="B287" i="4"/>
  <c r="D110" i="4"/>
  <c r="G110" i="4"/>
  <c r="F110" i="4"/>
  <c r="AJ652" i="6"/>
  <c r="AH652" i="6"/>
  <c r="AI652" i="6"/>
  <c r="AG652" i="6"/>
  <c r="AD594" i="6"/>
  <c r="AF593" i="6"/>
  <c r="AB160" i="5"/>
  <c r="AA160" i="5"/>
  <c r="Z160" i="5"/>
  <c r="Y160" i="5"/>
  <c r="AJ623" i="6"/>
  <c r="AI623" i="6"/>
  <c r="AH623" i="6"/>
  <c r="AG623" i="6"/>
  <c r="B1349" i="4"/>
  <c r="B1041" i="4"/>
  <c r="B1261" i="4"/>
  <c r="B1217" i="4"/>
  <c r="B1305" i="4"/>
  <c r="B1085" i="4"/>
  <c r="B1129" i="4"/>
  <c r="B1173" i="4"/>
  <c r="B997" i="4"/>
  <c r="B953" i="4"/>
  <c r="B909" i="4"/>
  <c r="B777" i="4"/>
  <c r="B821" i="4"/>
  <c r="B865" i="4"/>
  <c r="B645" i="4"/>
  <c r="B733" i="4"/>
  <c r="B689" i="4"/>
  <c r="B601" i="4"/>
  <c r="B513" i="4"/>
  <c r="B557" i="4"/>
  <c r="B469" i="4"/>
  <c r="B425" i="4"/>
  <c r="B293" i="4"/>
  <c r="M116" i="4"/>
  <c r="L116" i="4"/>
  <c r="K116" i="4"/>
  <c r="J116" i="4"/>
  <c r="B381" i="4"/>
  <c r="AA116" i="4"/>
  <c r="G116" i="4"/>
  <c r="B337" i="4"/>
  <c r="I116" i="4"/>
  <c r="F116" i="4"/>
  <c r="D116" i="4"/>
  <c r="B1335" i="4"/>
  <c r="B1291" i="4"/>
  <c r="B1115" i="4"/>
  <c r="B1071" i="4"/>
  <c r="B1247" i="4"/>
  <c r="B1203" i="4"/>
  <c r="B983" i="4"/>
  <c r="B939" i="4"/>
  <c r="B1027" i="4"/>
  <c r="B1159" i="4"/>
  <c r="B895" i="4"/>
  <c r="B807" i="4"/>
  <c r="B851" i="4"/>
  <c r="B719" i="4"/>
  <c r="B675" i="4"/>
  <c r="B763" i="4"/>
  <c r="B631" i="4"/>
  <c r="B587" i="4"/>
  <c r="B543" i="4"/>
  <c r="B499" i="4"/>
  <c r="B367" i="4"/>
  <c r="B323" i="4"/>
  <c r="B455" i="4"/>
  <c r="B279" i="4"/>
  <c r="B411" i="4"/>
  <c r="AA102" i="4"/>
  <c r="G102" i="4"/>
  <c r="F102" i="4"/>
  <c r="D102" i="4"/>
  <c r="M102" i="4"/>
  <c r="L102" i="4"/>
  <c r="J102" i="4"/>
  <c r="K102" i="4"/>
  <c r="I102" i="4"/>
  <c r="B1239" i="4"/>
  <c r="B1063" i="4"/>
  <c r="B1283" i="4"/>
  <c r="B1327" i="4"/>
  <c r="B1195" i="4"/>
  <c r="B1151" i="4"/>
  <c r="B1019" i="4"/>
  <c r="B1107" i="4"/>
  <c r="B975" i="4"/>
  <c r="B887" i="4"/>
  <c r="B755" i="4"/>
  <c r="B843" i="4"/>
  <c r="B931" i="4"/>
  <c r="B667" i="4"/>
  <c r="B799" i="4"/>
  <c r="B711" i="4"/>
  <c r="B623" i="4"/>
  <c r="B535" i="4"/>
  <c r="B579" i="4"/>
  <c r="B491" i="4"/>
  <c r="B447" i="4"/>
  <c r="B315" i="4"/>
  <c r="B271" i="4"/>
  <c r="B403" i="4"/>
  <c r="M94" i="4"/>
  <c r="L94" i="4"/>
  <c r="K94" i="4"/>
  <c r="J94" i="4"/>
  <c r="I94" i="4"/>
  <c r="B359" i="4"/>
  <c r="F94" i="4"/>
  <c r="AA94" i="4"/>
  <c r="G94" i="4"/>
  <c r="D94" i="4"/>
  <c r="E94" i="4"/>
  <c r="B1304" i="4"/>
  <c r="B1348" i="4"/>
  <c r="B1172" i="4"/>
  <c r="B1128" i="4"/>
  <c r="B1260" i="4"/>
  <c r="B1216" i="4"/>
  <c r="B1084" i="4"/>
  <c r="B1040" i="4"/>
  <c r="B996" i="4"/>
  <c r="B908" i="4"/>
  <c r="B952" i="4"/>
  <c r="B864" i="4"/>
  <c r="B820" i="4"/>
  <c r="B776" i="4"/>
  <c r="B732" i="4"/>
  <c r="B688" i="4"/>
  <c r="B424" i="4"/>
  <c r="B644" i="4"/>
  <c r="B600" i="4"/>
  <c r="B556" i="4"/>
  <c r="B512" i="4"/>
  <c r="D115" i="4"/>
  <c r="M115" i="4"/>
  <c r="B468" i="4"/>
  <c r="B336" i="4"/>
  <c r="L115" i="4"/>
  <c r="I115" i="4"/>
  <c r="B380" i="4"/>
  <c r="J115" i="4"/>
  <c r="AA115" i="4"/>
  <c r="G115" i="4"/>
  <c r="F115" i="4"/>
  <c r="B292" i="4"/>
  <c r="K115" i="4"/>
  <c r="X161" i="5"/>
  <c r="V162" i="5"/>
  <c r="J68" i="4"/>
  <c r="I68" i="4"/>
  <c r="AA68" i="4"/>
  <c r="G68" i="4"/>
  <c r="F68" i="4"/>
  <c r="M68" i="4"/>
  <c r="L68" i="4"/>
  <c r="D68" i="4"/>
  <c r="H68" i="4" s="1"/>
  <c r="K68" i="4"/>
  <c r="F70" i="4"/>
  <c r="D70" i="4"/>
  <c r="H70" i="4" s="1"/>
  <c r="M70" i="4"/>
  <c r="L70" i="4"/>
  <c r="K70" i="4"/>
  <c r="I70" i="4"/>
  <c r="J70" i="4"/>
  <c r="G70" i="4"/>
  <c r="AA70" i="4"/>
  <c r="L62" i="4"/>
  <c r="K62" i="4"/>
  <c r="J62" i="4"/>
  <c r="I62" i="4"/>
  <c r="M62" i="4"/>
  <c r="AA62" i="4"/>
  <c r="G62" i="4"/>
  <c r="F62" i="4"/>
  <c r="D62" i="4"/>
  <c r="H62" i="4" s="1"/>
  <c r="AA54" i="4"/>
  <c r="G54" i="4"/>
  <c r="F54" i="4"/>
  <c r="O54" i="4"/>
  <c r="D54" i="4"/>
  <c r="H54" i="4" s="1"/>
  <c r="J54" i="4"/>
  <c r="I54" i="4"/>
  <c r="K54" i="4"/>
  <c r="M54" i="4"/>
  <c r="L54" i="4"/>
  <c r="AG531" i="6"/>
  <c r="AH531" i="6"/>
  <c r="AJ531" i="6"/>
  <c r="AI531" i="6"/>
  <c r="R136" i="4"/>
  <c r="Q136" i="4"/>
  <c r="G136" i="4"/>
  <c r="Z136" i="4"/>
  <c r="F136" i="4"/>
  <c r="O136" i="4"/>
  <c r="T136" i="4"/>
  <c r="S136" i="4"/>
  <c r="D136" i="4"/>
  <c r="E136" i="4" s="1"/>
  <c r="K136" i="4"/>
  <c r="J136" i="4"/>
  <c r="T135" i="4"/>
  <c r="J135" i="4"/>
  <c r="S135" i="4"/>
  <c r="R135" i="4"/>
  <c r="Q135" i="4"/>
  <c r="G135" i="4"/>
  <c r="D135" i="4"/>
  <c r="E135" i="4" s="1"/>
  <c r="O135" i="4"/>
  <c r="K135" i="4"/>
  <c r="Z135" i="4"/>
  <c r="F135" i="4"/>
  <c r="K134" i="4"/>
  <c r="T134" i="4"/>
  <c r="J134" i="4"/>
  <c r="S134" i="4"/>
  <c r="Z134" i="4"/>
  <c r="F134" i="4"/>
  <c r="G134" i="4"/>
  <c r="D134" i="4"/>
  <c r="E134" i="4" s="1"/>
  <c r="R134" i="4"/>
  <c r="Q134" i="4"/>
  <c r="O134" i="4"/>
  <c r="J160" i="4"/>
  <c r="I160" i="4"/>
  <c r="AA160" i="4"/>
  <c r="G160" i="4"/>
  <c r="D160" i="4"/>
  <c r="H160" i="4" s="1"/>
  <c r="M160" i="4"/>
  <c r="L160" i="4"/>
  <c r="K160" i="4"/>
  <c r="F160" i="4"/>
  <c r="AC166" i="4"/>
  <c r="AC161" i="4"/>
  <c r="O161" i="4" s="1"/>
  <c r="AC156" i="4"/>
  <c r="O156" i="4" s="1"/>
  <c r="AC151" i="4"/>
  <c r="O151" i="4" s="1"/>
  <c r="AC146" i="4"/>
  <c r="O146" i="4" s="1"/>
  <c r="AC141" i="4"/>
  <c r="O141" i="4" s="1"/>
  <c r="AC153" i="4"/>
  <c r="O153" i="4" s="1"/>
  <c r="AC158" i="4"/>
  <c r="O158" i="4" s="1"/>
  <c r="AC143" i="4"/>
  <c r="O143" i="4" s="1"/>
  <c r="AC148" i="4"/>
  <c r="O148" i="4" s="1"/>
  <c r="AC163" i="4"/>
  <c r="O163" i="4" s="1"/>
  <c r="AC138" i="4"/>
  <c r="O138" i="4" s="1"/>
  <c r="AE159" i="4"/>
  <c r="AF159" i="4" s="1"/>
  <c r="AE163" i="4"/>
  <c r="AF163" i="4" s="1"/>
  <c r="AE138" i="4"/>
  <c r="AF138" i="4" s="1"/>
  <c r="AC162" i="4"/>
  <c r="O162" i="4" s="1"/>
  <c r="AE145" i="4"/>
  <c r="AF145" i="4" s="1"/>
  <c r="AC155" i="4"/>
  <c r="O155" i="4" s="1"/>
  <c r="AC159" i="4"/>
  <c r="O159" i="4" s="1"/>
  <c r="AC157" i="4"/>
  <c r="O157" i="4" s="1"/>
  <c r="AE140" i="4"/>
  <c r="AF140" i="4" s="1"/>
  <c r="I21" i="4"/>
  <c r="AE154" i="4"/>
  <c r="AF154" i="4" s="1"/>
  <c r="AE158" i="4"/>
  <c r="AF158" i="4" s="1"/>
  <c r="AE162" i="4"/>
  <c r="AF162" i="4" s="1"/>
  <c r="AC152" i="4"/>
  <c r="O152" i="4" s="1"/>
  <c r="AE144" i="4"/>
  <c r="AF144" i="4" s="1"/>
  <c r="AE142" i="4"/>
  <c r="AF142" i="4" s="1"/>
  <c r="AC150" i="4"/>
  <c r="AC154" i="4"/>
  <c r="O154" i="4" s="1"/>
  <c r="AE157" i="4"/>
  <c r="AF157" i="4" s="1"/>
  <c r="AC147" i="4"/>
  <c r="O147" i="4" s="1"/>
  <c r="AB137" i="4"/>
  <c r="AE146" i="4"/>
  <c r="AF146" i="4" s="1"/>
  <c r="AC145" i="4"/>
  <c r="O145" i="4" s="1"/>
  <c r="AC149" i="4"/>
  <c r="O149" i="4" s="1"/>
  <c r="AC137" i="4"/>
  <c r="AE141" i="4"/>
  <c r="AF141" i="4" s="1"/>
  <c r="AE149" i="4"/>
  <c r="AF149" i="4" s="1"/>
  <c r="AE153" i="4"/>
  <c r="AF153" i="4" s="1"/>
  <c r="AE152" i="4"/>
  <c r="AF152" i="4" s="1"/>
  <c r="AC142" i="4"/>
  <c r="O142" i="4" s="1"/>
  <c r="AE147" i="4"/>
  <c r="AF147" i="4" s="1"/>
  <c r="AE151" i="4"/>
  <c r="AF151" i="4" s="1"/>
  <c r="AE148" i="4"/>
  <c r="AF148" i="4" s="1"/>
  <c r="AE156" i="4"/>
  <c r="AF156" i="4" s="1"/>
  <c r="AC165" i="4"/>
  <c r="O165" i="4" s="1"/>
  <c r="AC140" i="4"/>
  <c r="O140" i="4" s="1"/>
  <c r="AC144" i="4"/>
  <c r="AE137" i="4"/>
  <c r="AF137" i="4" s="1"/>
  <c r="AE160" i="4"/>
  <c r="AF160" i="4" s="1"/>
  <c r="AE164" i="4"/>
  <c r="AF164" i="4" s="1"/>
  <c r="AE139" i="4"/>
  <c r="AF139" i="4" s="1"/>
  <c r="AE143" i="4"/>
  <c r="AF143" i="4" s="1"/>
  <c r="AE155" i="4"/>
  <c r="AF155" i="4" s="1"/>
  <c r="AE161" i="4"/>
  <c r="AF161" i="4" s="1"/>
  <c r="AC160" i="4"/>
  <c r="O160" i="4" s="1"/>
  <c r="AC164" i="4"/>
  <c r="O164" i="4" s="1"/>
  <c r="AC139" i="4"/>
  <c r="O139" i="4" s="1"/>
  <c r="AE150" i="4"/>
  <c r="AF150" i="4" s="1"/>
  <c r="AE165" i="4"/>
  <c r="AF165" i="4" s="1"/>
  <c r="AF564" i="6"/>
  <c r="AD565" i="6"/>
  <c r="B1344" i="4"/>
  <c r="B1212" i="4"/>
  <c r="B1256" i="4"/>
  <c r="B1168" i="4"/>
  <c r="B1300" i="4"/>
  <c r="B1080" i="4"/>
  <c r="B1036" i="4"/>
  <c r="B1124" i="4"/>
  <c r="B992" i="4"/>
  <c r="B904" i="4"/>
  <c r="B948" i="4"/>
  <c r="B772" i="4"/>
  <c r="B816" i="4"/>
  <c r="B860" i="4"/>
  <c r="B640" i="4"/>
  <c r="B728" i="4"/>
  <c r="B684" i="4"/>
  <c r="B552" i="4"/>
  <c r="B508" i="4"/>
  <c r="B464" i="4"/>
  <c r="B596" i="4"/>
  <c r="B420" i="4"/>
  <c r="B288" i="4"/>
  <c r="B376" i="4"/>
  <c r="J111" i="4"/>
  <c r="B332" i="4"/>
  <c r="AA111" i="4"/>
  <c r="D111" i="4"/>
  <c r="E111" i="4" s="1"/>
  <c r="M111" i="4"/>
  <c r="L111" i="4"/>
  <c r="K111" i="4"/>
  <c r="I111" i="4"/>
  <c r="G111" i="4"/>
  <c r="F111" i="4"/>
  <c r="R59" i="3"/>
  <c r="U19" i="3"/>
  <c r="AF264" i="6"/>
  <c r="AD265" i="6"/>
  <c r="AA64" i="4"/>
  <c r="G64" i="4"/>
  <c r="F64" i="4"/>
  <c r="D64" i="4"/>
  <c r="H64" i="4" s="1"/>
  <c r="J64" i="4"/>
  <c r="I64" i="4"/>
  <c r="K64" i="4"/>
  <c r="L64" i="4"/>
  <c r="M64" i="4"/>
  <c r="AA190" i="5"/>
  <c r="AB190" i="5"/>
  <c r="Z190" i="5"/>
  <c r="Y190" i="5"/>
  <c r="X191" i="5"/>
  <c r="V192" i="5"/>
  <c r="AF624" i="6"/>
  <c r="AD625" i="6"/>
  <c r="B1100" i="4"/>
  <c r="B1056" i="4"/>
  <c r="B1320" i="4"/>
  <c r="B1232" i="4"/>
  <c r="B1276" i="4"/>
  <c r="B968" i="4"/>
  <c r="B1188" i="4"/>
  <c r="B1144" i="4"/>
  <c r="B1012" i="4"/>
  <c r="B924" i="4"/>
  <c r="B880" i="4"/>
  <c r="B792" i="4"/>
  <c r="B836" i="4"/>
  <c r="B704" i="4"/>
  <c r="B660" i="4"/>
  <c r="B748" i="4"/>
  <c r="B528" i="4"/>
  <c r="B616" i="4"/>
  <c r="B484" i="4"/>
  <c r="B572" i="4"/>
  <c r="B440" i="4"/>
  <c r="B352" i="4"/>
  <c r="B308" i="4"/>
  <c r="B264" i="4"/>
  <c r="Q87" i="4"/>
  <c r="G87" i="4"/>
  <c r="B396" i="4"/>
  <c r="Z87" i="4"/>
  <c r="F87" i="4"/>
  <c r="O87" i="4"/>
  <c r="D87" i="4"/>
  <c r="S87" i="4"/>
  <c r="R87" i="4"/>
  <c r="J87" i="4"/>
  <c r="K87" i="4"/>
  <c r="T87" i="4"/>
  <c r="B1317" i="4"/>
  <c r="B1273" i="4"/>
  <c r="B1229" i="4"/>
  <c r="B1053" i="4"/>
  <c r="B1185" i="4"/>
  <c r="B1097" i="4"/>
  <c r="B1141" i="4"/>
  <c r="B921" i="4"/>
  <c r="B1009" i="4"/>
  <c r="B877" i="4"/>
  <c r="B965" i="4"/>
  <c r="B833" i="4"/>
  <c r="B657" i="4"/>
  <c r="B789" i="4"/>
  <c r="B745" i="4"/>
  <c r="B701" i="4"/>
  <c r="B525" i="4"/>
  <c r="B481" i="4"/>
  <c r="B437" i="4"/>
  <c r="B613" i="4"/>
  <c r="B569" i="4"/>
  <c r="B305" i="4"/>
  <c r="B261" i="4"/>
  <c r="K84" i="4"/>
  <c r="T84" i="4"/>
  <c r="J84" i="4"/>
  <c r="B393" i="4"/>
  <c r="S84" i="4"/>
  <c r="O84" i="4"/>
  <c r="Z84" i="4"/>
  <c r="F84" i="4"/>
  <c r="G84" i="4"/>
  <c r="B349" i="4"/>
  <c r="R84" i="4"/>
  <c r="Q84" i="4"/>
  <c r="D84" i="4"/>
  <c r="B1125" i="4"/>
  <c r="B1345" i="4"/>
  <c r="B1081" i="4"/>
  <c r="B1301" i="4"/>
  <c r="B1257" i="4"/>
  <c r="B1213" i="4"/>
  <c r="B1169" i="4"/>
  <c r="B993" i="4"/>
  <c r="B949" i="4"/>
  <c r="B1037" i="4"/>
  <c r="B861" i="4"/>
  <c r="B905" i="4"/>
  <c r="B773" i="4"/>
  <c r="B817" i="4"/>
  <c r="B729" i="4"/>
  <c r="B685" i="4"/>
  <c r="B553" i="4"/>
  <c r="B641" i="4"/>
  <c r="B597" i="4"/>
  <c r="B509" i="4"/>
  <c r="B333" i="4"/>
  <c r="J112" i="4"/>
  <c r="I112" i="4"/>
  <c r="B289" i="4"/>
  <c r="B421" i="4"/>
  <c r="G112" i="4"/>
  <c r="B465" i="4"/>
  <c r="F112" i="4"/>
  <c r="D112" i="4"/>
  <c r="E112" i="4" s="1"/>
  <c r="B377" i="4"/>
  <c r="L112" i="4"/>
  <c r="K112" i="4"/>
  <c r="AA112" i="4"/>
  <c r="M112" i="4"/>
  <c r="B1162" i="4"/>
  <c r="B1250" i="4"/>
  <c r="B1118" i="4"/>
  <c r="B1294" i="4"/>
  <c r="B1206" i="4"/>
  <c r="B1338" i="4"/>
  <c r="B1030" i="4"/>
  <c r="B1074" i="4"/>
  <c r="B986" i="4"/>
  <c r="B942" i="4"/>
  <c r="B810" i="4"/>
  <c r="B854" i="4"/>
  <c r="B898" i="4"/>
  <c r="B722" i="4"/>
  <c r="B678" i="4"/>
  <c r="B766" i="4"/>
  <c r="B634" i="4"/>
  <c r="B590" i="4"/>
  <c r="B546" i="4"/>
  <c r="B370" i="4"/>
  <c r="B502" i="4"/>
  <c r="B326" i="4"/>
  <c r="B414" i="4"/>
  <c r="B458" i="4"/>
  <c r="K105" i="4"/>
  <c r="J105" i="4"/>
  <c r="I105" i="4"/>
  <c r="AA105" i="4"/>
  <c r="G105" i="4"/>
  <c r="B282" i="4"/>
  <c r="M105" i="4"/>
  <c r="L105" i="4"/>
  <c r="F105" i="4"/>
  <c r="D105" i="4"/>
  <c r="F60" i="4"/>
  <c r="O60" i="4"/>
  <c r="D60" i="4"/>
  <c r="H60" i="4" s="1"/>
  <c r="M60" i="4"/>
  <c r="L60" i="4"/>
  <c r="K60" i="4"/>
  <c r="J60" i="4"/>
  <c r="I60" i="4"/>
  <c r="G60" i="4"/>
  <c r="AA60" i="4"/>
  <c r="AA49" i="4"/>
  <c r="G49" i="4"/>
  <c r="F49" i="4"/>
  <c r="D49" i="4"/>
  <c r="H49" i="4" s="1"/>
  <c r="L49" i="4"/>
  <c r="K49" i="4"/>
  <c r="J49" i="4"/>
  <c r="I49" i="4"/>
  <c r="M49" i="4"/>
  <c r="K37" i="4"/>
  <c r="T37" i="4"/>
  <c r="J37" i="4"/>
  <c r="R37" i="4"/>
  <c r="Z37" i="4"/>
  <c r="G37" i="4"/>
  <c r="F37" i="4"/>
  <c r="S37" i="4"/>
  <c r="Q37" i="4"/>
  <c r="O37" i="4"/>
  <c r="D37" i="4"/>
  <c r="E37" i="4" s="1"/>
  <c r="R34" i="4"/>
  <c r="Q34" i="4"/>
  <c r="G34" i="4"/>
  <c r="Z34" i="4"/>
  <c r="F34" i="4"/>
  <c r="D34" i="4"/>
  <c r="J34" i="4"/>
  <c r="T34" i="4"/>
  <c r="S34" i="4"/>
  <c r="O34" i="4"/>
  <c r="K34" i="4"/>
  <c r="AI414" i="6"/>
  <c r="AH414" i="6"/>
  <c r="AG414" i="6"/>
  <c r="AJ414" i="6"/>
  <c r="F152" i="4"/>
  <c r="D152" i="4"/>
  <c r="H152" i="4" s="1"/>
  <c r="M152" i="4"/>
  <c r="J152" i="4"/>
  <c r="K152" i="4"/>
  <c r="I152" i="4"/>
  <c r="AA152" i="4"/>
  <c r="G152" i="4"/>
  <c r="L152" i="4"/>
  <c r="L154" i="4"/>
  <c r="K154" i="4"/>
  <c r="J154" i="4"/>
  <c r="I154" i="4"/>
  <c r="F154" i="4"/>
  <c r="AA154" i="4"/>
  <c r="G154" i="4"/>
  <c r="D154" i="4"/>
  <c r="H154" i="4" s="1"/>
  <c r="M154" i="4"/>
  <c r="D133" i="4"/>
  <c r="K133" i="4"/>
  <c r="R133" i="4"/>
  <c r="S133" i="4"/>
  <c r="Q133" i="4"/>
  <c r="O133" i="4"/>
  <c r="J133" i="4"/>
  <c r="T133" i="4"/>
  <c r="F133" i="4"/>
  <c r="G133" i="4"/>
  <c r="Z133" i="4"/>
  <c r="F137" i="4"/>
  <c r="D137" i="4"/>
  <c r="H137" i="4" s="1"/>
  <c r="M137" i="4"/>
  <c r="J137" i="4"/>
  <c r="K137" i="4"/>
  <c r="I137" i="4"/>
  <c r="AA137" i="4"/>
  <c r="G137" i="4"/>
  <c r="L137" i="4"/>
  <c r="AG563" i="6"/>
  <c r="AJ563" i="6"/>
  <c r="AI563" i="6"/>
  <c r="AH563" i="6"/>
  <c r="B1307" i="4"/>
  <c r="B1263" i="4"/>
  <c r="B1219" i="4"/>
  <c r="B1175" i="4"/>
  <c r="B1351" i="4"/>
  <c r="B1087" i="4"/>
  <c r="B1131" i="4"/>
  <c r="B999" i="4"/>
  <c r="B911" i="4"/>
  <c r="B1043" i="4"/>
  <c r="B955" i="4"/>
  <c r="B867" i="4"/>
  <c r="B823" i="4"/>
  <c r="B603" i="4"/>
  <c r="B779" i="4"/>
  <c r="B735" i="4"/>
  <c r="B691" i="4"/>
  <c r="B647" i="4"/>
  <c r="B471" i="4"/>
  <c r="B559" i="4"/>
  <c r="I118" i="4"/>
  <c r="AA118" i="4"/>
  <c r="G118" i="4"/>
  <c r="F118" i="4"/>
  <c r="B515" i="4"/>
  <c r="B339" i="4"/>
  <c r="M118" i="4"/>
  <c r="B427" i="4"/>
  <c r="L118" i="4"/>
  <c r="K118" i="4"/>
  <c r="J118" i="4"/>
  <c r="B295" i="4"/>
  <c r="B383" i="4"/>
  <c r="D118" i="4"/>
  <c r="B1292" i="4"/>
  <c r="B1336" i="4"/>
  <c r="B1204" i="4"/>
  <c r="B1248" i="4"/>
  <c r="B1160" i="4"/>
  <c r="B1116" i="4"/>
  <c r="B1028" i="4"/>
  <c r="B896" i="4"/>
  <c r="B984" i="4"/>
  <c r="B940" i="4"/>
  <c r="B1072" i="4"/>
  <c r="B852" i="4"/>
  <c r="B588" i="4"/>
  <c r="B720" i="4"/>
  <c r="B764" i="4"/>
  <c r="B676" i="4"/>
  <c r="B808" i="4"/>
  <c r="B456" i="4"/>
  <c r="B632" i="4"/>
  <c r="B544" i="4"/>
  <c r="B500" i="4"/>
  <c r="B368" i="4"/>
  <c r="B412" i="4"/>
  <c r="B324" i="4"/>
  <c r="B280" i="4"/>
  <c r="D103" i="4"/>
  <c r="E103" i="4" s="1"/>
  <c r="M103" i="4"/>
  <c r="L103" i="4"/>
  <c r="K103" i="4"/>
  <c r="AA103" i="4"/>
  <c r="G103" i="4"/>
  <c r="F103" i="4"/>
  <c r="I103" i="4"/>
  <c r="J103" i="4"/>
  <c r="B1272" i="4"/>
  <c r="B1184" i="4"/>
  <c r="B1316" i="4"/>
  <c r="B1140" i="4"/>
  <c r="B1052" i="4"/>
  <c r="B1228" i="4"/>
  <c r="B1008" i="4"/>
  <c r="B920" i="4"/>
  <c r="B1096" i="4"/>
  <c r="B832" i="4"/>
  <c r="B964" i="4"/>
  <c r="B876" i="4"/>
  <c r="B788" i="4"/>
  <c r="B700" i="4"/>
  <c r="B612" i="4"/>
  <c r="B568" i="4"/>
  <c r="B436" i="4"/>
  <c r="B656" i="4"/>
  <c r="B744" i="4"/>
  <c r="B392" i="4"/>
  <c r="B348" i="4"/>
  <c r="B524" i="4"/>
  <c r="B304" i="4"/>
  <c r="O83" i="4"/>
  <c r="D83" i="4"/>
  <c r="E83" i="4" s="1"/>
  <c r="K83" i="4"/>
  <c r="B260" i="4"/>
  <c r="G83" i="4"/>
  <c r="Z83" i="4"/>
  <c r="F83" i="4"/>
  <c r="B480" i="4"/>
  <c r="T83" i="4"/>
  <c r="R83" i="4"/>
  <c r="S83" i="4"/>
  <c r="Q83" i="4"/>
  <c r="J83" i="4"/>
  <c r="B1282" i="4"/>
  <c r="B1238" i="4"/>
  <c r="B1194" i="4"/>
  <c r="B1150" i="4"/>
  <c r="B1326" i="4"/>
  <c r="B1106" i="4"/>
  <c r="B1062" i="4"/>
  <c r="B1018" i="4"/>
  <c r="B930" i="4"/>
  <c r="B886" i="4"/>
  <c r="B798" i="4"/>
  <c r="B842" i="4"/>
  <c r="B974" i="4"/>
  <c r="B754" i="4"/>
  <c r="B710" i="4"/>
  <c r="B622" i="4"/>
  <c r="B446" i="4"/>
  <c r="B666" i="4"/>
  <c r="B578" i="4"/>
  <c r="B402" i="4"/>
  <c r="B358" i="4"/>
  <c r="B490" i="4"/>
  <c r="B314" i="4"/>
  <c r="B534" i="4"/>
  <c r="D93" i="4"/>
  <c r="M93" i="4"/>
  <c r="L93" i="4"/>
  <c r="B270" i="4"/>
  <c r="K93" i="4"/>
  <c r="AA93" i="4"/>
  <c r="G93" i="4"/>
  <c r="F93" i="4"/>
  <c r="J93" i="4"/>
  <c r="I93" i="4"/>
  <c r="V71" i="5"/>
  <c r="X70" i="5"/>
  <c r="B1264" i="4"/>
  <c r="B1088" i="4"/>
  <c r="B1044" i="4"/>
  <c r="B1352" i="4"/>
  <c r="B1308" i="4"/>
  <c r="B1220" i="4"/>
  <c r="B956" i="4"/>
  <c r="B1176" i="4"/>
  <c r="B1000" i="4"/>
  <c r="B1132" i="4"/>
  <c r="B912" i="4"/>
  <c r="B824" i="4"/>
  <c r="B868" i="4"/>
  <c r="B692" i="4"/>
  <c r="B780" i="4"/>
  <c r="B736" i="4"/>
  <c r="B648" i="4"/>
  <c r="B604" i="4"/>
  <c r="B560" i="4"/>
  <c r="B516" i="4"/>
  <c r="B472" i="4"/>
  <c r="B340" i="4"/>
  <c r="AA119" i="4"/>
  <c r="G119" i="4"/>
  <c r="B296" i="4"/>
  <c r="F119" i="4"/>
  <c r="O119" i="4"/>
  <c r="B384" i="4"/>
  <c r="D119" i="4"/>
  <c r="E119" i="4" s="1"/>
  <c r="B428" i="4"/>
  <c r="K119" i="4"/>
  <c r="M119" i="4"/>
  <c r="L119" i="4"/>
  <c r="J119" i="4"/>
  <c r="I119" i="4"/>
  <c r="B1297" i="4"/>
  <c r="B1341" i="4"/>
  <c r="B1209" i="4"/>
  <c r="B1165" i="4"/>
  <c r="B1253" i="4"/>
  <c r="B1121" i="4"/>
  <c r="B1077" i="4"/>
  <c r="B1033" i="4"/>
  <c r="B989" i="4"/>
  <c r="B901" i="4"/>
  <c r="B945" i="4"/>
  <c r="B813" i="4"/>
  <c r="B857" i="4"/>
  <c r="B593" i="4"/>
  <c r="B769" i="4"/>
  <c r="B725" i="4"/>
  <c r="B681" i="4"/>
  <c r="B637" i="4"/>
  <c r="B461" i="4"/>
  <c r="B417" i="4"/>
  <c r="B373" i="4"/>
  <c r="B329" i="4"/>
  <c r="B549" i="4"/>
  <c r="D108" i="4"/>
  <c r="B505" i="4"/>
  <c r="M108" i="4"/>
  <c r="L108" i="4"/>
  <c r="K108" i="4"/>
  <c r="B285" i="4"/>
  <c r="AA108" i="4"/>
  <c r="G108" i="4"/>
  <c r="F108" i="4"/>
  <c r="J108" i="4"/>
  <c r="I108" i="4"/>
  <c r="AC114" i="4"/>
  <c r="O114" i="4" s="1"/>
  <c r="AE111" i="4"/>
  <c r="AF111" i="4" s="1"/>
  <c r="AC111" i="4"/>
  <c r="O111" i="4" s="1"/>
  <c r="AC107" i="4"/>
  <c r="O107" i="4" s="1"/>
  <c r="AC102" i="4"/>
  <c r="O102" i="4" s="1"/>
  <c r="AC97" i="4"/>
  <c r="O97" i="4" s="1"/>
  <c r="AC108" i="4"/>
  <c r="O108" i="4" s="1"/>
  <c r="AC103" i="4"/>
  <c r="O103" i="4" s="1"/>
  <c r="AC92" i="4"/>
  <c r="O92" i="4" s="1"/>
  <c r="AE115" i="4"/>
  <c r="AF115" i="4" s="1"/>
  <c r="AC93" i="4"/>
  <c r="O93" i="4" s="1"/>
  <c r="AC110" i="4"/>
  <c r="O110" i="4" s="1"/>
  <c r="AC98" i="4"/>
  <c r="O98" i="4" s="1"/>
  <c r="AE116" i="4"/>
  <c r="AF116" i="4" s="1"/>
  <c r="AC106" i="4"/>
  <c r="O106" i="4" s="1"/>
  <c r="AC95" i="4"/>
  <c r="O95" i="4" s="1"/>
  <c r="AC94" i="4"/>
  <c r="O94" i="4" s="1"/>
  <c r="AE107" i="4"/>
  <c r="AF107" i="4" s="1"/>
  <c r="AC112" i="4"/>
  <c r="O112" i="4" s="1"/>
  <c r="AE105" i="4"/>
  <c r="AF105" i="4" s="1"/>
  <c r="AE94" i="4"/>
  <c r="AF94" i="4" s="1"/>
  <c r="AC116" i="4"/>
  <c r="O116" i="4" s="1"/>
  <c r="AE93" i="4"/>
  <c r="AF93" i="4" s="1"/>
  <c r="AC118" i="4"/>
  <c r="O118" i="4" s="1"/>
  <c r="AC101" i="4"/>
  <c r="O101" i="4" s="1"/>
  <c r="AC90" i="4"/>
  <c r="O90" i="4" s="1"/>
  <c r="AC89" i="4"/>
  <c r="H21" i="4"/>
  <c r="AB89" i="4"/>
  <c r="AC104" i="4"/>
  <c r="O104" i="4" s="1"/>
  <c r="AC109" i="4"/>
  <c r="O109" i="4" s="1"/>
  <c r="AE117" i="4"/>
  <c r="AF117" i="4" s="1"/>
  <c r="AE100" i="4"/>
  <c r="AF100" i="4" s="1"/>
  <c r="AE89" i="4"/>
  <c r="AF89" i="4" s="1"/>
  <c r="AE110" i="4"/>
  <c r="AF110" i="4" s="1"/>
  <c r="AE95" i="4"/>
  <c r="AF95" i="4" s="1"/>
  <c r="AE91" i="4"/>
  <c r="AF91" i="4" s="1"/>
  <c r="AC91" i="4"/>
  <c r="O91" i="4" s="1"/>
  <c r="AC105" i="4"/>
  <c r="O105" i="4" s="1"/>
  <c r="AC113" i="4"/>
  <c r="O113" i="4" s="1"/>
  <c r="AC96" i="4"/>
  <c r="O96" i="4" s="1"/>
  <c r="AE108" i="4"/>
  <c r="AF108" i="4" s="1"/>
  <c r="AE96" i="4"/>
  <c r="AF96" i="4" s="1"/>
  <c r="AC115" i="4"/>
  <c r="O115" i="4" s="1"/>
  <c r="AE90" i="4"/>
  <c r="AF90" i="4" s="1"/>
  <c r="AE104" i="4"/>
  <c r="AF104" i="4" s="1"/>
  <c r="AE103" i="4"/>
  <c r="AF103" i="4" s="1"/>
  <c r="AE92" i="4"/>
  <c r="AF92" i="4" s="1"/>
  <c r="AE112" i="4"/>
  <c r="AF112" i="4" s="1"/>
  <c r="AE101" i="4"/>
  <c r="AF101" i="4" s="1"/>
  <c r="AE114" i="4"/>
  <c r="AF114" i="4" s="1"/>
  <c r="AC100" i="4"/>
  <c r="O100" i="4" s="1"/>
  <c r="AE113" i="4"/>
  <c r="AF113" i="4" s="1"/>
  <c r="AC99" i="4"/>
  <c r="O99" i="4" s="1"/>
  <c r="AE97" i="4"/>
  <c r="AF97" i="4" s="1"/>
  <c r="AE106" i="4"/>
  <c r="AF106" i="4" s="1"/>
  <c r="AC117" i="4"/>
  <c r="AE99" i="4"/>
  <c r="AF99" i="4" s="1"/>
  <c r="AE109" i="4"/>
  <c r="AF109" i="4" s="1"/>
  <c r="AE98" i="4"/>
  <c r="AF98" i="4" s="1"/>
  <c r="AE102" i="4"/>
  <c r="AF102" i="4" s="1"/>
  <c r="AD384" i="6"/>
  <c r="AF383" i="6"/>
  <c r="AD654" i="6"/>
  <c r="AF653" i="6"/>
  <c r="X101" i="5"/>
  <c r="V102" i="5"/>
  <c r="K32" i="4"/>
  <c r="T32" i="4"/>
  <c r="J32" i="4"/>
  <c r="R32" i="4"/>
  <c r="F32" i="4"/>
  <c r="S32" i="4"/>
  <c r="D32" i="4"/>
  <c r="E32" i="4" s="1"/>
  <c r="Q32" i="4"/>
  <c r="O32" i="4"/>
  <c r="G32" i="4"/>
  <c r="Z32" i="4"/>
  <c r="G17" i="4"/>
  <c r="X32" i="4"/>
  <c r="X33" i="4" s="1"/>
  <c r="AA166" i="4"/>
  <c r="G166" i="4"/>
  <c r="F166" i="4"/>
  <c r="O166" i="4"/>
  <c r="L166" i="4"/>
  <c r="I166" i="4"/>
  <c r="D166" i="4"/>
  <c r="H166" i="4" s="1"/>
  <c r="M166" i="4"/>
  <c r="K166" i="4"/>
  <c r="J166" i="4"/>
  <c r="B1244" i="4"/>
  <c r="B1068" i="4"/>
  <c r="B1288" i="4"/>
  <c r="B1200" i="4"/>
  <c r="B1112" i="4"/>
  <c r="B1156" i="4"/>
  <c r="B1332" i="4"/>
  <c r="B1024" i="4"/>
  <c r="B936" i="4"/>
  <c r="B980" i="4"/>
  <c r="B804" i="4"/>
  <c r="B760" i="4"/>
  <c r="B848" i="4"/>
  <c r="B892" i="4"/>
  <c r="B672" i="4"/>
  <c r="B716" i="4"/>
  <c r="B540" i="4"/>
  <c r="B496" i="4"/>
  <c r="B628" i="4"/>
  <c r="B584" i="4"/>
  <c r="B452" i="4"/>
  <c r="B408" i="4"/>
  <c r="B320" i="4"/>
  <c r="B276" i="4"/>
  <c r="B364" i="4"/>
  <c r="M99" i="4"/>
  <c r="L99" i="4"/>
  <c r="K99" i="4"/>
  <c r="J99" i="4"/>
  <c r="I99" i="4"/>
  <c r="F99" i="4"/>
  <c r="AA99" i="4"/>
  <c r="G99" i="4"/>
  <c r="D99" i="4"/>
  <c r="E99" i="4" s="1"/>
  <c r="AD445" i="6"/>
  <c r="AF444" i="6"/>
  <c r="B1324" i="4"/>
  <c r="B1280" i="4"/>
  <c r="B1236" i="4"/>
  <c r="B1192" i="4"/>
  <c r="B1104" i="4"/>
  <c r="B1148" i="4"/>
  <c r="B1060" i="4"/>
  <c r="B1016" i="4"/>
  <c r="B752" i="4"/>
  <c r="B972" i="4"/>
  <c r="B928" i="4"/>
  <c r="B884" i="4"/>
  <c r="B840" i="4"/>
  <c r="B620" i="4"/>
  <c r="B796" i="4"/>
  <c r="B708" i="4"/>
  <c r="B664" i="4"/>
  <c r="B532" i="4"/>
  <c r="B488" i="4"/>
  <c r="B576" i="4"/>
  <c r="B444" i="4"/>
  <c r="B268" i="4"/>
  <c r="B400" i="4"/>
  <c r="B356" i="4"/>
  <c r="I91" i="4"/>
  <c r="AA91" i="4"/>
  <c r="G91" i="4"/>
  <c r="F91" i="4"/>
  <c r="B312" i="4"/>
  <c r="K91" i="4"/>
  <c r="J91" i="4"/>
  <c r="D91" i="4"/>
  <c r="E91" i="4" s="1"/>
  <c r="M91" i="4"/>
  <c r="L91" i="4"/>
  <c r="AI743" i="6"/>
  <c r="AH743" i="6"/>
  <c r="AG743" i="6"/>
  <c r="AJ743" i="6"/>
  <c r="B1157" i="4"/>
  <c r="B1113" i="4"/>
  <c r="B1333" i="4"/>
  <c r="B1245" i="4"/>
  <c r="B1289" i="4"/>
  <c r="B1201" i="4"/>
  <c r="B1025" i="4"/>
  <c r="B1069" i="4"/>
  <c r="B937" i="4"/>
  <c r="B849" i="4"/>
  <c r="B981" i="4"/>
  <c r="B893" i="4"/>
  <c r="B805" i="4"/>
  <c r="B717" i="4"/>
  <c r="B673" i="4"/>
  <c r="B761" i="4"/>
  <c r="B629" i="4"/>
  <c r="B585" i="4"/>
  <c r="B541" i="4"/>
  <c r="B365" i="4"/>
  <c r="B321" i="4"/>
  <c r="K100" i="4"/>
  <c r="B497" i="4"/>
  <c r="B277" i="4"/>
  <c r="J100" i="4"/>
  <c r="I100" i="4"/>
  <c r="AA100" i="4"/>
  <c r="G100" i="4"/>
  <c r="B453" i="4"/>
  <c r="M100" i="4"/>
  <c r="D100" i="4"/>
  <c r="E100" i="4" s="1"/>
  <c r="B409" i="4"/>
  <c r="L100" i="4"/>
  <c r="F100" i="4"/>
  <c r="B1130" i="4"/>
  <c r="B1262" i="4"/>
  <c r="B1086" i="4"/>
  <c r="B1306" i="4"/>
  <c r="B1218" i="4"/>
  <c r="B1350" i="4"/>
  <c r="B998" i="4"/>
  <c r="B1042" i="4"/>
  <c r="B1174" i="4"/>
  <c r="B954" i="4"/>
  <c r="B822" i="4"/>
  <c r="B866" i="4"/>
  <c r="B778" i="4"/>
  <c r="B910" i="4"/>
  <c r="B734" i="4"/>
  <c r="B690" i="4"/>
  <c r="B646" i="4"/>
  <c r="B602" i="4"/>
  <c r="B558" i="4"/>
  <c r="B514" i="4"/>
  <c r="B382" i="4"/>
  <c r="K117" i="4"/>
  <c r="B426" i="4"/>
  <c r="B338" i="4"/>
  <c r="J117" i="4"/>
  <c r="B470" i="4"/>
  <c r="I117" i="4"/>
  <c r="B294" i="4"/>
  <c r="O117" i="4"/>
  <c r="F117" i="4"/>
  <c r="D117" i="4"/>
  <c r="E117" i="4" s="1"/>
  <c r="AA117" i="4"/>
  <c r="M117" i="4"/>
  <c r="L117" i="4"/>
  <c r="G117" i="4"/>
  <c r="B1105" i="4"/>
  <c r="B1237" i="4"/>
  <c r="B1325" i="4"/>
  <c r="B1061" i="4"/>
  <c r="B1281" i="4"/>
  <c r="B1193" i="4"/>
  <c r="B973" i="4"/>
  <c r="B1149" i="4"/>
  <c r="B929" i="4"/>
  <c r="B1017" i="4"/>
  <c r="B841" i="4"/>
  <c r="B885" i="4"/>
  <c r="B797" i="4"/>
  <c r="B709" i="4"/>
  <c r="B665" i="4"/>
  <c r="B753" i="4"/>
  <c r="B577" i="4"/>
  <c r="B621" i="4"/>
  <c r="B533" i="4"/>
  <c r="B489" i="4"/>
  <c r="B357" i="4"/>
  <c r="B445" i="4"/>
  <c r="B313" i="4"/>
  <c r="B269" i="4"/>
  <c r="B401" i="4"/>
  <c r="AA92" i="4"/>
  <c r="G92" i="4"/>
  <c r="F92" i="4"/>
  <c r="D92" i="4"/>
  <c r="M92" i="4"/>
  <c r="L92" i="4"/>
  <c r="J92" i="4"/>
  <c r="K92" i="4"/>
  <c r="I92" i="4"/>
  <c r="B1334" i="4"/>
  <c r="B1290" i="4"/>
  <c r="B1202" i="4"/>
  <c r="B1246" i="4"/>
  <c r="B1070" i="4"/>
  <c r="B1158" i="4"/>
  <c r="B1114" i="4"/>
  <c r="B938" i="4"/>
  <c r="B982" i="4"/>
  <c r="B1026" i="4"/>
  <c r="B762" i="4"/>
  <c r="B806" i="4"/>
  <c r="B894" i="4"/>
  <c r="B630" i="4"/>
  <c r="B850" i="4"/>
  <c r="B718" i="4"/>
  <c r="B674" i="4"/>
  <c r="B542" i="4"/>
  <c r="B498" i="4"/>
  <c r="B586" i="4"/>
  <c r="B454" i="4"/>
  <c r="B278" i="4"/>
  <c r="B366" i="4"/>
  <c r="I101" i="4"/>
  <c r="B410" i="4"/>
  <c r="B322" i="4"/>
  <c r="AA101" i="4"/>
  <c r="G101" i="4"/>
  <c r="F101" i="4"/>
  <c r="E101" i="4"/>
  <c r="K101" i="4"/>
  <c r="J101" i="4"/>
  <c r="D101" i="4"/>
  <c r="M101" i="4"/>
  <c r="L101" i="4"/>
  <c r="AF83" i="6"/>
  <c r="AD84" i="6"/>
  <c r="AD175" i="6"/>
  <c r="AF174" i="6"/>
  <c r="D61" i="4"/>
  <c r="H61" i="4" s="1"/>
  <c r="M61" i="4"/>
  <c r="L61" i="4"/>
  <c r="K61" i="4"/>
  <c r="J61" i="4"/>
  <c r="F61" i="4"/>
  <c r="AA61" i="4"/>
  <c r="O61" i="4"/>
  <c r="I61" i="4"/>
  <c r="G61" i="4"/>
  <c r="D56" i="4"/>
  <c r="H56" i="4" s="1"/>
  <c r="M56" i="4"/>
  <c r="L56" i="4"/>
  <c r="K56" i="4"/>
  <c r="J56" i="4"/>
  <c r="F56" i="4"/>
  <c r="AA56" i="4"/>
  <c r="O56" i="4"/>
  <c r="I56" i="4"/>
  <c r="G56" i="4"/>
  <c r="D36" i="4"/>
  <c r="T36" i="4"/>
  <c r="J36" i="4"/>
  <c r="K36" i="4"/>
  <c r="Z36" i="4"/>
  <c r="G36" i="4"/>
  <c r="F36" i="4"/>
  <c r="S36" i="4"/>
  <c r="R36" i="4"/>
  <c r="Q36" i="4"/>
  <c r="O36" i="4"/>
  <c r="L57" i="4"/>
  <c r="K57" i="4"/>
  <c r="J57" i="4"/>
  <c r="I57" i="4"/>
  <c r="M57" i="4"/>
  <c r="AA57" i="4"/>
  <c r="G57" i="4"/>
  <c r="F57" i="4"/>
  <c r="D57" i="4"/>
  <c r="H57" i="4" s="1"/>
  <c r="X280" i="5"/>
  <c r="V281" i="5"/>
  <c r="V221" i="5"/>
  <c r="X220" i="5"/>
  <c r="AI322" i="6"/>
  <c r="AH322" i="6"/>
  <c r="AG322" i="6"/>
  <c r="AJ322" i="6"/>
  <c r="AD416" i="6"/>
  <c r="AF415" i="6"/>
  <c r="J155" i="4"/>
  <c r="I155" i="4"/>
  <c r="AA155" i="4"/>
  <c r="G155" i="4"/>
  <c r="D155" i="4"/>
  <c r="H155" i="4" s="1"/>
  <c r="M155" i="4"/>
  <c r="L155" i="4"/>
  <c r="K155" i="4"/>
  <c r="F155" i="4"/>
  <c r="L144" i="4"/>
  <c r="K144" i="4"/>
  <c r="J144" i="4"/>
  <c r="I144" i="4"/>
  <c r="F144" i="4"/>
  <c r="AA144" i="4"/>
  <c r="G144" i="4"/>
  <c r="D144" i="4"/>
  <c r="H144" i="4" s="1"/>
  <c r="O144" i="4"/>
  <c r="M144" i="4"/>
  <c r="J150" i="4"/>
  <c r="I150" i="4"/>
  <c r="AA150" i="4"/>
  <c r="G150" i="4"/>
  <c r="D150" i="4"/>
  <c r="H150" i="4" s="1"/>
  <c r="O150" i="4"/>
  <c r="M150" i="4"/>
  <c r="L150" i="4"/>
  <c r="K150" i="4"/>
  <c r="F150" i="4"/>
  <c r="D158" i="4"/>
  <c r="H158" i="4" s="1"/>
  <c r="M158" i="4"/>
  <c r="L158" i="4"/>
  <c r="K158" i="4"/>
  <c r="J158" i="4"/>
  <c r="I158" i="4"/>
  <c r="F158" i="4"/>
  <c r="G158" i="4"/>
  <c r="AA158" i="4"/>
  <c r="AG502" i="6"/>
  <c r="AJ502" i="6"/>
  <c r="AI502" i="6"/>
  <c r="AH502" i="6"/>
  <c r="E142" i="4" l="1"/>
  <c r="E146" i="4"/>
  <c r="E53" i="4"/>
  <c r="E50" i="4"/>
  <c r="E64" i="4"/>
  <c r="E143" i="4"/>
  <c r="G16" i="4"/>
  <c r="B79" i="1" s="1"/>
  <c r="V32" i="4"/>
  <c r="V33" i="4" s="1"/>
  <c r="O137" i="4"/>
  <c r="E60" i="4"/>
  <c r="P33" i="4"/>
  <c r="E48" i="4"/>
  <c r="E166" i="4"/>
  <c r="E138" i="4"/>
  <c r="E54" i="4"/>
  <c r="E49" i="4"/>
  <c r="E141" i="4"/>
  <c r="E139" i="4"/>
  <c r="X128" i="4"/>
  <c r="E153" i="4"/>
  <c r="E149" i="4"/>
  <c r="E65" i="4"/>
  <c r="E67" i="4"/>
  <c r="E57" i="4"/>
  <c r="P36" i="4"/>
  <c r="P134" i="4"/>
  <c r="E71" i="4"/>
  <c r="P85" i="4"/>
  <c r="E165" i="4"/>
  <c r="X34" i="4"/>
  <c r="X35" i="4" s="1"/>
  <c r="E137" i="4"/>
  <c r="E62" i="4"/>
  <c r="E140" i="4"/>
  <c r="V251" i="5"/>
  <c r="X250" i="5"/>
  <c r="P83" i="4"/>
  <c r="E47" i="4"/>
  <c r="E44" i="4"/>
  <c r="E52" i="4"/>
  <c r="E69" i="4"/>
  <c r="Z249" i="5"/>
  <c r="Y249" i="5"/>
  <c r="AB249" i="5"/>
  <c r="AA249" i="5"/>
  <c r="X81" i="4"/>
  <c r="X82" i="4" s="1"/>
  <c r="E158" i="4"/>
  <c r="E160" i="4"/>
  <c r="P88" i="4"/>
  <c r="I1193" i="4"/>
  <c r="I1244" i="4"/>
  <c r="I806" i="4"/>
  <c r="I269" i="4"/>
  <c r="I1061" i="4"/>
  <c r="E1306" i="4"/>
  <c r="E1218" i="4"/>
  <c r="E1174" i="4"/>
  <c r="E1350" i="4"/>
  <c r="E1262" i="4"/>
  <c r="E1130" i="4"/>
  <c r="E954" i="4"/>
  <c r="E1042" i="4"/>
  <c r="E778" i="4"/>
  <c r="E998" i="4"/>
  <c r="E1086" i="4"/>
  <c r="E866" i="4"/>
  <c r="E910" i="4"/>
  <c r="E822" i="4"/>
  <c r="E646" i="4"/>
  <c r="E734" i="4"/>
  <c r="E382" i="4"/>
  <c r="E690" i="4"/>
  <c r="E514" i="4"/>
  <c r="E470" i="4"/>
  <c r="E426" i="4"/>
  <c r="E294" i="4"/>
  <c r="E602" i="4"/>
  <c r="E558" i="4"/>
  <c r="E338" i="4"/>
  <c r="I585" i="4"/>
  <c r="Y280" i="5"/>
  <c r="AB280" i="5"/>
  <c r="AA280" i="5"/>
  <c r="Z280" i="5"/>
  <c r="I498" i="4"/>
  <c r="I357" i="4"/>
  <c r="I1105" i="4"/>
  <c r="I426" i="4"/>
  <c r="I1086" i="4"/>
  <c r="I1289" i="4"/>
  <c r="I884" i="4"/>
  <c r="I285" i="4"/>
  <c r="I813" i="4"/>
  <c r="I1341" i="4"/>
  <c r="I1352" i="4"/>
  <c r="C1326" i="4"/>
  <c r="C1238" i="4"/>
  <c r="C1150" i="4"/>
  <c r="C1106" i="4"/>
  <c r="C1282" i="4"/>
  <c r="C1062" i="4"/>
  <c r="C1194" i="4"/>
  <c r="C1018" i="4"/>
  <c r="C886" i="4"/>
  <c r="C974" i="4"/>
  <c r="C798" i="4"/>
  <c r="C930" i="4"/>
  <c r="C842" i="4"/>
  <c r="C754" i="4"/>
  <c r="C710" i="4"/>
  <c r="C666" i="4"/>
  <c r="C490" i="4"/>
  <c r="C622" i="4"/>
  <c r="C446" i="4"/>
  <c r="C402" i="4"/>
  <c r="C578" i="4"/>
  <c r="C534" i="4"/>
  <c r="C358" i="4"/>
  <c r="C270" i="4"/>
  <c r="C314" i="4"/>
  <c r="H93" i="4"/>
  <c r="I1018" i="4"/>
  <c r="F1316" i="4"/>
  <c r="F1096" i="4"/>
  <c r="F1272" i="4"/>
  <c r="F1052" i="4"/>
  <c r="F1228" i="4"/>
  <c r="F964" i="4"/>
  <c r="F1184" i="4"/>
  <c r="F1140" i="4"/>
  <c r="F1008" i="4"/>
  <c r="F920" i="4"/>
  <c r="F876" i="4"/>
  <c r="F788" i="4"/>
  <c r="F832" i="4"/>
  <c r="F700" i="4"/>
  <c r="F656" i="4"/>
  <c r="F744" i="4"/>
  <c r="F524" i="4"/>
  <c r="F612" i="4"/>
  <c r="F480" i="4"/>
  <c r="F568" i="4"/>
  <c r="F348" i="4"/>
  <c r="F436" i="4"/>
  <c r="F304" i="4"/>
  <c r="F260" i="4"/>
  <c r="F392" i="4"/>
  <c r="N392" i="4"/>
  <c r="M392" i="4"/>
  <c r="K392" i="4"/>
  <c r="P392" i="4"/>
  <c r="O392" i="4"/>
  <c r="W392" i="4"/>
  <c r="E1292" i="4"/>
  <c r="E1248" i="4"/>
  <c r="E1116" i="4"/>
  <c r="E1336" i="4"/>
  <c r="E1072" i="4"/>
  <c r="E1204" i="4"/>
  <c r="E1160" i="4"/>
  <c r="E1028" i="4"/>
  <c r="E984" i="4"/>
  <c r="E852" i="4"/>
  <c r="E940" i="4"/>
  <c r="E896" i="4"/>
  <c r="E808" i="4"/>
  <c r="E720" i="4"/>
  <c r="E764" i="4"/>
  <c r="E676" i="4"/>
  <c r="E456" i="4"/>
  <c r="E632" i="4"/>
  <c r="E588" i="4"/>
  <c r="E544" i="4"/>
  <c r="E500" i="4"/>
  <c r="E368" i="4"/>
  <c r="E324" i="4"/>
  <c r="E412" i="4"/>
  <c r="E280" i="4"/>
  <c r="F1116" i="4"/>
  <c r="F1336" i="4"/>
  <c r="F1072" i="4"/>
  <c r="F1292" i="4"/>
  <c r="F1204" i="4"/>
  <c r="F1248" i="4"/>
  <c r="F984" i="4"/>
  <c r="F1028" i="4"/>
  <c r="F940" i="4"/>
  <c r="F1160" i="4"/>
  <c r="F896" i="4"/>
  <c r="F808" i="4"/>
  <c r="F764" i="4"/>
  <c r="F720" i="4"/>
  <c r="F676" i="4"/>
  <c r="F632" i="4"/>
  <c r="F588" i="4"/>
  <c r="F544" i="4"/>
  <c r="F852" i="4"/>
  <c r="F500" i="4"/>
  <c r="F368" i="4"/>
  <c r="F324" i="4"/>
  <c r="F412" i="4"/>
  <c r="F280" i="4"/>
  <c r="F456" i="4"/>
  <c r="I368" i="4"/>
  <c r="I852" i="4"/>
  <c r="I1336" i="4"/>
  <c r="I603" i="4"/>
  <c r="I1175" i="4"/>
  <c r="I898" i="4"/>
  <c r="I377" i="4"/>
  <c r="I729" i="4"/>
  <c r="O525" i="4"/>
  <c r="M525" i="4"/>
  <c r="K525" i="4"/>
  <c r="P525" i="4"/>
  <c r="N525" i="4"/>
  <c r="W525" i="4"/>
  <c r="P1141" i="4"/>
  <c r="O1141" i="4"/>
  <c r="M1141" i="4"/>
  <c r="N1141" i="4"/>
  <c r="K1141" i="4"/>
  <c r="W1141" i="4"/>
  <c r="P484" i="4"/>
  <c r="O484" i="4"/>
  <c r="N484" i="4"/>
  <c r="M484" i="4"/>
  <c r="K484" i="4"/>
  <c r="W484" i="4"/>
  <c r="P1012" i="4"/>
  <c r="O1012" i="4"/>
  <c r="N1012" i="4"/>
  <c r="M1012" i="4"/>
  <c r="K1012" i="4"/>
  <c r="W1012" i="4"/>
  <c r="I420" i="4"/>
  <c r="I772" i="4"/>
  <c r="I1212" i="4"/>
  <c r="AF594" i="6"/>
  <c r="AD595" i="6"/>
  <c r="I1035" i="4"/>
  <c r="I495" i="4"/>
  <c r="I1023" i="4"/>
  <c r="AF175" i="6"/>
  <c r="AD176" i="6"/>
  <c r="C1290" i="4"/>
  <c r="C1334" i="4"/>
  <c r="C1202" i="4"/>
  <c r="C1246" i="4"/>
  <c r="C1158" i="4"/>
  <c r="C1114" i="4"/>
  <c r="C1070" i="4"/>
  <c r="C982" i="4"/>
  <c r="C938" i="4"/>
  <c r="C894" i="4"/>
  <c r="C1026" i="4"/>
  <c r="C806" i="4"/>
  <c r="C850" i="4"/>
  <c r="C586" i="4"/>
  <c r="C718" i="4"/>
  <c r="C762" i="4"/>
  <c r="C542" i="4"/>
  <c r="C498" i="4"/>
  <c r="C454" i="4"/>
  <c r="C630" i="4"/>
  <c r="C674" i="4"/>
  <c r="C366" i="4"/>
  <c r="C410" i="4"/>
  <c r="C322" i="4"/>
  <c r="C278" i="4"/>
  <c r="H101" i="4"/>
  <c r="I322" i="4"/>
  <c r="I542" i="4"/>
  <c r="I938" i="4"/>
  <c r="F1325" i="4"/>
  <c r="F1281" i="4"/>
  <c r="F1193" i="4"/>
  <c r="F1237" i="4"/>
  <c r="F1105" i="4"/>
  <c r="F1149" i="4"/>
  <c r="F1017" i="4"/>
  <c r="F929" i="4"/>
  <c r="F1061" i="4"/>
  <c r="F973" i="4"/>
  <c r="F753" i="4"/>
  <c r="F797" i="4"/>
  <c r="F841" i="4"/>
  <c r="F885" i="4"/>
  <c r="F621" i="4"/>
  <c r="F709" i="4"/>
  <c r="F665" i="4"/>
  <c r="F533" i="4"/>
  <c r="F489" i="4"/>
  <c r="F445" i="4"/>
  <c r="F577" i="4"/>
  <c r="F269" i="4"/>
  <c r="F401" i="4"/>
  <c r="F357" i="4"/>
  <c r="F313" i="4"/>
  <c r="I489" i="4"/>
  <c r="I1017" i="4"/>
  <c r="F1350" i="4"/>
  <c r="F1306" i="4"/>
  <c r="F1042" i="4"/>
  <c r="F1218" i="4"/>
  <c r="F1174" i="4"/>
  <c r="F1262" i="4"/>
  <c r="F1086" i="4"/>
  <c r="F910" i="4"/>
  <c r="F998" i="4"/>
  <c r="F866" i="4"/>
  <c r="F954" i="4"/>
  <c r="F1130" i="4"/>
  <c r="F822" i="4"/>
  <c r="F646" i="4"/>
  <c r="F734" i="4"/>
  <c r="F778" i="4"/>
  <c r="F690" i="4"/>
  <c r="F514" i="4"/>
  <c r="F470" i="4"/>
  <c r="F426" i="4"/>
  <c r="F602" i="4"/>
  <c r="F558" i="4"/>
  <c r="F294" i="4"/>
  <c r="F382" i="4"/>
  <c r="F338" i="4"/>
  <c r="I866" i="4"/>
  <c r="I1262" i="4"/>
  <c r="I277" i="4"/>
  <c r="I717" i="4"/>
  <c r="I1245" i="4"/>
  <c r="I444" i="4"/>
  <c r="I928" i="4"/>
  <c r="I1324" i="4"/>
  <c r="I364" i="4"/>
  <c r="I672" i="4"/>
  <c r="I1112" i="4"/>
  <c r="X102" i="5"/>
  <c r="V103" i="5"/>
  <c r="AC120" i="4"/>
  <c r="E1297" i="4"/>
  <c r="E1341" i="4"/>
  <c r="E1121" i="4"/>
  <c r="E1077" i="4"/>
  <c r="E1253" i="4"/>
  <c r="E1165" i="4"/>
  <c r="E1209" i="4"/>
  <c r="E857" i="4"/>
  <c r="E1033" i="4"/>
  <c r="E945" i="4"/>
  <c r="E901" i="4"/>
  <c r="E989" i="4"/>
  <c r="E769" i="4"/>
  <c r="E725" i="4"/>
  <c r="E813" i="4"/>
  <c r="E681" i="4"/>
  <c r="E461" i="4"/>
  <c r="E549" i="4"/>
  <c r="E637" i="4"/>
  <c r="E593" i="4"/>
  <c r="E505" i="4"/>
  <c r="E417" i="4"/>
  <c r="E373" i="4"/>
  <c r="E329" i="4"/>
  <c r="E285" i="4"/>
  <c r="F1121" i="4"/>
  <c r="F1297" i="4"/>
  <c r="F1077" i="4"/>
  <c r="F1253" i="4"/>
  <c r="F1209" i="4"/>
  <c r="F1341" i="4"/>
  <c r="F989" i="4"/>
  <c r="F1165" i="4"/>
  <c r="F945" i="4"/>
  <c r="F1033" i="4"/>
  <c r="F901" i="4"/>
  <c r="F857" i="4"/>
  <c r="F769" i="4"/>
  <c r="F813" i="4"/>
  <c r="F725" i="4"/>
  <c r="F681" i="4"/>
  <c r="F549" i="4"/>
  <c r="F637" i="4"/>
  <c r="F593" i="4"/>
  <c r="F505" i="4"/>
  <c r="F373" i="4"/>
  <c r="F329" i="4"/>
  <c r="F285" i="4"/>
  <c r="F417" i="4"/>
  <c r="F461" i="4"/>
  <c r="I373" i="4"/>
  <c r="I945" i="4"/>
  <c r="I1297" i="4"/>
  <c r="C1352" i="4"/>
  <c r="C1308" i="4"/>
  <c r="C1176" i="4"/>
  <c r="C1088" i="4"/>
  <c r="C1264" i="4"/>
  <c r="C1220" i="4"/>
  <c r="C1044" i="4"/>
  <c r="C1132" i="4"/>
  <c r="C780" i="4"/>
  <c r="C1000" i="4"/>
  <c r="C912" i="4"/>
  <c r="C956" i="4"/>
  <c r="C824" i="4"/>
  <c r="C868" i="4"/>
  <c r="C648" i="4"/>
  <c r="C736" i="4"/>
  <c r="C384" i="4"/>
  <c r="C692" i="4"/>
  <c r="C560" i="4"/>
  <c r="C516" i="4"/>
  <c r="C472" i="4"/>
  <c r="C604" i="4"/>
  <c r="C296" i="4"/>
  <c r="C428" i="4"/>
  <c r="H119" i="4"/>
  <c r="C340" i="4"/>
  <c r="I868" i="4"/>
  <c r="I1044" i="4"/>
  <c r="I446" i="4"/>
  <c r="I1062" i="4"/>
  <c r="K744" i="4"/>
  <c r="P744" i="4"/>
  <c r="O744" i="4"/>
  <c r="N744" i="4"/>
  <c r="M744" i="4"/>
  <c r="W744" i="4"/>
  <c r="P1096" i="4"/>
  <c r="O1096" i="4"/>
  <c r="N1096" i="4"/>
  <c r="M1096" i="4"/>
  <c r="K1096" i="4"/>
  <c r="W1096" i="4"/>
  <c r="D1160" i="4"/>
  <c r="D1248" i="4"/>
  <c r="D1116" i="4"/>
  <c r="D1336" i="4"/>
  <c r="D1292" i="4"/>
  <c r="D1072" i="4"/>
  <c r="D1204" i="4"/>
  <c r="D1028" i="4"/>
  <c r="D984" i="4"/>
  <c r="D940" i="4"/>
  <c r="D852" i="4"/>
  <c r="D896" i="4"/>
  <c r="D808" i="4"/>
  <c r="D720" i="4"/>
  <c r="D764" i="4"/>
  <c r="D676" i="4"/>
  <c r="D632" i="4"/>
  <c r="D588" i="4"/>
  <c r="D544" i="4"/>
  <c r="D368" i="4"/>
  <c r="D500" i="4"/>
  <c r="D324" i="4"/>
  <c r="D412" i="4"/>
  <c r="D456" i="4"/>
  <c r="D280" i="4"/>
  <c r="I500" i="4"/>
  <c r="I1072" i="4"/>
  <c r="I1292" i="4"/>
  <c r="I823" i="4"/>
  <c r="I1219" i="4"/>
  <c r="P37" i="4"/>
  <c r="C1294" i="4"/>
  <c r="C1250" i="4"/>
  <c r="C1118" i="4"/>
  <c r="C1074" i="4"/>
  <c r="C1162" i="4"/>
  <c r="C1206" i="4"/>
  <c r="C1338" i="4"/>
  <c r="C1030" i="4"/>
  <c r="C854" i="4"/>
  <c r="C986" i="4"/>
  <c r="C810" i="4"/>
  <c r="C942" i="4"/>
  <c r="C898" i="4"/>
  <c r="C722" i="4"/>
  <c r="C678" i="4"/>
  <c r="C766" i="4"/>
  <c r="C458" i="4"/>
  <c r="C634" i="4"/>
  <c r="C590" i="4"/>
  <c r="C546" i="4"/>
  <c r="C502" i="4"/>
  <c r="C370" i="4"/>
  <c r="C326" i="4"/>
  <c r="C414" i="4"/>
  <c r="H105" i="4"/>
  <c r="C282" i="4"/>
  <c r="I326" i="4"/>
  <c r="I854" i="4"/>
  <c r="I1250" i="4"/>
  <c r="C1345" i="4"/>
  <c r="C1081" i="4"/>
  <c r="C1037" i="4"/>
  <c r="C1301" i="4"/>
  <c r="C1257" i="4"/>
  <c r="C1213" i="4"/>
  <c r="C1125" i="4"/>
  <c r="C817" i="4"/>
  <c r="C1169" i="4"/>
  <c r="C993" i="4"/>
  <c r="C861" i="4"/>
  <c r="C905" i="4"/>
  <c r="C949" i="4"/>
  <c r="C773" i="4"/>
  <c r="C685" i="4"/>
  <c r="C421" i="4"/>
  <c r="C553" i="4"/>
  <c r="C641" i="4"/>
  <c r="C597" i="4"/>
  <c r="C509" i="4"/>
  <c r="C729" i="4"/>
  <c r="C465" i="4"/>
  <c r="C333" i="4"/>
  <c r="C289" i="4"/>
  <c r="H112" i="4"/>
  <c r="C377" i="4"/>
  <c r="I817" i="4"/>
  <c r="I1301" i="4"/>
  <c r="F1273" i="4"/>
  <c r="F1185" i="4"/>
  <c r="F1141" i="4"/>
  <c r="F1229" i="4"/>
  <c r="F1317" i="4"/>
  <c r="F1097" i="4"/>
  <c r="F921" i="4"/>
  <c r="F965" i="4"/>
  <c r="F1009" i="4"/>
  <c r="F1053" i="4"/>
  <c r="F833" i="4"/>
  <c r="F877" i="4"/>
  <c r="F789" i="4"/>
  <c r="F745" i="4"/>
  <c r="F701" i="4"/>
  <c r="F437" i="4"/>
  <c r="F569" i="4"/>
  <c r="F613" i="4"/>
  <c r="F657" i="4"/>
  <c r="F481" i="4"/>
  <c r="F393" i="4"/>
  <c r="F349" i="4"/>
  <c r="F305" i="4"/>
  <c r="F525" i="4"/>
  <c r="F261" i="4"/>
  <c r="P701" i="4"/>
  <c r="O701" i="4"/>
  <c r="N701" i="4"/>
  <c r="M701" i="4"/>
  <c r="K701" i="4"/>
  <c r="W701" i="4"/>
  <c r="O1097" i="4"/>
  <c r="K1097" i="4"/>
  <c r="N1097" i="4"/>
  <c r="M1097" i="4"/>
  <c r="P1097" i="4"/>
  <c r="W1097" i="4"/>
  <c r="M396" i="4"/>
  <c r="N396" i="4"/>
  <c r="K396" i="4"/>
  <c r="P396" i="4"/>
  <c r="O396" i="4"/>
  <c r="W396" i="4"/>
  <c r="P616" i="4"/>
  <c r="O616" i="4"/>
  <c r="N616" i="4"/>
  <c r="M616" i="4"/>
  <c r="K616" i="4"/>
  <c r="W616" i="4"/>
  <c r="O1144" i="4"/>
  <c r="K1144" i="4"/>
  <c r="M1144" i="4"/>
  <c r="P1144" i="4"/>
  <c r="N1144" i="4"/>
  <c r="W1144" i="4"/>
  <c r="X192" i="5"/>
  <c r="V193" i="5"/>
  <c r="I596" i="4"/>
  <c r="I948" i="4"/>
  <c r="I1344" i="4"/>
  <c r="P135" i="4"/>
  <c r="H136" i="4"/>
  <c r="I136" i="4" s="1"/>
  <c r="X162" i="5"/>
  <c r="V163" i="5"/>
  <c r="I776" i="4"/>
  <c r="I1128" i="4"/>
  <c r="I711" i="4"/>
  <c r="I1151" i="4"/>
  <c r="I587" i="4"/>
  <c r="I939" i="4"/>
  <c r="I557" i="4"/>
  <c r="I953" i="4"/>
  <c r="C1299" i="4"/>
  <c r="C1343" i="4"/>
  <c r="C1123" i="4"/>
  <c r="C1079" i="4"/>
  <c r="C1255" i="4"/>
  <c r="C1035" i="4"/>
  <c r="C1211" i="4"/>
  <c r="C1167" i="4"/>
  <c r="C991" i="4"/>
  <c r="C947" i="4"/>
  <c r="C859" i="4"/>
  <c r="C903" i="4"/>
  <c r="C815" i="4"/>
  <c r="C727" i="4"/>
  <c r="C683" i="4"/>
  <c r="C771" i="4"/>
  <c r="C463" i="4"/>
  <c r="C551" i="4"/>
  <c r="C639" i="4"/>
  <c r="C595" i="4"/>
  <c r="C507" i="4"/>
  <c r="C419" i="4"/>
  <c r="C331" i="4"/>
  <c r="C375" i="4"/>
  <c r="C287" i="4"/>
  <c r="H110" i="4"/>
  <c r="I771" i="4"/>
  <c r="I1255" i="4"/>
  <c r="I275" i="4"/>
  <c r="I627" i="4"/>
  <c r="I935" i="4"/>
  <c r="P131" i="4"/>
  <c r="AD237" i="6"/>
  <c r="AF236" i="6"/>
  <c r="H17" i="4"/>
  <c r="M433" i="4"/>
  <c r="K433" i="4"/>
  <c r="P433" i="4"/>
  <c r="O433" i="4"/>
  <c r="N433" i="4"/>
  <c r="R433" i="4" s="1"/>
  <c r="W433" i="4"/>
  <c r="K873" i="4"/>
  <c r="P873" i="4"/>
  <c r="O873" i="4"/>
  <c r="N873" i="4"/>
  <c r="R873" i="4" s="1"/>
  <c r="M873" i="4"/>
  <c r="W873" i="4"/>
  <c r="K1137" i="4"/>
  <c r="M1137" i="4"/>
  <c r="N1137" i="4"/>
  <c r="P1137" i="4"/>
  <c r="T1137" i="4" s="1"/>
  <c r="O1137" i="4"/>
  <c r="R1137" i="4"/>
  <c r="W1137" i="4"/>
  <c r="P306" i="4"/>
  <c r="O306" i="4"/>
  <c r="N306" i="4"/>
  <c r="M306" i="4"/>
  <c r="K306" i="4"/>
  <c r="W306" i="4"/>
  <c r="O746" i="4"/>
  <c r="N746" i="4"/>
  <c r="M746" i="4"/>
  <c r="K746" i="4"/>
  <c r="P746" i="4"/>
  <c r="W746" i="4"/>
  <c r="M1274" i="4"/>
  <c r="N1274" i="4"/>
  <c r="P1274" i="4"/>
  <c r="O1274" i="4"/>
  <c r="K1274" i="4"/>
  <c r="W1274" i="4"/>
  <c r="F1339" i="4"/>
  <c r="F1295" i="4"/>
  <c r="F1163" i="4"/>
  <c r="F1119" i="4"/>
  <c r="F1251" i="4"/>
  <c r="F1207" i="4"/>
  <c r="F1075" i="4"/>
  <c r="F987" i="4"/>
  <c r="F1031" i="4"/>
  <c r="F943" i="4"/>
  <c r="F811" i="4"/>
  <c r="F899" i="4"/>
  <c r="F855" i="4"/>
  <c r="F723" i="4"/>
  <c r="F679" i="4"/>
  <c r="F767" i="4"/>
  <c r="F547" i="4"/>
  <c r="F635" i="4"/>
  <c r="F591" i="4"/>
  <c r="F459" i="4"/>
  <c r="F415" i="4"/>
  <c r="F371" i="4"/>
  <c r="F327" i="4"/>
  <c r="F503" i="4"/>
  <c r="F283" i="4"/>
  <c r="I723" i="4"/>
  <c r="I1075" i="4"/>
  <c r="I328" i="4"/>
  <c r="I812" i="4"/>
  <c r="I1076" i="4"/>
  <c r="H38" i="4"/>
  <c r="I38" i="4" s="1"/>
  <c r="I448" i="4"/>
  <c r="I624" i="4"/>
  <c r="I1196" i="4"/>
  <c r="D1323" i="4"/>
  <c r="D1103" i="4"/>
  <c r="D1235" i="4"/>
  <c r="D1059" i="4"/>
  <c r="D971" i="4"/>
  <c r="D1279" i="4"/>
  <c r="D1191" i="4"/>
  <c r="D927" i="4"/>
  <c r="D1015" i="4"/>
  <c r="D1147" i="4"/>
  <c r="D795" i="4"/>
  <c r="D883" i="4"/>
  <c r="D839" i="4"/>
  <c r="D707" i="4"/>
  <c r="D663" i="4"/>
  <c r="D751" i="4"/>
  <c r="D619" i="4"/>
  <c r="D531" i="4"/>
  <c r="D575" i="4"/>
  <c r="D487" i="4"/>
  <c r="D355" i="4"/>
  <c r="D311" i="4"/>
  <c r="D267" i="4"/>
  <c r="D399" i="4"/>
  <c r="D443" i="4"/>
  <c r="I575" i="4"/>
  <c r="I927" i="4"/>
  <c r="I581" i="4"/>
  <c r="I801" i="4"/>
  <c r="I1329" i="4"/>
  <c r="I423" i="4"/>
  <c r="I907" i="4"/>
  <c r="I1259" i="4"/>
  <c r="P82" i="4"/>
  <c r="P611" i="4"/>
  <c r="O611" i="4"/>
  <c r="N611" i="4"/>
  <c r="M611" i="4"/>
  <c r="K611" i="4"/>
  <c r="W611" i="4"/>
  <c r="O963" i="4"/>
  <c r="K963" i="4"/>
  <c r="P963" i="4"/>
  <c r="N963" i="4"/>
  <c r="M963" i="4"/>
  <c r="W963" i="4"/>
  <c r="I290" i="4"/>
  <c r="I422" i="4"/>
  <c r="I510" i="4"/>
  <c r="I906" i="4"/>
  <c r="D1242" i="4"/>
  <c r="D1066" i="4"/>
  <c r="D1286" i="4"/>
  <c r="D1198" i="4"/>
  <c r="D1330" i="4"/>
  <c r="D1110" i="4"/>
  <c r="D1154" i="4"/>
  <c r="D1022" i="4"/>
  <c r="D978" i="4"/>
  <c r="D846" i="4"/>
  <c r="D758" i="4"/>
  <c r="D934" i="4"/>
  <c r="D890" i="4"/>
  <c r="D802" i="4"/>
  <c r="D670" i="4"/>
  <c r="D714" i="4"/>
  <c r="D538" i="4"/>
  <c r="D494" i="4"/>
  <c r="D626" i="4"/>
  <c r="D582" i="4"/>
  <c r="D450" i="4"/>
  <c r="D406" i="4"/>
  <c r="D318" i="4"/>
  <c r="D274" i="4"/>
  <c r="D362" i="4"/>
  <c r="I406" i="4"/>
  <c r="I890" i="4"/>
  <c r="I1286" i="4"/>
  <c r="I413" i="4"/>
  <c r="I677" i="4"/>
  <c r="I1293" i="4"/>
  <c r="H40" i="4"/>
  <c r="I40" i="4" s="1"/>
  <c r="F1278" i="4"/>
  <c r="F1234" i="4"/>
  <c r="F1190" i="4"/>
  <c r="F1146" i="4"/>
  <c r="F1322" i="4"/>
  <c r="F1102" i="4"/>
  <c r="F1058" i="4"/>
  <c r="F1014" i="4"/>
  <c r="F926" i="4"/>
  <c r="F970" i="4"/>
  <c r="F882" i="4"/>
  <c r="F794" i="4"/>
  <c r="F838" i="4"/>
  <c r="F706" i="4"/>
  <c r="F750" i="4"/>
  <c r="F618" i="4"/>
  <c r="F442" i="4"/>
  <c r="F662" i="4"/>
  <c r="F574" i="4"/>
  <c r="F398" i="4"/>
  <c r="F354" i="4"/>
  <c r="F486" i="4"/>
  <c r="F310" i="4"/>
  <c r="F530" i="4"/>
  <c r="F266" i="4"/>
  <c r="O530" i="4"/>
  <c r="N530" i="4"/>
  <c r="M530" i="4"/>
  <c r="K530" i="4"/>
  <c r="P530" i="4"/>
  <c r="M1014" i="4"/>
  <c r="O1014" i="4"/>
  <c r="N1014" i="4"/>
  <c r="K1014" i="4"/>
  <c r="P1014" i="4"/>
  <c r="O439" i="4"/>
  <c r="N439" i="4"/>
  <c r="M439" i="4"/>
  <c r="P439" i="4"/>
  <c r="K439" i="4"/>
  <c r="W439" i="4"/>
  <c r="N923" i="4"/>
  <c r="M923" i="4"/>
  <c r="K923" i="4"/>
  <c r="P923" i="4"/>
  <c r="O923" i="4"/>
  <c r="W923" i="4"/>
  <c r="C1342" i="4"/>
  <c r="C1210" i="4"/>
  <c r="C1166" i="4"/>
  <c r="C1298" i="4"/>
  <c r="C1254" i="4"/>
  <c r="C1078" i="4"/>
  <c r="C1122" i="4"/>
  <c r="C1034" i="4"/>
  <c r="C990" i="4"/>
  <c r="C858" i="4"/>
  <c r="C902" i="4"/>
  <c r="C946" i="4"/>
  <c r="C814" i="4"/>
  <c r="C638" i="4"/>
  <c r="C770" i="4"/>
  <c r="C726" i="4"/>
  <c r="C374" i="4"/>
  <c r="C550" i="4"/>
  <c r="C682" i="4"/>
  <c r="C506" i="4"/>
  <c r="C462" i="4"/>
  <c r="C594" i="4"/>
  <c r="C418" i="4"/>
  <c r="C286" i="4"/>
  <c r="C330" i="4"/>
  <c r="H109" i="4"/>
  <c r="I330" i="4"/>
  <c r="I770" i="4"/>
  <c r="I1298" i="4"/>
  <c r="P705" i="4"/>
  <c r="O705" i="4"/>
  <c r="N705" i="4"/>
  <c r="M705" i="4"/>
  <c r="K705" i="4"/>
  <c r="W705" i="4"/>
  <c r="M1233" i="4"/>
  <c r="P1233" i="4"/>
  <c r="O1233" i="4"/>
  <c r="N1233" i="4"/>
  <c r="K1233" i="4"/>
  <c r="W1233" i="4"/>
  <c r="C1270" i="4"/>
  <c r="C1314" i="4"/>
  <c r="C1182" i="4"/>
  <c r="C1138" i="4"/>
  <c r="C1094" i="4"/>
  <c r="C1226" i="4"/>
  <c r="C918" i="4"/>
  <c r="C1006" i="4"/>
  <c r="C1050" i="4"/>
  <c r="C874" i="4"/>
  <c r="C786" i="4"/>
  <c r="C962" i="4"/>
  <c r="C830" i="4"/>
  <c r="C566" i="4"/>
  <c r="C742" i="4"/>
  <c r="C698" i="4"/>
  <c r="C522" i="4"/>
  <c r="C610" i="4"/>
  <c r="C478" i="4"/>
  <c r="C654" i="4"/>
  <c r="C434" i="4"/>
  <c r="C346" i="4"/>
  <c r="C390" i="4"/>
  <c r="C302" i="4"/>
  <c r="C258" i="4"/>
  <c r="O478" i="4"/>
  <c r="M478" i="4"/>
  <c r="K478" i="4"/>
  <c r="P478" i="4"/>
  <c r="N478" i="4"/>
  <c r="W478" i="4"/>
  <c r="N918" i="4"/>
  <c r="M918" i="4"/>
  <c r="K918" i="4"/>
  <c r="P918" i="4"/>
  <c r="O918" i="4"/>
  <c r="W918" i="4"/>
  <c r="X131" i="5"/>
  <c r="V132" i="5"/>
  <c r="G168" i="4"/>
  <c r="P128" i="4"/>
  <c r="I664" i="4"/>
  <c r="I452" i="4"/>
  <c r="J72" i="4"/>
  <c r="AA220" i="5"/>
  <c r="AB220" i="5"/>
  <c r="Z220" i="5"/>
  <c r="Y220" i="5"/>
  <c r="I1290" i="4"/>
  <c r="AJ174" i="6"/>
  <c r="AI174" i="6"/>
  <c r="AH174" i="6"/>
  <c r="AG174" i="6"/>
  <c r="I982" i="4"/>
  <c r="I841" i="4"/>
  <c r="I778" i="4"/>
  <c r="I673" i="4"/>
  <c r="I268" i="4"/>
  <c r="I1280" i="4"/>
  <c r="I716" i="4"/>
  <c r="I1156" i="4"/>
  <c r="D1341" i="4"/>
  <c r="D1165" i="4"/>
  <c r="D1297" i="4"/>
  <c r="D1121" i="4"/>
  <c r="D1253" i="4"/>
  <c r="D1209" i="4"/>
  <c r="D1077" i="4"/>
  <c r="D1033" i="4"/>
  <c r="D989" i="4"/>
  <c r="D901" i="4"/>
  <c r="D857" i="4"/>
  <c r="D945" i="4"/>
  <c r="D769" i="4"/>
  <c r="D725" i="4"/>
  <c r="D813" i="4"/>
  <c r="D681" i="4"/>
  <c r="D549" i="4"/>
  <c r="D637" i="4"/>
  <c r="D593" i="4"/>
  <c r="D461" i="4"/>
  <c r="D417" i="4"/>
  <c r="D373" i="4"/>
  <c r="D329" i="4"/>
  <c r="D505" i="4"/>
  <c r="D285" i="4"/>
  <c r="I329" i="4"/>
  <c r="I428" i="4"/>
  <c r="I692" i="4"/>
  <c r="I666" i="4"/>
  <c r="O832" i="4"/>
  <c r="M832" i="4"/>
  <c r="K832" i="4"/>
  <c r="P832" i="4"/>
  <c r="N832" i="4"/>
  <c r="W832" i="4"/>
  <c r="I414" i="4"/>
  <c r="I1118" i="4"/>
  <c r="D1345" i="4"/>
  <c r="D1301" i="4"/>
  <c r="D1257" i="4"/>
  <c r="D1081" i="4"/>
  <c r="D1037" i="4"/>
  <c r="D1213" i="4"/>
  <c r="D1169" i="4"/>
  <c r="D1125" i="4"/>
  <c r="D949" i="4"/>
  <c r="D861" i="4"/>
  <c r="D905" i="4"/>
  <c r="D773" i="4"/>
  <c r="D993" i="4"/>
  <c r="D817" i="4"/>
  <c r="D685" i="4"/>
  <c r="D729" i="4"/>
  <c r="D553" i="4"/>
  <c r="D641" i="4"/>
  <c r="D597" i="4"/>
  <c r="D509" i="4"/>
  <c r="D465" i="4"/>
  <c r="D333" i="4"/>
  <c r="D289" i="4"/>
  <c r="D421" i="4"/>
  <c r="D377" i="4"/>
  <c r="I1257" i="4"/>
  <c r="E1320" i="4"/>
  <c r="E1276" i="4"/>
  <c r="E1232" i="4"/>
  <c r="E1188" i="4"/>
  <c r="E1144" i="4"/>
  <c r="E1100" i="4"/>
  <c r="E1012" i="4"/>
  <c r="E1056" i="4"/>
  <c r="E924" i="4"/>
  <c r="E968" i="4"/>
  <c r="E792" i="4"/>
  <c r="E836" i="4"/>
  <c r="E880" i="4"/>
  <c r="E616" i="4"/>
  <c r="E748" i="4"/>
  <c r="E528" i="4"/>
  <c r="E704" i="4"/>
  <c r="E484" i="4"/>
  <c r="E660" i="4"/>
  <c r="E572" i="4"/>
  <c r="E264" i="4"/>
  <c r="E396" i="4"/>
  <c r="E352" i="4"/>
  <c r="E308" i="4"/>
  <c r="E440" i="4"/>
  <c r="AI624" i="6"/>
  <c r="AH624" i="6"/>
  <c r="AJ624" i="6"/>
  <c r="AG624" i="6"/>
  <c r="C1304" i="4"/>
  <c r="C1348" i="4"/>
  <c r="C1216" i="4"/>
  <c r="C1128" i="4"/>
  <c r="C1260" i="4"/>
  <c r="C1084" i="4"/>
  <c r="C1172" i="4"/>
  <c r="C1040" i="4"/>
  <c r="C952" i="4"/>
  <c r="C864" i="4"/>
  <c r="C996" i="4"/>
  <c r="C776" i="4"/>
  <c r="C908" i="4"/>
  <c r="C820" i="4"/>
  <c r="C732" i="4"/>
  <c r="C688" i="4"/>
  <c r="C468" i="4"/>
  <c r="C424" i="4"/>
  <c r="C644" i="4"/>
  <c r="C600" i="4"/>
  <c r="C556" i="4"/>
  <c r="C512" i="4"/>
  <c r="C336" i="4"/>
  <c r="C380" i="4"/>
  <c r="H115" i="4"/>
  <c r="C292" i="4"/>
  <c r="I732" i="4"/>
  <c r="I1260" i="4"/>
  <c r="F1283" i="4"/>
  <c r="F1327" i="4"/>
  <c r="F1195" i="4"/>
  <c r="F1151" i="4"/>
  <c r="F1239" i="4"/>
  <c r="F1063" i="4"/>
  <c r="F975" i="4"/>
  <c r="F931" i="4"/>
  <c r="F1019" i="4"/>
  <c r="F1107" i="4"/>
  <c r="F799" i="4"/>
  <c r="F887" i="4"/>
  <c r="F843" i="4"/>
  <c r="F711" i="4"/>
  <c r="F579" i="4"/>
  <c r="F755" i="4"/>
  <c r="F447" i="4"/>
  <c r="F623" i="4"/>
  <c r="F491" i="4"/>
  <c r="F403" i="4"/>
  <c r="F667" i="4"/>
  <c r="F535" i="4"/>
  <c r="F359" i="4"/>
  <c r="F315" i="4"/>
  <c r="F271" i="4"/>
  <c r="I623" i="4"/>
  <c r="I1019" i="4"/>
  <c r="E1247" i="4"/>
  <c r="E1203" i="4"/>
  <c r="E1335" i="4"/>
  <c r="E1159" i="4"/>
  <c r="E1071" i="4"/>
  <c r="E1027" i="4"/>
  <c r="E1291" i="4"/>
  <c r="E1115" i="4"/>
  <c r="E983" i="4"/>
  <c r="E851" i="4"/>
  <c r="E895" i="4"/>
  <c r="E939" i="4"/>
  <c r="E631" i="4"/>
  <c r="E763" i="4"/>
  <c r="E807" i="4"/>
  <c r="E719" i="4"/>
  <c r="E587" i="4"/>
  <c r="E543" i="4"/>
  <c r="E499" i="4"/>
  <c r="E455" i="4"/>
  <c r="E279" i="4"/>
  <c r="E675" i="4"/>
  <c r="E411" i="4"/>
  <c r="E367" i="4"/>
  <c r="E323" i="4"/>
  <c r="I543" i="4"/>
  <c r="I1027" i="4"/>
  <c r="C1349" i="4"/>
  <c r="C1261" i="4"/>
  <c r="C1173" i="4"/>
  <c r="C1217" i="4"/>
  <c r="C1129" i="4"/>
  <c r="C1305" i="4"/>
  <c r="C1085" i="4"/>
  <c r="C953" i="4"/>
  <c r="C997" i="4"/>
  <c r="C909" i="4"/>
  <c r="C1041" i="4"/>
  <c r="C821" i="4"/>
  <c r="C865" i="4"/>
  <c r="C601" i="4"/>
  <c r="C733" i="4"/>
  <c r="C777" i="4"/>
  <c r="C513" i="4"/>
  <c r="C645" i="4"/>
  <c r="C557" i="4"/>
  <c r="C469" i="4"/>
  <c r="C689" i="4"/>
  <c r="C425" i="4"/>
  <c r="C381" i="4"/>
  <c r="C337" i="4"/>
  <c r="C293" i="4"/>
  <c r="H116" i="4"/>
  <c r="I469" i="4"/>
  <c r="I909" i="4"/>
  <c r="I1349" i="4"/>
  <c r="I551" i="4"/>
  <c r="E144" i="4"/>
  <c r="E155" i="4"/>
  <c r="E56" i="4"/>
  <c r="AD85" i="6"/>
  <c r="AF84" i="6"/>
  <c r="E1334" i="4"/>
  <c r="E1246" i="4"/>
  <c r="E1158" i="4"/>
  <c r="E1114" i="4"/>
  <c r="E1290" i="4"/>
  <c r="E1202" i="4"/>
  <c r="E1070" i="4"/>
  <c r="E1026" i="4"/>
  <c r="E938" i="4"/>
  <c r="E894" i="4"/>
  <c r="E982" i="4"/>
  <c r="E806" i="4"/>
  <c r="E850" i="4"/>
  <c r="E718" i="4"/>
  <c r="E762" i="4"/>
  <c r="E674" i="4"/>
  <c r="E498" i="4"/>
  <c r="E454" i="4"/>
  <c r="E630" i="4"/>
  <c r="E586" i="4"/>
  <c r="E410" i="4"/>
  <c r="E542" i="4"/>
  <c r="E366" i="4"/>
  <c r="E322" i="4"/>
  <c r="E278" i="4"/>
  <c r="I410" i="4"/>
  <c r="I674" i="4"/>
  <c r="I1114" i="4"/>
  <c r="E1281" i="4"/>
  <c r="E1193" i="4"/>
  <c r="E1149" i="4"/>
  <c r="E1237" i="4"/>
  <c r="E1105" i="4"/>
  <c r="E1061" i="4"/>
  <c r="E1017" i="4"/>
  <c r="E929" i="4"/>
  <c r="E1325" i="4"/>
  <c r="E973" i="4"/>
  <c r="E885" i="4"/>
  <c r="E841" i="4"/>
  <c r="E753" i="4"/>
  <c r="E621" i="4"/>
  <c r="E797" i="4"/>
  <c r="E709" i="4"/>
  <c r="E533" i="4"/>
  <c r="E489" i="4"/>
  <c r="E665" i="4"/>
  <c r="E445" i="4"/>
  <c r="E577" i="4"/>
  <c r="E269" i="4"/>
  <c r="E401" i="4"/>
  <c r="E357" i="4"/>
  <c r="E313" i="4"/>
  <c r="I533" i="4"/>
  <c r="I929" i="4"/>
  <c r="I382" i="4"/>
  <c r="I822" i="4"/>
  <c r="I1130" i="4"/>
  <c r="I453" i="4"/>
  <c r="I497" i="4"/>
  <c r="I805" i="4"/>
  <c r="I1333" i="4"/>
  <c r="I576" i="4"/>
  <c r="I972" i="4"/>
  <c r="AI444" i="6"/>
  <c r="AH444" i="6"/>
  <c r="AG444" i="6"/>
  <c r="AJ444" i="6"/>
  <c r="I276" i="4"/>
  <c r="I892" i="4"/>
  <c r="I1200" i="4"/>
  <c r="G72" i="4"/>
  <c r="F72" i="4"/>
  <c r="AA101" i="5"/>
  <c r="Z101" i="5"/>
  <c r="Y101" i="5"/>
  <c r="AB101" i="5"/>
  <c r="I417" i="4"/>
  <c r="I901" i="4"/>
  <c r="D1352" i="4"/>
  <c r="D1308" i="4"/>
  <c r="D1220" i="4"/>
  <c r="D1044" i="4"/>
  <c r="D1264" i="4"/>
  <c r="D1176" i="4"/>
  <c r="D1088" i="4"/>
  <c r="D1132" i="4"/>
  <c r="D1000" i="4"/>
  <c r="D912" i="4"/>
  <c r="D956" i="4"/>
  <c r="D824" i="4"/>
  <c r="D868" i="4"/>
  <c r="D648" i="4"/>
  <c r="D780" i="4"/>
  <c r="D736" i="4"/>
  <c r="D692" i="4"/>
  <c r="D560" i="4"/>
  <c r="D516" i="4"/>
  <c r="D472" i="4"/>
  <c r="D428" i="4"/>
  <c r="D604" i="4"/>
  <c r="D296" i="4"/>
  <c r="D384" i="4"/>
  <c r="D340" i="4"/>
  <c r="I340" i="4"/>
  <c r="I824" i="4"/>
  <c r="I1088" i="4"/>
  <c r="E93" i="4"/>
  <c r="I622" i="4"/>
  <c r="I1106" i="4"/>
  <c r="P656" i="4"/>
  <c r="O656" i="4"/>
  <c r="N656" i="4"/>
  <c r="M656" i="4"/>
  <c r="K656" i="4"/>
  <c r="W656" i="4"/>
  <c r="K920" i="4"/>
  <c r="P920" i="4"/>
  <c r="N920" i="4"/>
  <c r="M920" i="4"/>
  <c r="O920" i="4"/>
  <c r="W920" i="4"/>
  <c r="I544" i="4"/>
  <c r="I940" i="4"/>
  <c r="C1351" i="4"/>
  <c r="C1263" i="4"/>
  <c r="C1175" i="4"/>
  <c r="C1131" i="4"/>
  <c r="C1087" i="4"/>
  <c r="C1307" i="4"/>
  <c r="C1219" i="4"/>
  <c r="C1043" i="4"/>
  <c r="C999" i="4"/>
  <c r="C911" i="4"/>
  <c r="C867" i="4"/>
  <c r="C779" i="4"/>
  <c r="C823" i="4"/>
  <c r="C559" i="4"/>
  <c r="C735" i="4"/>
  <c r="C691" i="4"/>
  <c r="C515" i="4"/>
  <c r="C647" i="4"/>
  <c r="C603" i="4"/>
  <c r="C955" i="4"/>
  <c r="C471" i="4"/>
  <c r="C427" i="4"/>
  <c r="H118" i="4"/>
  <c r="C339" i="4"/>
  <c r="C383" i="4"/>
  <c r="C295" i="4"/>
  <c r="I427" i="4"/>
  <c r="D1175" i="4"/>
  <c r="D1131" i="4"/>
  <c r="D1351" i="4"/>
  <c r="D1307" i="4"/>
  <c r="D1263" i="4"/>
  <c r="D1219" i="4"/>
  <c r="D1087" i="4"/>
  <c r="D911" i="4"/>
  <c r="D999" i="4"/>
  <c r="D779" i="4"/>
  <c r="D823" i="4"/>
  <c r="D1043" i="4"/>
  <c r="D955" i="4"/>
  <c r="D735" i="4"/>
  <c r="D867" i="4"/>
  <c r="D691" i="4"/>
  <c r="D647" i="4"/>
  <c r="D603" i="4"/>
  <c r="D427" i="4"/>
  <c r="D559" i="4"/>
  <c r="D339" i="4"/>
  <c r="D515" i="4"/>
  <c r="D383" i="4"/>
  <c r="D295" i="4"/>
  <c r="D471" i="4"/>
  <c r="I867" i="4"/>
  <c r="I1263" i="4"/>
  <c r="E152" i="4"/>
  <c r="E105" i="4"/>
  <c r="I502" i="4"/>
  <c r="I810" i="4"/>
  <c r="I1162" i="4"/>
  <c r="E1345" i="4"/>
  <c r="E1301" i="4"/>
  <c r="E1257" i="4"/>
  <c r="E1213" i="4"/>
  <c r="E1169" i="4"/>
  <c r="E1125" i="4"/>
  <c r="E1081" i="4"/>
  <c r="E1037" i="4"/>
  <c r="E949" i="4"/>
  <c r="E905" i="4"/>
  <c r="E993" i="4"/>
  <c r="E817" i="4"/>
  <c r="E641" i="4"/>
  <c r="E729" i="4"/>
  <c r="E861" i="4"/>
  <c r="E377" i="4"/>
  <c r="E553" i="4"/>
  <c r="E597" i="4"/>
  <c r="E509" i="4"/>
  <c r="E465" i="4"/>
  <c r="E685" i="4"/>
  <c r="E773" i="4"/>
  <c r="E289" i="4"/>
  <c r="E421" i="4"/>
  <c r="E333" i="4"/>
  <c r="I773" i="4"/>
  <c r="I1081" i="4"/>
  <c r="N745" i="4"/>
  <c r="P745" i="4"/>
  <c r="O745" i="4"/>
  <c r="M745" i="4"/>
  <c r="K745" i="4"/>
  <c r="W745" i="4"/>
  <c r="P1185" i="4"/>
  <c r="O1185" i="4"/>
  <c r="N1185" i="4"/>
  <c r="M1185" i="4"/>
  <c r="K1185" i="4"/>
  <c r="W1185" i="4"/>
  <c r="O528" i="4"/>
  <c r="N528" i="4"/>
  <c r="M528" i="4"/>
  <c r="K528" i="4"/>
  <c r="P528" i="4"/>
  <c r="W528" i="4"/>
  <c r="P1188" i="4"/>
  <c r="O1188" i="4"/>
  <c r="N1188" i="4"/>
  <c r="M1188" i="4"/>
  <c r="K1188" i="4"/>
  <c r="W1188" i="4"/>
  <c r="AA191" i="5"/>
  <c r="AB191" i="5"/>
  <c r="Z191" i="5"/>
  <c r="Y191" i="5"/>
  <c r="C1212" i="4"/>
  <c r="C1344" i="4"/>
  <c r="C1168" i="4"/>
  <c r="C1256" i="4"/>
  <c r="C1124" i="4"/>
  <c r="C1080" i="4"/>
  <c r="C1036" i="4"/>
  <c r="C1300" i="4"/>
  <c r="C992" i="4"/>
  <c r="C904" i="4"/>
  <c r="C816" i="4"/>
  <c r="C948" i="4"/>
  <c r="C860" i="4"/>
  <c r="C596" i="4"/>
  <c r="C728" i="4"/>
  <c r="C772" i="4"/>
  <c r="C552" i="4"/>
  <c r="C684" i="4"/>
  <c r="C508" i="4"/>
  <c r="C464" i="4"/>
  <c r="C640" i="4"/>
  <c r="C376" i="4"/>
  <c r="C420" i="4"/>
  <c r="C332" i="4"/>
  <c r="H111" i="4"/>
  <c r="C288" i="4"/>
  <c r="I464" i="4"/>
  <c r="I904" i="4"/>
  <c r="AD566" i="6"/>
  <c r="AF565" i="6"/>
  <c r="I11" i="4"/>
  <c r="D76" i="1" s="1"/>
  <c r="AB168" i="4"/>
  <c r="P136" i="4"/>
  <c r="Y161" i="5"/>
  <c r="AB161" i="5"/>
  <c r="AA161" i="5"/>
  <c r="Z161" i="5"/>
  <c r="E1304" i="4"/>
  <c r="E1260" i="4"/>
  <c r="E1084" i="4"/>
  <c r="E1348" i="4"/>
  <c r="E1040" i="4"/>
  <c r="E1128" i="4"/>
  <c r="E1216" i="4"/>
  <c r="E1172" i="4"/>
  <c r="E820" i="4"/>
  <c r="E952" i="4"/>
  <c r="E776" i="4"/>
  <c r="E996" i="4"/>
  <c r="E908" i="4"/>
  <c r="E864" i="4"/>
  <c r="E688" i="4"/>
  <c r="E732" i="4"/>
  <c r="E424" i="4"/>
  <c r="E644" i="4"/>
  <c r="E600" i="4"/>
  <c r="E556" i="4"/>
  <c r="E512" i="4"/>
  <c r="E468" i="4"/>
  <c r="E336" i="4"/>
  <c r="E292" i="4"/>
  <c r="E380" i="4"/>
  <c r="E115" i="4"/>
  <c r="I820" i="4"/>
  <c r="I1172" i="4"/>
  <c r="I799" i="4"/>
  <c r="I1195" i="4"/>
  <c r="I631" i="4"/>
  <c r="I983" i="4"/>
  <c r="E116" i="4"/>
  <c r="I381" i="4"/>
  <c r="I513" i="4"/>
  <c r="I997" i="4"/>
  <c r="I507" i="4"/>
  <c r="I683" i="4"/>
  <c r="I1211" i="4"/>
  <c r="C1331" i="4"/>
  <c r="C1243" i="4"/>
  <c r="C1155" i="4"/>
  <c r="C1111" i="4"/>
  <c r="C1287" i="4"/>
  <c r="C1199" i="4"/>
  <c r="C979" i="4"/>
  <c r="C1067" i="4"/>
  <c r="C1023" i="4"/>
  <c r="C891" i="4"/>
  <c r="C935" i="4"/>
  <c r="C803" i="4"/>
  <c r="C847" i="4"/>
  <c r="C715" i="4"/>
  <c r="C671" i="4"/>
  <c r="C759" i="4"/>
  <c r="C495" i="4"/>
  <c r="C451" i="4"/>
  <c r="C407" i="4"/>
  <c r="C627" i="4"/>
  <c r="C583" i="4"/>
  <c r="C539" i="4"/>
  <c r="C363" i="4"/>
  <c r="C275" i="4"/>
  <c r="C319" i="4"/>
  <c r="H98" i="4"/>
  <c r="I759" i="4"/>
  <c r="I1111" i="4"/>
  <c r="AH235" i="6"/>
  <c r="AG235" i="6"/>
  <c r="AJ235" i="6"/>
  <c r="AI235" i="6"/>
  <c r="C1269" i="4"/>
  <c r="C1225" i="4"/>
  <c r="C1093" i="4"/>
  <c r="C1049" i="4"/>
  <c r="C1313" i="4"/>
  <c r="C1181" i="4"/>
  <c r="C1137" i="4"/>
  <c r="C1005" i="4"/>
  <c r="C829" i="4"/>
  <c r="C961" i="4"/>
  <c r="C873" i="4"/>
  <c r="C785" i="4"/>
  <c r="C917" i="4"/>
  <c r="C697" i="4"/>
  <c r="C653" i="4"/>
  <c r="C433" i="4"/>
  <c r="C609" i="4"/>
  <c r="C565" i="4"/>
  <c r="C741" i="4"/>
  <c r="C521" i="4"/>
  <c r="C477" i="4"/>
  <c r="C389" i="4"/>
  <c r="C345" i="4"/>
  <c r="C301" i="4"/>
  <c r="D120" i="4"/>
  <c r="H80" i="4"/>
  <c r="I80" i="4" s="1"/>
  <c r="C257" i="4"/>
  <c r="O389" i="4"/>
  <c r="N389" i="4"/>
  <c r="R389" i="4" s="1"/>
  <c r="M389" i="4"/>
  <c r="K389" i="4"/>
  <c r="P389" i="4"/>
  <c r="T389" i="4" s="1"/>
  <c r="W389" i="4"/>
  <c r="N961" i="4"/>
  <c r="R961" i="4" s="1"/>
  <c r="P961" i="4"/>
  <c r="K961" i="4"/>
  <c r="M961" i="4"/>
  <c r="O961" i="4"/>
  <c r="W961" i="4"/>
  <c r="C1274" i="4"/>
  <c r="C1098" i="4"/>
  <c r="C1318" i="4"/>
  <c r="C1054" i="4"/>
  <c r="C1230" i="4"/>
  <c r="C1142" i="4"/>
  <c r="C1186" i="4"/>
  <c r="C834" i="4"/>
  <c r="C1010" i="4"/>
  <c r="C966" i="4"/>
  <c r="C922" i="4"/>
  <c r="C878" i="4"/>
  <c r="C746" i="4"/>
  <c r="C702" i="4"/>
  <c r="C658" i="4"/>
  <c r="C790" i="4"/>
  <c r="C438" i="4"/>
  <c r="C570" i="4"/>
  <c r="C526" i="4"/>
  <c r="C614" i="4"/>
  <c r="C482" i="4"/>
  <c r="C350" i="4"/>
  <c r="C394" i="4"/>
  <c r="C306" i="4"/>
  <c r="C262" i="4"/>
  <c r="O394" i="4"/>
  <c r="P394" i="4"/>
  <c r="N394" i="4"/>
  <c r="M394" i="4"/>
  <c r="K394" i="4"/>
  <c r="W394" i="4"/>
  <c r="K878" i="4"/>
  <c r="P878" i="4"/>
  <c r="O878" i="4"/>
  <c r="N878" i="4"/>
  <c r="M878" i="4"/>
  <c r="W878" i="4"/>
  <c r="K1142" i="4"/>
  <c r="O1142" i="4"/>
  <c r="N1142" i="4"/>
  <c r="M1142" i="4"/>
  <c r="P1142" i="4"/>
  <c r="W1142" i="4"/>
  <c r="I371" i="4"/>
  <c r="I635" i="4"/>
  <c r="I1207" i="4"/>
  <c r="D1340" i="4"/>
  <c r="D1296" i="4"/>
  <c r="D1252" i="4"/>
  <c r="D1076" i="4"/>
  <c r="D1208" i="4"/>
  <c r="D1164" i="4"/>
  <c r="D1120" i="4"/>
  <c r="D1032" i="4"/>
  <c r="D944" i="4"/>
  <c r="D988" i="4"/>
  <c r="D768" i="4"/>
  <c r="D856" i="4"/>
  <c r="D900" i="4"/>
  <c r="D680" i="4"/>
  <c r="D812" i="4"/>
  <c r="D724" i="4"/>
  <c r="D548" i="4"/>
  <c r="D504" i="4"/>
  <c r="D460" i="4"/>
  <c r="D636" i="4"/>
  <c r="D592" i="4"/>
  <c r="D328" i="4"/>
  <c r="D416" i="4"/>
  <c r="D284" i="4"/>
  <c r="D372" i="4"/>
  <c r="I372" i="4"/>
  <c r="I900" i="4"/>
  <c r="I1120" i="4"/>
  <c r="E1284" i="4"/>
  <c r="E1196" i="4"/>
  <c r="E1328" i="4"/>
  <c r="E1240" i="4"/>
  <c r="E1108" i="4"/>
  <c r="E1064" i="4"/>
  <c r="E1152" i="4"/>
  <c r="E1020" i="4"/>
  <c r="E976" i="4"/>
  <c r="E932" i="4"/>
  <c r="E800" i="4"/>
  <c r="E844" i="4"/>
  <c r="E888" i="4"/>
  <c r="E668" i="4"/>
  <c r="E756" i="4"/>
  <c r="E404" i="4"/>
  <c r="E712" i="4"/>
  <c r="E536" i="4"/>
  <c r="E492" i="4"/>
  <c r="E624" i="4"/>
  <c r="E580" i="4"/>
  <c r="E316" i="4"/>
  <c r="E272" i="4"/>
  <c r="E448" i="4"/>
  <c r="E360" i="4"/>
  <c r="I844" i="4"/>
  <c r="I1020" i="4"/>
  <c r="I531" i="4"/>
  <c r="I1059" i="4"/>
  <c r="I449" i="4"/>
  <c r="I757" i="4"/>
  <c r="E1259" i="4"/>
  <c r="E1215" i="4"/>
  <c r="E1171" i="4"/>
  <c r="E1303" i="4"/>
  <c r="E1347" i="4"/>
  <c r="E1127" i="4"/>
  <c r="E1083" i="4"/>
  <c r="E951" i="4"/>
  <c r="E1039" i="4"/>
  <c r="E907" i="4"/>
  <c r="E863" i="4"/>
  <c r="E775" i="4"/>
  <c r="E995" i="4"/>
  <c r="E819" i="4"/>
  <c r="E599" i="4"/>
  <c r="E731" i="4"/>
  <c r="E555" i="4"/>
  <c r="E511" i="4"/>
  <c r="E643" i="4"/>
  <c r="E467" i="4"/>
  <c r="E687" i="4"/>
  <c r="E335" i="4"/>
  <c r="E423" i="4"/>
  <c r="E379" i="4"/>
  <c r="E291" i="4"/>
  <c r="I335" i="4"/>
  <c r="I863" i="4"/>
  <c r="I1303" i="4"/>
  <c r="M787" i="4"/>
  <c r="K787" i="4"/>
  <c r="P787" i="4"/>
  <c r="O787" i="4"/>
  <c r="N787" i="4"/>
  <c r="W787" i="4"/>
  <c r="N1227" i="4"/>
  <c r="M1227" i="4"/>
  <c r="K1227" i="4"/>
  <c r="P1227" i="4"/>
  <c r="O1227" i="4"/>
  <c r="W1227" i="4"/>
  <c r="AF294" i="6"/>
  <c r="AD295" i="6"/>
  <c r="I334" i="4"/>
  <c r="I642" i="4"/>
  <c r="I1126" i="4"/>
  <c r="I362" i="4"/>
  <c r="I846" i="4"/>
  <c r="I1330" i="4"/>
  <c r="I281" i="4"/>
  <c r="I809" i="4"/>
  <c r="I1337" i="4"/>
  <c r="P41" i="4"/>
  <c r="P354" i="4"/>
  <c r="O354" i="4"/>
  <c r="N354" i="4"/>
  <c r="M354" i="4"/>
  <c r="K354" i="4"/>
  <c r="O574" i="4"/>
  <c r="N574" i="4"/>
  <c r="M574" i="4"/>
  <c r="K574" i="4"/>
  <c r="P574" i="4"/>
  <c r="P1146" i="4"/>
  <c r="O1146" i="4"/>
  <c r="M1146" i="4"/>
  <c r="N1146" i="4"/>
  <c r="K1146" i="4"/>
  <c r="P86" i="4"/>
  <c r="O483" i="4"/>
  <c r="M483" i="4"/>
  <c r="K483" i="4"/>
  <c r="N483" i="4"/>
  <c r="P483" i="4"/>
  <c r="W483" i="4"/>
  <c r="O967" i="4"/>
  <c r="P967" i="4"/>
  <c r="N967" i="4"/>
  <c r="M967" i="4"/>
  <c r="K967" i="4"/>
  <c r="W967" i="4"/>
  <c r="D1342" i="4"/>
  <c r="D1210" i="4"/>
  <c r="D1254" i="4"/>
  <c r="D1298" i="4"/>
  <c r="D1078" i="4"/>
  <c r="D1122" i="4"/>
  <c r="D1166" i="4"/>
  <c r="D1034" i="4"/>
  <c r="D946" i="4"/>
  <c r="D902" i="4"/>
  <c r="D990" i="4"/>
  <c r="D858" i="4"/>
  <c r="D770" i="4"/>
  <c r="D814" i="4"/>
  <c r="D638" i="4"/>
  <c r="D726" i="4"/>
  <c r="D682" i="4"/>
  <c r="D550" i="4"/>
  <c r="D506" i="4"/>
  <c r="D462" i="4"/>
  <c r="D594" i="4"/>
  <c r="D418" i="4"/>
  <c r="D286" i="4"/>
  <c r="D374" i="4"/>
  <c r="D330" i="4"/>
  <c r="I594" i="4"/>
  <c r="I858" i="4"/>
  <c r="I1342" i="4"/>
  <c r="P309" i="4"/>
  <c r="O309" i="4"/>
  <c r="N309" i="4"/>
  <c r="K309" i="4"/>
  <c r="M309" i="4"/>
  <c r="W309" i="4"/>
  <c r="O749" i="4"/>
  <c r="N749" i="4"/>
  <c r="M749" i="4"/>
  <c r="K749" i="4"/>
  <c r="P749" i="4"/>
  <c r="W749" i="4"/>
  <c r="N1145" i="4"/>
  <c r="M1145" i="4"/>
  <c r="K1145" i="4"/>
  <c r="P1145" i="4"/>
  <c r="O1145" i="4"/>
  <c r="W1145" i="4"/>
  <c r="E1314" i="4"/>
  <c r="E1226" i="4"/>
  <c r="E1138" i="4"/>
  <c r="E1094" i="4"/>
  <c r="E1182" i="4"/>
  <c r="E1270" i="4"/>
  <c r="E1006" i="4"/>
  <c r="E1050" i="4"/>
  <c r="E874" i="4"/>
  <c r="E786" i="4"/>
  <c r="E962" i="4"/>
  <c r="E830" i="4"/>
  <c r="E918" i="4"/>
  <c r="E742" i="4"/>
  <c r="E698" i="4"/>
  <c r="E478" i="4"/>
  <c r="E654" i="4"/>
  <c r="E434" i="4"/>
  <c r="E566" i="4"/>
  <c r="E522" i="4"/>
  <c r="E346" i="4"/>
  <c r="E610" i="4"/>
  <c r="E390" i="4"/>
  <c r="E258" i="4"/>
  <c r="E302" i="4"/>
  <c r="P302" i="4"/>
  <c r="N302" i="4"/>
  <c r="M302" i="4"/>
  <c r="K302" i="4"/>
  <c r="O302" i="4"/>
  <c r="W302" i="4"/>
  <c r="P654" i="4"/>
  <c r="M654" i="4"/>
  <c r="K654" i="4"/>
  <c r="O654" i="4"/>
  <c r="N654" i="4"/>
  <c r="W654" i="4"/>
  <c r="N1050" i="4"/>
  <c r="P1050" i="4"/>
  <c r="O1050" i="4"/>
  <c r="M1050" i="4"/>
  <c r="K1050" i="4"/>
  <c r="W1050" i="4"/>
  <c r="AD505" i="6"/>
  <c r="AF504" i="6"/>
  <c r="X129" i="4"/>
  <c r="X130" i="4" s="1"/>
  <c r="X131" i="4" s="1"/>
  <c r="X132" i="4" s="1"/>
  <c r="X133" i="4" s="1"/>
  <c r="X134" i="4" s="1"/>
  <c r="X135" i="4" s="1"/>
  <c r="X136" i="4" s="1"/>
  <c r="I602" i="4"/>
  <c r="I365" i="4"/>
  <c r="I1060" i="4"/>
  <c r="AD417" i="6"/>
  <c r="AF416" i="6"/>
  <c r="F1158" i="4"/>
  <c r="F1246" i="4"/>
  <c r="F1114" i="4"/>
  <c r="F1290" i="4"/>
  <c r="F1334" i="4"/>
  <c r="F1202" i="4"/>
  <c r="F1070" i="4"/>
  <c r="F1026" i="4"/>
  <c r="F982" i="4"/>
  <c r="F806" i="4"/>
  <c r="F850" i="4"/>
  <c r="F894" i="4"/>
  <c r="F938" i="4"/>
  <c r="F718" i="4"/>
  <c r="F762" i="4"/>
  <c r="F674" i="4"/>
  <c r="F630" i="4"/>
  <c r="F586" i="4"/>
  <c r="F542" i="4"/>
  <c r="F454" i="4"/>
  <c r="F366" i="4"/>
  <c r="F498" i="4"/>
  <c r="F322" i="4"/>
  <c r="F410" i="4"/>
  <c r="F278" i="4"/>
  <c r="I1158" i="4"/>
  <c r="I1149" i="4"/>
  <c r="I294" i="4"/>
  <c r="F1245" i="4"/>
  <c r="F1069" i="4"/>
  <c r="F1333" i="4"/>
  <c r="F1201" i="4"/>
  <c r="F1289" i="4"/>
  <c r="F1157" i="4"/>
  <c r="F1025" i="4"/>
  <c r="F1113" i="4"/>
  <c r="F937" i="4"/>
  <c r="F981" i="4"/>
  <c r="F761" i="4"/>
  <c r="F893" i="4"/>
  <c r="F805" i="4"/>
  <c r="F673" i="4"/>
  <c r="F849" i="4"/>
  <c r="F717" i="4"/>
  <c r="F629" i="4"/>
  <c r="F585" i="4"/>
  <c r="F541" i="4"/>
  <c r="F497" i="4"/>
  <c r="F453" i="4"/>
  <c r="F321" i="4"/>
  <c r="F277" i="4"/>
  <c r="F409" i="4"/>
  <c r="F365" i="4"/>
  <c r="I1113" i="4"/>
  <c r="I488" i="4"/>
  <c r="I752" i="4"/>
  <c r="I848" i="4"/>
  <c r="X36" i="4"/>
  <c r="X37" i="4" s="1"/>
  <c r="X38" i="4" s="1"/>
  <c r="X39" i="4" s="1"/>
  <c r="X40" i="4" s="1"/>
  <c r="X41" i="4" s="1"/>
  <c r="I461" i="4"/>
  <c r="I989" i="4"/>
  <c r="E1352" i="4"/>
  <c r="E1308" i="4"/>
  <c r="E1176" i="4"/>
  <c r="E1132" i="4"/>
  <c r="E1264" i="4"/>
  <c r="E1088" i="4"/>
  <c r="E1220" i="4"/>
  <c r="E1044" i="4"/>
  <c r="E1000" i="4"/>
  <c r="E912" i="4"/>
  <c r="E956" i="4"/>
  <c r="E824" i="4"/>
  <c r="E868" i="4"/>
  <c r="E780" i="4"/>
  <c r="E604" i="4"/>
  <c r="E736" i="4"/>
  <c r="E692" i="4"/>
  <c r="E560" i="4"/>
  <c r="E516" i="4"/>
  <c r="E472" i="4"/>
  <c r="E384" i="4"/>
  <c r="E428" i="4"/>
  <c r="E648" i="4"/>
  <c r="E340" i="4"/>
  <c r="E296" i="4"/>
  <c r="I384" i="4"/>
  <c r="I472" i="4"/>
  <c r="I912" i="4"/>
  <c r="I1264" i="4"/>
  <c r="I710" i="4"/>
  <c r="I1326" i="4"/>
  <c r="C1316" i="4"/>
  <c r="C1228" i="4"/>
  <c r="C1272" i="4"/>
  <c r="C1140" i="4"/>
  <c r="C1096" i="4"/>
  <c r="C1184" i="4"/>
  <c r="C876" i="4"/>
  <c r="C1052" i="4"/>
  <c r="C964" i="4"/>
  <c r="C920" i="4"/>
  <c r="C788" i="4"/>
  <c r="C1008" i="4"/>
  <c r="C700" i="4"/>
  <c r="C656" i="4"/>
  <c r="C832" i="4"/>
  <c r="C744" i="4"/>
  <c r="C480" i="4"/>
  <c r="C568" i="4"/>
  <c r="C436" i="4"/>
  <c r="C524" i="4"/>
  <c r="C392" i="4"/>
  <c r="C612" i="4"/>
  <c r="C348" i="4"/>
  <c r="C260" i="4"/>
  <c r="H83" i="4"/>
  <c r="I83" i="4" s="1"/>
  <c r="C304" i="4"/>
  <c r="O436" i="4"/>
  <c r="M436" i="4"/>
  <c r="K436" i="4"/>
  <c r="P436" i="4"/>
  <c r="N436" i="4"/>
  <c r="W436" i="4"/>
  <c r="N1008" i="4"/>
  <c r="M1008" i="4"/>
  <c r="P1008" i="4"/>
  <c r="O1008" i="4"/>
  <c r="K1008" i="4"/>
  <c r="W1008" i="4"/>
  <c r="C1336" i="4"/>
  <c r="C1248" i="4"/>
  <c r="C1160" i="4"/>
  <c r="C1116" i="4"/>
  <c r="C1292" i="4"/>
  <c r="C1072" i="4"/>
  <c r="C1204" i="4"/>
  <c r="C1028" i="4"/>
  <c r="C896" i="4"/>
  <c r="C984" i="4"/>
  <c r="C940" i="4"/>
  <c r="C852" i="4"/>
  <c r="C808" i="4"/>
  <c r="C720" i="4"/>
  <c r="C764" i="4"/>
  <c r="C676" i="4"/>
  <c r="C500" i="4"/>
  <c r="C456" i="4"/>
  <c r="C632" i="4"/>
  <c r="C588" i="4"/>
  <c r="C412" i="4"/>
  <c r="C544" i="4"/>
  <c r="C368" i="4"/>
  <c r="C324" i="4"/>
  <c r="C280" i="4"/>
  <c r="H103" i="4"/>
  <c r="I632" i="4"/>
  <c r="I984" i="4"/>
  <c r="I955" i="4"/>
  <c r="I1307" i="4"/>
  <c r="I370" i="4"/>
  <c r="I942" i="4"/>
  <c r="I905" i="4"/>
  <c r="I1345" i="4"/>
  <c r="K789" i="4"/>
  <c r="P789" i="4"/>
  <c r="O789" i="4"/>
  <c r="N789" i="4"/>
  <c r="M789" i="4"/>
  <c r="W789" i="4"/>
  <c r="O1053" i="4"/>
  <c r="N1053" i="4"/>
  <c r="M1053" i="4"/>
  <c r="K1053" i="4"/>
  <c r="P1053" i="4"/>
  <c r="W1053" i="4"/>
  <c r="P87" i="4"/>
  <c r="P748" i="4"/>
  <c r="O748" i="4"/>
  <c r="N748" i="4"/>
  <c r="M748" i="4"/>
  <c r="K748" i="4"/>
  <c r="W748" i="4"/>
  <c r="K968" i="4"/>
  <c r="P968" i="4"/>
  <c r="O968" i="4"/>
  <c r="N968" i="4"/>
  <c r="M968" i="4"/>
  <c r="W968" i="4"/>
  <c r="I508" i="4"/>
  <c r="I992" i="4"/>
  <c r="AG564" i="6"/>
  <c r="AI564" i="6"/>
  <c r="AH564" i="6"/>
  <c r="AJ564" i="6"/>
  <c r="I380" i="4"/>
  <c r="I864" i="4"/>
  <c r="I1348" i="4"/>
  <c r="I359" i="4"/>
  <c r="I403" i="4"/>
  <c r="I667" i="4"/>
  <c r="I1327" i="4"/>
  <c r="I763" i="4"/>
  <c r="I1203" i="4"/>
  <c r="E1349" i="4"/>
  <c r="E1261" i="4"/>
  <c r="E1173" i="4"/>
  <c r="E1217" i="4"/>
  <c r="E1129" i="4"/>
  <c r="E1305" i="4"/>
  <c r="E1085" i="4"/>
  <c r="E1041" i="4"/>
  <c r="E997" i="4"/>
  <c r="E909" i="4"/>
  <c r="E953" i="4"/>
  <c r="E821" i="4"/>
  <c r="E865" i="4"/>
  <c r="E777" i="4"/>
  <c r="E557" i="4"/>
  <c r="E733" i="4"/>
  <c r="E689" i="4"/>
  <c r="E513" i="4"/>
  <c r="E645" i="4"/>
  <c r="E601" i="4"/>
  <c r="E469" i="4"/>
  <c r="E425" i="4"/>
  <c r="E381" i="4"/>
  <c r="E337" i="4"/>
  <c r="E293" i="4"/>
  <c r="I601" i="4"/>
  <c r="I1173" i="4"/>
  <c r="I287" i="4"/>
  <c r="I375" i="4"/>
  <c r="I727" i="4"/>
  <c r="I1299" i="4"/>
  <c r="I451" i="4"/>
  <c r="I1067" i="4"/>
  <c r="AJ532" i="6"/>
  <c r="AI532" i="6"/>
  <c r="AG532" i="6"/>
  <c r="AH532" i="6"/>
  <c r="O120" i="4"/>
  <c r="P521" i="4"/>
  <c r="T521" i="4" s="1"/>
  <c r="O521" i="4"/>
  <c r="N521" i="4"/>
  <c r="R521" i="4" s="1"/>
  <c r="M521" i="4"/>
  <c r="K521" i="4"/>
  <c r="W521" i="4"/>
  <c r="M829" i="4"/>
  <c r="N829" i="4"/>
  <c r="K829" i="4"/>
  <c r="P829" i="4"/>
  <c r="T829" i="4" s="1"/>
  <c r="O829" i="4"/>
  <c r="R829" i="4"/>
  <c r="W829" i="4"/>
  <c r="P262" i="4"/>
  <c r="O262" i="4"/>
  <c r="N262" i="4"/>
  <c r="K262" i="4"/>
  <c r="M262" i="4"/>
  <c r="W262" i="4"/>
  <c r="N350" i="4"/>
  <c r="M350" i="4"/>
  <c r="K350" i="4"/>
  <c r="P350" i="4"/>
  <c r="O350" i="4"/>
  <c r="W350" i="4"/>
  <c r="P922" i="4"/>
  <c r="N922" i="4"/>
  <c r="K922" i="4"/>
  <c r="O922" i="4"/>
  <c r="M922" i="4"/>
  <c r="W922" i="4"/>
  <c r="K1318" i="4"/>
  <c r="N1318" i="4"/>
  <c r="P1318" i="4"/>
  <c r="O1318" i="4"/>
  <c r="M1318" i="4"/>
  <c r="W1318" i="4"/>
  <c r="I415" i="4"/>
  <c r="I899" i="4"/>
  <c r="I1295" i="4"/>
  <c r="F1340" i="4"/>
  <c r="F1208" i="4"/>
  <c r="F1296" i="4"/>
  <c r="F1252" i="4"/>
  <c r="F1164" i="4"/>
  <c r="F1120" i="4"/>
  <c r="F1076" i="4"/>
  <c r="F988" i="4"/>
  <c r="F1032" i="4"/>
  <c r="F944" i="4"/>
  <c r="F768" i="4"/>
  <c r="F812" i="4"/>
  <c r="F856" i="4"/>
  <c r="F900" i="4"/>
  <c r="F636" i="4"/>
  <c r="F724" i="4"/>
  <c r="F680" i="4"/>
  <c r="F548" i="4"/>
  <c r="F504" i="4"/>
  <c r="F460" i="4"/>
  <c r="F592" i="4"/>
  <c r="F416" i="4"/>
  <c r="F284" i="4"/>
  <c r="F372" i="4"/>
  <c r="F328" i="4"/>
  <c r="I504" i="4"/>
  <c r="I1032" i="4"/>
  <c r="AC72" i="4"/>
  <c r="I668" i="4"/>
  <c r="I1328" i="4"/>
  <c r="E1235" i="4"/>
  <c r="E1191" i="4"/>
  <c r="E1279" i="4"/>
  <c r="E1103" i="4"/>
  <c r="E1015" i="4"/>
  <c r="E1059" i="4"/>
  <c r="E1147" i="4"/>
  <c r="E795" i="4"/>
  <c r="E1323" i="4"/>
  <c r="E971" i="4"/>
  <c r="E927" i="4"/>
  <c r="E883" i="4"/>
  <c r="E839" i="4"/>
  <c r="E663" i="4"/>
  <c r="E751" i="4"/>
  <c r="E399" i="4"/>
  <c r="E619" i="4"/>
  <c r="E531" i="4"/>
  <c r="E575" i="4"/>
  <c r="E487" i="4"/>
  <c r="E707" i="4"/>
  <c r="E311" i="4"/>
  <c r="E267" i="4"/>
  <c r="E443" i="4"/>
  <c r="E355" i="4"/>
  <c r="I619" i="4"/>
  <c r="I1015" i="4"/>
  <c r="I493" i="4"/>
  <c r="I977" i="4"/>
  <c r="I467" i="4"/>
  <c r="I819" i="4"/>
  <c r="I1347" i="4"/>
  <c r="K435" i="4"/>
  <c r="N435" i="4"/>
  <c r="M435" i="4"/>
  <c r="P435" i="4"/>
  <c r="O435" i="4"/>
  <c r="W435" i="4"/>
  <c r="N655" i="4"/>
  <c r="M655" i="4"/>
  <c r="K655" i="4"/>
  <c r="P655" i="4"/>
  <c r="O655" i="4"/>
  <c r="W655" i="4"/>
  <c r="P1315" i="4"/>
  <c r="K1315" i="4"/>
  <c r="N1315" i="4"/>
  <c r="M1315" i="4"/>
  <c r="O1315" i="4"/>
  <c r="W1315" i="4"/>
  <c r="AH293" i="6"/>
  <c r="AG293" i="6"/>
  <c r="AJ293" i="6"/>
  <c r="AI293" i="6"/>
  <c r="I378" i="4"/>
  <c r="I466" i="4"/>
  <c r="I1082" i="4"/>
  <c r="F1330" i="4"/>
  <c r="F1286" i="4"/>
  <c r="F1198" i="4"/>
  <c r="F1242" i="4"/>
  <c r="F1110" i="4"/>
  <c r="F1154" i="4"/>
  <c r="F1066" i="4"/>
  <c r="F1022" i="4"/>
  <c r="F934" i="4"/>
  <c r="F758" i="4"/>
  <c r="F978" i="4"/>
  <c r="F890" i="4"/>
  <c r="F802" i="4"/>
  <c r="F626" i="4"/>
  <c r="F846" i="4"/>
  <c r="F714" i="4"/>
  <c r="F670" i="4"/>
  <c r="F538" i="4"/>
  <c r="F494" i="4"/>
  <c r="F582" i="4"/>
  <c r="F450" i="4"/>
  <c r="F274" i="4"/>
  <c r="F362" i="4"/>
  <c r="F406" i="4"/>
  <c r="F318" i="4"/>
  <c r="I582" i="4"/>
  <c r="I1154" i="4"/>
  <c r="D1337" i="4"/>
  <c r="D1293" i="4"/>
  <c r="D1249" i="4"/>
  <c r="D1205" i="4"/>
  <c r="D1161" i="4"/>
  <c r="D1117" i="4"/>
  <c r="D1073" i="4"/>
  <c r="D1029" i="4"/>
  <c r="D941" i="4"/>
  <c r="D985" i="4"/>
  <c r="D765" i="4"/>
  <c r="D897" i="4"/>
  <c r="D853" i="4"/>
  <c r="D633" i="4"/>
  <c r="D809" i="4"/>
  <c r="D721" i="4"/>
  <c r="D677" i="4"/>
  <c r="D589" i="4"/>
  <c r="D545" i="4"/>
  <c r="D501" i="4"/>
  <c r="D457" i="4"/>
  <c r="D281" i="4"/>
  <c r="D413" i="4"/>
  <c r="D369" i="4"/>
  <c r="D325" i="4"/>
  <c r="I325" i="4"/>
  <c r="I897" i="4"/>
  <c r="I1073" i="4"/>
  <c r="K398" i="4"/>
  <c r="P398" i="4"/>
  <c r="O398" i="4"/>
  <c r="N398" i="4"/>
  <c r="M398" i="4"/>
  <c r="P706" i="4"/>
  <c r="O706" i="4"/>
  <c r="N706" i="4"/>
  <c r="M706" i="4"/>
  <c r="K706" i="4"/>
  <c r="O1102" i="4"/>
  <c r="P1102" i="4"/>
  <c r="N1102" i="4"/>
  <c r="M1102" i="4"/>
  <c r="K1102" i="4"/>
  <c r="C1187" i="4"/>
  <c r="C1275" i="4"/>
  <c r="C1143" i="4"/>
  <c r="C1231" i="4"/>
  <c r="C1099" i="4"/>
  <c r="C1319" i="4"/>
  <c r="C967" i="4"/>
  <c r="C923" i="4"/>
  <c r="C1055" i="4"/>
  <c r="C1011" i="4"/>
  <c r="C879" i="4"/>
  <c r="C791" i="4"/>
  <c r="C571" i="4"/>
  <c r="C703" i="4"/>
  <c r="C747" i="4"/>
  <c r="C527" i="4"/>
  <c r="C835" i="4"/>
  <c r="C483" i="4"/>
  <c r="C659" i="4"/>
  <c r="C439" i="4"/>
  <c r="C615" i="4"/>
  <c r="C395" i="4"/>
  <c r="C351" i="4"/>
  <c r="C307" i="4"/>
  <c r="C263" i="4"/>
  <c r="M571" i="4"/>
  <c r="O571" i="4"/>
  <c r="N571" i="4"/>
  <c r="K571" i="4"/>
  <c r="P571" i="4"/>
  <c r="W571" i="4"/>
  <c r="P1011" i="4"/>
  <c r="M1011" i="4"/>
  <c r="K1011" i="4"/>
  <c r="O1011" i="4"/>
  <c r="N1011" i="4"/>
  <c r="W1011" i="4"/>
  <c r="I638" i="4"/>
  <c r="I990" i="4"/>
  <c r="P353" i="4"/>
  <c r="O353" i="4"/>
  <c r="N353" i="4"/>
  <c r="M353" i="4"/>
  <c r="K353" i="4"/>
  <c r="W353" i="4"/>
  <c r="M881" i="4"/>
  <c r="P881" i="4"/>
  <c r="O881" i="4"/>
  <c r="N881" i="4"/>
  <c r="K881" i="4"/>
  <c r="W881" i="4"/>
  <c r="K1189" i="4"/>
  <c r="P1189" i="4"/>
  <c r="O1189" i="4"/>
  <c r="N1189" i="4"/>
  <c r="M1189" i="4"/>
  <c r="W1189" i="4"/>
  <c r="F1314" i="4"/>
  <c r="F1138" i="4"/>
  <c r="F1094" i="4"/>
  <c r="F1182" i="4"/>
  <c r="F1270" i="4"/>
  <c r="F1006" i="4"/>
  <c r="F1226" i="4"/>
  <c r="F962" i="4"/>
  <c r="F1050" i="4"/>
  <c r="F830" i="4"/>
  <c r="F918" i="4"/>
  <c r="F874" i="4"/>
  <c r="F742" i="4"/>
  <c r="F698" i="4"/>
  <c r="F786" i="4"/>
  <c r="F654" i="4"/>
  <c r="F566" i="4"/>
  <c r="F522" i="4"/>
  <c r="F610" i="4"/>
  <c r="F346" i="4"/>
  <c r="F390" i="4"/>
  <c r="F302" i="4"/>
  <c r="F478" i="4"/>
  <c r="F434" i="4"/>
  <c r="F258" i="4"/>
  <c r="P698" i="4"/>
  <c r="O698" i="4"/>
  <c r="N698" i="4"/>
  <c r="M698" i="4"/>
  <c r="K698" i="4"/>
  <c r="W698" i="4"/>
  <c r="P1138" i="4"/>
  <c r="O1138" i="4"/>
  <c r="N1138" i="4"/>
  <c r="M1138" i="4"/>
  <c r="K1138" i="4"/>
  <c r="W1138" i="4"/>
  <c r="AJ474" i="6"/>
  <c r="AH474" i="6"/>
  <c r="AG474" i="6"/>
  <c r="AI474" i="6"/>
  <c r="AG503" i="6"/>
  <c r="AJ503" i="6"/>
  <c r="AI503" i="6"/>
  <c r="AH503" i="6"/>
  <c r="F168" i="4"/>
  <c r="AJ83" i="6"/>
  <c r="AI83" i="6"/>
  <c r="AH83" i="6"/>
  <c r="AG83" i="6"/>
  <c r="I718" i="4"/>
  <c r="I621" i="4"/>
  <c r="I514" i="4"/>
  <c r="I954" i="4"/>
  <c r="I893" i="4"/>
  <c r="AF445" i="6"/>
  <c r="AD446" i="6"/>
  <c r="I320" i="4"/>
  <c r="I1288" i="4"/>
  <c r="AJ653" i="6"/>
  <c r="AI653" i="6"/>
  <c r="AH653" i="6"/>
  <c r="AG653" i="6"/>
  <c r="D1290" i="4"/>
  <c r="D1334" i="4"/>
  <c r="D1202" i="4"/>
  <c r="D1246" i="4"/>
  <c r="D1158" i="4"/>
  <c r="D1070" i="4"/>
  <c r="D1114" i="4"/>
  <c r="D1026" i="4"/>
  <c r="D938" i="4"/>
  <c r="D894" i="4"/>
  <c r="D982" i="4"/>
  <c r="D850" i="4"/>
  <c r="D586" i="4"/>
  <c r="D806" i="4"/>
  <c r="D718" i="4"/>
  <c r="D762" i="4"/>
  <c r="D454" i="4"/>
  <c r="D630" i="4"/>
  <c r="D674" i="4"/>
  <c r="D498" i="4"/>
  <c r="D366" i="4"/>
  <c r="D542" i="4"/>
  <c r="D410" i="4"/>
  <c r="D322" i="4"/>
  <c r="D278" i="4"/>
  <c r="I850" i="4"/>
  <c r="I1070" i="4"/>
  <c r="I577" i="4"/>
  <c r="I973" i="4"/>
  <c r="D1262" i="4"/>
  <c r="D1086" i="4"/>
  <c r="D1306" i="4"/>
  <c r="D1218" i="4"/>
  <c r="D1042" i="4"/>
  <c r="D1174" i="4"/>
  <c r="D954" i="4"/>
  <c r="D1350" i="4"/>
  <c r="D1130" i="4"/>
  <c r="D998" i="4"/>
  <c r="D866" i="4"/>
  <c r="D778" i="4"/>
  <c r="D910" i="4"/>
  <c r="D690" i="4"/>
  <c r="D822" i="4"/>
  <c r="D734" i="4"/>
  <c r="D646" i="4"/>
  <c r="D602" i="4"/>
  <c r="D558" i="4"/>
  <c r="D514" i="4"/>
  <c r="D470" i="4"/>
  <c r="D338" i="4"/>
  <c r="D426" i="4"/>
  <c r="D294" i="4"/>
  <c r="D382" i="4"/>
  <c r="I558" i="4"/>
  <c r="I1174" i="4"/>
  <c r="I321" i="4"/>
  <c r="I981" i="4"/>
  <c r="I1157" i="4"/>
  <c r="C1280" i="4"/>
  <c r="C1236" i="4"/>
  <c r="C1192" i="4"/>
  <c r="C1148" i="4"/>
  <c r="C1104" i="4"/>
  <c r="C1324" i="4"/>
  <c r="C1060" i="4"/>
  <c r="C884" i="4"/>
  <c r="C1016" i="4"/>
  <c r="C972" i="4"/>
  <c r="C928" i="4"/>
  <c r="C840" i="4"/>
  <c r="C576" i="4"/>
  <c r="C796" i="4"/>
  <c r="C752" i="4"/>
  <c r="C708" i="4"/>
  <c r="C532" i="4"/>
  <c r="C488" i="4"/>
  <c r="C620" i="4"/>
  <c r="C664" i="4"/>
  <c r="C444" i="4"/>
  <c r="C400" i="4"/>
  <c r="C356" i="4"/>
  <c r="C312" i="4"/>
  <c r="H91" i="4"/>
  <c r="C268" i="4"/>
  <c r="I532" i="4"/>
  <c r="I1016" i="4"/>
  <c r="C1288" i="4"/>
  <c r="C1200" i="4"/>
  <c r="C1244" i="4"/>
  <c r="C1156" i="4"/>
  <c r="C1024" i="4"/>
  <c r="C1112" i="4"/>
  <c r="C1068" i="4"/>
  <c r="C1332" i="4"/>
  <c r="C980" i="4"/>
  <c r="C804" i="4"/>
  <c r="C848" i="4"/>
  <c r="C892" i="4"/>
  <c r="C628" i="4"/>
  <c r="C936" i="4"/>
  <c r="C760" i="4"/>
  <c r="C716" i="4"/>
  <c r="C672" i="4"/>
  <c r="C540" i="4"/>
  <c r="C496" i="4"/>
  <c r="C584" i="4"/>
  <c r="C452" i="4"/>
  <c r="C276" i="4"/>
  <c r="C364" i="4"/>
  <c r="C408" i="4"/>
  <c r="C320" i="4"/>
  <c r="H99" i="4"/>
  <c r="D1332" i="4"/>
  <c r="D1288" i="4"/>
  <c r="D1200" i="4"/>
  <c r="D1244" i="4"/>
  <c r="D1156" i="4"/>
  <c r="D1024" i="4"/>
  <c r="D1068" i="4"/>
  <c r="D980" i="4"/>
  <c r="D804" i="4"/>
  <c r="D760" i="4"/>
  <c r="D848" i="4"/>
  <c r="D892" i="4"/>
  <c r="D1112" i="4"/>
  <c r="D936" i="4"/>
  <c r="D628" i="4"/>
  <c r="D716" i="4"/>
  <c r="D672" i="4"/>
  <c r="D540" i="4"/>
  <c r="D496" i="4"/>
  <c r="D584" i="4"/>
  <c r="D452" i="4"/>
  <c r="D276" i="4"/>
  <c r="D364" i="4"/>
  <c r="D408" i="4"/>
  <c r="D320" i="4"/>
  <c r="I408" i="4"/>
  <c r="I760" i="4"/>
  <c r="I1068" i="4"/>
  <c r="AF654" i="6"/>
  <c r="AD655" i="6"/>
  <c r="I505" i="4"/>
  <c r="I637" i="4"/>
  <c r="I1033" i="4"/>
  <c r="I516" i="4"/>
  <c r="I1132" i="4"/>
  <c r="AB70" i="5"/>
  <c r="AA70" i="5"/>
  <c r="Z70" i="5"/>
  <c r="Y70" i="5"/>
  <c r="I534" i="4"/>
  <c r="I754" i="4"/>
  <c r="I1150" i="4"/>
  <c r="M480" i="4"/>
  <c r="K480" i="4"/>
  <c r="P480" i="4"/>
  <c r="O480" i="4"/>
  <c r="N480" i="4"/>
  <c r="W480" i="4"/>
  <c r="K568" i="4"/>
  <c r="O568" i="4"/>
  <c r="N568" i="4"/>
  <c r="M568" i="4"/>
  <c r="P568" i="4"/>
  <c r="W568" i="4"/>
  <c r="M1228" i="4"/>
  <c r="K1228" i="4"/>
  <c r="P1228" i="4"/>
  <c r="O1228" i="4"/>
  <c r="N1228" i="4"/>
  <c r="W1228" i="4"/>
  <c r="I456" i="4"/>
  <c r="I896" i="4"/>
  <c r="I383" i="4"/>
  <c r="I339" i="4"/>
  <c r="I559" i="4"/>
  <c r="I1043" i="4"/>
  <c r="P133" i="4"/>
  <c r="D1118" i="4"/>
  <c r="D1074" i="4"/>
  <c r="D1294" i="4"/>
  <c r="D1206" i="4"/>
  <c r="D1250" i="4"/>
  <c r="D1338" i="4"/>
  <c r="D986" i="4"/>
  <c r="D1162" i="4"/>
  <c r="D1030" i="4"/>
  <c r="D942" i="4"/>
  <c r="D854" i="4"/>
  <c r="D766" i="4"/>
  <c r="D898" i="4"/>
  <c r="D722" i="4"/>
  <c r="D678" i="4"/>
  <c r="D810" i="4"/>
  <c r="D634" i="4"/>
  <c r="D590" i="4"/>
  <c r="D546" i="4"/>
  <c r="D502" i="4"/>
  <c r="D370" i="4"/>
  <c r="D326" i="4"/>
  <c r="D414" i="4"/>
  <c r="D282" i="4"/>
  <c r="D458" i="4"/>
  <c r="I546" i="4"/>
  <c r="I986" i="4"/>
  <c r="I333" i="4"/>
  <c r="I861" i="4"/>
  <c r="I1125" i="4"/>
  <c r="N261" i="4"/>
  <c r="M261" i="4"/>
  <c r="K261" i="4"/>
  <c r="P261" i="4"/>
  <c r="O261" i="4"/>
  <c r="W261" i="4"/>
  <c r="K657" i="4"/>
  <c r="N657" i="4"/>
  <c r="P657" i="4"/>
  <c r="O657" i="4"/>
  <c r="M657" i="4"/>
  <c r="W657" i="4"/>
  <c r="K1229" i="4"/>
  <c r="P1229" i="4"/>
  <c r="M1229" i="4"/>
  <c r="N1229" i="4"/>
  <c r="O1229" i="4"/>
  <c r="W1229" i="4"/>
  <c r="N660" i="4"/>
  <c r="M660" i="4"/>
  <c r="K660" i="4"/>
  <c r="P660" i="4"/>
  <c r="O660" i="4"/>
  <c r="W660" i="4"/>
  <c r="K1276" i="4"/>
  <c r="N1276" i="4"/>
  <c r="M1276" i="4"/>
  <c r="P1276" i="4"/>
  <c r="O1276" i="4"/>
  <c r="W1276" i="4"/>
  <c r="I552" i="4"/>
  <c r="I1124" i="4"/>
  <c r="E68" i="4"/>
  <c r="D1128" i="4"/>
  <c r="D1304" i="4"/>
  <c r="D1260" i="4"/>
  <c r="D1084" i="4"/>
  <c r="D1348" i="4"/>
  <c r="D1216" i="4"/>
  <c r="D1172" i="4"/>
  <c r="D996" i="4"/>
  <c r="D952" i="4"/>
  <c r="D1040" i="4"/>
  <c r="D864" i="4"/>
  <c r="D908" i="4"/>
  <c r="D820" i="4"/>
  <c r="D776" i="4"/>
  <c r="D732" i="4"/>
  <c r="D688" i="4"/>
  <c r="D644" i="4"/>
  <c r="D600" i="4"/>
  <c r="D556" i="4"/>
  <c r="D512" i="4"/>
  <c r="D336" i="4"/>
  <c r="D468" i="4"/>
  <c r="D292" i="4"/>
  <c r="D380" i="4"/>
  <c r="D424" i="4"/>
  <c r="I512" i="4"/>
  <c r="I952" i="4"/>
  <c r="I1304" i="4"/>
  <c r="I271" i="4"/>
  <c r="I931" i="4"/>
  <c r="I1283" i="4"/>
  <c r="I411" i="4"/>
  <c r="I675" i="4"/>
  <c r="I1247" i="4"/>
  <c r="D1305" i="4"/>
  <c r="D1349" i="4"/>
  <c r="D1261" i="4"/>
  <c r="D1173" i="4"/>
  <c r="D1217" i="4"/>
  <c r="D1129" i="4"/>
  <c r="D1085" i="4"/>
  <c r="D1041" i="4"/>
  <c r="D997" i="4"/>
  <c r="D909" i="4"/>
  <c r="D953" i="4"/>
  <c r="D821" i="4"/>
  <c r="D865" i="4"/>
  <c r="D601" i="4"/>
  <c r="D733" i="4"/>
  <c r="D777" i="4"/>
  <c r="D689" i="4"/>
  <c r="D645" i="4"/>
  <c r="D557" i="4"/>
  <c r="D469" i="4"/>
  <c r="D425" i="4"/>
  <c r="D381" i="4"/>
  <c r="D513" i="4"/>
  <c r="D337" i="4"/>
  <c r="D293" i="4"/>
  <c r="I689" i="4"/>
  <c r="I1129" i="4"/>
  <c r="E110" i="4"/>
  <c r="I859" i="4"/>
  <c r="I1123" i="4"/>
  <c r="E98" i="4"/>
  <c r="I715" i="4"/>
  <c r="I1243" i="4"/>
  <c r="AF533" i="6"/>
  <c r="AD534" i="6"/>
  <c r="H33" i="4"/>
  <c r="I33" i="4" s="1"/>
  <c r="E39" i="4"/>
  <c r="F120" i="4"/>
  <c r="P653" i="4"/>
  <c r="T653" i="4" s="1"/>
  <c r="T654" i="4" s="1"/>
  <c r="T655" i="4" s="1"/>
  <c r="T656" i="4" s="1"/>
  <c r="T657" i="4" s="1"/>
  <c r="T658" i="4" s="1"/>
  <c r="T659" i="4" s="1"/>
  <c r="T660" i="4" s="1"/>
  <c r="O653" i="4"/>
  <c r="N653" i="4"/>
  <c r="R653" i="4" s="1"/>
  <c r="M653" i="4"/>
  <c r="K653" i="4"/>
  <c r="W653" i="4"/>
  <c r="P1049" i="4"/>
  <c r="T1049" i="4" s="1"/>
  <c r="T1050" i="4" s="1"/>
  <c r="N1049" i="4"/>
  <c r="R1049" i="4" s="1"/>
  <c r="M1049" i="4"/>
  <c r="O1049" i="4"/>
  <c r="K1049" i="4"/>
  <c r="W1049" i="4"/>
  <c r="E85" i="4"/>
  <c r="H85" i="4" s="1"/>
  <c r="M438" i="4"/>
  <c r="K438" i="4"/>
  <c r="P438" i="4"/>
  <c r="O438" i="4"/>
  <c r="N438" i="4"/>
  <c r="W438" i="4"/>
  <c r="M834" i="4"/>
  <c r="P834" i="4"/>
  <c r="O834" i="4"/>
  <c r="N834" i="4"/>
  <c r="K834" i="4"/>
  <c r="W834" i="4"/>
  <c r="I283" i="4"/>
  <c r="I987" i="4"/>
  <c r="I1251" i="4"/>
  <c r="E1340" i="4"/>
  <c r="E1208" i="4"/>
  <c r="E1164" i="4"/>
  <c r="E1296" i="4"/>
  <c r="E1032" i="4"/>
  <c r="E1252" i="4"/>
  <c r="E1120" i="4"/>
  <c r="E944" i="4"/>
  <c r="E1076" i="4"/>
  <c r="E988" i="4"/>
  <c r="E812" i="4"/>
  <c r="E856" i="4"/>
  <c r="E900" i="4"/>
  <c r="E768" i="4"/>
  <c r="E636" i="4"/>
  <c r="E724" i="4"/>
  <c r="E548" i="4"/>
  <c r="E680" i="4"/>
  <c r="E504" i="4"/>
  <c r="E460" i="4"/>
  <c r="E592" i="4"/>
  <c r="E416" i="4"/>
  <c r="E284" i="4"/>
  <c r="E372" i="4"/>
  <c r="E328" i="4"/>
  <c r="I548" i="4"/>
  <c r="I1252" i="4"/>
  <c r="E45" i="4"/>
  <c r="E59" i="4"/>
  <c r="AD746" i="6"/>
  <c r="AF745" i="6"/>
  <c r="E130" i="4"/>
  <c r="P130" i="4"/>
  <c r="P132" i="4"/>
  <c r="E132" i="4"/>
  <c r="H132" i="4" s="1"/>
  <c r="G11" i="4"/>
  <c r="B76" i="1" s="1"/>
  <c r="AB72" i="4"/>
  <c r="P38" i="4"/>
  <c r="F1240" i="4"/>
  <c r="F1064" i="4"/>
  <c r="F1284" i="4"/>
  <c r="F1196" i="4"/>
  <c r="F1328" i="4"/>
  <c r="F1108" i="4"/>
  <c r="F1020" i="4"/>
  <c r="F976" i="4"/>
  <c r="F932" i="4"/>
  <c r="F1152" i="4"/>
  <c r="F800" i="4"/>
  <c r="F756" i="4"/>
  <c r="F844" i="4"/>
  <c r="F888" i="4"/>
  <c r="F668" i="4"/>
  <c r="F712" i="4"/>
  <c r="F536" i="4"/>
  <c r="F492" i="4"/>
  <c r="F624" i="4"/>
  <c r="F580" i="4"/>
  <c r="F448" i="4"/>
  <c r="F404" i="4"/>
  <c r="F316" i="4"/>
  <c r="F272" i="4"/>
  <c r="F360" i="4"/>
  <c r="I712" i="4"/>
  <c r="I1240" i="4"/>
  <c r="I751" i="4"/>
  <c r="I1191" i="4"/>
  <c r="C1329" i="4"/>
  <c r="C1197" i="4"/>
  <c r="C1153" i="4"/>
  <c r="C1109" i="4"/>
  <c r="C1241" i="4"/>
  <c r="C1065" i="4"/>
  <c r="C1285" i="4"/>
  <c r="C1021" i="4"/>
  <c r="C977" i="4"/>
  <c r="C889" i="4"/>
  <c r="C801" i="4"/>
  <c r="C845" i="4"/>
  <c r="C933" i="4"/>
  <c r="C757" i="4"/>
  <c r="C581" i="4"/>
  <c r="C713" i="4"/>
  <c r="C537" i="4"/>
  <c r="C493" i="4"/>
  <c r="C449" i="4"/>
  <c r="C669" i="4"/>
  <c r="C405" i="4"/>
  <c r="C625" i="4"/>
  <c r="C361" i="4"/>
  <c r="C317" i="4"/>
  <c r="H96" i="4"/>
  <c r="C273" i="4"/>
  <c r="I537" i="4"/>
  <c r="I933" i="4"/>
  <c r="D1347" i="4"/>
  <c r="D1039" i="4"/>
  <c r="D1259" i="4"/>
  <c r="D1215" i="4"/>
  <c r="D1303" i="4"/>
  <c r="D1171" i="4"/>
  <c r="D1083" i="4"/>
  <c r="D1127" i="4"/>
  <c r="D951" i="4"/>
  <c r="D907" i="4"/>
  <c r="D995" i="4"/>
  <c r="D863" i="4"/>
  <c r="D643" i="4"/>
  <c r="D819" i="4"/>
  <c r="D775" i="4"/>
  <c r="D731" i="4"/>
  <c r="D687" i="4"/>
  <c r="D555" i="4"/>
  <c r="D599" i="4"/>
  <c r="D511" i="4"/>
  <c r="D467" i="4"/>
  <c r="D423" i="4"/>
  <c r="D379" i="4"/>
  <c r="D291" i="4"/>
  <c r="D335" i="4"/>
  <c r="I511" i="4"/>
  <c r="I995" i="4"/>
  <c r="AJ144" i="6"/>
  <c r="AI144" i="6"/>
  <c r="AH144" i="6"/>
  <c r="AG144" i="6"/>
  <c r="C1271" i="4"/>
  <c r="C1183" i="4"/>
  <c r="C1315" i="4"/>
  <c r="C1095" i="4"/>
  <c r="C1227" i="4"/>
  <c r="C1139" i="4"/>
  <c r="C1051" i="4"/>
  <c r="C1007" i="4"/>
  <c r="C787" i="4"/>
  <c r="C963" i="4"/>
  <c r="C831" i="4"/>
  <c r="C919" i="4"/>
  <c r="C875" i="4"/>
  <c r="C743" i="4"/>
  <c r="C655" i="4"/>
  <c r="C391" i="4"/>
  <c r="C699" i="4"/>
  <c r="C567" i="4"/>
  <c r="C523" i="4"/>
  <c r="C479" i="4"/>
  <c r="C303" i="4"/>
  <c r="C611" i="4"/>
  <c r="C259" i="4"/>
  <c r="C435" i="4"/>
  <c r="C347" i="4"/>
  <c r="P259" i="4"/>
  <c r="O259" i="4"/>
  <c r="N259" i="4"/>
  <c r="M259" i="4"/>
  <c r="K259" i="4"/>
  <c r="W259" i="4"/>
  <c r="P743" i="4"/>
  <c r="O743" i="4"/>
  <c r="N743" i="4"/>
  <c r="M743" i="4"/>
  <c r="K743" i="4"/>
  <c r="W743" i="4"/>
  <c r="P1183" i="4"/>
  <c r="O1183" i="4"/>
  <c r="N1183" i="4"/>
  <c r="M1183" i="4"/>
  <c r="K1183" i="4"/>
  <c r="W1183" i="4"/>
  <c r="E164" i="4"/>
  <c r="D1302" i="4"/>
  <c r="D1346" i="4"/>
  <c r="D1170" i="4"/>
  <c r="D1126" i="4"/>
  <c r="D1258" i="4"/>
  <c r="D1214" i="4"/>
  <c r="D1082" i="4"/>
  <c r="D906" i="4"/>
  <c r="D994" i="4"/>
  <c r="D950" i="4"/>
  <c r="D1038" i="4"/>
  <c r="D818" i="4"/>
  <c r="D862" i="4"/>
  <c r="D730" i="4"/>
  <c r="D774" i="4"/>
  <c r="D686" i="4"/>
  <c r="D642" i="4"/>
  <c r="D598" i="4"/>
  <c r="D554" i="4"/>
  <c r="D510" i="4"/>
  <c r="D378" i="4"/>
  <c r="D466" i="4"/>
  <c r="D334" i="4"/>
  <c r="D422" i="4"/>
  <c r="D290" i="4"/>
  <c r="I554" i="4"/>
  <c r="I686" i="4"/>
  <c r="I994" i="4"/>
  <c r="E1286" i="4"/>
  <c r="E1198" i="4"/>
  <c r="E1242" i="4"/>
  <c r="E1154" i="4"/>
  <c r="E1330" i="4"/>
  <c r="E1022" i="4"/>
  <c r="E1110" i="4"/>
  <c r="E1066" i="4"/>
  <c r="E934" i="4"/>
  <c r="E846" i="4"/>
  <c r="E978" i="4"/>
  <c r="E890" i="4"/>
  <c r="E802" i="4"/>
  <c r="E626" i="4"/>
  <c r="E758" i="4"/>
  <c r="E714" i="4"/>
  <c r="E538" i="4"/>
  <c r="E494" i="4"/>
  <c r="E582" i="4"/>
  <c r="E450" i="4"/>
  <c r="E670" i="4"/>
  <c r="E274" i="4"/>
  <c r="E362" i="4"/>
  <c r="E406" i="4"/>
  <c r="E318" i="4"/>
  <c r="I626" i="4"/>
  <c r="I934" i="4"/>
  <c r="C1337" i="4"/>
  <c r="C1293" i="4"/>
  <c r="C1249" i="4"/>
  <c r="C1205" i="4"/>
  <c r="C1161" i="4"/>
  <c r="C1073" i="4"/>
  <c r="C1029" i="4"/>
  <c r="C1117" i="4"/>
  <c r="C985" i="4"/>
  <c r="C941" i="4"/>
  <c r="C897" i="4"/>
  <c r="C809" i="4"/>
  <c r="C853" i="4"/>
  <c r="C633" i="4"/>
  <c r="C765" i="4"/>
  <c r="C721" i="4"/>
  <c r="C589" i="4"/>
  <c r="C545" i="4"/>
  <c r="C501" i="4"/>
  <c r="C457" i="4"/>
  <c r="C281" i="4"/>
  <c r="C677" i="4"/>
  <c r="C413" i="4"/>
  <c r="C369" i="4"/>
  <c r="H104" i="4"/>
  <c r="C325" i="4"/>
  <c r="I457" i="4"/>
  <c r="I765" i="4"/>
  <c r="I1249" i="4"/>
  <c r="N750" i="4"/>
  <c r="K750" i="4"/>
  <c r="P750" i="4"/>
  <c r="O750" i="4"/>
  <c r="M750" i="4"/>
  <c r="P1190" i="4"/>
  <c r="O1190" i="4"/>
  <c r="N1190" i="4"/>
  <c r="M1190" i="4"/>
  <c r="K1190" i="4"/>
  <c r="E1319" i="4"/>
  <c r="E1231" i="4"/>
  <c r="E1143" i="4"/>
  <c r="E1275" i="4"/>
  <c r="E1099" i="4"/>
  <c r="E1055" i="4"/>
  <c r="E1187" i="4"/>
  <c r="E967" i="4"/>
  <c r="E879" i="4"/>
  <c r="E1011" i="4"/>
  <c r="E923" i="4"/>
  <c r="E835" i="4"/>
  <c r="E703" i="4"/>
  <c r="E659" i="4"/>
  <c r="E747" i="4"/>
  <c r="E791" i="4"/>
  <c r="E483" i="4"/>
  <c r="E439" i="4"/>
  <c r="E615" i="4"/>
  <c r="E527" i="4"/>
  <c r="E571" i="4"/>
  <c r="E351" i="4"/>
  <c r="E263" i="4"/>
  <c r="E307" i="4"/>
  <c r="E395" i="4"/>
  <c r="P659" i="4"/>
  <c r="O659" i="4"/>
  <c r="M659" i="4"/>
  <c r="K659" i="4"/>
  <c r="N659" i="4"/>
  <c r="W659" i="4"/>
  <c r="K1055" i="4"/>
  <c r="O1055" i="4"/>
  <c r="N1055" i="4"/>
  <c r="M1055" i="4"/>
  <c r="P1055" i="4"/>
  <c r="W1055" i="4"/>
  <c r="E109" i="4"/>
  <c r="E1210" i="4"/>
  <c r="E1166" i="4"/>
  <c r="E1254" i="4"/>
  <c r="E1122" i="4"/>
  <c r="E1298" i="4"/>
  <c r="E1078" i="4"/>
  <c r="E1034" i="4"/>
  <c r="E1342" i="4"/>
  <c r="E946" i="4"/>
  <c r="E902" i="4"/>
  <c r="E990" i="4"/>
  <c r="E814" i="4"/>
  <c r="E594" i="4"/>
  <c r="E770" i="4"/>
  <c r="E858" i="4"/>
  <c r="E726" i="4"/>
  <c r="E550" i="4"/>
  <c r="E682" i="4"/>
  <c r="E506" i="4"/>
  <c r="E462" i="4"/>
  <c r="E638" i="4"/>
  <c r="E374" i="4"/>
  <c r="E330" i="4"/>
  <c r="E418" i="4"/>
  <c r="E286" i="4"/>
  <c r="I462" i="4"/>
  <c r="I946" i="4"/>
  <c r="M485" i="4"/>
  <c r="K485" i="4"/>
  <c r="P485" i="4"/>
  <c r="O485" i="4"/>
  <c r="N485" i="4"/>
  <c r="W485" i="4"/>
  <c r="O837" i="4"/>
  <c r="P837" i="4"/>
  <c r="N837" i="4"/>
  <c r="M837" i="4"/>
  <c r="K837" i="4"/>
  <c r="W837" i="4"/>
  <c r="O1277" i="4"/>
  <c r="P1277" i="4"/>
  <c r="N1277" i="4"/>
  <c r="M1277" i="4"/>
  <c r="K1277" i="4"/>
  <c r="W1277" i="4"/>
  <c r="K390" i="4"/>
  <c r="P390" i="4"/>
  <c r="O390" i="4"/>
  <c r="N390" i="4"/>
  <c r="W390" i="4"/>
  <c r="M390" i="4"/>
  <c r="P786" i="4"/>
  <c r="O786" i="4"/>
  <c r="N786" i="4"/>
  <c r="K786" i="4"/>
  <c r="M786" i="4"/>
  <c r="W786" i="4"/>
  <c r="P1094" i="4"/>
  <c r="O1094" i="4"/>
  <c r="M1094" i="4"/>
  <c r="N1094" i="4"/>
  <c r="K1094" i="4"/>
  <c r="W1094" i="4"/>
  <c r="AF475" i="6"/>
  <c r="AD476" i="6"/>
  <c r="K168" i="4"/>
  <c r="I1246" i="4"/>
  <c r="I1042" i="4"/>
  <c r="I560" i="4"/>
  <c r="I1063" i="4"/>
  <c r="I847" i="4"/>
  <c r="I1331" i="4"/>
  <c r="I492" i="4"/>
  <c r="I756" i="4"/>
  <c r="I1284" i="4"/>
  <c r="I443" i="4"/>
  <c r="I663" i="4"/>
  <c r="I1235" i="4"/>
  <c r="E1329" i="4"/>
  <c r="E1241" i="4"/>
  <c r="E1153" i="4"/>
  <c r="E1109" i="4"/>
  <c r="E1285" i="4"/>
  <c r="E1197" i="4"/>
  <c r="E1065" i="4"/>
  <c r="E1021" i="4"/>
  <c r="E889" i="4"/>
  <c r="E977" i="4"/>
  <c r="E845" i="4"/>
  <c r="E933" i="4"/>
  <c r="E713" i="4"/>
  <c r="E669" i="4"/>
  <c r="E801" i="4"/>
  <c r="E757" i="4"/>
  <c r="E493" i="4"/>
  <c r="E449" i="4"/>
  <c r="E405" i="4"/>
  <c r="E625" i="4"/>
  <c r="E581" i="4"/>
  <c r="E537" i="4"/>
  <c r="E361" i="4"/>
  <c r="E273" i="4"/>
  <c r="E317" i="4"/>
  <c r="I669" i="4"/>
  <c r="I1021" i="4"/>
  <c r="I599" i="4"/>
  <c r="I1127" i="4"/>
  <c r="AF145" i="6"/>
  <c r="AD146" i="6"/>
  <c r="M391" i="4"/>
  <c r="P391" i="4"/>
  <c r="O391" i="4"/>
  <c r="N391" i="4"/>
  <c r="K391" i="4"/>
  <c r="W391" i="4"/>
  <c r="K699" i="4"/>
  <c r="P699" i="4"/>
  <c r="N699" i="4"/>
  <c r="O699" i="4"/>
  <c r="M699" i="4"/>
  <c r="W699" i="4"/>
  <c r="N1051" i="4"/>
  <c r="K1051" i="4"/>
  <c r="O1051" i="4"/>
  <c r="P1051" i="4"/>
  <c r="M1051" i="4"/>
  <c r="W1051" i="4"/>
  <c r="AI714" i="6"/>
  <c r="AH714" i="6"/>
  <c r="AJ714" i="6"/>
  <c r="AG714" i="6"/>
  <c r="I730" i="4"/>
  <c r="I1038" i="4"/>
  <c r="I494" i="4"/>
  <c r="I1022" i="4"/>
  <c r="I369" i="4"/>
  <c r="I501" i="4"/>
  <c r="I941" i="4"/>
  <c r="P129" i="4"/>
  <c r="K662" i="4"/>
  <c r="N662" i="4"/>
  <c r="P662" i="4"/>
  <c r="O662" i="4"/>
  <c r="M662" i="4"/>
  <c r="P1278" i="4"/>
  <c r="O1278" i="4"/>
  <c r="N1278" i="4"/>
  <c r="M1278" i="4"/>
  <c r="K1278" i="4"/>
  <c r="F1275" i="4"/>
  <c r="F1319" i="4"/>
  <c r="F1143" i="4"/>
  <c r="F1099" i="4"/>
  <c r="F1231" i="4"/>
  <c r="F1011" i="4"/>
  <c r="F1055" i="4"/>
  <c r="F967" i="4"/>
  <c r="F879" i="4"/>
  <c r="F1187" i="4"/>
  <c r="F923" i="4"/>
  <c r="F791" i="4"/>
  <c r="F835" i="4"/>
  <c r="F703" i="4"/>
  <c r="F659" i="4"/>
  <c r="F747" i="4"/>
  <c r="F615" i="4"/>
  <c r="F527" i="4"/>
  <c r="F571" i="4"/>
  <c r="F483" i="4"/>
  <c r="F351" i="4"/>
  <c r="F307" i="4"/>
  <c r="F395" i="4"/>
  <c r="F263" i="4"/>
  <c r="F439" i="4"/>
  <c r="P703" i="4"/>
  <c r="O703" i="4"/>
  <c r="N703" i="4"/>
  <c r="M703" i="4"/>
  <c r="K703" i="4"/>
  <c r="W703" i="4"/>
  <c r="P1143" i="4"/>
  <c r="O1143" i="4"/>
  <c r="N1143" i="4"/>
  <c r="M1143" i="4"/>
  <c r="K1143" i="4"/>
  <c r="W1143" i="4"/>
  <c r="I506" i="4"/>
  <c r="I1166" i="4"/>
  <c r="M397" i="4"/>
  <c r="K397" i="4"/>
  <c r="P397" i="4"/>
  <c r="O397" i="4"/>
  <c r="N397" i="4"/>
  <c r="W397" i="4"/>
  <c r="F1101" i="4"/>
  <c r="F1233" i="4"/>
  <c r="F1057" i="4"/>
  <c r="F1277" i="4"/>
  <c r="F1321" i="4"/>
  <c r="F1145" i="4"/>
  <c r="F969" i="4"/>
  <c r="F1013" i="4"/>
  <c r="F1189" i="4"/>
  <c r="F925" i="4"/>
  <c r="F837" i="4"/>
  <c r="F881" i="4"/>
  <c r="F793" i="4"/>
  <c r="F705" i="4"/>
  <c r="F661" i="4"/>
  <c r="F749" i="4"/>
  <c r="F573" i="4"/>
  <c r="F617" i="4"/>
  <c r="F529" i="4"/>
  <c r="F485" i="4"/>
  <c r="F353" i="4"/>
  <c r="F309" i="4"/>
  <c r="F265" i="4"/>
  <c r="F397" i="4"/>
  <c r="F441" i="4"/>
  <c r="K529" i="4"/>
  <c r="P529" i="4"/>
  <c r="O529" i="4"/>
  <c r="N529" i="4"/>
  <c r="M529" i="4"/>
  <c r="W529" i="4"/>
  <c r="N1013" i="4"/>
  <c r="P1013" i="4"/>
  <c r="M1013" i="4"/>
  <c r="K1013" i="4"/>
  <c r="O1013" i="4"/>
  <c r="W1013" i="4"/>
  <c r="AD55" i="6"/>
  <c r="AF54" i="6"/>
  <c r="E81" i="4"/>
  <c r="H81" i="4" s="1"/>
  <c r="K610" i="4"/>
  <c r="P610" i="4"/>
  <c r="O610" i="4"/>
  <c r="N610" i="4"/>
  <c r="M610" i="4"/>
  <c r="W610" i="4"/>
  <c r="N1182" i="4"/>
  <c r="M1182" i="4"/>
  <c r="K1182" i="4"/>
  <c r="P1182" i="4"/>
  <c r="O1182" i="4"/>
  <c r="W1182" i="4"/>
  <c r="AG383" i="6"/>
  <c r="AJ383" i="6"/>
  <c r="AI383" i="6"/>
  <c r="AH383" i="6"/>
  <c r="C1341" i="4"/>
  <c r="C1253" i="4"/>
  <c r="C1297" i="4"/>
  <c r="C1165" i="4"/>
  <c r="C1121" i="4"/>
  <c r="C1209" i="4"/>
  <c r="C1033" i="4"/>
  <c r="C1077" i="4"/>
  <c r="C901" i="4"/>
  <c r="C813" i="4"/>
  <c r="C857" i="4"/>
  <c r="C945" i="4"/>
  <c r="C989" i="4"/>
  <c r="C769" i="4"/>
  <c r="C725" i="4"/>
  <c r="C681" i="4"/>
  <c r="C505" i="4"/>
  <c r="C461" i="4"/>
  <c r="C417" i="4"/>
  <c r="C549" i="4"/>
  <c r="C373" i="4"/>
  <c r="C593" i="4"/>
  <c r="C329" i="4"/>
  <c r="C285" i="4"/>
  <c r="C637" i="4"/>
  <c r="H108" i="4"/>
  <c r="I681" i="4"/>
  <c r="I1077" i="4"/>
  <c r="I1000" i="4"/>
  <c r="X71" i="5"/>
  <c r="V72" i="5"/>
  <c r="I314" i="4"/>
  <c r="I974" i="4"/>
  <c r="I1194" i="4"/>
  <c r="N612" i="4"/>
  <c r="M612" i="4"/>
  <c r="K612" i="4"/>
  <c r="P612" i="4"/>
  <c r="O612" i="4"/>
  <c r="W612" i="4"/>
  <c r="P1052" i="4"/>
  <c r="O1052" i="4"/>
  <c r="N1052" i="4"/>
  <c r="M1052" i="4"/>
  <c r="K1052" i="4"/>
  <c r="W1052" i="4"/>
  <c r="I808" i="4"/>
  <c r="I1028" i="4"/>
  <c r="I515" i="4"/>
  <c r="I471" i="4"/>
  <c r="I911" i="4"/>
  <c r="P34" i="4"/>
  <c r="I590" i="4"/>
  <c r="I1074" i="4"/>
  <c r="I465" i="4"/>
  <c r="I509" i="4"/>
  <c r="I1037" i="4"/>
  <c r="C1185" i="4"/>
  <c r="C1141" i="4"/>
  <c r="C1229" i="4"/>
  <c r="C1317" i="4"/>
  <c r="C1273" i="4"/>
  <c r="C1097" i="4"/>
  <c r="C1053" i="4"/>
  <c r="C921" i="4"/>
  <c r="C965" i="4"/>
  <c r="C1009" i="4"/>
  <c r="C877" i="4"/>
  <c r="C789" i="4"/>
  <c r="C833" i="4"/>
  <c r="C613" i="4"/>
  <c r="C745" i="4"/>
  <c r="C701" i="4"/>
  <c r="C525" i="4"/>
  <c r="C481" i="4"/>
  <c r="C569" i="4"/>
  <c r="C437" i="4"/>
  <c r="C261" i="4"/>
  <c r="C393" i="4"/>
  <c r="C349" i="4"/>
  <c r="C657" i="4"/>
  <c r="C305" i="4"/>
  <c r="K305" i="4"/>
  <c r="P305" i="4"/>
  <c r="O305" i="4"/>
  <c r="W305" i="4"/>
  <c r="N305" i="4"/>
  <c r="M305" i="4"/>
  <c r="P833" i="4"/>
  <c r="O833" i="4"/>
  <c r="N833" i="4"/>
  <c r="M833" i="4"/>
  <c r="K833" i="4"/>
  <c r="W833" i="4"/>
  <c r="P1273" i="4"/>
  <c r="N1273" i="4"/>
  <c r="M1273" i="4"/>
  <c r="K1273" i="4"/>
  <c r="O1273" i="4"/>
  <c r="W1273" i="4"/>
  <c r="C1320" i="4"/>
  <c r="C1232" i="4"/>
  <c r="C1188" i="4"/>
  <c r="C1276" i="4"/>
  <c r="C1100" i="4"/>
  <c r="C1144" i="4"/>
  <c r="C1056" i="4"/>
  <c r="C968" i="4"/>
  <c r="C792" i="4"/>
  <c r="C1012" i="4"/>
  <c r="C880" i="4"/>
  <c r="C924" i="4"/>
  <c r="C836" i="4"/>
  <c r="C660" i="4"/>
  <c r="C748" i="4"/>
  <c r="C396" i="4"/>
  <c r="C528" i="4"/>
  <c r="C704" i="4"/>
  <c r="C616" i="4"/>
  <c r="C484" i="4"/>
  <c r="C572" i="4"/>
  <c r="C308" i="4"/>
  <c r="C264" i="4"/>
  <c r="C352" i="4"/>
  <c r="C440" i="4"/>
  <c r="P264" i="4"/>
  <c r="O264" i="4"/>
  <c r="N264" i="4"/>
  <c r="M264" i="4"/>
  <c r="K264" i="4"/>
  <c r="W264" i="4"/>
  <c r="K704" i="4"/>
  <c r="P704" i="4"/>
  <c r="N704" i="4"/>
  <c r="O704" i="4"/>
  <c r="M704" i="4"/>
  <c r="W704" i="4"/>
  <c r="N1232" i="4"/>
  <c r="P1232" i="4"/>
  <c r="O1232" i="4"/>
  <c r="M1232" i="4"/>
  <c r="K1232" i="4"/>
  <c r="W1232" i="4"/>
  <c r="D1300" i="4"/>
  <c r="D1212" i="4"/>
  <c r="D1344" i="4"/>
  <c r="D1168" i="4"/>
  <c r="D1256" i="4"/>
  <c r="D1036" i="4"/>
  <c r="D1080" i="4"/>
  <c r="D1124" i="4"/>
  <c r="D904" i="4"/>
  <c r="D992" i="4"/>
  <c r="D948" i="4"/>
  <c r="D860" i="4"/>
  <c r="D596" i="4"/>
  <c r="D816" i="4"/>
  <c r="D728" i="4"/>
  <c r="D684" i="4"/>
  <c r="D772" i="4"/>
  <c r="D464" i="4"/>
  <c r="D640" i="4"/>
  <c r="D552" i="4"/>
  <c r="D376" i="4"/>
  <c r="D508" i="4"/>
  <c r="D420" i="4"/>
  <c r="D332" i="4"/>
  <c r="D288" i="4"/>
  <c r="I332" i="4"/>
  <c r="I684" i="4"/>
  <c r="I1036" i="4"/>
  <c r="I556" i="4"/>
  <c r="I908" i="4"/>
  <c r="I315" i="4"/>
  <c r="I843" i="4"/>
  <c r="C1335" i="4"/>
  <c r="C1291" i="4"/>
  <c r="C1071" i="4"/>
  <c r="C1247" i="4"/>
  <c r="C1203" i="4"/>
  <c r="C1115" i="4"/>
  <c r="C1027" i="4"/>
  <c r="C1159" i="4"/>
  <c r="C807" i="4"/>
  <c r="C895" i="4"/>
  <c r="C983" i="4"/>
  <c r="C939" i="4"/>
  <c r="C851" i="4"/>
  <c r="C675" i="4"/>
  <c r="C763" i="4"/>
  <c r="C411" i="4"/>
  <c r="C631" i="4"/>
  <c r="C587" i="4"/>
  <c r="C719" i="4"/>
  <c r="C543" i="4"/>
  <c r="C499" i="4"/>
  <c r="C323" i="4"/>
  <c r="C455" i="4"/>
  <c r="C279" i="4"/>
  <c r="C367" i="4"/>
  <c r="H102" i="4"/>
  <c r="I279" i="4"/>
  <c r="I719" i="4"/>
  <c r="I1071" i="4"/>
  <c r="I337" i="4"/>
  <c r="F1173" i="4"/>
  <c r="F1217" i="4"/>
  <c r="F1129" i="4"/>
  <c r="F1305" i="4"/>
  <c r="F1041" i="4"/>
  <c r="F1261" i="4"/>
  <c r="F1349" i="4"/>
  <c r="F1085" i="4"/>
  <c r="F997" i="4"/>
  <c r="F909" i="4"/>
  <c r="F953" i="4"/>
  <c r="F821" i="4"/>
  <c r="F865" i="4"/>
  <c r="F733" i="4"/>
  <c r="F689" i="4"/>
  <c r="F777" i="4"/>
  <c r="F645" i="4"/>
  <c r="F601" i="4"/>
  <c r="F557" i="4"/>
  <c r="F425" i="4"/>
  <c r="F381" i="4"/>
  <c r="F337" i="4"/>
  <c r="F513" i="4"/>
  <c r="F293" i="4"/>
  <c r="F469" i="4"/>
  <c r="I733" i="4"/>
  <c r="I1085" i="4"/>
  <c r="I331" i="4"/>
  <c r="I815" i="4"/>
  <c r="I1167" i="4"/>
  <c r="E1313" i="4"/>
  <c r="E1181" i="4"/>
  <c r="E1269" i="4"/>
  <c r="E1225" i="4"/>
  <c r="E1093" i="4"/>
  <c r="E1137" i="4"/>
  <c r="E961" i="4"/>
  <c r="E1049" i="4"/>
  <c r="E785" i="4"/>
  <c r="E1005" i="4"/>
  <c r="E873" i="4"/>
  <c r="E917" i="4"/>
  <c r="E829" i="4"/>
  <c r="E653" i="4"/>
  <c r="E741" i="4"/>
  <c r="E389" i="4"/>
  <c r="E697" i="4"/>
  <c r="E521" i="4"/>
  <c r="E477" i="4"/>
  <c r="E433" i="4"/>
  <c r="E301" i="4"/>
  <c r="E257" i="4"/>
  <c r="E565" i="4"/>
  <c r="E609" i="4"/>
  <c r="J120" i="4"/>
  <c r="E345" i="4"/>
  <c r="O565" i="4"/>
  <c r="N565" i="4"/>
  <c r="R565" i="4" s="1"/>
  <c r="M565" i="4"/>
  <c r="K565" i="4"/>
  <c r="P565" i="4"/>
  <c r="W565" i="4"/>
  <c r="N1005" i="4"/>
  <c r="R1005" i="4" s="1"/>
  <c r="M1005" i="4"/>
  <c r="P1005" i="4"/>
  <c r="O1005" i="4"/>
  <c r="K1005" i="4"/>
  <c r="W1005" i="4"/>
  <c r="K614" i="4"/>
  <c r="P614" i="4"/>
  <c r="O614" i="4"/>
  <c r="N614" i="4"/>
  <c r="M614" i="4"/>
  <c r="W614" i="4"/>
  <c r="N966" i="4"/>
  <c r="P966" i="4"/>
  <c r="O966" i="4"/>
  <c r="M966" i="4"/>
  <c r="K966" i="4"/>
  <c r="W966" i="4"/>
  <c r="I459" i="4"/>
  <c r="I855" i="4"/>
  <c r="I1339" i="4"/>
  <c r="I592" i="4"/>
  <c r="I944" i="4"/>
  <c r="AI744" i="6"/>
  <c r="AJ744" i="6"/>
  <c r="AH744" i="6"/>
  <c r="AG744" i="6"/>
  <c r="I366" i="4"/>
  <c r="I894" i="4"/>
  <c r="I1202" i="4"/>
  <c r="I401" i="4"/>
  <c r="I665" i="4"/>
  <c r="I1281" i="4"/>
  <c r="I470" i="4"/>
  <c r="I646" i="4"/>
  <c r="I998" i="4"/>
  <c r="I409" i="4"/>
  <c r="I541" i="4"/>
  <c r="I937" i="4"/>
  <c r="F1148" i="4"/>
  <c r="F1104" i="4"/>
  <c r="F1324" i="4"/>
  <c r="F1280" i="4"/>
  <c r="F1060" i="4"/>
  <c r="F1016" i="4"/>
  <c r="F1192" i="4"/>
  <c r="F1236" i="4"/>
  <c r="F972" i="4"/>
  <c r="F928" i="4"/>
  <c r="F884" i="4"/>
  <c r="F796" i="4"/>
  <c r="F752" i="4"/>
  <c r="F708" i="4"/>
  <c r="F664" i="4"/>
  <c r="F840" i="4"/>
  <c r="F620" i="4"/>
  <c r="F576" i="4"/>
  <c r="F532" i="4"/>
  <c r="F356" i="4"/>
  <c r="F400" i="4"/>
  <c r="F312" i="4"/>
  <c r="F488" i="4"/>
  <c r="F268" i="4"/>
  <c r="F444" i="4"/>
  <c r="D1280" i="4"/>
  <c r="D1236" i="4"/>
  <c r="D1192" i="4"/>
  <c r="D1148" i="4"/>
  <c r="D1324" i="4"/>
  <c r="D1104" i="4"/>
  <c r="D1060" i="4"/>
  <c r="D1016" i="4"/>
  <c r="D972" i="4"/>
  <c r="D840" i="4"/>
  <c r="D928" i="4"/>
  <c r="D884" i="4"/>
  <c r="D796" i="4"/>
  <c r="D752" i="4"/>
  <c r="D708" i="4"/>
  <c r="D620" i="4"/>
  <c r="D664" i="4"/>
  <c r="D576" i="4"/>
  <c r="D444" i="4"/>
  <c r="D532" i="4"/>
  <c r="D400" i="4"/>
  <c r="D356" i="4"/>
  <c r="D488" i="4"/>
  <c r="D312" i="4"/>
  <c r="D268" i="4"/>
  <c r="I708" i="4"/>
  <c r="I1148" i="4"/>
  <c r="E1288" i="4"/>
  <c r="E1332" i="4"/>
  <c r="E1200" i="4"/>
  <c r="E1244" i="4"/>
  <c r="E1156" i="4"/>
  <c r="E1112" i="4"/>
  <c r="E1068" i="4"/>
  <c r="E1024" i="4"/>
  <c r="E892" i="4"/>
  <c r="E980" i="4"/>
  <c r="E848" i="4"/>
  <c r="E936" i="4"/>
  <c r="E584" i="4"/>
  <c r="E716" i="4"/>
  <c r="E760" i="4"/>
  <c r="E804" i="4"/>
  <c r="E540" i="4"/>
  <c r="E672" i="4"/>
  <c r="E496" i="4"/>
  <c r="E452" i="4"/>
  <c r="E628" i="4"/>
  <c r="E364" i="4"/>
  <c r="E408" i="4"/>
  <c r="E320" i="4"/>
  <c r="E276" i="4"/>
  <c r="I584" i="4"/>
  <c r="I980" i="4"/>
  <c r="O72" i="4"/>
  <c r="AD385" i="6"/>
  <c r="AF384" i="6"/>
  <c r="I725" i="4"/>
  <c r="I1121" i="4"/>
  <c r="I604" i="4"/>
  <c r="I1176" i="4"/>
  <c r="F1326" i="4"/>
  <c r="F1282" i="4"/>
  <c r="F1106" i="4"/>
  <c r="F1062" i="4"/>
  <c r="F1238" i="4"/>
  <c r="F1194" i="4"/>
  <c r="F1150" i="4"/>
  <c r="F974" i="4"/>
  <c r="F1018" i="4"/>
  <c r="F930" i="4"/>
  <c r="F842" i="4"/>
  <c r="F710" i="4"/>
  <c r="F666" i="4"/>
  <c r="F886" i="4"/>
  <c r="F798" i="4"/>
  <c r="F578" i="4"/>
  <c r="F754" i="4"/>
  <c r="F534" i="4"/>
  <c r="F490" i="4"/>
  <c r="F622" i="4"/>
  <c r="F358" i="4"/>
  <c r="F402" i="4"/>
  <c r="F446" i="4"/>
  <c r="F314" i="4"/>
  <c r="F270" i="4"/>
  <c r="I490" i="4"/>
  <c r="I842" i="4"/>
  <c r="I1238" i="4"/>
  <c r="P700" i="4"/>
  <c r="O700" i="4"/>
  <c r="N700" i="4"/>
  <c r="M700" i="4"/>
  <c r="K700" i="4"/>
  <c r="W700" i="4"/>
  <c r="N1140" i="4"/>
  <c r="M1140" i="4"/>
  <c r="K1140" i="4"/>
  <c r="O1140" i="4"/>
  <c r="P1140" i="4"/>
  <c r="W1140" i="4"/>
  <c r="I676" i="4"/>
  <c r="I1116" i="4"/>
  <c r="E118" i="4"/>
  <c r="I647" i="4"/>
  <c r="I999" i="4"/>
  <c r="E1074" i="4"/>
  <c r="E1294" i="4"/>
  <c r="E1206" i="4"/>
  <c r="E1338" i="4"/>
  <c r="E1250" i="4"/>
  <c r="E1118" i="4"/>
  <c r="E1162" i="4"/>
  <c r="E810" i="4"/>
  <c r="E986" i="4"/>
  <c r="E1030" i="4"/>
  <c r="E854" i="4"/>
  <c r="E898" i="4"/>
  <c r="E942" i="4"/>
  <c r="E678" i="4"/>
  <c r="E766" i="4"/>
  <c r="E414" i="4"/>
  <c r="E546" i="4"/>
  <c r="E722" i="4"/>
  <c r="E502" i="4"/>
  <c r="E458" i="4"/>
  <c r="E590" i="4"/>
  <c r="E326" i="4"/>
  <c r="E282" i="4"/>
  <c r="E634" i="4"/>
  <c r="E370" i="4"/>
  <c r="I634" i="4"/>
  <c r="I1030" i="4"/>
  <c r="I597" i="4"/>
  <c r="I949" i="4"/>
  <c r="E84" i="4"/>
  <c r="O569" i="4"/>
  <c r="K569" i="4"/>
  <c r="P569" i="4"/>
  <c r="N569" i="4"/>
  <c r="M569" i="4"/>
  <c r="W569" i="4"/>
  <c r="P965" i="4"/>
  <c r="O965" i="4"/>
  <c r="M965" i="4"/>
  <c r="N965" i="4"/>
  <c r="K965" i="4"/>
  <c r="W965" i="4"/>
  <c r="N1317" i="4"/>
  <c r="O1317" i="4"/>
  <c r="P1317" i="4"/>
  <c r="M1317" i="4"/>
  <c r="K1317" i="4"/>
  <c r="W1317" i="4"/>
  <c r="N308" i="4"/>
  <c r="M308" i="4"/>
  <c r="K308" i="4"/>
  <c r="P308" i="4"/>
  <c r="O308" i="4"/>
  <c r="W308" i="4"/>
  <c r="K836" i="4"/>
  <c r="P836" i="4"/>
  <c r="O836" i="4"/>
  <c r="N836" i="4"/>
  <c r="M836" i="4"/>
  <c r="W836" i="4"/>
  <c r="P1320" i="4"/>
  <c r="O1320" i="4"/>
  <c r="K1320" i="4"/>
  <c r="N1320" i="4"/>
  <c r="M1320" i="4"/>
  <c r="W1320" i="4"/>
  <c r="AF265" i="6"/>
  <c r="AD266" i="6"/>
  <c r="E1344" i="4"/>
  <c r="E1256" i="4"/>
  <c r="E1300" i="4"/>
  <c r="E1168" i="4"/>
  <c r="E1124" i="4"/>
  <c r="E1212" i="4"/>
  <c r="E1080" i="4"/>
  <c r="E1036" i="4"/>
  <c r="E904" i="4"/>
  <c r="E992" i="4"/>
  <c r="E948" i="4"/>
  <c r="E860" i="4"/>
  <c r="E816" i="4"/>
  <c r="E728" i="4"/>
  <c r="E684" i="4"/>
  <c r="E772" i="4"/>
  <c r="E508" i="4"/>
  <c r="E464" i="4"/>
  <c r="E420" i="4"/>
  <c r="E640" i="4"/>
  <c r="E596" i="4"/>
  <c r="E552" i="4"/>
  <c r="E332" i="4"/>
  <c r="E288" i="4"/>
  <c r="E376" i="4"/>
  <c r="I728" i="4"/>
  <c r="I1080" i="4"/>
  <c r="F1260" i="4"/>
  <c r="F1084" i="4"/>
  <c r="F1348" i="4"/>
  <c r="F1040" i="4"/>
  <c r="F1216" i="4"/>
  <c r="F952" i="4"/>
  <c r="F1128" i="4"/>
  <c r="F1172" i="4"/>
  <c r="F996" i="4"/>
  <c r="F1304" i="4"/>
  <c r="F908" i="4"/>
  <c r="F820" i="4"/>
  <c r="F864" i="4"/>
  <c r="F688" i="4"/>
  <c r="F732" i="4"/>
  <c r="F644" i="4"/>
  <c r="F600" i="4"/>
  <c r="F776" i="4"/>
  <c r="F556" i="4"/>
  <c r="F512" i="4"/>
  <c r="F468" i="4"/>
  <c r="F336" i="4"/>
  <c r="F292" i="4"/>
  <c r="F380" i="4"/>
  <c r="F424" i="4"/>
  <c r="I600" i="4"/>
  <c r="I996" i="4"/>
  <c r="C1283" i="4"/>
  <c r="C1327" i="4"/>
  <c r="C1195" i="4"/>
  <c r="C1151" i="4"/>
  <c r="C1239" i="4"/>
  <c r="C1063" i="4"/>
  <c r="C1107" i="4"/>
  <c r="C975" i="4"/>
  <c r="C931" i="4"/>
  <c r="C887" i="4"/>
  <c r="C1019" i="4"/>
  <c r="C843" i="4"/>
  <c r="C755" i="4"/>
  <c r="C623" i="4"/>
  <c r="C799" i="4"/>
  <c r="C711" i="4"/>
  <c r="C667" i="4"/>
  <c r="C535" i="4"/>
  <c r="C579" i="4"/>
  <c r="C491" i="4"/>
  <c r="C447" i="4"/>
  <c r="C271" i="4"/>
  <c r="C403" i="4"/>
  <c r="C359" i="4"/>
  <c r="C315" i="4"/>
  <c r="H94" i="4"/>
  <c r="D1327" i="4"/>
  <c r="D1283" i="4"/>
  <c r="D1195" i="4"/>
  <c r="D1239" i="4"/>
  <c r="D1063" i="4"/>
  <c r="D1151" i="4"/>
  <c r="D1019" i="4"/>
  <c r="D1107" i="4"/>
  <c r="D975" i="4"/>
  <c r="D755" i="4"/>
  <c r="D843" i="4"/>
  <c r="D931" i="4"/>
  <c r="D799" i="4"/>
  <c r="D623" i="4"/>
  <c r="D887" i="4"/>
  <c r="D711" i="4"/>
  <c r="D667" i="4"/>
  <c r="D535" i="4"/>
  <c r="D579" i="4"/>
  <c r="D491" i="4"/>
  <c r="D447" i="4"/>
  <c r="D271" i="4"/>
  <c r="D403" i="4"/>
  <c r="D359" i="4"/>
  <c r="D315" i="4"/>
  <c r="I447" i="4"/>
  <c r="I755" i="4"/>
  <c r="I1239" i="4"/>
  <c r="I455" i="4"/>
  <c r="I851" i="4"/>
  <c r="I1115" i="4"/>
  <c r="I645" i="4"/>
  <c r="I1305" i="4"/>
  <c r="D1123" i="4"/>
  <c r="D1079" i="4"/>
  <c r="D1299" i="4"/>
  <c r="D1343" i="4"/>
  <c r="D1255" i="4"/>
  <c r="D1211" i="4"/>
  <c r="D1167" i="4"/>
  <c r="D991" i="4"/>
  <c r="D1035" i="4"/>
  <c r="D947" i="4"/>
  <c r="D903" i="4"/>
  <c r="D815" i="4"/>
  <c r="D771" i="4"/>
  <c r="D859" i="4"/>
  <c r="D727" i="4"/>
  <c r="D683" i="4"/>
  <c r="D551" i="4"/>
  <c r="D639" i="4"/>
  <c r="D595" i="4"/>
  <c r="D507" i="4"/>
  <c r="D419" i="4"/>
  <c r="D331" i="4"/>
  <c r="D375" i="4"/>
  <c r="D287" i="4"/>
  <c r="D463" i="4"/>
  <c r="I419" i="4"/>
  <c r="I903" i="4"/>
  <c r="I1343" i="4"/>
  <c r="I319" i="4"/>
  <c r="I583" i="4"/>
  <c r="I1155" i="4"/>
  <c r="E159" i="4"/>
  <c r="H15" i="4"/>
  <c r="V80" i="4"/>
  <c r="V81" i="4" s="1"/>
  <c r="P609" i="4"/>
  <c r="T609" i="4" s="1"/>
  <c r="T610" i="4" s="1"/>
  <c r="T611" i="4" s="1"/>
  <c r="O609" i="4"/>
  <c r="N609" i="4"/>
  <c r="R609" i="4" s="1"/>
  <c r="R610" i="4" s="1"/>
  <c r="R611" i="4" s="1"/>
  <c r="R612" i="4" s="1"/>
  <c r="M609" i="4"/>
  <c r="K609" i="4"/>
  <c r="W609" i="4"/>
  <c r="O1181" i="4"/>
  <c r="K1181" i="4"/>
  <c r="M1181" i="4"/>
  <c r="P1181" i="4"/>
  <c r="N1181" i="4"/>
  <c r="R1181" i="4" s="1"/>
  <c r="W1181" i="4"/>
  <c r="P526" i="4"/>
  <c r="O526" i="4"/>
  <c r="N526" i="4"/>
  <c r="M526" i="4"/>
  <c r="K526" i="4"/>
  <c r="W526" i="4"/>
  <c r="P1054" i="4"/>
  <c r="N1054" i="4"/>
  <c r="M1054" i="4"/>
  <c r="O1054" i="4"/>
  <c r="K1054" i="4"/>
  <c r="W1054" i="4"/>
  <c r="I503" i="4"/>
  <c r="I767" i="4"/>
  <c r="I636" i="4"/>
  <c r="I988" i="4"/>
  <c r="E58" i="4"/>
  <c r="C1284" i="4"/>
  <c r="C1108" i="4"/>
  <c r="C1064" i="4"/>
  <c r="C1152" i="4"/>
  <c r="C1240" i="4"/>
  <c r="C1328" i="4"/>
  <c r="C1196" i="4"/>
  <c r="C976" i="4"/>
  <c r="C844" i="4"/>
  <c r="C932" i="4"/>
  <c r="C1020" i="4"/>
  <c r="C888" i="4"/>
  <c r="C800" i="4"/>
  <c r="C756" i="4"/>
  <c r="C712" i="4"/>
  <c r="C668" i="4"/>
  <c r="C580" i="4"/>
  <c r="C448" i="4"/>
  <c r="C536" i="4"/>
  <c r="C492" i="4"/>
  <c r="C360" i="4"/>
  <c r="C404" i="4"/>
  <c r="C316" i="4"/>
  <c r="C624" i="4"/>
  <c r="C272" i="4"/>
  <c r="H95" i="4"/>
  <c r="I316" i="4"/>
  <c r="I800" i="4"/>
  <c r="I1108" i="4"/>
  <c r="I267" i="4"/>
  <c r="F1235" i="4"/>
  <c r="F1059" i="4"/>
  <c r="F1191" i="4"/>
  <c r="F1279" i="4"/>
  <c r="F1103" i="4"/>
  <c r="F1147" i="4"/>
  <c r="F1323" i="4"/>
  <c r="F1015" i="4"/>
  <c r="F927" i="4"/>
  <c r="F883" i="4"/>
  <c r="F751" i="4"/>
  <c r="F839" i="4"/>
  <c r="F971" i="4"/>
  <c r="F795" i="4"/>
  <c r="F663" i="4"/>
  <c r="F707" i="4"/>
  <c r="F619" i="4"/>
  <c r="F531" i="4"/>
  <c r="F575" i="4"/>
  <c r="F487" i="4"/>
  <c r="F443" i="4"/>
  <c r="F311" i="4"/>
  <c r="F267" i="4"/>
  <c r="F399" i="4"/>
  <c r="F355" i="4"/>
  <c r="I707" i="4"/>
  <c r="I1103" i="4"/>
  <c r="F1153" i="4"/>
  <c r="F1329" i="4"/>
  <c r="F1109" i="4"/>
  <c r="F1285" i="4"/>
  <c r="F1241" i="4"/>
  <c r="F1065" i="4"/>
  <c r="F1197" i="4"/>
  <c r="F1021" i="4"/>
  <c r="F933" i="4"/>
  <c r="F845" i="4"/>
  <c r="F889" i="4"/>
  <c r="F713" i="4"/>
  <c r="F669" i="4"/>
  <c r="F977" i="4"/>
  <c r="F801" i="4"/>
  <c r="F757" i="4"/>
  <c r="F625" i="4"/>
  <c r="F581" i="4"/>
  <c r="F537" i="4"/>
  <c r="F361" i="4"/>
  <c r="F317" i="4"/>
  <c r="F449" i="4"/>
  <c r="F273" i="4"/>
  <c r="F405" i="4"/>
  <c r="F493" i="4"/>
  <c r="D1285" i="4"/>
  <c r="D1197" i="4"/>
  <c r="D1329" i="4"/>
  <c r="D1153" i="4"/>
  <c r="D1241" i="4"/>
  <c r="D1065" i="4"/>
  <c r="D1109" i="4"/>
  <c r="D1021" i="4"/>
  <c r="D977" i="4"/>
  <c r="D801" i="4"/>
  <c r="D845" i="4"/>
  <c r="D933" i="4"/>
  <c r="D889" i="4"/>
  <c r="D581" i="4"/>
  <c r="D713" i="4"/>
  <c r="D449" i="4"/>
  <c r="D669" i="4"/>
  <c r="D625" i="4"/>
  <c r="D493" i="4"/>
  <c r="D405" i="4"/>
  <c r="D361" i="4"/>
  <c r="D317" i="4"/>
  <c r="D757" i="4"/>
  <c r="D273" i="4"/>
  <c r="D537" i="4"/>
  <c r="I713" i="4"/>
  <c r="I1109" i="4"/>
  <c r="I291" i="4"/>
  <c r="I643" i="4"/>
  <c r="I951" i="4"/>
  <c r="E82" i="4"/>
  <c r="H82" i="4" s="1"/>
  <c r="N303" i="4"/>
  <c r="M303" i="4"/>
  <c r="K303" i="4"/>
  <c r="P303" i="4"/>
  <c r="O303" i="4"/>
  <c r="W303" i="4"/>
  <c r="K875" i="4"/>
  <c r="P875" i="4"/>
  <c r="O875" i="4"/>
  <c r="N875" i="4"/>
  <c r="M875" i="4"/>
  <c r="W875" i="4"/>
  <c r="K1271" i="4"/>
  <c r="P1271" i="4"/>
  <c r="O1271" i="4"/>
  <c r="N1271" i="4"/>
  <c r="M1271" i="4"/>
  <c r="W1271" i="4"/>
  <c r="AD716" i="6"/>
  <c r="AF715" i="6"/>
  <c r="I598" i="4"/>
  <c r="I1346" i="4"/>
  <c r="I758" i="4"/>
  <c r="I978" i="4"/>
  <c r="E104" i="4"/>
  <c r="E1205" i="4"/>
  <c r="E1161" i="4"/>
  <c r="E1117" i="4"/>
  <c r="E1293" i="4"/>
  <c r="E1249" i="4"/>
  <c r="E1337" i="4"/>
  <c r="E1073" i="4"/>
  <c r="E1029" i="4"/>
  <c r="E941" i="4"/>
  <c r="E985" i="4"/>
  <c r="E897" i="4"/>
  <c r="E809" i="4"/>
  <c r="E853" i="4"/>
  <c r="E589" i="4"/>
  <c r="E765" i="4"/>
  <c r="E721" i="4"/>
  <c r="E545" i="4"/>
  <c r="E633" i="4"/>
  <c r="E501" i="4"/>
  <c r="E457" i="4"/>
  <c r="E677" i="4"/>
  <c r="E413" i="4"/>
  <c r="E369" i="4"/>
  <c r="E325" i="4"/>
  <c r="E281" i="4"/>
  <c r="I545" i="4"/>
  <c r="I985" i="4"/>
  <c r="N266" i="4"/>
  <c r="M266" i="4"/>
  <c r="K266" i="4"/>
  <c r="P266" i="4"/>
  <c r="O266" i="4"/>
  <c r="K794" i="4"/>
  <c r="O794" i="4"/>
  <c r="N794" i="4"/>
  <c r="M794" i="4"/>
  <c r="P794" i="4"/>
  <c r="M1058" i="4"/>
  <c r="K1058" i="4"/>
  <c r="P1058" i="4"/>
  <c r="O1058" i="4"/>
  <c r="N1058" i="4"/>
  <c r="E86" i="4"/>
  <c r="H86" i="4" s="1"/>
  <c r="K615" i="4"/>
  <c r="P615" i="4"/>
  <c r="O615" i="4"/>
  <c r="N615" i="4"/>
  <c r="M615" i="4"/>
  <c r="W615" i="4"/>
  <c r="P1099" i="4"/>
  <c r="O1099" i="4"/>
  <c r="M1099" i="4"/>
  <c r="K1099" i="4"/>
  <c r="N1099" i="4"/>
  <c r="W1099" i="4"/>
  <c r="F1298" i="4"/>
  <c r="F1210" i="4"/>
  <c r="F1166" i="4"/>
  <c r="F1254" i="4"/>
  <c r="F1342" i="4"/>
  <c r="F1078" i="4"/>
  <c r="F1122" i="4"/>
  <c r="F990" i="4"/>
  <c r="F946" i="4"/>
  <c r="F902" i="4"/>
  <c r="F1034" i="4"/>
  <c r="F814" i="4"/>
  <c r="F858" i="4"/>
  <c r="F594" i="4"/>
  <c r="F770" i="4"/>
  <c r="F726" i="4"/>
  <c r="F682" i="4"/>
  <c r="F462" i="4"/>
  <c r="F638" i="4"/>
  <c r="F506" i="4"/>
  <c r="F550" i="4"/>
  <c r="F374" i="4"/>
  <c r="F330" i="4"/>
  <c r="F418" i="4"/>
  <c r="F286" i="4"/>
  <c r="I550" i="4"/>
  <c r="I1122" i="4"/>
  <c r="E1277" i="4"/>
  <c r="E1321" i="4"/>
  <c r="E1101" i="4"/>
  <c r="E1233" i="4"/>
  <c r="E1057" i="4"/>
  <c r="E1145" i="4"/>
  <c r="E1189" i="4"/>
  <c r="E1013" i="4"/>
  <c r="E837" i="4"/>
  <c r="E925" i="4"/>
  <c r="E881" i="4"/>
  <c r="E793" i="4"/>
  <c r="E705" i="4"/>
  <c r="E969" i="4"/>
  <c r="E661" i="4"/>
  <c r="E441" i="4"/>
  <c r="E573" i="4"/>
  <c r="E617" i="4"/>
  <c r="E749" i="4"/>
  <c r="E529" i="4"/>
  <c r="E485" i="4"/>
  <c r="E353" i="4"/>
  <c r="E309" i="4"/>
  <c r="E397" i="4"/>
  <c r="E265" i="4"/>
  <c r="P661" i="4"/>
  <c r="O661" i="4"/>
  <c r="N661" i="4"/>
  <c r="M661" i="4"/>
  <c r="K661" i="4"/>
  <c r="W661" i="4"/>
  <c r="K925" i="4"/>
  <c r="P925" i="4"/>
  <c r="O925" i="4"/>
  <c r="N925" i="4"/>
  <c r="M925" i="4"/>
  <c r="W925" i="4"/>
  <c r="AI685" i="6"/>
  <c r="AH685" i="6"/>
  <c r="AG685" i="6"/>
  <c r="AJ685" i="6"/>
  <c r="E43" i="4"/>
  <c r="AH53" i="6"/>
  <c r="AG53" i="6"/>
  <c r="AJ53" i="6"/>
  <c r="AI53" i="6"/>
  <c r="O434" i="4"/>
  <c r="N434" i="4"/>
  <c r="M434" i="4"/>
  <c r="P434" i="4"/>
  <c r="K434" i="4"/>
  <c r="W434" i="4"/>
  <c r="P830" i="4"/>
  <c r="O830" i="4"/>
  <c r="N830" i="4"/>
  <c r="M830" i="4"/>
  <c r="K830" i="4"/>
  <c r="W830" i="4"/>
  <c r="O1226" i="4"/>
  <c r="N1226" i="4"/>
  <c r="M1226" i="4"/>
  <c r="K1226" i="4"/>
  <c r="P1226" i="4"/>
  <c r="W1226" i="4"/>
  <c r="AJ264" i="6"/>
  <c r="AI264" i="6"/>
  <c r="AG264" i="6"/>
  <c r="AH264" i="6"/>
  <c r="F1300" i="4"/>
  <c r="F1344" i="4"/>
  <c r="F1168" i="4"/>
  <c r="F1124" i="4"/>
  <c r="F1256" i="4"/>
  <c r="F1212" i="4"/>
  <c r="F1080" i="4"/>
  <c r="F1036" i="4"/>
  <c r="F992" i="4"/>
  <c r="F860" i="4"/>
  <c r="F948" i="4"/>
  <c r="F904" i="4"/>
  <c r="F816" i="4"/>
  <c r="F728" i="4"/>
  <c r="F684" i="4"/>
  <c r="F772" i="4"/>
  <c r="F640" i="4"/>
  <c r="F596" i="4"/>
  <c r="F552" i="4"/>
  <c r="F508" i="4"/>
  <c r="F420" i="4"/>
  <c r="F464" i="4"/>
  <c r="F332" i="4"/>
  <c r="F288" i="4"/>
  <c r="F376" i="4"/>
  <c r="I640" i="4"/>
  <c r="I1300" i="4"/>
  <c r="I292" i="4"/>
  <c r="I336" i="4"/>
  <c r="I644" i="4"/>
  <c r="I1040" i="4"/>
  <c r="I491" i="4"/>
  <c r="I887" i="4"/>
  <c r="E102" i="4"/>
  <c r="I323" i="4"/>
  <c r="I807" i="4"/>
  <c r="I1291" i="4"/>
  <c r="I865" i="4"/>
  <c r="I1217" i="4"/>
  <c r="I463" i="4"/>
  <c r="I1079" i="4"/>
  <c r="D1155" i="4"/>
  <c r="D1111" i="4"/>
  <c r="D1331" i="4"/>
  <c r="D1243" i="4"/>
  <c r="D1287" i="4"/>
  <c r="D1199" i="4"/>
  <c r="D1067" i="4"/>
  <c r="D1023" i="4"/>
  <c r="D935" i="4"/>
  <c r="D979" i="4"/>
  <c r="D891" i="4"/>
  <c r="D847" i="4"/>
  <c r="D715" i="4"/>
  <c r="D803" i="4"/>
  <c r="D671" i="4"/>
  <c r="D759" i="4"/>
  <c r="D627" i="4"/>
  <c r="D583" i="4"/>
  <c r="D539" i="4"/>
  <c r="D363" i="4"/>
  <c r="D451" i="4"/>
  <c r="D319" i="4"/>
  <c r="D275" i="4"/>
  <c r="D495" i="4"/>
  <c r="D407" i="4"/>
  <c r="I671" i="4"/>
  <c r="I363" i="4"/>
  <c r="I891" i="4"/>
  <c r="I1199" i="4"/>
  <c r="E162" i="4"/>
  <c r="F1313" i="4"/>
  <c r="F1225" i="4"/>
  <c r="F1049" i="4"/>
  <c r="F1269" i="4"/>
  <c r="F1181" i="4"/>
  <c r="F1093" i="4"/>
  <c r="F1137" i="4"/>
  <c r="F1005" i="4"/>
  <c r="F917" i="4"/>
  <c r="F961" i="4"/>
  <c r="F873" i="4"/>
  <c r="F829" i="4"/>
  <c r="F785" i="4"/>
  <c r="F653" i="4"/>
  <c r="F741" i="4"/>
  <c r="F697" i="4"/>
  <c r="F521" i="4"/>
  <c r="F477" i="4"/>
  <c r="F433" i="4"/>
  <c r="F609" i="4"/>
  <c r="F565" i="4"/>
  <c r="F301" i="4"/>
  <c r="F257" i="4"/>
  <c r="K120" i="4"/>
  <c r="F389" i="4"/>
  <c r="F345" i="4"/>
  <c r="N697" i="4"/>
  <c r="R697" i="4" s="1"/>
  <c r="R698" i="4" s="1"/>
  <c r="R699" i="4" s="1"/>
  <c r="R700" i="4" s="1"/>
  <c r="M697" i="4"/>
  <c r="K697" i="4"/>
  <c r="P697" i="4"/>
  <c r="O697" i="4"/>
  <c r="W697" i="4"/>
  <c r="K1313" i="4"/>
  <c r="M1313" i="4"/>
  <c r="N1313" i="4"/>
  <c r="R1313" i="4" s="1"/>
  <c r="O1313" i="4"/>
  <c r="P1313" i="4"/>
  <c r="T1313" i="4" s="1"/>
  <c r="W1313" i="4"/>
  <c r="E1318" i="4"/>
  <c r="E1230" i="4"/>
  <c r="E1186" i="4"/>
  <c r="E1098" i="4"/>
  <c r="E1274" i="4"/>
  <c r="E1054" i="4"/>
  <c r="E1142" i="4"/>
  <c r="E1010" i="4"/>
  <c r="E966" i="4"/>
  <c r="E790" i="4"/>
  <c r="E834" i="4"/>
  <c r="E922" i="4"/>
  <c r="E878" i="4"/>
  <c r="E658" i="4"/>
  <c r="E394" i="4"/>
  <c r="E570" i="4"/>
  <c r="E746" i="4"/>
  <c r="E526" i="4"/>
  <c r="E702" i="4"/>
  <c r="E614" i="4"/>
  <c r="E482" i="4"/>
  <c r="E306" i="4"/>
  <c r="E262" i="4"/>
  <c r="E438" i="4"/>
  <c r="E350" i="4"/>
  <c r="P570" i="4"/>
  <c r="O570" i="4"/>
  <c r="N570" i="4"/>
  <c r="M570" i="4"/>
  <c r="K570" i="4"/>
  <c r="W570" i="4"/>
  <c r="M1010" i="4"/>
  <c r="P1010" i="4"/>
  <c r="O1010" i="4"/>
  <c r="K1010" i="4"/>
  <c r="N1010" i="4"/>
  <c r="W1010" i="4"/>
  <c r="I547" i="4"/>
  <c r="I943" i="4"/>
  <c r="I680" i="4"/>
  <c r="I1164" i="4"/>
  <c r="E55" i="4"/>
  <c r="I404" i="4"/>
  <c r="I888" i="4"/>
  <c r="I1152" i="4"/>
  <c r="I399" i="4"/>
  <c r="I971" i="4"/>
  <c r="I1147" i="4"/>
  <c r="I317" i="4"/>
  <c r="I889" i="4"/>
  <c r="I1241" i="4"/>
  <c r="I555" i="4"/>
  <c r="I1171" i="4"/>
  <c r="K347" i="4"/>
  <c r="P347" i="4"/>
  <c r="O347" i="4"/>
  <c r="W347" i="4"/>
  <c r="N347" i="4"/>
  <c r="M347" i="4"/>
  <c r="K831" i="4"/>
  <c r="P831" i="4"/>
  <c r="O831" i="4"/>
  <c r="N831" i="4"/>
  <c r="M831" i="4"/>
  <c r="W831" i="4"/>
  <c r="K1095" i="4"/>
  <c r="P1095" i="4"/>
  <c r="O1095" i="4"/>
  <c r="N1095" i="4"/>
  <c r="M1095" i="4"/>
  <c r="W1095" i="4"/>
  <c r="E163" i="4"/>
  <c r="AB40" i="5"/>
  <c r="AA40" i="5"/>
  <c r="Z40" i="5"/>
  <c r="Y40" i="5"/>
  <c r="I862" i="4"/>
  <c r="I1258" i="4"/>
  <c r="I538" i="4"/>
  <c r="I1198" i="4"/>
  <c r="I589" i="4"/>
  <c r="I1029" i="4"/>
  <c r="AJ205" i="6"/>
  <c r="AH205" i="6"/>
  <c r="AI205" i="6"/>
  <c r="AG205" i="6"/>
  <c r="C1322" i="4"/>
  <c r="C1278" i="4"/>
  <c r="C1234" i="4"/>
  <c r="C1190" i="4"/>
  <c r="C1146" i="4"/>
  <c r="C1058" i="4"/>
  <c r="C1102" i="4"/>
  <c r="C926" i="4"/>
  <c r="C1014" i="4"/>
  <c r="C970" i="4"/>
  <c r="C882" i="4"/>
  <c r="C794" i="4"/>
  <c r="C618" i="4"/>
  <c r="C838" i="4"/>
  <c r="C750" i="4"/>
  <c r="C662" i="4"/>
  <c r="C574" i="4"/>
  <c r="C530" i="4"/>
  <c r="C706" i="4"/>
  <c r="C486" i="4"/>
  <c r="C266" i="4"/>
  <c r="C398" i="4"/>
  <c r="C354" i="4"/>
  <c r="C310" i="4"/>
  <c r="C442" i="4"/>
  <c r="K310" i="4"/>
  <c r="P310" i="4"/>
  <c r="O310" i="4"/>
  <c r="N310" i="4"/>
  <c r="M310" i="4"/>
  <c r="O882" i="4"/>
  <c r="P882" i="4"/>
  <c r="N882" i="4"/>
  <c r="M882" i="4"/>
  <c r="K882" i="4"/>
  <c r="P1234" i="4"/>
  <c r="O1234" i="4"/>
  <c r="N1234" i="4"/>
  <c r="M1234" i="4"/>
  <c r="K1234" i="4"/>
  <c r="P351" i="4"/>
  <c r="O351" i="4"/>
  <c r="N351" i="4"/>
  <c r="M351" i="4"/>
  <c r="K351" i="4"/>
  <c r="W351" i="4"/>
  <c r="O791" i="4"/>
  <c r="N791" i="4"/>
  <c r="M791" i="4"/>
  <c r="P791" i="4"/>
  <c r="K791" i="4"/>
  <c r="W791" i="4"/>
  <c r="O1231" i="4"/>
  <c r="P1231" i="4"/>
  <c r="N1231" i="4"/>
  <c r="M1231" i="4"/>
  <c r="K1231" i="4"/>
  <c r="W1231" i="4"/>
  <c r="I726" i="4"/>
  <c r="I1210" i="4"/>
  <c r="P617" i="4"/>
  <c r="O617" i="4"/>
  <c r="N617" i="4"/>
  <c r="M617" i="4"/>
  <c r="K617" i="4"/>
  <c r="W617" i="4"/>
  <c r="P969" i="4"/>
  <c r="N969" i="4"/>
  <c r="M969" i="4"/>
  <c r="K969" i="4"/>
  <c r="O969" i="4"/>
  <c r="W969" i="4"/>
  <c r="AF686" i="6"/>
  <c r="AD687" i="6"/>
  <c r="E161" i="4"/>
  <c r="P346" i="4"/>
  <c r="O346" i="4"/>
  <c r="N346" i="4"/>
  <c r="M346" i="4"/>
  <c r="K346" i="4"/>
  <c r="W346" i="4"/>
  <c r="K962" i="4"/>
  <c r="P962" i="4"/>
  <c r="M962" i="4"/>
  <c r="O962" i="4"/>
  <c r="N962" i="4"/>
  <c r="W962" i="4"/>
  <c r="M1270" i="4"/>
  <c r="O1270" i="4"/>
  <c r="N1270" i="4"/>
  <c r="K1270" i="4"/>
  <c r="P1270" i="4"/>
  <c r="W1270" i="4"/>
  <c r="D168" i="4"/>
  <c r="E66" i="4"/>
  <c r="E150" i="4"/>
  <c r="X221" i="5"/>
  <c r="V222" i="5"/>
  <c r="E36" i="4"/>
  <c r="H36" i="4" s="1"/>
  <c r="I454" i="4"/>
  <c r="I762" i="4"/>
  <c r="I1334" i="4"/>
  <c r="I313" i="4"/>
  <c r="I797" i="4"/>
  <c r="I1325" i="4"/>
  <c r="I734" i="4"/>
  <c r="I1218" i="4"/>
  <c r="C1289" i="4"/>
  <c r="C1113" i="4"/>
  <c r="C1069" i="4"/>
  <c r="C1333" i="4"/>
  <c r="C1245" i="4"/>
  <c r="C1201" i="4"/>
  <c r="C1157" i="4"/>
  <c r="C849" i="4"/>
  <c r="C981" i="4"/>
  <c r="C893" i="4"/>
  <c r="C805" i="4"/>
  <c r="C1025" i="4"/>
  <c r="C937" i="4"/>
  <c r="C717" i="4"/>
  <c r="C673" i="4"/>
  <c r="C761" i="4"/>
  <c r="C453" i="4"/>
  <c r="C629" i="4"/>
  <c r="C585" i="4"/>
  <c r="C541" i="4"/>
  <c r="C497" i="4"/>
  <c r="C365" i="4"/>
  <c r="C321" i="4"/>
  <c r="C277" i="4"/>
  <c r="H100" i="4"/>
  <c r="C409" i="4"/>
  <c r="I629" i="4"/>
  <c r="I1025" i="4"/>
  <c r="I356" i="4"/>
  <c r="I620" i="4"/>
  <c r="I1192" i="4"/>
  <c r="F1288" i="4"/>
  <c r="F1332" i="4"/>
  <c r="F1200" i="4"/>
  <c r="F1244" i="4"/>
  <c r="F1156" i="4"/>
  <c r="F1068" i="4"/>
  <c r="F1112" i="4"/>
  <c r="F1024" i="4"/>
  <c r="F936" i="4"/>
  <c r="F848" i="4"/>
  <c r="F892" i="4"/>
  <c r="F584" i="4"/>
  <c r="F716" i="4"/>
  <c r="F980" i="4"/>
  <c r="F760" i="4"/>
  <c r="F804" i="4"/>
  <c r="F672" i="4"/>
  <c r="F452" i="4"/>
  <c r="F628" i="4"/>
  <c r="F540" i="4"/>
  <c r="F496" i="4"/>
  <c r="F364" i="4"/>
  <c r="F408" i="4"/>
  <c r="F320" i="4"/>
  <c r="F276" i="4"/>
  <c r="I496" i="4"/>
  <c r="I1024" i="4"/>
  <c r="D72" i="4"/>
  <c r="H32" i="4"/>
  <c r="I593" i="4"/>
  <c r="I1165" i="4"/>
  <c r="I296" i="4"/>
  <c r="I736" i="4"/>
  <c r="I1220" i="4"/>
  <c r="E1282" i="4"/>
  <c r="E1106" i="4"/>
  <c r="E1062" i="4"/>
  <c r="E1326" i="4"/>
  <c r="E1238" i="4"/>
  <c r="E1194" i="4"/>
  <c r="E1150" i="4"/>
  <c r="E1018" i="4"/>
  <c r="E842" i="4"/>
  <c r="E974" i="4"/>
  <c r="E886" i="4"/>
  <c r="E930" i="4"/>
  <c r="E754" i="4"/>
  <c r="E710" i="4"/>
  <c r="E666" i="4"/>
  <c r="E446" i="4"/>
  <c r="E578" i="4"/>
  <c r="E534" i="4"/>
  <c r="E490" i="4"/>
  <c r="E622" i="4"/>
  <c r="E358" i="4"/>
  <c r="E402" i="4"/>
  <c r="E798" i="4"/>
  <c r="E314" i="4"/>
  <c r="E270" i="4"/>
  <c r="I402" i="4"/>
  <c r="I886" i="4"/>
  <c r="K524" i="4"/>
  <c r="P524" i="4"/>
  <c r="O524" i="4"/>
  <c r="N524" i="4"/>
  <c r="M524" i="4"/>
  <c r="W524" i="4"/>
  <c r="M876" i="4"/>
  <c r="P876" i="4"/>
  <c r="O876" i="4"/>
  <c r="N876" i="4"/>
  <c r="K876" i="4"/>
  <c r="W876" i="4"/>
  <c r="K1184" i="4"/>
  <c r="P1184" i="4"/>
  <c r="O1184" i="4"/>
  <c r="N1184" i="4"/>
  <c r="M1184" i="4"/>
  <c r="W1184" i="4"/>
  <c r="I324" i="4"/>
  <c r="I720" i="4"/>
  <c r="I1248" i="4"/>
  <c r="E1307" i="4"/>
  <c r="E1219" i="4"/>
  <c r="E1131" i="4"/>
  <c r="E1087" i="4"/>
  <c r="E1351" i="4"/>
  <c r="E1175" i="4"/>
  <c r="E1263" i="4"/>
  <c r="E999" i="4"/>
  <c r="E1043" i="4"/>
  <c r="E867" i="4"/>
  <c r="E955" i="4"/>
  <c r="E779" i="4"/>
  <c r="E911" i="4"/>
  <c r="E823" i="4"/>
  <c r="E735" i="4"/>
  <c r="E691" i="4"/>
  <c r="E471" i="4"/>
  <c r="E427" i="4"/>
  <c r="E559" i="4"/>
  <c r="E515" i="4"/>
  <c r="E603" i="4"/>
  <c r="E339" i="4"/>
  <c r="E383" i="4"/>
  <c r="E647" i="4"/>
  <c r="E295" i="4"/>
  <c r="I735" i="4"/>
  <c r="I1087" i="4"/>
  <c r="E154" i="4"/>
  <c r="H37" i="4"/>
  <c r="I37" i="4" s="1"/>
  <c r="I282" i="4"/>
  <c r="F1338" i="4"/>
  <c r="F1294" i="4"/>
  <c r="F1250" i="4"/>
  <c r="F1074" i="4"/>
  <c r="F1206" i="4"/>
  <c r="F1162" i="4"/>
  <c r="F1118" i="4"/>
  <c r="F1030" i="4"/>
  <c r="F986" i="4"/>
  <c r="F942" i="4"/>
  <c r="F854" i="4"/>
  <c r="F766" i="4"/>
  <c r="F898" i="4"/>
  <c r="F678" i="4"/>
  <c r="F810" i="4"/>
  <c r="F722" i="4"/>
  <c r="F546" i="4"/>
  <c r="F502" i="4"/>
  <c r="F458" i="4"/>
  <c r="F634" i="4"/>
  <c r="F590" i="4"/>
  <c r="F326" i="4"/>
  <c r="F414" i="4"/>
  <c r="F282" i="4"/>
  <c r="F370" i="4"/>
  <c r="I678" i="4"/>
  <c r="I1206" i="4"/>
  <c r="F1345" i="4"/>
  <c r="F1257" i="4"/>
  <c r="F1213" i="4"/>
  <c r="F1301" i="4"/>
  <c r="F1037" i="4"/>
  <c r="F1081" i="4"/>
  <c r="F993" i="4"/>
  <c r="F1125" i="4"/>
  <c r="F1169" i="4"/>
  <c r="F949" i="4"/>
  <c r="F905" i="4"/>
  <c r="F773" i="4"/>
  <c r="F817" i="4"/>
  <c r="F861" i="4"/>
  <c r="F641" i="4"/>
  <c r="F729" i="4"/>
  <c r="F685" i="4"/>
  <c r="F553" i="4"/>
  <c r="F597" i="4"/>
  <c r="F509" i="4"/>
  <c r="F465" i="4"/>
  <c r="F421" i="4"/>
  <c r="F289" i="4"/>
  <c r="F377" i="4"/>
  <c r="F333" i="4"/>
  <c r="I553" i="4"/>
  <c r="I1169" i="4"/>
  <c r="K393" i="4"/>
  <c r="P393" i="4"/>
  <c r="O393" i="4"/>
  <c r="N393" i="4"/>
  <c r="M393" i="4"/>
  <c r="W393" i="4"/>
  <c r="P437" i="4"/>
  <c r="O437" i="4"/>
  <c r="N437" i="4"/>
  <c r="M437" i="4"/>
  <c r="K437" i="4"/>
  <c r="W437" i="4"/>
  <c r="P1009" i="4"/>
  <c r="O1009" i="4"/>
  <c r="N1009" i="4"/>
  <c r="M1009" i="4"/>
  <c r="K1009" i="4"/>
  <c r="W1009" i="4"/>
  <c r="K440" i="4"/>
  <c r="P440" i="4"/>
  <c r="N440" i="4"/>
  <c r="O440" i="4"/>
  <c r="M440" i="4"/>
  <c r="W440" i="4"/>
  <c r="N880" i="4"/>
  <c r="M880" i="4"/>
  <c r="K880" i="4"/>
  <c r="P880" i="4"/>
  <c r="O880" i="4"/>
  <c r="W880" i="4"/>
  <c r="K1100" i="4"/>
  <c r="M1100" i="4"/>
  <c r="P1100" i="4"/>
  <c r="O1100" i="4"/>
  <c r="N1100" i="4"/>
  <c r="W1100" i="4"/>
  <c r="V19" i="3"/>
  <c r="W19" i="3" s="1"/>
  <c r="I376" i="4"/>
  <c r="I860" i="4"/>
  <c r="I1168" i="4"/>
  <c r="AC168" i="4"/>
  <c r="H135" i="4"/>
  <c r="I135" i="4" s="1"/>
  <c r="I468" i="4"/>
  <c r="I424" i="4"/>
  <c r="I1084" i="4"/>
  <c r="E1327" i="4"/>
  <c r="E1195" i="4"/>
  <c r="E1151" i="4"/>
  <c r="E1107" i="4"/>
  <c r="E1283" i="4"/>
  <c r="E1063" i="4"/>
  <c r="E1239" i="4"/>
  <c r="E1019" i="4"/>
  <c r="E975" i="4"/>
  <c r="E887" i="4"/>
  <c r="E931" i="4"/>
  <c r="E843" i="4"/>
  <c r="E799" i="4"/>
  <c r="E755" i="4"/>
  <c r="E579" i="4"/>
  <c r="E711" i="4"/>
  <c r="E667" i="4"/>
  <c r="E535" i="4"/>
  <c r="E491" i="4"/>
  <c r="E447" i="4"/>
  <c r="E403" i="4"/>
  <c r="E359" i="4"/>
  <c r="E315" i="4"/>
  <c r="E623" i="4"/>
  <c r="E271" i="4"/>
  <c r="I579" i="4"/>
  <c r="I975" i="4"/>
  <c r="D1247" i="4"/>
  <c r="D1291" i="4"/>
  <c r="D1071" i="4"/>
  <c r="D1203" i="4"/>
  <c r="D1335" i="4"/>
  <c r="D1115" i="4"/>
  <c r="D1027" i="4"/>
  <c r="D983" i="4"/>
  <c r="D1159" i="4"/>
  <c r="D939" i="4"/>
  <c r="D807" i="4"/>
  <c r="D763" i="4"/>
  <c r="D851" i="4"/>
  <c r="D895" i="4"/>
  <c r="D675" i="4"/>
  <c r="D719" i="4"/>
  <c r="D631" i="4"/>
  <c r="D587" i="4"/>
  <c r="D543" i="4"/>
  <c r="D499" i="4"/>
  <c r="D455" i="4"/>
  <c r="D323" i="4"/>
  <c r="D279" i="4"/>
  <c r="D411" i="4"/>
  <c r="D367" i="4"/>
  <c r="I367" i="4"/>
  <c r="I895" i="4"/>
  <c r="I1335" i="4"/>
  <c r="I293" i="4"/>
  <c r="I821" i="4"/>
  <c r="I1261" i="4"/>
  <c r="E1079" i="4"/>
  <c r="E1299" i="4"/>
  <c r="E1035" i="4"/>
  <c r="E1343" i="4"/>
  <c r="E1255" i="4"/>
  <c r="E1211" i="4"/>
  <c r="E1167" i="4"/>
  <c r="E1123" i="4"/>
  <c r="E991" i="4"/>
  <c r="E947" i="4"/>
  <c r="E815" i="4"/>
  <c r="E903" i="4"/>
  <c r="E859" i="4"/>
  <c r="E683" i="4"/>
  <c r="E771" i="4"/>
  <c r="E419" i="4"/>
  <c r="E727" i="4"/>
  <c r="E551" i="4"/>
  <c r="E639" i="4"/>
  <c r="E595" i="4"/>
  <c r="E507" i="4"/>
  <c r="E463" i="4"/>
  <c r="E331" i="4"/>
  <c r="E375" i="4"/>
  <c r="E287" i="4"/>
  <c r="I595" i="4"/>
  <c r="I947" i="4"/>
  <c r="E1287" i="4"/>
  <c r="E1111" i="4"/>
  <c r="E1331" i="4"/>
  <c r="E1067" i="4"/>
  <c r="E1243" i="4"/>
  <c r="E1155" i="4"/>
  <c r="E1199" i="4"/>
  <c r="E935" i="4"/>
  <c r="E847" i="4"/>
  <c r="E1023" i="4"/>
  <c r="E803" i="4"/>
  <c r="E979" i="4"/>
  <c r="E891" i="4"/>
  <c r="E715" i="4"/>
  <c r="E671" i="4"/>
  <c r="E759" i="4"/>
  <c r="E451" i="4"/>
  <c r="E627" i="4"/>
  <c r="E583" i="4"/>
  <c r="E539" i="4"/>
  <c r="E495" i="4"/>
  <c r="E363" i="4"/>
  <c r="E319" i="4"/>
  <c r="E275" i="4"/>
  <c r="E407" i="4"/>
  <c r="F1331" i="4"/>
  <c r="F1287" i="4"/>
  <c r="F1111" i="4"/>
  <c r="F1067" i="4"/>
  <c r="F1243" i="4"/>
  <c r="F1199" i="4"/>
  <c r="F979" i="4"/>
  <c r="F1155" i="4"/>
  <c r="F935" i="4"/>
  <c r="F1023" i="4"/>
  <c r="F803" i="4"/>
  <c r="F891" i="4"/>
  <c r="F847" i="4"/>
  <c r="F715" i="4"/>
  <c r="F671" i="4"/>
  <c r="F759" i="4"/>
  <c r="F627" i="4"/>
  <c r="F583" i="4"/>
  <c r="F539" i="4"/>
  <c r="F495" i="4"/>
  <c r="F363" i="4"/>
  <c r="F319" i="4"/>
  <c r="F451" i="4"/>
  <c r="F275" i="4"/>
  <c r="F407" i="4"/>
  <c r="I539" i="4"/>
  <c r="I803" i="4"/>
  <c r="I1287" i="4"/>
  <c r="P39" i="4"/>
  <c r="P301" i="4"/>
  <c r="O301" i="4"/>
  <c r="N301" i="4"/>
  <c r="M301" i="4"/>
  <c r="K301" i="4"/>
  <c r="W301" i="4"/>
  <c r="T301" i="4"/>
  <c r="T302" i="4" s="1"/>
  <c r="T303" i="4" s="1"/>
  <c r="K741" i="4"/>
  <c r="P741" i="4"/>
  <c r="O741" i="4"/>
  <c r="N741" i="4"/>
  <c r="R741" i="4" s="1"/>
  <c r="M741" i="4"/>
  <c r="T741" i="4"/>
  <c r="W741" i="4"/>
  <c r="N1093" i="4"/>
  <c r="R1093" i="4" s="1"/>
  <c r="R1094" i="4" s="1"/>
  <c r="M1093" i="4"/>
  <c r="K1093" i="4"/>
  <c r="O1093" i="4"/>
  <c r="P1093" i="4"/>
  <c r="W1093" i="4"/>
  <c r="O790" i="4"/>
  <c r="K790" i="4"/>
  <c r="P790" i="4"/>
  <c r="N790" i="4"/>
  <c r="M790" i="4"/>
  <c r="W790" i="4"/>
  <c r="K1230" i="4"/>
  <c r="P1230" i="4"/>
  <c r="O1230" i="4"/>
  <c r="N1230" i="4"/>
  <c r="M1230" i="4"/>
  <c r="W1230" i="4"/>
  <c r="I327" i="4"/>
  <c r="I591" i="4"/>
  <c r="I1163" i="4"/>
  <c r="I460" i="4"/>
  <c r="I724" i="4"/>
  <c r="I1296" i="4"/>
  <c r="E145" i="4"/>
  <c r="I272" i="4"/>
  <c r="I360" i="4"/>
  <c r="I932" i="4"/>
  <c r="C1279" i="4"/>
  <c r="C1323" i="4"/>
  <c r="C1103" i="4"/>
  <c r="C1235" i="4"/>
  <c r="C1059" i="4"/>
  <c r="C1147" i="4"/>
  <c r="C1015" i="4"/>
  <c r="C839" i="4"/>
  <c r="C1191" i="4"/>
  <c r="C795" i="4"/>
  <c r="C927" i="4"/>
  <c r="C883" i="4"/>
  <c r="C971" i="4"/>
  <c r="C707" i="4"/>
  <c r="C663" i="4"/>
  <c r="C751" i="4"/>
  <c r="C443" i="4"/>
  <c r="C619" i="4"/>
  <c r="C531" i="4"/>
  <c r="C575" i="4"/>
  <c r="C487" i="4"/>
  <c r="C355" i="4"/>
  <c r="C311" i="4"/>
  <c r="C399" i="4"/>
  <c r="H90" i="4"/>
  <c r="C267" i="4"/>
  <c r="I311" i="4"/>
  <c r="I839" i="4"/>
  <c r="I1323" i="4"/>
  <c r="E96" i="4"/>
  <c r="I361" i="4"/>
  <c r="I625" i="4"/>
  <c r="I1065" i="4"/>
  <c r="I731" i="4"/>
  <c r="I1215" i="4"/>
  <c r="E1183" i="4"/>
  <c r="E1315" i="4"/>
  <c r="E1139" i="4"/>
  <c r="E1271" i="4"/>
  <c r="E1227" i="4"/>
  <c r="E1051" i="4"/>
  <c r="E1095" i="4"/>
  <c r="E1007" i="4"/>
  <c r="E919" i="4"/>
  <c r="E963" i="4"/>
  <c r="E831" i="4"/>
  <c r="E875" i="4"/>
  <c r="E787" i="4"/>
  <c r="E611" i="4"/>
  <c r="E743" i="4"/>
  <c r="E699" i="4"/>
  <c r="E567" i="4"/>
  <c r="E523" i="4"/>
  <c r="E655" i="4"/>
  <c r="E479" i="4"/>
  <c r="E259" i="4"/>
  <c r="E391" i="4"/>
  <c r="E435" i="4"/>
  <c r="E347" i="4"/>
  <c r="E303" i="4"/>
  <c r="P479" i="4"/>
  <c r="O479" i="4"/>
  <c r="N479" i="4"/>
  <c r="M479" i="4"/>
  <c r="K479" i="4"/>
  <c r="W479" i="4"/>
  <c r="P919" i="4"/>
  <c r="O919" i="4"/>
  <c r="N919" i="4"/>
  <c r="M919" i="4"/>
  <c r="K919" i="4"/>
  <c r="W919" i="4"/>
  <c r="E148" i="4"/>
  <c r="E51" i="4"/>
  <c r="X41" i="5"/>
  <c r="V42" i="5"/>
  <c r="I818" i="4"/>
  <c r="I1170" i="4"/>
  <c r="I274" i="4"/>
  <c r="I670" i="4"/>
  <c r="I1242" i="4"/>
  <c r="F1293" i="4"/>
  <c r="F1205" i="4"/>
  <c r="F1161" i="4"/>
  <c r="F1249" i="4"/>
  <c r="F1337" i="4"/>
  <c r="F1073" i="4"/>
  <c r="F1117" i="4"/>
  <c r="F985" i="4"/>
  <c r="F897" i="4"/>
  <c r="F1029" i="4"/>
  <c r="F941" i="4"/>
  <c r="F809" i="4"/>
  <c r="F853" i="4"/>
  <c r="F589" i="4"/>
  <c r="F765" i="4"/>
  <c r="F721" i="4"/>
  <c r="F677" i="4"/>
  <c r="F633" i="4"/>
  <c r="F457" i="4"/>
  <c r="F413" i="4"/>
  <c r="F369" i="4"/>
  <c r="F325" i="4"/>
  <c r="F545" i="4"/>
  <c r="F501" i="4"/>
  <c r="F281" i="4"/>
  <c r="I633" i="4"/>
  <c r="I1117" i="4"/>
  <c r="E129" i="4"/>
  <c r="AD207" i="6"/>
  <c r="AF206" i="6"/>
  <c r="P40" i="4"/>
  <c r="P89" i="4"/>
  <c r="P442" i="4"/>
  <c r="O442" i="4"/>
  <c r="N442" i="4"/>
  <c r="M442" i="4"/>
  <c r="K442" i="4"/>
  <c r="M838" i="4"/>
  <c r="K838" i="4"/>
  <c r="P838" i="4"/>
  <c r="O838" i="4"/>
  <c r="N838" i="4"/>
  <c r="N1322" i="4"/>
  <c r="P1322" i="4"/>
  <c r="O1322" i="4"/>
  <c r="K1322" i="4"/>
  <c r="M1322" i="4"/>
  <c r="O395" i="4"/>
  <c r="N395" i="4"/>
  <c r="M395" i="4"/>
  <c r="K395" i="4"/>
  <c r="P395" i="4"/>
  <c r="W395" i="4"/>
  <c r="O879" i="4"/>
  <c r="P879" i="4"/>
  <c r="N879" i="4"/>
  <c r="M879" i="4"/>
  <c r="K879" i="4"/>
  <c r="W879" i="4"/>
  <c r="N1275" i="4"/>
  <c r="P1275" i="4"/>
  <c r="O1275" i="4"/>
  <c r="M1275" i="4"/>
  <c r="K1275" i="4"/>
  <c r="W1275" i="4"/>
  <c r="I814" i="4"/>
  <c r="I1034" i="4"/>
  <c r="P265" i="4"/>
  <c r="M265" i="4"/>
  <c r="O265" i="4"/>
  <c r="N265" i="4"/>
  <c r="K265" i="4"/>
  <c r="W265" i="4"/>
  <c r="C1321" i="4"/>
  <c r="C1233" i="4"/>
  <c r="C1277" i="4"/>
  <c r="C1145" i="4"/>
  <c r="C1101" i="4"/>
  <c r="C1057" i="4"/>
  <c r="C1189" i="4"/>
  <c r="C881" i="4"/>
  <c r="C1013" i="4"/>
  <c r="C969" i="4"/>
  <c r="C837" i="4"/>
  <c r="C925" i="4"/>
  <c r="C749" i="4"/>
  <c r="C705" i="4"/>
  <c r="C793" i="4"/>
  <c r="C661" i="4"/>
  <c r="C485" i="4"/>
  <c r="C441" i="4"/>
  <c r="C573" i="4"/>
  <c r="C397" i="4"/>
  <c r="C617" i="4"/>
  <c r="C529" i="4"/>
  <c r="C353" i="4"/>
  <c r="C265" i="4"/>
  <c r="C309" i="4"/>
  <c r="H88" i="4"/>
  <c r="I88" i="4" s="1"/>
  <c r="K573" i="4"/>
  <c r="P573" i="4"/>
  <c r="O573" i="4"/>
  <c r="N573" i="4"/>
  <c r="M573" i="4"/>
  <c r="W573" i="4"/>
  <c r="P1101" i="4"/>
  <c r="O1101" i="4"/>
  <c r="N1101" i="4"/>
  <c r="M1101" i="4"/>
  <c r="K1101" i="4"/>
  <c r="W1101" i="4"/>
  <c r="M522" i="4"/>
  <c r="K522" i="4"/>
  <c r="P522" i="4"/>
  <c r="O522" i="4"/>
  <c r="N522" i="4"/>
  <c r="W522" i="4"/>
  <c r="O874" i="4"/>
  <c r="N874" i="4"/>
  <c r="M874" i="4"/>
  <c r="K874" i="4"/>
  <c r="P874" i="4"/>
  <c r="W874" i="4"/>
  <c r="O1314" i="4"/>
  <c r="K1314" i="4"/>
  <c r="P1314" i="4"/>
  <c r="N1314" i="4"/>
  <c r="M1314" i="4"/>
  <c r="W1314" i="4"/>
  <c r="E42" i="4"/>
  <c r="J168" i="4"/>
  <c r="E156" i="4"/>
  <c r="AD325" i="6"/>
  <c r="AF324" i="6"/>
  <c r="E63" i="4"/>
  <c r="I630" i="4"/>
  <c r="I753" i="4"/>
  <c r="I849" i="4"/>
  <c r="E1324" i="4"/>
  <c r="E1236" i="4"/>
  <c r="E1148" i="4"/>
  <c r="E1104" i="4"/>
  <c r="E1280" i="4"/>
  <c r="E1060" i="4"/>
  <c r="E1192" i="4"/>
  <c r="E1016" i="4"/>
  <c r="E884" i="4"/>
  <c r="E972" i="4"/>
  <c r="E928" i="4"/>
  <c r="E840" i="4"/>
  <c r="E796" i="4"/>
  <c r="E752" i="4"/>
  <c r="E708" i="4"/>
  <c r="E664" i="4"/>
  <c r="E488" i="4"/>
  <c r="E620" i="4"/>
  <c r="E576" i="4"/>
  <c r="E444" i="4"/>
  <c r="E400" i="4"/>
  <c r="E532" i="4"/>
  <c r="E356" i="4"/>
  <c r="E268" i="4"/>
  <c r="E312" i="4"/>
  <c r="I804" i="4"/>
  <c r="I278" i="4"/>
  <c r="C1237" i="4"/>
  <c r="C1325" i="4"/>
  <c r="C1281" i="4"/>
  <c r="C1193" i="4"/>
  <c r="C1105" i="4"/>
  <c r="C1149" i="4"/>
  <c r="C1061" i="4"/>
  <c r="C797" i="4"/>
  <c r="C929" i="4"/>
  <c r="C1017" i="4"/>
  <c r="C885" i="4"/>
  <c r="C973" i="4"/>
  <c r="C665" i="4"/>
  <c r="C753" i="4"/>
  <c r="C841" i="4"/>
  <c r="C709" i="4"/>
  <c r="C577" i="4"/>
  <c r="C401" i="4"/>
  <c r="C621" i="4"/>
  <c r="C533" i="4"/>
  <c r="C489" i="4"/>
  <c r="C445" i="4"/>
  <c r="C313" i="4"/>
  <c r="C269" i="4"/>
  <c r="H92" i="4"/>
  <c r="C357" i="4"/>
  <c r="I709" i="4"/>
  <c r="C1262" i="4"/>
  <c r="C1086" i="4"/>
  <c r="C1306" i="4"/>
  <c r="C1218" i="4"/>
  <c r="C1042" i="4"/>
  <c r="C1174" i="4"/>
  <c r="C1130" i="4"/>
  <c r="C998" i="4"/>
  <c r="C1350" i="4"/>
  <c r="C822" i="4"/>
  <c r="C866" i="4"/>
  <c r="C954" i="4"/>
  <c r="C778" i="4"/>
  <c r="C910" i="4"/>
  <c r="C690" i="4"/>
  <c r="C426" i="4"/>
  <c r="C646" i="4"/>
  <c r="C602" i="4"/>
  <c r="C558" i="4"/>
  <c r="C734" i="4"/>
  <c r="C514" i="4"/>
  <c r="C470" i="4"/>
  <c r="C382" i="4"/>
  <c r="C338" i="4"/>
  <c r="C294" i="4"/>
  <c r="H117" i="4"/>
  <c r="I690" i="4"/>
  <c r="I1350" i="4"/>
  <c r="D1333" i="4"/>
  <c r="D1289" i="4"/>
  <c r="D1113" i="4"/>
  <c r="D1069" i="4"/>
  <c r="D1245" i="4"/>
  <c r="D1201" i="4"/>
  <c r="D1157" i="4"/>
  <c r="D981" i="4"/>
  <c r="D937" i="4"/>
  <c r="D1025" i="4"/>
  <c r="D849" i="4"/>
  <c r="D893" i="4"/>
  <c r="D805" i="4"/>
  <c r="D717" i="4"/>
  <c r="D673" i="4"/>
  <c r="D761" i="4"/>
  <c r="D629" i="4"/>
  <c r="D585" i="4"/>
  <c r="D541" i="4"/>
  <c r="D497" i="4"/>
  <c r="D365" i="4"/>
  <c r="D321" i="4"/>
  <c r="D277" i="4"/>
  <c r="D409" i="4"/>
  <c r="D453" i="4"/>
  <c r="I1069" i="4"/>
  <c r="I796" i="4"/>
  <c r="I1104" i="4"/>
  <c r="I628" i="4"/>
  <c r="I936" i="4"/>
  <c r="P32" i="4"/>
  <c r="K72" i="4"/>
  <c r="E108" i="4"/>
  <c r="I769" i="4"/>
  <c r="I1253" i="4"/>
  <c r="I648" i="4"/>
  <c r="I956" i="4"/>
  <c r="D1150" i="4"/>
  <c r="D1106" i="4"/>
  <c r="D1326" i="4"/>
  <c r="D1282" i="4"/>
  <c r="D1238" i="4"/>
  <c r="D1018" i="4"/>
  <c r="D1194" i="4"/>
  <c r="D1062" i="4"/>
  <c r="D974" i="4"/>
  <c r="D798" i="4"/>
  <c r="D886" i="4"/>
  <c r="D930" i="4"/>
  <c r="D842" i="4"/>
  <c r="D754" i="4"/>
  <c r="D710" i="4"/>
  <c r="D666" i="4"/>
  <c r="D622" i="4"/>
  <c r="D578" i="4"/>
  <c r="D534" i="4"/>
  <c r="D358" i="4"/>
  <c r="D446" i="4"/>
  <c r="D402" i="4"/>
  <c r="D314" i="4"/>
  <c r="D490" i="4"/>
  <c r="D270" i="4"/>
  <c r="I270" i="4"/>
  <c r="I358" i="4"/>
  <c r="I798" i="4"/>
  <c r="I1282" i="4"/>
  <c r="P304" i="4"/>
  <c r="O304" i="4"/>
  <c r="N304" i="4"/>
  <c r="K304" i="4"/>
  <c r="M304" i="4"/>
  <c r="W304" i="4"/>
  <c r="O788" i="4"/>
  <c r="N788" i="4"/>
  <c r="M788" i="4"/>
  <c r="P788" i="4"/>
  <c r="K788" i="4"/>
  <c r="W788" i="4"/>
  <c r="M1316" i="4"/>
  <c r="P1316" i="4"/>
  <c r="O1316" i="4"/>
  <c r="N1316" i="4"/>
  <c r="K1316" i="4"/>
  <c r="W1316" i="4"/>
  <c r="I280" i="4"/>
  <c r="I764" i="4"/>
  <c r="I1160" i="4"/>
  <c r="I295" i="4"/>
  <c r="I691" i="4"/>
  <c r="I1131" i="4"/>
  <c r="E133" i="4"/>
  <c r="E34" i="4"/>
  <c r="H34" i="4" s="1"/>
  <c r="I34" i="4" s="1"/>
  <c r="I766" i="4"/>
  <c r="I1338" i="4"/>
  <c r="I421" i="4"/>
  <c r="I641" i="4"/>
  <c r="I993" i="4"/>
  <c r="P84" i="4"/>
  <c r="N613" i="4"/>
  <c r="M613" i="4"/>
  <c r="K613" i="4"/>
  <c r="P613" i="4"/>
  <c r="O613" i="4"/>
  <c r="W613" i="4"/>
  <c r="N877" i="4"/>
  <c r="M877" i="4"/>
  <c r="K877" i="4"/>
  <c r="P877" i="4"/>
  <c r="O877" i="4"/>
  <c r="W877" i="4"/>
  <c r="E87" i="4"/>
  <c r="K352" i="4"/>
  <c r="P352" i="4"/>
  <c r="O352" i="4"/>
  <c r="N352" i="4"/>
  <c r="M352" i="4"/>
  <c r="W352" i="4"/>
  <c r="M792" i="4"/>
  <c r="P792" i="4"/>
  <c r="O792" i="4"/>
  <c r="N792" i="4"/>
  <c r="K792" i="4"/>
  <c r="W792" i="4"/>
  <c r="N1056" i="4"/>
  <c r="K1056" i="4"/>
  <c r="M1056" i="4"/>
  <c r="P1056" i="4"/>
  <c r="O1056" i="4"/>
  <c r="W1056" i="4"/>
  <c r="AG415" i="6"/>
  <c r="AJ415" i="6"/>
  <c r="AI415" i="6"/>
  <c r="AH415" i="6"/>
  <c r="X281" i="5"/>
  <c r="V282" i="5"/>
  <c r="E61" i="4"/>
  <c r="I586" i="4"/>
  <c r="I1026" i="4"/>
  <c r="D1237" i="4"/>
  <c r="D1325" i="4"/>
  <c r="D1061" i="4"/>
  <c r="D1281" i="4"/>
  <c r="D1193" i="4"/>
  <c r="D1105" i="4"/>
  <c r="D1149" i="4"/>
  <c r="D973" i="4"/>
  <c r="D929" i="4"/>
  <c r="D1017" i="4"/>
  <c r="D885" i="4"/>
  <c r="D753" i="4"/>
  <c r="D797" i="4"/>
  <c r="D841" i="4"/>
  <c r="D665" i="4"/>
  <c r="D709" i="4"/>
  <c r="D621" i="4"/>
  <c r="D533" i="4"/>
  <c r="D489" i="4"/>
  <c r="D445" i="4"/>
  <c r="D313" i="4"/>
  <c r="D269" i="4"/>
  <c r="D401" i="4"/>
  <c r="D577" i="4"/>
  <c r="D357" i="4"/>
  <c r="E92" i="4"/>
  <c r="I445" i="4"/>
  <c r="I885" i="4"/>
  <c r="I1237" i="4"/>
  <c r="I338" i="4"/>
  <c r="I910" i="4"/>
  <c r="I1306" i="4"/>
  <c r="E1333" i="4"/>
  <c r="E1289" i="4"/>
  <c r="E1069" i="4"/>
  <c r="E1245" i="4"/>
  <c r="E1201" i="4"/>
  <c r="E1113" i="4"/>
  <c r="E1157" i="4"/>
  <c r="E1025" i="4"/>
  <c r="E805" i="4"/>
  <c r="E937" i="4"/>
  <c r="E849" i="4"/>
  <c r="E981" i="4"/>
  <c r="E893" i="4"/>
  <c r="E673" i="4"/>
  <c r="E761" i="4"/>
  <c r="E409" i="4"/>
  <c r="E629" i="4"/>
  <c r="E585" i="4"/>
  <c r="E541" i="4"/>
  <c r="E497" i="4"/>
  <c r="E321" i="4"/>
  <c r="E277" i="4"/>
  <c r="E717" i="4"/>
  <c r="E453" i="4"/>
  <c r="E365" i="4"/>
  <c r="I761" i="4"/>
  <c r="I1201" i="4"/>
  <c r="I312" i="4"/>
  <c r="I400" i="4"/>
  <c r="I840" i="4"/>
  <c r="I1236" i="4"/>
  <c r="I540" i="4"/>
  <c r="I1332" i="4"/>
  <c r="H11" i="4"/>
  <c r="C76" i="1" s="1"/>
  <c r="AB120" i="4"/>
  <c r="I549" i="4"/>
  <c r="I857" i="4"/>
  <c r="I1209" i="4"/>
  <c r="F1308" i="4"/>
  <c r="F1352" i="4"/>
  <c r="F1176" i="4"/>
  <c r="F1264" i="4"/>
  <c r="F1220" i="4"/>
  <c r="F1088" i="4"/>
  <c r="F1132" i="4"/>
  <c r="F1000" i="4"/>
  <c r="F1044" i="4"/>
  <c r="F912" i="4"/>
  <c r="F956" i="4"/>
  <c r="F824" i="4"/>
  <c r="F868" i="4"/>
  <c r="F780" i="4"/>
  <c r="F604" i="4"/>
  <c r="F736" i="4"/>
  <c r="F692" i="4"/>
  <c r="F560" i="4"/>
  <c r="F472" i="4"/>
  <c r="F648" i="4"/>
  <c r="F516" i="4"/>
  <c r="F384" i="4"/>
  <c r="F428" i="4"/>
  <c r="F340" i="4"/>
  <c r="F296" i="4"/>
  <c r="I780" i="4"/>
  <c r="I1308" i="4"/>
  <c r="I578" i="4"/>
  <c r="I930" i="4"/>
  <c r="E1272" i="4"/>
  <c r="E1316" i="4"/>
  <c r="E1096" i="4"/>
  <c r="E1052" i="4"/>
  <c r="E1228" i="4"/>
  <c r="E1140" i="4"/>
  <c r="E1184" i="4"/>
  <c r="E832" i="4"/>
  <c r="E964" i="4"/>
  <c r="E1008" i="4"/>
  <c r="E876" i="4"/>
  <c r="E920" i="4"/>
  <c r="E700" i="4"/>
  <c r="E656" i="4"/>
  <c r="E744" i="4"/>
  <c r="E436" i="4"/>
  <c r="E788" i="4"/>
  <c r="E524" i="4"/>
  <c r="E612" i="4"/>
  <c r="E480" i="4"/>
  <c r="E348" i="4"/>
  <c r="E304" i="4"/>
  <c r="E568" i="4"/>
  <c r="E260" i="4"/>
  <c r="E392" i="4"/>
  <c r="P260" i="4"/>
  <c r="M260" i="4"/>
  <c r="O260" i="4"/>
  <c r="N260" i="4"/>
  <c r="K260" i="4"/>
  <c r="W260" i="4"/>
  <c r="P348" i="4"/>
  <c r="O348" i="4"/>
  <c r="N348" i="4"/>
  <c r="M348" i="4"/>
  <c r="K348" i="4"/>
  <c r="W348" i="4"/>
  <c r="P964" i="4"/>
  <c r="O964" i="4"/>
  <c r="M964" i="4"/>
  <c r="K964" i="4"/>
  <c r="N964" i="4"/>
  <c r="W964" i="4"/>
  <c r="O1272" i="4"/>
  <c r="P1272" i="4"/>
  <c r="N1272" i="4"/>
  <c r="M1272" i="4"/>
  <c r="K1272" i="4"/>
  <c r="W1272" i="4"/>
  <c r="I412" i="4"/>
  <c r="I588" i="4"/>
  <c r="I1204" i="4"/>
  <c r="F1351" i="4"/>
  <c r="F1307" i="4"/>
  <c r="F1131" i="4"/>
  <c r="F1087" i="4"/>
  <c r="F1219" i="4"/>
  <c r="F1175" i="4"/>
  <c r="F999" i="4"/>
  <c r="F1263" i="4"/>
  <c r="F1043" i="4"/>
  <c r="F911" i="4"/>
  <c r="F823" i="4"/>
  <c r="F955" i="4"/>
  <c r="F867" i="4"/>
  <c r="F779" i="4"/>
  <c r="F735" i="4"/>
  <c r="F691" i="4"/>
  <c r="F559" i="4"/>
  <c r="F515" i="4"/>
  <c r="F647" i="4"/>
  <c r="F603" i="4"/>
  <c r="F339" i="4"/>
  <c r="F383" i="4"/>
  <c r="F295" i="4"/>
  <c r="F471" i="4"/>
  <c r="F427" i="4"/>
  <c r="I779" i="4"/>
  <c r="I1351" i="4"/>
  <c r="I458" i="4"/>
  <c r="I722" i="4"/>
  <c r="I1294" i="4"/>
  <c r="I289" i="4"/>
  <c r="I685" i="4"/>
  <c r="I1213" i="4"/>
  <c r="P349" i="4"/>
  <c r="O349" i="4"/>
  <c r="N349" i="4"/>
  <c r="M349" i="4"/>
  <c r="K349" i="4"/>
  <c r="W349" i="4"/>
  <c r="E1185" i="4"/>
  <c r="E1141" i="4"/>
  <c r="E1273" i="4"/>
  <c r="E1229" i="4"/>
  <c r="E1097" i="4"/>
  <c r="E1317" i="4"/>
  <c r="E1053" i="4"/>
  <c r="E1009" i="4"/>
  <c r="E921" i="4"/>
  <c r="E965" i="4"/>
  <c r="E789" i="4"/>
  <c r="E833" i="4"/>
  <c r="E877" i="4"/>
  <c r="E569" i="4"/>
  <c r="E745" i="4"/>
  <c r="E701" i="4"/>
  <c r="E525" i="4"/>
  <c r="E481" i="4"/>
  <c r="E437" i="4"/>
  <c r="E613" i="4"/>
  <c r="E657" i="4"/>
  <c r="E393" i="4"/>
  <c r="E349" i="4"/>
  <c r="E305" i="4"/>
  <c r="E261" i="4"/>
  <c r="O481" i="4"/>
  <c r="N481" i="4"/>
  <c r="M481" i="4"/>
  <c r="K481" i="4"/>
  <c r="P481" i="4"/>
  <c r="W481" i="4"/>
  <c r="P921" i="4"/>
  <c r="O921" i="4"/>
  <c r="N921" i="4"/>
  <c r="M921" i="4"/>
  <c r="K921" i="4"/>
  <c r="W921" i="4"/>
  <c r="F1320" i="4"/>
  <c r="F1232" i="4"/>
  <c r="F1188" i="4"/>
  <c r="F1276" i="4"/>
  <c r="F1144" i="4"/>
  <c r="F1100" i="4"/>
  <c r="F1056" i="4"/>
  <c r="F924" i="4"/>
  <c r="F1012" i="4"/>
  <c r="F748" i="4"/>
  <c r="F836" i="4"/>
  <c r="F968" i="4"/>
  <c r="F880" i="4"/>
  <c r="F616" i="4"/>
  <c r="F792" i="4"/>
  <c r="F704" i="4"/>
  <c r="F660" i="4"/>
  <c r="F484" i="4"/>
  <c r="F572" i="4"/>
  <c r="F440" i="4"/>
  <c r="F264" i="4"/>
  <c r="F528" i="4"/>
  <c r="F396" i="4"/>
  <c r="F352" i="4"/>
  <c r="F308" i="4"/>
  <c r="K572" i="4"/>
  <c r="P572" i="4"/>
  <c r="O572" i="4"/>
  <c r="N572" i="4"/>
  <c r="M572" i="4"/>
  <c r="W572" i="4"/>
  <c r="P924" i="4"/>
  <c r="O924" i="4"/>
  <c r="N924" i="4"/>
  <c r="M924" i="4"/>
  <c r="K924" i="4"/>
  <c r="W924" i="4"/>
  <c r="AD626" i="6"/>
  <c r="AF625" i="6"/>
  <c r="I288" i="4"/>
  <c r="I816" i="4"/>
  <c r="I1256" i="4"/>
  <c r="H134" i="4"/>
  <c r="I134" i="4" s="1"/>
  <c r="E70" i="4"/>
  <c r="I688" i="4"/>
  <c r="I1216" i="4"/>
  <c r="I535" i="4"/>
  <c r="I1107" i="4"/>
  <c r="F1335" i="4"/>
  <c r="F1247" i="4"/>
  <c r="F1203" i="4"/>
  <c r="F1291" i="4"/>
  <c r="F1115" i="4"/>
  <c r="F1071" i="4"/>
  <c r="F1027" i="4"/>
  <c r="F1159" i="4"/>
  <c r="F983" i="4"/>
  <c r="F939" i="4"/>
  <c r="F763" i="4"/>
  <c r="F851" i="4"/>
  <c r="F895" i="4"/>
  <c r="F631" i="4"/>
  <c r="F807" i="4"/>
  <c r="F719" i="4"/>
  <c r="F675" i="4"/>
  <c r="F587" i="4"/>
  <c r="F543" i="4"/>
  <c r="F499" i="4"/>
  <c r="F455" i="4"/>
  <c r="F279" i="4"/>
  <c r="F411" i="4"/>
  <c r="F367" i="4"/>
  <c r="F323" i="4"/>
  <c r="I499" i="4"/>
  <c r="I1159" i="4"/>
  <c r="I425" i="4"/>
  <c r="I777" i="4"/>
  <c r="I1041" i="4"/>
  <c r="AI593" i="6"/>
  <c r="AJ593" i="6"/>
  <c r="AG593" i="6"/>
  <c r="AH593" i="6"/>
  <c r="F1343" i="4"/>
  <c r="F1299" i="4"/>
  <c r="F1255" i="4"/>
  <c r="F1079" i="4"/>
  <c r="F1035" i="4"/>
  <c r="F1211" i="4"/>
  <c r="F1167" i="4"/>
  <c r="F1123" i="4"/>
  <c r="F991" i="4"/>
  <c r="F947" i="4"/>
  <c r="F815" i="4"/>
  <c r="F771" i="4"/>
  <c r="F859" i="4"/>
  <c r="F683" i="4"/>
  <c r="F903" i="4"/>
  <c r="F727" i="4"/>
  <c r="F551" i="4"/>
  <c r="F639" i="4"/>
  <c r="F595" i="4"/>
  <c r="F507" i="4"/>
  <c r="F463" i="4"/>
  <c r="F331" i="4"/>
  <c r="F375" i="4"/>
  <c r="F287" i="4"/>
  <c r="F419" i="4"/>
  <c r="I639" i="4"/>
  <c r="I991" i="4"/>
  <c r="I407" i="4"/>
  <c r="I979" i="4"/>
  <c r="H16" i="4"/>
  <c r="P257" i="4"/>
  <c r="O257" i="4"/>
  <c r="N257" i="4"/>
  <c r="K257" i="4"/>
  <c r="M257" i="4"/>
  <c r="W257" i="4"/>
  <c r="G120" i="4"/>
  <c r="K477" i="4"/>
  <c r="P477" i="4"/>
  <c r="O477" i="4"/>
  <c r="N477" i="4"/>
  <c r="R477" i="4" s="1"/>
  <c r="R478" i="4" s="1"/>
  <c r="R479" i="4" s="1"/>
  <c r="M477" i="4"/>
  <c r="W477" i="4"/>
  <c r="T477" i="4"/>
  <c r="T478" i="4" s="1"/>
  <c r="P917" i="4"/>
  <c r="O917" i="4"/>
  <c r="N917" i="4"/>
  <c r="M917" i="4"/>
  <c r="K917" i="4"/>
  <c r="W917" i="4"/>
  <c r="K1225" i="4"/>
  <c r="P1225" i="4"/>
  <c r="T1225" i="4" s="1"/>
  <c r="T1226" i="4" s="1"/>
  <c r="T1227" i="4" s="1"/>
  <c r="T1228" i="4" s="1"/>
  <c r="T1229" i="4" s="1"/>
  <c r="T1230" i="4" s="1"/>
  <c r="T1231" i="4" s="1"/>
  <c r="O1225" i="4"/>
  <c r="N1225" i="4"/>
  <c r="R1225" i="4" s="1"/>
  <c r="R1226" i="4" s="1"/>
  <c r="R1227" i="4" s="1"/>
  <c r="M1225" i="4"/>
  <c r="W1225" i="4"/>
  <c r="F1318" i="4"/>
  <c r="F1230" i="4"/>
  <c r="F1054" i="4"/>
  <c r="F1186" i="4"/>
  <c r="F1274" i="4"/>
  <c r="F1098" i="4"/>
  <c r="F1142" i="4"/>
  <c r="F1010" i="4"/>
  <c r="F966" i="4"/>
  <c r="F922" i="4"/>
  <c r="F834" i="4"/>
  <c r="F878" i="4"/>
  <c r="F790" i="4"/>
  <c r="F658" i="4"/>
  <c r="F746" i="4"/>
  <c r="F702" i="4"/>
  <c r="F570" i="4"/>
  <c r="F526" i="4"/>
  <c r="F614" i="4"/>
  <c r="F482" i="4"/>
  <c r="F438" i="4"/>
  <c r="F306" i="4"/>
  <c r="F394" i="4"/>
  <c r="F262" i="4"/>
  <c r="F350" i="4"/>
  <c r="P658" i="4"/>
  <c r="O658" i="4"/>
  <c r="N658" i="4"/>
  <c r="M658" i="4"/>
  <c r="K658" i="4"/>
  <c r="W658" i="4"/>
  <c r="P1186" i="4"/>
  <c r="O1186" i="4"/>
  <c r="N1186" i="4"/>
  <c r="M1186" i="4"/>
  <c r="K1186" i="4"/>
  <c r="W1186" i="4"/>
  <c r="C1295" i="4"/>
  <c r="C1207" i="4"/>
  <c r="C1163" i="4"/>
  <c r="C1339" i="4"/>
  <c r="C1119" i="4"/>
  <c r="C1251" i="4"/>
  <c r="C1075" i="4"/>
  <c r="C1031" i="4"/>
  <c r="C899" i="4"/>
  <c r="C987" i="4"/>
  <c r="C855" i="4"/>
  <c r="C811" i="4"/>
  <c r="C943" i="4"/>
  <c r="C767" i="4"/>
  <c r="C591" i="4"/>
  <c r="C723" i="4"/>
  <c r="C547" i="4"/>
  <c r="C635" i="4"/>
  <c r="C503" i="4"/>
  <c r="C459" i="4"/>
  <c r="C679" i="4"/>
  <c r="C415" i="4"/>
  <c r="C371" i="4"/>
  <c r="C327" i="4"/>
  <c r="H106" i="4"/>
  <c r="C283" i="4"/>
  <c r="I679" i="4"/>
  <c r="I1031" i="4"/>
  <c r="C1076" i="4"/>
  <c r="C1340" i="4"/>
  <c r="C1208" i="4"/>
  <c r="C1296" i="4"/>
  <c r="C1164" i="4"/>
  <c r="C1252" i="4"/>
  <c r="C1120" i="4"/>
  <c r="C988" i="4"/>
  <c r="C1032" i="4"/>
  <c r="C812" i="4"/>
  <c r="C944" i="4"/>
  <c r="C856" i="4"/>
  <c r="C900" i="4"/>
  <c r="C768" i="4"/>
  <c r="C680" i="4"/>
  <c r="C416" i="4"/>
  <c r="C724" i="4"/>
  <c r="C548" i="4"/>
  <c r="C504" i="4"/>
  <c r="C460" i="4"/>
  <c r="C636" i="4"/>
  <c r="C328" i="4"/>
  <c r="C284" i="4"/>
  <c r="C592" i="4"/>
  <c r="H107" i="4"/>
  <c r="C372" i="4"/>
  <c r="I284" i="4"/>
  <c r="I856" i="4"/>
  <c r="I1208" i="4"/>
  <c r="P35" i="4"/>
  <c r="H35" i="4"/>
  <c r="I35" i="4" s="1"/>
  <c r="D1328" i="4"/>
  <c r="D1284" i="4"/>
  <c r="D1108" i="4"/>
  <c r="D1064" i="4"/>
  <c r="D1240" i="4"/>
  <c r="D1196" i="4"/>
  <c r="D976" i="4"/>
  <c r="D1152" i="4"/>
  <c r="D932" i="4"/>
  <c r="D1020" i="4"/>
  <c r="D844" i="4"/>
  <c r="D712" i="4"/>
  <c r="D668" i="4"/>
  <c r="D888" i="4"/>
  <c r="D800" i="4"/>
  <c r="D756" i="4"/>
  <c r="D536" i="4"/>
  <c r="D492" i="4"/>
  <c r="D624" i="4"/>
  <c r="D360" i="4"/>
  <c r="D580" i="4"/>
  <c r="D404" i="4"/>
  <c r="D316" i="4"/>
  <c r="D272" i="4"/>
  <c r="D448" i="4"/>
  <c r="I536" i="4"/>
  <c r="I976" i="4"/>
  <c r="E90" i="4"/>
  <c r="I355" i="4"/>
  <c r="I883" i="4"/>
  <c r="I1279" i="4"/>
  <c r="I405" i="4"/>
  <c r="I845" i="4"/>
  <c r="I1197" i="4"/>
  <c r="F1303" i="4"/>
  <c r="F1259" i="4"/>
  <c r="F1215" i="4"/>
  <c r="F1171" i="4"/>
  <c r="F1347" i="4"/>
  <c r="F1083" i="4"/>
  <c r="F1127" i="4"/>
  <c r="F1039" i="4"/>
  <c r="F951" i="4"/>
  <c r="F907" i="4"/>
  <c r="F995" i="4"/>
  <c r="F863" i="4"/>
  <c r="F819" i="4"/>
  <c r="F599" i="4"/>
  <c r="F731" i="4"/>
  <c r="F775" i="4"/>
  <c r="F687" i="4"/>
  <c r="F643" i="4"/>
  <c r="F467" i="4"/>
  <c r="F555" i="4"/>
  <c r="F511" i="4"/>
  <c r="F335" i="4"/>
  <c r="F423" i="4"/>
  <c r="F379" i="4"/>
  <c r="F291" i="4"/>
  <c r="I775" i="4"/>
  <c r="I1039" i="4"/>
  <c r="F1315" i="4"/>
  <c r="F1183" i="4"/>
  <c r="F1227" i="4"/>
  <c r="F1051" i="4"/>
  <c r="F1007" i="4"/>
  <c r="F1095" i="4"/>
  <c r="F919" i="4"/>
  <c r="F963" i="4"/>
  <c r="F1271" i="4"/>
  <c r="F1139" i="4"/>
  <c r="F831" i="4"/>
  <c r="F743" i="4"/>
  <c r="F875" i="4"/>
  <c r="F787" i="4"/>
  <c r="F611" i="4"/>
  <c r="F699" i="4"/>
  <c r="F655" i="4"/>
  <c r="F567" i="4"/>
  <c r="F479" i="4"/>
  <c r="F523" i="4"/>
  <c r="F259" i="4"/>
  <c r="F391" i="4"/>
  <c r="F435" i="4"/>
  <c r="F347" i="4"/>
  <c r="F303" i="4"/>
  <c r="O523" i="4"/>
  <c r="N523" i="4"/>
  <c r="M523" i="4"/>
  <c r="K523" i="4"/>
  <c r="P523" i="4"/>
  <c r="W523" i="4"/>
  <c r="M1007" i="4"/>
  <c r="P1007" i="4"/>
  <c r="O1007" i="4"/>
  <c r="N1007" i="4"/>
  <c r="K1007" i="4"/>
  <c r="W1007" i="4"/>
  <c r="F1126" i="4"/>
  <c r="F1258" i="4"/>
  <c r="F1082" i="4"/>
  <c r="F1214" i="4"/>
  <c r="F1346" i="4"/>
  <c r="F1302" i="4"/>
  <c r="F1170" i="4"/>
  <c r="F1038" i="4"/>
  <c r="F994" i="4"/>
  <c r="F950" i="4"/>
  <c r="F818" i="4"/>
  <c r="F862" i="4"/>
  <c r="F906" i="4"/>
  <c r="F730" i="4"/>
  <c r="F774" i="4"/>
  <c r="F686" i="4"/>
  <c r="F642" i="4"/>
  <c r="F598" i="4"/>
  <c r="F554" i="4"/>
  <c r="F510" i="4"/>
  <c r="F378" i="4"/>
  <c r="F334" i="4"/>
  <c r="F466" i="4"/>
  <c r="F422" i="4"/>
  <c r="F290" i="4"/>
  <c r="C1346" i="4"/>
  <c r="C1258" i="4"/>
  <c r="C1302" i="4"/>
  <c r="C1170" i="4"/>
  <c r="C1126" i="4"/>
  <c r="C1214" i="4"/>
  <c r="C1082" i="4"/>
  <c r="C1038" i="4"/>
  <c r="C906" i="4"/>
  <c r="C994" i="4"/>
  <c r="C950" i="4"/>
  <c r="C862" i="4"/>
  <c r="C730" i="4"/>
  <c r="C774" i="4"/>
  <c r="C686" i="4"/>
  <c r="C510" i="4"/>
  <c r="C466" i="4"/>
  <c r="C422" i="4"/>
  <c r="C818" i="4"/>
  <c r="C642" i="4"/>
  <c r="C598" i="4"/>
  <c r="C554" i="4"/>
  <c r="H113" i="4"/>
  <c r="C378" i="4"/>
  <c r="C334" i="4"/>
  <c r="C290" i="4"/>
  <c r="I774" i="4"/>
  <c r="I1214" i="4"/>
  <c r="C1286" i="4"/>
  <c r="C1198" i="4"/>
  <c r="C1242" i="4"/>
  <c r="C1110" i="4"/>
  <c r="C1154" i="4"/>
  <c r="C1066" i="4"/>
  <c r="C1330" i="4"/>
  <c r="C978" i="4"/>
  <c r="C802" i="4"/>
  <c r="C1022" i="4"/>
  <c r="C934" i="4"/>
  <c r="C846" i="4"/>
  <c r="C890" i="4"/>
  <c r="C670" i="4"/>
  <c r="C758" i="4"/>
  <c r="C406" i="4"/>
  <c r="C538" i="4"/>
  <c r="C494" i="4"/>
  <c r="C714" i="4"/>
  <c r="C626" i="4"/>
  <c r="C582" i="4"/>
  <c r="C450" i="4"/>
  <c r="C318" i="4"/>
  <c r="C274" i="4"/>
  <c r="C362" i="4"/>
  <c r="H97" i="4"/>
  <c r="I318" i="4"/>
  <c r="I802" i="4"/>
  <c r="I1066" i="4"/>
  <c r="I721" i="4"/>
  <c r="I1161" i="4"/>
  <c r="E157" i="4"/>
  <c r="E41" i="4"/>
  <c r="E89" i="4"/>
  <c r="E1234" i="4"/>
  <c r="E1190" i="4"/>
  <c r="E1278" i="4"/>
  <c r="E1146" i="4"/>
  <c r="E1322" i="4"/>
  <c r="E1102" i="4"/>
  <c r="E926" i="4"/>
  <c r="E882" i="4"/>
  <c r="E1058" i="4"/>
  <c r="E970" i="4"/>
  <c r="E1014" i="4"/>
  <c r="E838" i="4"/>
  <c r="E574" i="4"/>
  <c r="E706" i="4"/>
  <c r="E750" i="4"/>
  <c r="E794" i="4"/>
  <c r="E530" i="4"/>
  <c r="E486" i="4"/>
  <c r="E618" i="4"/>
  <c r="E442" i="4"/>
  <c r="E662" i="4"/>
  <c r="E398" i="4"/>
  <c r="E354" i="4"/>
  <c r="E310" i="4"/>
  <c r="E266" i="4"/>
  <c r="O486" i="4"/>
  <c r="N486" i="4"/>
  <c r="M486" i="4"/>
  <c r="K486" i="4"/>
  <c r="P486" i="4"/>
  <c r="O970" i="4"/>
  <c r="M970" i="4"/>
  <c r="K970" i="4"/>
  <c r="N970" i="4"/>
  <c r="P970" i="4"/>
  <c r="K263" i="4"/>
  <c r="O263" i="4"/>
  <c r="P263" i="4"/>
  <c r="N263" i="4"/>
  <c r="M263" i="4"/>
  <c r="W263" i="4"/>
  <c r="K747" i="4"/>
  <c r="P747" i="4"/>
  <c r="O747" i="4"/>
  <c r="N747" i="4"/>
  <c r="M747" i="4"/>
  <c r="W747" i="4"/>
  <c r="N1187" i="4"/>
  <c r="M1187" i="4"/>
  <c r="K1187" i="4"/>
  <c r="P1187" i="4"/>
  <c r="O1187" i="4"/>
  <c r="W1187" i="4"/>
  <c r="I374" i="4"/>
  <c r="I286" i="4"/>
  <c r="I682" i="4"/>
  <c r="I1078" i="4"/>
  <c r="O441" i="4"/>
  <c r="M441" i="4"/>
  <c r="K441" i="4"/>
  <c r="P441" i="4"/>
  <c r="N441" i="4"/>
  <c r="W441" i="4"/>
  <c r="P1057" i="4"/>
  <c r="O1057" i="4"/>
  <c r="N1057" i="4"/>
  <c r="K1057" i="4"/>
  <c r="M1057" i="4"/>
  <c r="W1057" i="4"/>
  <c r="AI354" i="6"/>
  <c r="AG354" i="6"/>
  <c r="AJ354" i="6"/>
  <c r="AH354" i="6"/>
  <c r="K258" i="4"/>
  <c r="O258" i="4"/>
  <c r="P258" i="4"/>
  <c r="N258" i="4"/>
  <c r="M258" i="4"/>
  <c r="W258" i="4"/>
  <c r="P742" i="4"/>
  <c r="O742" i="4"/>
  <c r="N742" i="4"/>
  <c r="M742" i="4"/>
  <c r="K742" i="4"/>
  <c r="W742" i="4"/>
  <c r="AD115" i="6"/>
  <c r="AF114" i="6"/>
  <c r="E167" i="4"/>
  <c r="O168" i="4"/>
  <c r="AJ323" i="6"/>
  <c r="AH323" i="6"/>
  <c r="AG323" i="6"/>
  <c r="AI323" i="6"/>
  <c r="H131" i="4"/>
  <c r="I131" i="4" s="1"/>
  <c r="X83" i="4"/>
  <c r="X84" i="4" s="1"/>
  <c r="X85" i="4" s="1"/>
  <c r="X86" i="4" s="1"/>
  <c r="X87" i="4" s="1"/>
  <c r="X88" i="4" s="1"/>
  <c r="X89" i="4" s="1"/>
  <c r="P80" i="4"/>
  <c r="N345" i="4"/>
  <c r="R345" i="4" s="1"/>
  <c r="R346" i="4" s="1"/>
  <c r="M345" i="4"/>
  <c r="K345" i="4"/>
  <c r="P345" i="4"/>
  <c r="T345" i="4" s="1"/>
  <c r="T346" i="4" s="1"/>
  <c r="T347" i="4" s="1"/>
  <c r="T348" i="4" s="1"/>
  <c r="T349" i="4" s="1"/>
  <c r="T350" i="4" s="1"/>
  <c r="T351" i="4" s="1"/>
  <c r="T352" i="4" s="1"/>
  <c r="T353" i="4" s="1"/>
  <c r="T354" i="4" s="1"/>
  <c r="O345" i="4"/>
  <c r="W345" i="4"/>
  <c r="O785" i="4"/>
  <c r="P785" i="4"/>
  <c r="N785" i="4"/>
  <c r="M785" i="4"/>
  <c r="K785" i="4"/>
  <c r="W785" i="4"/>
  <c r="T785" i="4"/>
  <c r="T786" i="4" s="1"/>
  <c r="T787" i="4" s="1"/>
  <c r="N1269" i="4"/>
  <c r="P1269" i="4"/>
  <c r="O1269" i="4"/>
  <c r="M1269" i="4"/>
  <c r="K1269" i="4"/>
  <c r="W1269" i="4"/>
  <c r="K482" i="4"/>
  <c r="P482" i="4"/>
  <c r="O482" i="4"/>
  <c r="N482" i="4"/>
  <c r="M482" i="4"/>
  <c r="W482" i="4"/>
  <c r="N702" i="4"/>
  <c r="M702" i="4"/>
  <c r="K702" i="4"/>
  <c r="P702" i="4"/>
  <c r="O702" i="4"/>
  <c r="W702" i="4"/>
  <c r="N1098" i="4"/>
  <c r="M1098" i="4"/>
  <c r="L1098" i="4" s="1"/>
  <c r="K1098" i="4"/>
  <c r="P1098" i="4"/>
  <c r="O1098" i="4"/>
  <c r="W1098" i="4"/>
  <c r="E1339" i="4"/>
  <c r="E1251" i="4"/>
  <c r="E1295" i="4"/>
  <c r="E1163" i="4"/>
  <c r="E1119" i="4"/>
  <c r="E1207" i="4"/>
  <c r="E1075" i="4"/>
  <c r="E1031" i="4"/>
  <c r="E899" i="4"/>
  <c r="E987" i="4"/>
  <c r="E943" i="4"/>
  <c r="E811" i="4"/>
  <c r="E855" i="4"/>
  <c r="E723" i="4"/>
  <c r="E679" i="4"/>
  <c r="E767" i="4"/>
  <c r="E503" i="4"/>
  <c r="E459" i="4"/>
  <c r="E415" i="4"/>
  <c r="E547" i="4"/>
  <c r="E635" i="4"/>
  <c r="E371" i="4"/>
  <c r="E327" i="4"/>
  <c r="E283" i="4"/>
  <c r="E591" i="4"/>
  <c r="D1295" i="4"/>
  <c r="D1207" i="4"/>
  <c r="D1163" i="4"/>
  <c r="D1339" i="4"/>
  <c r="D1251" i="4"/>
  <c r="D1075" i="4"/>
  <c r="D1119" i="4"/>
  <c r="D899" i="4"/>
  <c r="D987" i="4"/>
  <c r="D943" i="4"/>
  <c r="D1031" i="4"/>
  <c r="D855" i="4"/>
  <c r="D811" i="4"/>
  <c r="D591" i="4"/>
  <c r="D723" i="4"/>
  <c r="D679" i="4"/>
  <c r="D635" i="4"/>
  <c r="D459" i="4"/>
  <c r="D415" i="4"/>
  <c r="D547" i="4"/>
  <c r="D371" i="4"/>
  <c r="D767" i="4"/>
  <c r="D327" i="4"/>
  <c r="D503" i="4"/>
  <c r="D283" i="4"/>
  <c r="I811" i="4"/>
  <c r="I1119" i="4"/>
  <c r="I416" i="4"/>
  <c r="I768" i="4"/>
  <c r="I1340" i="4"/>
  <c r="I580" i="4"/>
  <c r="I1064" i="4"/>
  <c r="I487" i="4"/>
  <c r="I795" i="4"/>
  <c r="I273" i="4"/>
  <c r="I1153" i="4"/>
  <c r="I1285" i="4"/>
  <c r="C1347" i="4"/>
  <c r="C1303" i="4"/>
  <c r="C1259" i="4"/>
  <c r="C1215" i="4"/>
  <c r="C1171" i="4"/>
  <c r="C1083" i="4"/>
  <c r="C1127" i="4"/>
  <c r="C995" i="4"/>
  <c r="C775" i="4"/>
  <c r="C951" i="4"/>
  <c r="C1039" i="4"/>
  <c r="C819" i="4"/>
  <c r="C863" i="4"/>
  <c r="C907" i="4"/>
  <c r="C643" i="4"/>
  <c r="C731" i="4"/>
  <c r="C379" i="4"/>
  <c r="C555" i="4"/>
  <c r="C599" i="4"/>
  <c r="C511" i="4"/>
  <c r="C467" i="4"/>
  <c r="C687" i="4"/>
  <c r="C423" i="4"/>
  <c r="C291" i="4"/>
  <c r="C335" i="4"/>
  <c r="H114" i="4"/>
  <c r="I379" i="4"/>
  <c r="I687" i="4"/>
  <c r="I1083" i="4"/>
  <c r="P567" i="4"/>
  <c r="O567" i="4"/>
  <c r="N567" i="4"/>
  <c r="M567" i="4"/>
  <c r="K567" i="4"/>
  <c r="W567" i="4"/>
  <c r="O1139" i="4"/>
  <c r="P1139" i="4"/>
  <c r="N1139" i="4"/>
  <c r="K1139" i="4"/>
  <c r="M1139" i="4"/>
  <c r="W1139" i="4"/>
  <c r="E1302" i="4"/>
  <c r="E1346" i="4"/>
  <c r="E1126" i="4"/>
  <c r="E1258" i="4"/>
  <c r="E1082" i="4"/>
  <c r="E1170" i="4"/>
  <c r="E1214" i="4"/>
  <c r="E1038" i="4"/>
  <c r="E994" i="4"/>
  <c r="E950" i="4"/>
  <c r="E862" i="4"/>
  <c r="E818" i="4"/>
  <c r="E730" i="4"/>
  <c r="E906" i="4"/>
  <c r="E774" i="4"/>
  <c r="E686" i="4"/>
  <c r="E466" i="4"/>
  <c r="E642" i="4"/>
  <c r="E598" i="4"/>
  <c r="E554" i="4"/>
  <c r="E510" i="4"/>
  <c r="E378" i="4"/>
  <c r="E334" i="4"/>
  <c r="E422" i="4"/>
  <c r="E290" i="4"/>
  <c r="I950" i="4"/>
  <c r="I1302" i="4"/>
  <c r="I450" i="4"/>
  <c r="I714" i="4"/>
  <c r="I1110" i="4"/>
  <c r="I853" i="4"/>
  <c r="I1205" i="4"/>
  <c r="N618" i="4"/>
  <c r="M618" i="4"/>
  <c r="P618" i="4"/>
  <c r="O618" i="4"/>
  <c r="K618" i="4"/>
  <c r="P926" i="4"/>
  <c r="O926" i="4"/>
  <c r="N926" i="4"/>
  <c r="M926" i="4"/>
  <c r="K926" i="4"/>
  <c r="P307" i="4"/>
  <c r="N307" i="4"/>
  <c r="M307" i="4"/>
  <c r="K307" i="4"/>
  <c r="O307" i="4"/>
  <c r="W307" i="4"/>
  <c r="M527" i="4"/>
  <c r="K527" i="4"/>
  <c r="P527" i="4"/>
  <c r="O527" i="4"/>
  <c r="N527" i="4"/>
  <c r="W527" i="4"/>
  <c r="M835" i="4"/>
  <c r="K835" i="4"/>
  <c r="P835" i="4"/>
  <c r="O835" i="4"/>
  <c r="N835" i="4"/>
  <c r="W835" i="4"/>
  <c r="O1319" i="4"/>
  <c r="M1319" i="4"/>
  <c r="P1319" i="4"/>
  <c r="N1319" i="4"/>
  <c r="K1319" i="4"/>
  <c r="W1319" i="4"/>
  <c r="I418" i="4"/>
  <c r="I902" i="4"/>
  <c r="I1254" i="4"/>
  <c r="K793" i="4"/>
  <c r="P793" i="4"/>
  <c r="O793" i="4"/>
  <c r="N793" i="4"/>
  <c r="M793" i="4"/>
  <c r="W793" i="4"/>
  <c r="M1321" i="4"/>
  <c r="P1321" i="4"/>
  <c r="K1321" i="4"/>
  <c r="O1321" i="4"/>
  <c r="N1321" i="4"/>
  <c r="W1321" i="4"/>
  <c r="AD356" i="6"/>
  <c r="AF355" i="6"/>
  <c r="P81" i="4"/>
  <c r="M566" i="4"/>
  <c r="K566" i="4"/>
  <c r="P566" i="4"/>
  <c r="O566" i="4"/>
  <c r="N566" i="4"/>
  <c r="W566" i="4"/>
  <c r="P1006" i="4"/>
  <c r="N1006" i="4"/>
  <c r="M1006" i="4"/>
  <c r="K1006" i="4"/>
  <c r="O1006" i="4"/>
  <c r="W1006" i="4"/>
  <c r="AH113" i="6"/>
  <c r="AI113" i="6"/>
  <c r="AJ113" i="6"/>
  <c r="AG113" i="6"/>
  <c r="AB130" i="5"/>
  <c r="AA130" i="5"/>
  <c r="Z130" i="5"/>
  <c r="Y130" i="5"/>
  <c r="E128" i="4"/>
  <c r="V128" i="4" s="1"/>
  <c r="V129" i="4" s="1"/>
  <c r="T1232" i="4" l="1"/>
  <c r="T1233" i="4" s="1"/>
  <c r="T1234" i="4" s="1"/>
  <c r="L702" i="4"/>
  <c r="L792" i="4"/>
  <c r="L1314" i="4"/>
  <c r="L1273" i="4"/>
  <c r="L837" i="4"/>
  <c r="L750" i="4"/>
  <c r="L1054" i="4"/>
  <c r="V130" i="4"/>
  <c r="V131" i="4" s="1"/>
  <c r="V132" i="4" s="1"/>
  <c r="V133" i="4" s="1"/>
  <c r="V134" i="4" s="1"/>
  <c r="V135" i="4" s="1"/>
  <c r="V136" i="4" s="1"/>
  <c r="V82" i="4"/>
  <c r="V83" i="4" s="1"/>
  <c r="R390" i="4"/>
  <c r="L963" i="4"/>
  <c r="L486" i="4"/>
  <c r="R1095" i="4"/>
  <c r="R1096" i="4" s="1"/>
  <c r="R1097" i="4" s="1"/>
  <c r="L1188" i="4"/>
  <c r="L1096" i="4"/>
  <c r="L566" i="4"/>
  <c r="L924" i="4"/>
  <c r="L970" i="4"/>
  <c r="L1275" i="4"/>
  <c r="T304" i="4"/>
  <c r="T305" i="4" s="1"/>
  <c r="T306" i="4" s="1"/>
  <c r="T307" i="4" s="1"/>
  <c r="T308" i="4" s="1"/>
  <c r="T309" i="4" s="1"/>
  <c r="T310" i="4" s="1"/>
  <c r="L791" i="4"/>
  <c r="L1234" i="4"/>
  <c r="L1013" i="4"/>
  <c r="L1278" i="4"/>
  <c r="L698" i="4"/>
  <c r="L1189" i="4"/>
  <c r="R1182" i="4"/>
  <c r="R1183" i="4" s="1"/>
  <c r="R1184" i="4" s="1"/>
  <c r="L964" i="4"/>
  <c r="H128" i="4"/>
  <c r="L1226" i="4"/>
  <c r="L1051" i="4"/>
  <c r="L786" i="4"/>
  <c r="T1051" i="4"/>
  <c r="T1052" i="4" s="1"/>
  <c r="T1053" i="4" s="1"/>
  <c r="T1054" i="4" s="1"/>
  <c r="T1055" i="4" s="1"/>
  <c r="T1056" i="4" s="1"/>
  <c r="T1057" i="4" s="1"/>
  <c r="T1058" i="4" s="1"/>
  <c r="L706" i="4"/>
  <c r="R522" i="4"/>
  <c r="R523" i="4" s="1"/>
  <c r="R524" i="4" s="1"/>
  <c r="R525" i="4" s="1"/>
  <c r="R526" i="4" s="1"/>
  <c r="R527" i="4" s="1"/>
  <c r="R528" i="4" s="1"/>
  <c r="R529" i="4" s="1"/>
  <c r="R530" i="4" s="1"/>
  <c r="L926" i="4"/>
  <c r="L441" i="4"/>
  <c r="L352" i="4"/>
  <c r="L395" i="4"/>
  <c r="R654" i="4"/>
  <c r="R655" i="4" s="1"/>
  <c r="R656" i="4" s="1"/>
  <c r="L1011" i="4"/>
  <c r="L922" i="4"/>
  <c r="L745" i="4"/>
  <c r="L1007" i="4"/>
  <c r="L658" i="4"/>
  <c r="L1052" i="4"/>
  <c r="L1143" i="4"/>
  <c r="L261" i="4"/>
  <c r="L1014" i="4"/>
  <c r="R434" i="4"/>
  <c r="R435" i="4" s="1"/>
  <c r="R436" i="4" s="1"/>
  <c r="R437" i="4" s="1"/>
  <c r="R438" i="4" s="1"/>
  <c r="R439" i="4" s="1"/>
  <c r="R440" i="4" s="1"/>
  <c r="R441" i="4" s="1"/>
  <c r="R442" i="4" s="1"/>
  <c r="L1144" i="4"/>
  <c r="AA250" i="5"/>
  <c r="AB250" i="5"/>
  <c r="Y250" i="5"/>
  <c r="Z250" i="5"/>
  <c r="L1272" i="4"/>
  <c r="L838" i="4"/>
  <c r="L1230" i="4"/>
  <c r="L259" i="4"/>
  <c r="L787" i="4"/>
  <c r="X251" i="5"/>
  <c r="V252" i="5"/>
  <c r="L351" i="4"/>
  <c r="L747" i="4"/>
  <c r="L347" i="4"/>
  <c r="L266" i="4"/>
  <c r="L1182" i="4"/>
  <c r="L1185" i="4"/>
  <c r="L439" i="4"/>
  <c r="R347" i="4"/>
  <c r="L304" i="4"/>
  <c r="L303" i="4"/>
  <c r="L354" i="4"/>
  <c r="T390" i="4"/>
  <c r="T391" i="4" s="1"/>
  <c r="T392" i="4" s="1"/>
  <c r="T393" i="4" s="1"/>
  <c r="T394" i="4" s="1"/>
  <c r="T395" i="4" s="1"/>
  <c r="T396" i="4" s="1"/>
  <c r="T397" i="4" s="1"/>
  <c r="T398" i="4" s="1"/>
  <c r="L396" i="4"/>
  <c r="L874" i="4"/>
  <c r="L573" i="4"/>
  <c r="L308" i="4"/>
  <c r="L789" i="4"/>
  <c r="R874" i="4"/>
  <c r="R875" i="4" s="1"/>
  <c r="R876" i="4" s="1"/>
  <c r="R877" i="4" s="1"/>
  <c r="R878" i="4" s="1"/>
  <c r="R879" i="4" s="1"/>
  <c r="R880" i="4" s="1"/>
  <c r="R881" i="4" s="1"/>
  <c r="R882" i="4" s="1"/>
  <c r="L616" i="4"/>
  <c r="L34" i="4"/>
  <c r="M34" i="4"/>
  <c r="N34" i="4" s="1"/>
  <c r="AA34" i="4" s="1"/>
  <c r="L131" i="4"/>
  <c r="M131" i="4" s="1"/>
  <c r="N131" i="4" s="1"/>
  <c r="AA131" i="4" s="1"/>
  <c r="H89" i="4"/>
  <c r="I89" i="4" s="1"/>
  <c r="AI324" i="6"/>
  <c r="AG324" i="6"/>
  <c r="AH324" i="6"/>
  <c r="AJ324" i="6"/>
  <c r="R701" i="4"/>
  <c r="R702" i="4" s="1"/>
  <c r="R703" i="4" s="1"/>
  <c r="R704" i="4" s="1"/>
  <c r="R705" i="4" s="1"/>
  <c r="R706" i="4" s="1"/>
  <c r="H41" i="4"/>
  <c r="I41" i="4" s="1"/>
  <c r="AD326" i="6"/>
  <c r="AF325" i="6"/>
  <c r="Z41" i="5"/>
  <c r="Y41" i="5"/>
  <c r="AB41" i="5"/>
  <c r="AA41" i="5"/>
  <c r="T1093" i="4"/>
  <c r="T1094" i="4" s="1"/>
  <c r="T1095" i="4" s="1"/>
  <c r="T1096" i="4" s="1"/>
  <c r="T1097" i="4" s="1"/>
  <c r="T1098" i="4" s="1"/>
  <c r="T1099" i="4" s="1"/>
  <c r="T1100" i="4" s="1"/>
  <c r="T1101" i="4" s="1"/>
  <c r="T1102" i="4" s="1"/>
  <c r="T1005" i="4"/>
  <c r="T1006" i="4" s="1"/>
  <c r="T1007" i="4" s="1"/>
  <c r="T1008" i="4" s="1"/>
  <c r="T1009" i="4" s="1"/>
  <c r="T1010" i="4" s="1"/>
  <c r="T1011" i="4" s="1"/>
  <c r="T1012" i="4" s="1"/>
  <c r="T1013" i="4" s="1"/>
  <c r="T1014" i="4" s="1"/>
  <c r="AJ114" i="6"/>
  <c r="AI114" i="6"/>
  <c r="AG114" i="6"/>
  <c r="AH114" i="6"/>
  <c r="R1269" i="4"/>
  <c r="R1270" i="4" s="1"/>
  <c r="R1271" i="4" s="1"/>
  <c r="R1272" i="4" s="1"/>
  <c r="R1273" i="4" s="1"/>
  <c r="R1274" i="4" s="1"/>
  <c r="R1275" i="4" s="1"/>
  <c r="R1276" i="4" s="1"/>
  <c r="R1277" i="4" s="1"/>
  <c r="R1278" i="4" s="1"/>
  <c r="L917" i="4"/>
  <c r="R917" i="4"/>
  <c r="R918" i="4" s="1"/>
  <c r="R919" i="4" s="1"/>
  <c r="R920" i="4" s="1"/>
  <c r="R921" i="4" s="1"/>
  <c r="R922" i="4" s="1"/>
  <c r="R923" i="4" s="1"/>
  <c r="R924" i="4" s="1"/>
  <c r="R925" i="4" s="1"/>
  <c r="R926" i="4" s="1"/>
  <c r="R613" i="4"/>
  <c r="R614" i="4" s="1"/>
  <c r="R615" i="4" s="1"/>
  <c r="R616" i="4" s="1"/>
  <c r="R617" i="4" s="1"/>
  <c r="R618" i="4" s="1"/>
  <c r="R257" i="4"/>
  <c r="R258" i="4" s="1"/>
  <c r="R259" i="4" s="1"/>
  <c r="R260" i="4" s="1"/>
  <c r="R261" i="4" s="1"/>
  <c r="R262" i="4" s="1"/>
  <c r="R263" i="4" s="1"/>
  <c r="R264" i="4" s="1"/>
  <c r="R265" i="4" s="1"/>
  <c r="R266" i="4" s="1"/>
  <c r="L37" i="4"/>
  <c r="M37" i="4" s="1"/>
  <c r="N37" i="4" s="1"/>
  <c r="AA37" i="4" s="1"/>
  <c r="AF385" i="6"/>
  <c r="AD386" i="6"/>
  <c r="AG475" i="6"/>
  <c r="AH475" i="6"/>
  <c r="AI475" i="6"/>
  <c r="AJ475" i="6"/>
  <c r="H87" i="4"/>
  <c r="I87" i="4" s="1"/>
  <c r="T565" i="4"/>
  <c r="T566" i="4" s="1"/>
  <c r="T567" i="4" s="1"/>
  <c r="T568" i="4" s="1"/>
  <c r="T569" i="4" s="1"/>
  <c r="T570" i="4" s="1"/>
  <c r="T571" i="4" s="1"/>
  <c r="T572" i="4" s="1"/>
  <c r="T573" i="4" s="1"/>
  <c r="T574" i="4" s="1"/>
  <c r="D1277" i="4"/>
  <c r="D1321" i="4"/>
  <c r="D1145" i="4"/>
  <c r="D1101" i="4"/>
  <c r="D1233" i="4"/>
  <c r="D1013" i="4"/>
  <c r="D1057" i="4"/>
  <c r="D1189" i="4"/>
  <c r="D969" i="4"/>
  <c r="D837" i="4"/>
  <c r="D925" i="4"/>
  <c r="D881" i="4"/>
  <c r="D793" i="4"/>
  <c r="D749" i="4"/>
  <c r="D705" i="4"/>
  <c r="D661" i="4"/>
  <c r="D573" i="4"/>
  <c r="D617" i="4"/>
  <c r="D529" i="4"/>
  <c r="D485" i="4"/>
  <c r="D353" i="4"/>
  <c r="D309" i="4"/>
  <c r="D397" i="4"/>
  <c r="D441" i="4"/>
  <c r="D265" i="4"/>
  <c r="L88" i="4"/>
  <c r="M88" i="4" s="1"/>
  <c r="N88" i="4" s="1"/>
  <c r="AA88" i="4" s="1"/>
  <c r="L785" i="4"/>
  <c r="L1006" i="4"/>
  <c r="L348" i="4"/>
  <c r="H129" i="4"/>
  <c r="I129" i="4" s="1"/>
  <c r="L790" i="4"/>
  <c r="L301" i="4"/>
  <c r="L135" i="4"/>
  <c r="M135" i="4" s="1"/>
  <c r="N135" i="4" s="1"/>
  <c r="AA135" i="4" s="1"/>
  <c r="H84" i="4"/>
  <c r="I84" i="4" s="1"/>
  <c r="T1269" i="4"/>
  <c r="T1270" i="4" s="1"/>
  <c r="T1271" i="4" s="1"/>
  <c r="T1272" i="4" s="1"/>
  <c r="T1273" i="4" s="1"/>
  <c r="T1274" i="4" s="1"/>
  <c r="T1275" i="4" s="1"/>
  <c r="T1276" i="4" s="1"/>
  <c r="T1277" i="4" s="1"/>
  <c r="T1278" i="4" s="1"/>
  <c r="T1314" i="4"/>
  <c r="T1315" i="4" s="1"/>
  <c r="T1316" i="4" s="1"/>
  <c r="T1317" i="4" s="1"/>
  <c r="T1318" i="4" s="1"/>
  <c r="T1319" i="4" s="1"/>
  <c r="T1320" i="4" s="1"/>
  <c r="T1321" i="4" s="1"/>
  <c r="T1322" i="4" s="1"/>
  <c r="T257" i="4"/>
  <c r="T258" i="4" s="1"/>
  <c r="T259" i="4" s="1"/>
  <c r="T260" i="4" s="1"/>
  <c r="T261" i="4" s="1"/>
  <c r="T262" i="4" s="1"/>
  <c r="T263" i="4" s="1"/>
  <c r="T264" i="4" s="1"/>
  <c r="T265" i="4" s="1"/>
  <c r="T266" i="4" s="1"/>
  <c r="L1009" i="4"/>
  <c r="R1185" i="4"/>
  <c r="R1186" i="4" s="1"/>
  <c r="R1187" i="4" s="1"/>
  <c r="R1188" i="4" s="1"/>
  <c r="R1189" i="4" s="1"/>
  <c r="R1190" i="4" s="1"/>
  <c r="L33" i="4"/>
  <c r="M33" i="4" s="1"/>
  <c r="N33" i="4" s="1"/>
  <c r="AA33" i="4" s="1"/>
  <c r="D1316" i="4"/>
  <c r="D1140" i="4"/>
  <c r="D1096" i="4"/>
  <c r="D1272" i="4"/>
  <c r="D1184" i="4"/>
  <c r="D1008" i="4"/>
  <c r="D1052" i="4"/>
  <c r="D964" i="4"/>
  <c r="D1228" i="4"/>
  <c r="D876" i="4"/>
  <c r="D920" i="4"/>
  <c r="D788" i="4"/>
  <c r="D832" i="4"/>
  <c r="D700" i="4"/>
  <c r="D656" i="4"/>
  <c r="D744" i="4"/>
  <c r="D568" i="4"/>
  <c r="D524" i="4"/>
  <c r="D612" i="4"/>
  <c r="D436" i="4"/>
  <c r="D348" i="4"/>
  <c r="D304" i="4"/>
  <c r="D480" i="4"/>
  <c r="D260" i="4"/>
  <c r="D392" i="4"/>
  <c r="L83" i="4"/>
  <c r="M83" i="4" s="1"/>
  <c r="N83" i="4" s="1"/>
  <c r="AA83" i="4" s="1"/>
  <c r="R1098" i="4"/>
  <c r="R1099" i="4" s="1"/>
  <c r="R1100" i="4" s="1"/>
  <c r="R1101" i="4" s="1"/>
  <c r="R1102" i="4" s="1"/>
  <c r="T1181" i="4"/>
  <c r="T1182" i="4" s="1"/>
  <c r="T1183" i="4" s="1"/>
  <c r="T1184" i="4" s="1"/>
  <c r="T1185" i="4" s="1"/>
  <c r="T1186" i="4" s="1"/>
  <c r="T1187" i="4" s="1"/>
  <c r="T1188" i="4" s="1"/>
  <c r="T1189" i="4" s="1"/>
  <c r="T1190" i="4" s="1"/>
  <c r="T661" i="4"/>
  <c r="T662" i="4" s="1"/>
  <c r="M38" i="4"/>
  <c r="N38" i="4" s="1"/>
  <c r="AA38" i="4" s="1"/>
  <c r="L38" i="4"/>
  <c r="T830" i="4"/>
  <c r="T831" i="4" s="1"/>
  <c r="T832" i="4" s="1"/>
  <c r="T833" i="4" s="1"/>
  <c r="T834" i="4" s="1"/>
  <c r="T835" i="4" s="1"/>
  <c r="T836" i="4" s="1"/>
  <c r="T837" i="4" s="1"/>
  <c r="T838" i="4" s="1"/>
  <c r="T522" i="4"/>
  <c r="T523" i="4" s="1"/>
  <c r="T524" i="4" s="1"/>
  <c r="T525" i="4" s="1"/>
  <c r="T526" i="4" s="1"/>
  <c r="T527" i="4" s="1"/>
  <c r="T528" i="4" s="1"/>
  <c r="T529" i="4" s="1"/>
  <c r="T530" i="4" s="1"/>
  <c r="AG504" i="6"/>
  <c r="AH504" i="6"/>
  <c r="AJ504" i="6"/>
  <c r="AI504" i="6"/>
  <c r="AJ565" i="6"/>
  <c r="AI565" i="6"/>
  <c r="AG565" i="6"/>
  <c r="AH565" i="6"/>
  <c r="AB131" i="5"/>
  <c r="Z131" i="5"/>
  <c r="AA131" i="5"/>
  <c r="Y131" i="5"/>
  <c r="L705" i="4"/>
  <c r="L530" i="4"/>
  <c r="R1138" i="4"/>
  <c r="R1139" i="4" s="1"/>
  <c r="R1140" i="4" s="1"/>
  <c r="R1141" i="4" s="1"/>
  <c r="R1142" i="4" s="1"/>
  <c r="R1143" i="4" s="1"/>
  <c r="R1144" i="4" s="1"/>
  <c r="R1145" i="4" s="1"/>
  <c r="R1146" i="4" s="1"/>
  <c r="L744" i="4"/>
  <c r="AA102" i="5"/>
  <c r="Z102" i="5"/>
  <c r="Y102" i="5"/>
  <c r="AB102" i="5"/>
  <c r="AD688" i="6"/>
  <c r="AF687" i="6"/>
  <c r="L1231" i="4"/>
  <c r="L434" i="4"/>
  <c r="L1271" i="4"/>
  <c r="L1181" i="4"/>
  <c r="V84" i="4"/>
  <c r="V85" i="4" s="1"/>
  <c r="V86" i="4" s="1"/>
  <c r="V87" i="4" s="1"/>
  <c r="V88" i="4" s="1"/>
  <c r="V89" i="4" s="1"/>
  <c r="L569" i="4"/>
  <c r="L1005" i="4"/>
  <c r="L703" i="4"/>
  <c r="L662" i="4"/>
  <c r="L1277" i="4"/>
  <c r="L1055" i="4"/>
  <c r="L659" i="4"/>
  <c r="L1229" i="4"/>
  <c r="L398" i="4"/>
  <c r="L655" i="4"/>
  <c r="L262" i="4"/>
  <c r="AF505" i="6"/>
  <c r="AD506" i="6"/>
  <c r="L1145" i="4"/>
  <c r="T961" i="4"/>
  <c r="T962" i="4" s="1"/>
  <c r="T963" i="4" s="1"/>
  <c r="T964" i="4" s="1"/>
  <c r="T965" i="4" s="1"/>
  <c r="T966" i="4" s="1"/>
  <c r="T967" i="4" s="1"/>
  <c r="T968" i="4" s="1"/>
  <c r="T969" i="4" s="1"/>
  <c r="T970" i="4" s="1"/>
  <c r="AF566" i="6"/>
  <c r="AD567" i="6"/>
  <c r="T1138" i="4"/>
  <c r="T1139" i="4" s="1"/>
  <c r="T1140" i="4" s="1"/>
  <c r="T1141" i="4" s="1"/>
  <c r="T1142" i="4" s="1"/>
  <c r="T1143" i="4" s="1"/>
  <c r="T1144" i="4" s="1"/>
  <c r="T1145" i="4" s="1"/>
  <c r="T1146" i="4" s="1"/>
  <c r="E72" i="4"/>
  <c r="L1318" i="4"/>
  <c r="D1269" i="4"/>
  <c r="D1093" i="4"/>
  <c r="D1049" i="4"/>
  <c r="D1313" i="4"/>
  <c r="D1181" i="4"/>
  <c r="D961" i="4"/>
  <c r="D1137" i="4"/>
  <c r="D1225" i="4"/>
  <c r="D1005" i="4"/>
  <c r="D873" i="4"/>
  <c r="D785" i="4"/>
  <c r="D917" i="4"/>
  <c r="D697" i="4"/>
  <c r="D829" i="4"/>
  <c r="D741" i="4"/>
  <c r="D609" i="4"/>
  <c r="D565" i="4"/>
  <c r="D653" i="4"/>
  <c r="D521" i="4"/>
  <c r="D477" i="4"/>
  <c r="D345" i="4"/>
  <c r="D433" i="4"/>
  <c r="D301" i="4"/>
  <c r="D257" i="4"/>
  <c r="D389" i="4"/>
  <c r="L80" i="4"/>
  <c r="L1227" i="4"/>
  <c r="L389" i="4"/>
  <c r="L40" i="4"/>
  <c r="M40" i="4" s="1"/>
  <c r="N40" i="4" s="1"/>
  <c r="AA40" i="4" s="1"/>
  <c r="AF115" i="6"/>
  <c r="AD116" i="6"/>
  <c r="R1228" i="4"/>
  <c r="R1229" i="4" s="1"/>
  <c r="R1230" i="4" s="1"/>
  <c r="R1231" i="4" s="1"/>
  <c r="R1232" i="4" s="1"/>
  <c r="R1233" i="4" s="1"/>
  <c r="R1234" i="4" s="1"/>
  <c r="L477" i="4"/>
  <c r="L876" i="4"/>
  <c r="L962" i="4"/>
  <c r="L1058" i="4"/>
  <c r="AF266" i="6"/>
  <c r="AD267" i="6"/>
  <c r="L391" i="4"/>
  <c r="AI745" i="6"/>
  <c r="AH745" i="6"/>
  <c r="AG745" i="6"/>
  <c r="AJ745" i="6"/>
  <c r="AF295" i="6"/>
  <c r="AD296" i="6"/>
  <c r="R391" i="4"/>
  <c r="R392" i="4" s="1"/>
  <c r="R393" i="4" s="1"/>
  <c r="R394" i="4" s="1"/>
  <c r="R395" i="4" s="1"/>
  <c r="R396" i="4" s="1"/>
  <c r="R397" i="4" s="1"/>
  <c r="R398" i="4" s="1"/>
  <c r="L306" i="4"/>
  <c r="T873" i="4"/>
  <c r="T874" i="4" s="1"/>
  <c r="T875" i="4" s="1"/>
  <c r="T876" i="4" s="1"/>
  <c r="T877" i="4" s="1"/>
  <c r="T878" i="4" s="1"/>
  <c r="T879" i="4" s="1"/>
  <c r="T880" i="4" s="1"/>
  <c r="T881" i="4" s="1"/>
  <c r="T882" i="4" s="1"/>
  <c r="AF176" i="6"/>
  <c r="AD177" i="6"/>
  <c r="L618" i="4"/>
  <c r="T788" i="4"/>
  <c r="T789" i="4" s="1"/>
  <c r="T790" i="4" s="1"/>
  <c r="T791" i="4" s="1"/>
  <c r="T792" i="4" s="1"/>
  <c r="T793" i="4" s="1"/>
  <c r="T794" i="4" s="1"/>
  <c r="L258" i="4"/>
  <c r="T917" i="4"/>
  <c r="T918" i="4" s="1"/>
  <c r="T919" i="4" s="1"/>
  <c r="T920" i="4" s="1"/>
  <c r="T921" i="4" s="1"/>
  <c r="T922" i="4" s="1"/>
  <c r="T923" i="4" s="1"/>
  <c r="T924" i="4" s="1"/>
  <c r="T925" i="4" s="1"/>
  <c r="T926" i="4" s="1"/>
  <c r="L522" i="4"/>
  <c r="L1101" i="4"/>
  <c r="L879" i="4"/>
  <c r="R742" i="4"/>
  <c r="R743" i="4" s="1"/>
  <c r="R744" i="4" s="1"/>
  <c r="R745" i="4" s="1"/>
  <c r="R746" i="4" s="1"/>
  <c r="R747" i="4" s="1"/>
  <c r="R748" i="4" s="1"/>
  <c r="R749" i="4" s="1"/>
  <c r="R750" i="4" s="1"/>
  <c r="L880" i="4"/>
  <c r="I32" i="4"/>
  <c r="X222" i="5"/>
  <c r="V223" i="5"/>
  <c r="L346" i="4"/>
  <c r="L617" i="4"/>
  <c r="L570" i="4"/>
  <c r="L925" i="4"/>
  <c r="AH265" i="6"/>
  <c r="AG265" i="6"/>
  <c r="AJ265" i="6"/>
  <c r="AI265" i="6"/>
  <c r="I36" i="4"/>
  <c r="L614" i="4"/>
  <c r="L565" i="4"/>
  <c r="L704" i="4"/>
  <c r="I81" i="4"/>
  <c r="AF146" i="6"/>
  <c r="AD147" i="6"/>
  <c r="L485" i="4"/>
  <c r="L743" i="4"/>
  <c r="AF746" i="6"/>
  <c r="AD747" i="6"/>
  <c r="L438" i="4"/>
  <c r="AD656" i="6"/>
  <c r="AF655" i="6"/>
  <c r="L1138" i="4"/>
  <c r="L571" i="4"/>
  <c r="E120" i="4"/>
  <c r="L302" i="4"/>
  <c r="AJ294" i="6"/>
  <c r="AI294" i="6"/>
  <c r="AH294" i="6"/>
  <c r="AG294" i="6"/>
  <c r="L1233" i="4"/>
  <c r="L923" i="4"/>
  <c r="V164" i="5"/>
  <c r="X163" i="5"/>
  <c r="AH175" i="6"/>
  <c r="AG175" i="6"/>
  <c r="AI175" i="6"/>
  <c r="AJ175" i="6"/>
  <c r="AD596" i="6"/>
  <c r="AF595" i="6"/>
  <c r="AH355" i="6"/>
  <c r="AG355" i="6"/>
  <c r="AI355" i="6"/>
  <c r="AJ355" i="6"/>
  <c r="L1321" i="4"/>
  <c r="L482" i="4"/>
  <c r="L788" i="4"/>
  <c r="L741" i="4"/>
  <c r="Y221" i="5"/>
  <c r="AA221" i="5"/>
  <c r="AB221" i="5"/>
  <c r="Z221" i="5"/>
  <c r="L310" i="4"/>
  <c r="L1313" i="4"/>
  <c r="L1099" i="4"/>
  <c r="AJ715" i="6"/>
  <c r="AI715" i="6"/>
  <c r="AH715" i="6"/>
  <c r="AG715" i="6"/>
  <c r="R566" i="4"/>
  <c r="R567" i="4" s="1"/>
  <c r="R568" i="4" s="1"/>
  <c r="R569" i="4" s="1"/>
  <c r="R570" i="4" s="1"/>
  <c r="R571" i="4" s="1"/>
  <c r="R572" i="4" s="1"/>
  <c r="R573" i="4" s="1"/>
  <c r="R574" i="4" s="1"/>
  <c r="L305" i="4"/>
  <c r="L612" i="4"/>
  <c r="AJ54" i="6"/>
  <c r="AI54" i="6"/>
  <c r="AH54" i="6"/>
  <c r="AG54" i="6"/>
  <c r="I86" i="4"/>
  <c r="AH145" i="6"/>
  <c r="AG145" i="6"/>
  <c r="AJ145" i="6"/>
  <c r="AI145" i="6"/>
  <c r="L1183" i="4"/>
  <c r="L834" i="4"/>
  <c r="I85" i="4"/>
  <c r="L568" i="4"/>
  <c r="AJ654" i="6"/>
  <c r="AI654" i="6"/>
  <c r="AH654" i="6"/>
  <c r="AG654" i="6"/>
  <c r="AF446" i="6"/>
  <c r="AD447" i="6"/>
  <c r="L353" i="4"/>
  <c r="L1102" i="4"/>
  <c r="L350" i="4"/>
  <c r="H39" i="4"/>
  <c r="H72" i="4" s="1"/>
  <c r="L1050" i="4"/>
  <c r="L654" i="4"/>
  <c r="L309" i="4"/>
  <c r="L961" i="4"/>
  <c r="L528" i="4"/>
  <c r="L832" i="4"/>
  <c r="L746" i="4"/>
  <c r="L1137" i="4"/>
  <c r="T433" i="4"/>
  <c r="T434" i="4" s="1"/>
  <c r="T435" i="4" s="1"/>
  <c r="T436" i="4" s="1"/>
  <c r="T437" i="4" s="1"/>
  <c r="T438" i="4" s="1"/>
  <c r="T439" i="4" s="1"/>
  <c r="T440" i="4" s="1"/>
  <c r="T441" i="4" s="1"/>
  <c r="T442" i="4" s="1"/>
  <c r="L433" i="4"/>
  <c r="AA162" i="5"/>
  <c r="Z162" i="5"/>
  <c r="Y162" i="5"/>
  <c r="AB162" i="5"/>
  <c r="AH594" i="6"/>
  <c r="AG594" i="6"/>
  <c r="AI594" i="6"/>
  <c r="AJ594" i="6"/>
  <c r="M58" i="1"/>
  <c r="C78" i="1"/>
  <c r="R1006" i="4"/>
  <c r="R1007" i="4" s="1"/>
  <c r="R1008" i="4" s="1"/>
  <c r="R1009" i="4" s="1"/>
  <c r="R1010" i="4" s="1"/>
  <c r="R1011" i="4" s="1"/>
  <c r="R1012" i="4" s="1"/>
  <c r="R1013" i="4" s="1"/>
  <c r="R1014" i="4" s="1"/>
  <c r="L1139" i="4"/>
  <c r="R785" i="4"/>
  <c r="R786" i="4" s="1"/>
  <c r="R787" i="4" s="1"/>
  <c r="R788" i="4" s="1"/>
  <c r="R789" i="4" s="1"/>
  <c r="R790" i="4" s="1"/>
  <c r="R791" i="4" s="1"/>
  <c r="R792" i="4" s="1"/>
  <c r="R793" i="4" s="1"/>
  <c r="R794" i="4" s="1"/>
  <c r="T479" i="4"/>
  <c r="T480" i="4" s="1"/>
  <c r="T481" i="4" s="1"/>
  <c r="T482" i="4" s="1"/>
  <c r="T483" i="4" s="1"/>
  <c r="T484" i="4" s="1"/>
  <c r="T485" i="4" s="1"/>
  <c r="T486" i="4" s="1"/>
  <c r="AI625" i="6"/>
  <c r="AJ625" i="6"/>
  <c r="AH625" i="6"/>
  <c r="AG625" i="6"/>
  <c r="L921" i="4"/>
  <c r="L481" i="4"/>
  <c r="V283" i="5"/>
  <c r="X282" i="5"/>
  <c r="L479" i="4"/>
  <c r="L393" i="4"/>
  <c r="L1095" i="4"/>
  <c r="AD717" i="6"/>
  <c r="AF716" i="6"/>
  <c r="I82" i="4"/>
  <c r="L609" i="4"/>
  <c r="L1320" i="4"/>
  <c r="L1317" i="4"/>
  <c r="L965" i="4"/>
  <c r="L700" i="4"/>
  <c r="X72" i="5"/>
  <c r="V73" i="5"/>
  <c r="AF55" i="6"/>
  <c r="AD56" i="6"/>
  <c r="L1049" i="4"/>
  <c r="AF534" i="6"/>
  <c r="AD535" i="6"/>
  <c r="L1276" i="4"/>
  <c r="L660" i="4"/>
  <c r="AJ445" i="6"/>
  <c r="AH445" i="6"/>
  <c r="AG445" i="6"/>
  <c r="AI445" i="6"/>
  <c r="L1053" i="4"/>
  <c r="L878" i="4"/>
  <c r="L920" i="4"/>
  <c r="AJ84" i="6"/>
  <c r="AI84" i="6"/>
  <c r="AH84" i="6"/>
  <c r="AG84" i="6"/>
  <c r="L1012" i="4"/>
  <c r="L484" i="4"/>
  <c r="H133" i="4"/>
  <c r="I133" i="4" s="1"/>
  <c r="L794" i="4"/>
  <c r="AD357" i="6"/>
  <c r="AF356" i="6"/>
  <c r="E168" i="4"/>
  <c r="I128" i="4"/>
  <c r="L1187" i="4"/>
  <c r="R480" i="4"/>
  <c r="R481" i="4" s="1"/>
  <c r="R482" i="4" s="1"/>
  <c r="R483" i="4" s="1"/>
  <c r="R484" i="4" s="1"/>
  <c r="R485" i="4" s="1"/>
  <c r="R486" i="4" s="1"/>
  <c r="L257" i="4"/>
  <c r="M134" i="4"/>
  <c r="N134" i="4" s="1"/>
  <c r="AA134" i="4" s="1"/>
  <c r="L134" i="4"/>
  <c r="AF626" i="6"/>
  <c r="AD627" i="6"/>
  <c r="L349" i="4"/>
  <c r="AB281" i="5"/>
  <c r="Z281" i="5"/>
  <c r="Y281" i="5"/>
  <c r="AA281" i="5"/>
  <c r="L613" i="4"/>
  <c r="L919" i="4"/>
  <c r="V59" i="3"/>
  <c r="AG19" i="3"/>
  <c r="AG20" i="3" s="1"/>
  <c r="AG21" i="3" s="1"/>
  <c r="AG22" i="3" s="1"/>
  <c r="AG23" i="3" s="1"/>
  <c r="AG24" i="3" s="1"/>
  <c r="AG25" i="3" s="1"/>
  <c r="AG26" i="3" s="1"/>
  <c r="AG27" i="3" s="1"/>
  <c r="AG28" i="3" s="1"/>
  <c r="L1184" i="4"/>
  <c r="L524" i="4"/>
  <c r="L661" i="4"/>
  <c r="L836" i="4"/>
  <c r="L264" i="4"/>
  <c r="Y71" i="5"/>
  <c r="Z71" i="5"/>
  <c r="AB71" i="5"/>
  <c r="AA71" i="5"/>
  <c r="L699" i="4"/>
  <c r="L1094" i="4"/>
  <c r="L1190" i="4"/>
  <c r="R1050" i="4"/>
  <c r="R1051" i="4" s="1"/>
  <c r="R1052" i="4" s="1"/>
  <c r="R1053" i="4" s="1"/>
  <c r="R1054" i="4" s="1"/>
  <c r="R1055" i="4" s="1"/>
  <c r="R1056" i="4" s="1"/>
  <c r="R1057" i="4" s="1"/>
  <c r="R1058" i="4" s="1"/>
  <c r="AG533" i="6"/>
  <c r="AI533" i="6"/>
  <c r="AJ533" i="6"/>
  <c r="AH533" i="6"/>
  <c r="L480" i="4"/>
  <c r="V34" i="4"/>
  <c r="V35" i="4" s="1"/>
  <c r="V36" i="4" s="1"/>
  <c r="V37" i="4" s="1"/>
  <c r="V38" i="4" s="1"/>
  <c r="V39" i="4" s="1"/>
  <c r="V40" i="4" s="1"/>
  <c r="V41" i="4" s="1"/>
  <c r="L1315" i="4"/>
  <c r="L521" i="4"/>
  <c r="L968" i="4"/>
  <c r="L1008" i="4"/>
  <c r="L436" i="4"/>
  <c r="L574" i="4"/>
  <c r="H120" i="4"/>
  <c r="L136" i="4"/>
  <c r="M136" i="4" s="1"/>
  <c r="N136" i="4" s="1"/>
  <c r="AA136" i="4" s="1"/>
  <c r="AF85" i="6"/>
  <c r="AD86" i="6"/>
  <c r="L478" i="4"/>
  <c r="AG236" i="6"/>
  <c r="AJ236" i="6"/>
  <c r="AI236" i="6"/>
  <c r="AH236" i="6"/>
  <c r="V194" i="5"/>
  <c r="X193" i="5"/>
  <c r="L701" i="4"/>
  <c r="L1141" i="4"/>
  <c r="L525" i="4"/>
  <c r="M59" i="1"/>
  <c r="C79" i="1"/>
  <c r="T742" i="4"/>
  <c r="T743" i="4" s="1"/>
  <c r="T744" i="4" s="1"/>
  <c r="T745" i="4" s="1"/>
  <c r="T746" i="4" s="1"/>
  <c r="T747" i="4" s="1"/>
  <c r="T748" i="4" s="1"/>
  <c r="T749" i="4" s="1"/>
  <c r="T750" i="4" s="1"/>
  <c r="L1100" i="4"/>
  <c r="L793" i="4"/>
  <c r="L1319" i="4"/>
  <c r="L527" i="4"/>
  <c r="L345" i="4"/>
  <c r="L742" i="4"/>
  <c r="L35" i="4"/>
  <c r="M35" i="4"/>
  <c r="N35" i="4" s="1"/>
  <c r="AA35" i="4" s="1"/>
  <c r="L1225" i="4"/>
  <c r="L572" i="4"/>
  <c r="L1056" i="4"/>
  <c r="L877" i="4"/>
  <c r="L265" i="4"/>
  <c r="L1322" i="4"/>
  <c r="L442" i="4"/>
  <c r="AJ206" i="6"/>
  <c r="AI206" i="6"/>
  <c r="AH206" i="6"/>
  <c r="AG206" i="6"/>
  <c r="L1093" i="4"/>
  <c r="R301" i="4"/>
  <c r="R302" i="4" s="1"/>
  <c r="R303" i="4" s="1"/>
  <c r="R304" i="4" s="1"/>
  <c r="R305" i="4" s="1"/>
  <c r="R306" i="4" s="1"/>
  <c r="R307" i="4" s="1"/>
  <c r="R308" i="4" s="1"/>
  <c r="R309" i="4" s="1"/>
  <c r="R310" i="4" s="1"/>
  <c r="W59" i="3"/>
  <c r="AL19" i="3"/>
  <c r="AL59" i="3" s="1"/>
  <c r="X19" i="3"/>
  <c r="AE19" i="3"/>
  <c r="L831" i="4"/>
  <c r="L1010" i="4"/>
  <c r="R1314" i="4"/>
  <c r="R1315" i="4" s="1"/>
  <c r="R1316" i="4" s="1"/>
  <c r="R1317" i="4" s="1"/>
  <c r="R1318" i="4" s="1"/>
  <c r="R1319" i="4" s="1"/>
  <c r="R1320" i="4" s="1"/>
  <c r="R1321" i="4" s="1"/>
  <c r="R1322" i="4" s="1"/>
  <c r="L697" i="4"/>
  <c r="L875" i="4"/>
  <c r="L1232" i="4"/>
  <c r="L610" i="4"/>
  <c r="L529" i="4"/>
  <c r="L397" i="4"/>
  <c r="L653" i="4"/>
  <c r="L657" i="4"/>
  <c r="L435" i="4"/>
  <c r="L829" i="4"/>
  <c r="L748" i="4"/>
  <c r="AI416" i="6"/>
  <c r="AH416" i="6"/>
  <c r="AG416" i="6"/>
  <c r="AJ416" i="6"/>
  <c r="L749" i="4"/>
  <c r="L967" i="4"/>
  <c r="L1146" i="4"/>
  <c r="L1142" i="4"/>
  <c r="L656" i="4"/>
  <c r="L918" i="4"/>
  <c r="L611" i="4"/>
  <c r="H130" i="4"/>
  <c r="I130" i="4" s="1"/>
  <c r="L1274" i="4"/>
  <c r="L873" i="4"/>
  <c r="AF237" i="6"/>
  <c r="AD238" i="6"/>
  <c r="AA192" i="5"/>
  <c r="Z192" i="5"/>
  <c r="Y192" i="5"/>
  <c r="AB192" i="5"/>
  <c r="AJ686" i="6"/>
  <c r="AI686" i="6"/>
  <c r="AH686" i="6"/>
  <c r="AG686" i="6"/>
  <c r="L307" i="4"/>
  <c r="L835" i="4"/>
  <c r="L567" i="4"/>
  <c r="L1269" i="4"/>
  <c r="R348" i="4"/>
  <c r="R349" i="4" s="1"/>
  <c r="R350" i="4" s="1"/>
  <c r="R351" i="4" s="1"/>
  <c r="R352" i="4" s="1"/>
  <c r="R353" i="4" s="1"/>
  <c r="R354" i="4" s="1"/>
  <c r="L1057" i="4"/>
  <c r="L263" i="4"/>
  <c r="L523" i="4"/>
  <c r="L1186" i="4"/>
  <c r="L260" i="4"/>
  <c r="L1316" i="4"/>
  <c r="AD208" i="6"/>
  <c r="AF207" i="6"/>
  <c r="X42" i="5"/>
  <c r="V43" i="5"/>
  <c r="L440" i="4"/>
  <c r="L437" i="4"/>
  <c r="L1270" i="4"/>
  <c r="L969" i="4"/>
  <c r="L882" i="4"/>
  <c r="T697" i="4"/>
  <c r="T698" i="4" s="1"/>
  <c r="T699" i="4" s="1"/>
  <c r="T700" i="4" s="1"/>
  <c r="T701" i="4" s="1"/>
  <c r="T702" i="4" s="1"/>
  <c r="T703" i="4" s="1"/>
  <c r="T704" i="4" s="1"/>
  <c r="T705" i="4" s="1"/>
  <c r="T706" i="4" s="1"/>
  <c r="L830" i="4"/>
  <c r="L615" i="4"/>
  <c r="L526" i="4"/>
  <c r="T612" i="4"/>
  <c r="T613" i="4" s="1"/>
  <c r="T614" i="4" s="1"/>
  <c r="T615" i="4" s="1"/>
  <c r="T616" i="4" s="1"/>
  <c r="T617" i="4" s="1"/>
  <c r="T618" i="4" s="1"/>
  <c r="L1140" i="4"/>
  <c r="AI384" i="6"/>
  <c r="AG384" i="6"/>
  <c r="AH384" i="6"/>
  <c r="AJ384" i="6"/>
  <c r="L966" i="4"/>
  <c r="L833" i="4"/>
  <c r="AD477" i="6"/>
  <c r="AF476" i="6"/>
  <c r="L390" i="4"/>
  <c r="I132" i="4"/>
  <c r="R657" i="4"/>
  <c r="R658" i="4" s="1"/>
  <c r="R659" i="4" s="1"/>
  <c r="R660" i="4" s="1"/>
  <c r="R661" i="4" s="1"/>
  <c r="R662" i="4" s="1"/>
  <c r="L1228" i="4"/>
  <c r="L881" i="4"/>
  <c r="R830" i="4"/>
  <c r="R831" i="4" s="1"/>
  <c r="R832" i="4" s="1"/>
  <c r="R833" i="4" s="1"/>
  <c r="R834" i="4" s="1"/>
  <c r="R835" i="4" s="1"/>
  <c r="R836" i="4" s="1"/>
  <c r="R837" i="4" s="1"/>
  <c r="R838" i="4" s="1"/>
  <c r="AF417" i="6"/>
  <c r="AD418" i="6"/>
  <c r="L483" i="4"/>
  <c r="L394" i="4"/>
  <c r="R962" i="4"/>
  <c r="R963" i="4" s="1"/>
  <c r="R964" i="4" s="1"/>
  <c r="R965" i="4" s="1"/>
  <c r="R966" i="4" s="1"/>
  <c r="R967" i="4" s="1"/>
  <c r="R968" i="4" s="1"/>
  <c r="R969" i="4" s="1"/>
  <c r="R970" i="4" s="1"/>
  <c r="X132" i="5"/>
  <c r="V133" i="5"/>
  <c r="L1097" i="4"/>
  <c r="V104" i="5"/>
  <c r="X103" i="5"/>
  <c r="L392" i="4"/>
  <c r="I39" i="4" l="1"/>
  <c r="X252" i="5"/>
  <c r="V253" i="5"/>
  <c r="Y251" i="5"/>
  <c r="AB251" i="5"/>
  <c r="AA251" i="5"/>
  <c r="Z251" i="5"/>
  <c r="H168" i="4"/>
  <c r="L129" i="4"/>
  <c r="M129" i="4" s="1"/>
  <c r="N129" i="4" s="1"/>
  <c r="AA129" i="4" s="1"/>
  <c r="D1322" i="4"/>
  <c r="D1234" i="4"/>
  <c r="D1190" i="4"/>
  <c r="D1278" i="4"/>
  <c r="D1058" i="4"/>
  <c r="D1146" i="4"/>
  <c r="D970" i="4"/>
  <c r="D1102" i="4"/>
  <c r="D926" i="4"/>
  <c r="D1014" i="4"/>
  <c r="D750" i="4"/>
  <c r="D882" i="4"/>
  <c r="D794" i="4"/>
  <c r="D838" i="4"/>
  <c r="D618" i="4"/>
  <c r="D706" i="4"/>
  <c r="D662" i="4"/>
  <c r="D530" i="4"/>
  <c r="D486" i="4"/>
  <c r="D442" i="4"/>
  <c r="D266" i="4"/>
  <c r="D574" i="4"/>
  <c r="D398" i="4"/>
  <c r="D354" i="4"/>
  <c r="D310" i="4"/>
  <c r="L89" i="4"/>
  <c r="M89" i="4" s="1"/>
  <c r="N89" i="4" s="1"/>
  <c r="AA89" i="4" s="1"/>
  <c r="L133" i="4"/>
  <c r="M133" i="4" s="1"/>
  <c r="N133" i="4" s="1"/>
  <c r="AA133" i="4" s="1"/>
  <c r="AD209" i="6"/>
  <c r="AF208" i="6"/>
  <c r="AE20" i="3"/>
  <c r="AI19" i="3"/>
  <c r="AF86" i="6"/>
  <c r="AD87" i="6"/>
  <c r="AD358" i="6"/>
  <c r="AF357" i="6"/>
  <c r="V74" i="5"/>
  <c r="X73" i="5"/>
  <c r="AF447" i="6"/>
  <c r="AD448" i="6"/>
  <c r="AJ655" i="6"/>
  <c r="AI655" i="6"/>
  <c r="AH655" i="6"/>
  <c r="AG655" i="6"/>
  <c r="D1314" i="4"/>
  <c r="D1182" i="4"/>
  <c r="D1138" i="4"/>
  <c r="D1226" i="4"/>
  <c r="D1270" i="4"/>
  <c r="D1094" i="4"/>
  <c r="D1050" i="4"/>
  <c r="D918" i="4"/>
  <c r="D1006" i="4"/>
  <c r="D962" i="4"/>
  <c r="D786" i="4"/>
  <c r="D830" i="4"/>
  <c r="D742" i="4"/>
  <c r="D698" i="4"/>
  <c r="D874" i="4"/>
  <c r="D610" i="4"/>
  <c r="D654" i="4"/>
  <c r="D434" i="4"/>
  <c r="D566" i="4"/>
  <c r="D346" i="4"/>
  <c r="D522" i="4"/>
  <c r="D390" i="4"/>
  <c r="D302" i="4"/>
  <c r="D478" i="4"/>
  <c r="D258" i="4"/>
  <c r="L81" i="4"/>
  <c r="M81" i="4" s="1"/>
  <c r="N81" i="4" s="1"/>
  <c r="AA81" i="4" s="1"/>
  <c r="I120" i="4"/>
  <c r="AI687" i="6"/>
  <c r="AG687" i="6"/>
  <c r="AH687" i="6"/>
  <c r="AJ687" i="6"/>
  <c r="D1317" i="4"/>
  <c r="D1185" i="4"/>
  <c r="D1273" i="4"/>
  <c r="D1229" i="4"/>
  <c r="D1097" i="4"/>
  <c r="D1141" i="4"/>
  <c r="D1053" i="4"/>
  <c r="D921" i="4"/>
  <c r="D965" i="4"/>
  <c r="D1009" i="4"/>
  <c r="D745" i="4"/>
  <c r="D789" i="4"/>
  <c r="D833" i="4"/>
  <c r="D613" i="4"/>
  <c r="D701" i="4"/>
  <c r="D877" i="4"/>
  <c r="D657" i="4"/>
  <c r="D481" i="4"/>
  <c r="D437" i="4"/>
  <c r="D569" i="4"/>
  <c r="D525" i="4"/>
  <c r="D261" i="4"/>
  <c r="D393" i="4"/>
  <c r="D349" i="4"/>
  <c r="D305" i="4"/>
  <c r="L84" i="4"/>
  <c r="M84" i="4" s="1"/>
  <c r="N84" i="4" s="1"/>
  <c r="AA84" i="4" s="1"/>
  <c r="AA132" i="5"/>
  <c r="Z132" i="5"/>
  <c r="Y132" i="5"/>
  <c r="AB132" i="5"/>
  <c r="AJ446" i="6"/>
  <c r="AI446" i="6"/>
  <c r="AG446" i="6"/>
  <c r="AH446" i="6"/>
  <c r="AF656" i="6"/>
  <c r="AD657" i="6"/>
  <c r="AF567" i="6"/>
  <c r="AD568" i="6"/>
  <c r="AF688" i="6"/>
  <c r="AD689" i="6"/>
  <c r="AD387" i="6"/>
  <c r="AF386" i="6"/>
  <c r="L39" i="4"/>
  <c r="M39" i="4" s="1"/>
  <c r="N39" i="4" s="1"/>
  <c r="AA39" i="4" s="1"/>
  <c r="AF267" i="6"/>
  <c r="AD268" i="6"/>
  <c r="AG566" i="6"/>
  <c r="AH566" i="6"/>
  <c r="AJ566" i="6"/>
  <c r="AI566" i="6"/>
  <c r="AJ385" i="6"/>
  <c r="AI385" i="6"/>
  <c r="AH385" i="6"/>
  <c r="AG385" i="6"/>
  <c r="AI325" i="6"/>
  <c r="AH325" i="6"/>
  <c r="AG325" i="6"/>
  <c r="AJ325" i="6"/>
  <c r="X59" i="3"/>
  <c r="AK19" i="3"/>
  <c r="AK20" i="3" s="1"/>
  <c r="AK21" i="3" s="1"/>
  <c r="AK22" i="3" s="1"/>
  <c r="AK23" i="3" s="1"/>
  <c r="AK24" i="3" s="1"/>
  <c r="AK25" i="3" s="1"/>
  <c r="AK26" i="3" s="1"/>
  <c r="AK27" i="3" s="1"/>
  <c r="AK28" i="3" s="1"/>
  <c r="AJ19" i="3"/>
  <c r="AJ20" i="3" s="1"/>
  <c r="AJ21" i="3" s="1"/>
  <c r="AJ22" i="3" s="1"/>
  <c r="AJ23" i="3" s="1"/>
  <c r="AJ24" i="3" s="1"/>
  <c r="AJ25" i="3" s="1"/>
  <c r="AJ26" i="3" s="1"/>
  <c r="AJ27" i="3" s="1"/>
  <c r="AJ28" i="3" s="1"/>
  <c r="AM19" i="3"/>
  <c r="AM59" i="3" s="1"/>
  <c r="V105" i="5"/>
  <c r="X104" i="5"/>
  <c r="AJ534" i="6"/>
  <c r="AH534" i="6"/>
  <c r="AG534" i="6"/>
  <c r="AI534" i="6"/>
  <c r="AF717" i="6"/>
  <c r="AD718" i="6"/>
  <c r="AD748" i="6"/>
  <c r="AF747" i="6"/>
  <c r="AD327" i="6"/>
  <c r="AF326" i="6"/>
  <c r="V195" i="5"/>
  <c r="X194" i="5"/>
  <c r="AG266" i="6"/>
  <c r="AJ266" i="6"/>
  <c r="AI266" i="6"/>
  <c r="AH266" i="6"/>
  <c r="D1275" i="4"/>
  <c r="D1187" i="4"/>
  <c r="D1143" i="4"/>
  <c r="D1231" i="4"/>
  <c r="D1319" i="4"/>
  <c r="D1099" i="4"/>
  <c r="D1055" i="4"/>
  <c r="D967" i="4"/>
  <c r="D923" i="4"/>
  <c r="D1011" i="4"/>
  <c r="D879" i="4"/>
  <c r="D791" i="4"/>
  <c r="D835" i="4"/>
  <c r="D703" i="4"/>
  <c r="D747" i="4"/>
  <c r="D571" i="4"/>
  <c r="D659" i="4"/>
  <c r="D439" i="4"/>
  <c r="D615" i="4"/>
  <c r="D483" i="4"/>
  <c r="D351" i="4"/>
  <c r="D307" i="4"/>
  <c r="D527" i="4"/>
  <c r="D395" i="4"/>
  <c r="D263" i="4"/>
  <c r="L86" i="4"/>
  <c r="M86" i="4" s="1"/>
  <c r="N86" i="4" s="1"/>
  <c r="AA86" i="4" s="1"/>
  <c r="AF116" i="6"/>
  <c r="AD117" i="6"/>
  <c r="AA282" i="5"/>
  <c r="AB282" i="5"/>
  <c r="Z282" i="5"/>
  <c r="Y282" i="5"/>
  <c r="V165" i="5"/>
  <c r="X164" i="5"/>
  <c r="AH746" i="6"/>
  <c r="AJ746" i="6"/>
  <c r="AI746" i="6"/>
  <c r="AG746" i="6"/>
  <c r="L36" i="4"/>
  <c r="M36" i="4" s="1"/>
  <c r="N36" i="4" s="1"/>
  <c r="AA36" i="4" s="1"/>
  <c r="AH295" i="6"/>
  <c r="AG295" i="6"/>
  <c r="AI295" i="6"/>
  <c r="AJ295" i="6"/>
  <c r="AH115" i="6"/>
  <c r="AG115" i="6"/>
  <c r="AI115" i="6"/>
  <c r="AJ115" i="6"/>
  <c r="D1320" i="4"/>
  <c r="D1232" i="4"/>
  <c r="D1056" i="4"/>
  <c r="D1188" i="4"/>
  <c r="D1276" i="4"/>
  <c r="D1100" i="4"/>
  <c r="D1144" i="4"/>
  <c r="D968" i="4"/>
  <c r="D924" i="4"/>
  <c r="D1012" i="4"/>
  <c r="D792" i="4"/>
  <c r="D836" i="4"/>
  <c r="D660" i="4"/>
  <c r="D880" i="4"/>
  <c r="D748" i="4"/>
  <c r="D704" i="4"/>
  <c r="D528" i="4"/>
  <c r="D616" i="4"/>
  <c r="D484" i="4"/>
  <c r="D572" i="4"/>
  <c r="D440" i="4"/>
  <c r="D308" i="4"/>
  <c r="D264" i="4"/>
  <c r="D396" i="4"/>
  <c r="D352" i="4"/>
  <c r="L87" i="4"/>
  <c r="M87" i="4" s="1"/>
  <c r="N87" i="4" s="1"/>
  <c r="AA87" i="4" s="1"/>
  <c r="AH85" i="6"/>
  <c r="AG85" i="6"/>
  <c r="AJ85" i="6"/>
  <c r="AI85" i="6"/>
  <c r="Z163" i="5"/>
  <c r="AB163" i="5"/>
  <c r="AA163" i="5"/>
  <c r="Y163" i="5"/>
  <c r="AF296" i="6"/>
  <c r="AD297" i="6"/>
  <c r="AD419" i="6"/>
  <c r="AF418" i="6"/>
  <c r="X283" i="5"/>
  <c r="V284" i="5"/>
  <c r="AD507" i="6"/>
  <c r="AF506" i="6"/>
  <c r="L41" i="4"/>
  <c r="M41" i="4" s="1"/>
  <c r="N41" i="4" s="1"/>
  <c r="AA41" i="4" s="1"/>
  <c r="AA72" i="5"/>
  <c r="Z72" i="5"/>
  <c r="Y72" i="5"/>
  <c r="AB72" i="5"/>
  <c r="Z193" i="5"/>
  <c r="AB193" i="5"/>
  <c r="AA193" i="5"/>
  <c r="Y193" i="5"/>
  <c r="AF535" i="6"/>
  <c r="AD536" i="6"/>
  <c r="AI716" i="6"/>
  <c r="AH716" i="6"/>
  <c r="AJ716" i="6"/>
  <c r="AG716" i="6"/>
  <c r="AD239" i="6"/>
  <c r="AF238" i="6"/>
  <c r="I168" i="4"/>
  <c r="L128" i="4"/>
  <c r="D1274" i="4"/>
  <c r="D1098" i="4"/>
  <c r="D1318" i="4"/>
  <c r="D1054" i="4"/>
  <c r="D1230" i="4"/>
  <c r="D1186" i="4"/>
  <c r="D966" i="4"/>
  <c r="D1142" i="4"/>
  <c r="D1010" i="4"/>
  <c r="D922" i="4"/>
  <c r="D834" i="4"/>
  <c r="D878" i="4"/>
  <c r="D790" i="4"/>
  <c r="D746" i="4"/>
  <c r="D702" i="4"/>
  <c r="D658" i="4"/>
  <c r="D570" i="4"/>
  <c r="D526" i="4"/>
  <c r="D614" i="4"/>
  <c r="D482" i="4"/>
  <c r="D438" i="4"/>
  <c r="D350" i="4"/>
  <c r="D394" i="4"/>
  <c r="D306" i="4"/>
  <c r="D262" i="4"/>
  <c r="L85" i="4"/>
  <c r="M85" i="4" s="1"/>
  <c r="N85" i="4" s="1"/>
  <c r="AA85" i="4" s="1"/>
  <c r="V224" i="5"/>
  <c r="X223" i="5"/>
  <c r="AF177" i="6"/>
  <c r="AD178" i="6"/>
  <c r="W80" i="4"/>
  <c r="AG505" i="6"/>
  <c r="AJ505" i="6"/>
  <c r="AI505" i="6"/>
  <c r="AH505" i="6"/>
  <c r="AF477" i="6"/>
  <c r="AD478" i="6"/>
  <c r="AD57" i="6"/>
  <c r="AF56" i="6"/>
  <c r="AI595" i="6"/>
  <c r="AJ595" i="6"/>
  <c r="AG595" i="6"/>
  <c r="AH595" i="6"/>
  <c r="AF147" i="6"/>
  <c r="AD148" i="6"/>
  <c r="AA222" i="5"/>
  <c r="Z222" i="5"/>
  <c r="Y222" i="5"/>
  <c r="AB222" i="5"/>
  <c r="AJ176" i="6"/>
  <c r="AH176" i="6"/>
  <c r="AI176" i="6"/>
  <c r="AG176" i="6"/>
  <c r="M80" i="4"/>
  <c r="D1315" i="4"/>
  <c r="D1271" i="4"/>
  <c r="D1227" i="4"/>
  <c r="D1051" i="4"/>
  <c r="D1183" i="4"/>
  <c r="D1139" i="4"/>
  <c r="D1007" i="4"/>
  <c r="D1095" i="4"/>
  <c r="D919" i="4"/>
  <c r="D831" i="4"/>
  <c r="D875" i="4"/>
  <c r="D963" i="4"/>
  <c r="D743" i="4"/>
  <c r="D655" i="4"/>
  <c r="D787" i="4"/>
  <c r="D699" i="4"/>
  <c r="D567" i="4"/>
  <c r="D523" i="4"/>
  <c r="D479" i="4"/>
  <c r="D435" i="4"/>
  <c r="D611" i="4"/>
  <c r="D303" i="4"/>
  <c r="D259" i="4"/>
  <c r="D391" i="4"/>
  <c r="D347" i="4"/>
  <c r="L82" i="4"/>
  <c r="M82" i="4" s="1"/>
  <c r="N82" i="4" s="1"/>
  <c r="AA82" i="4" s="1"/>
  <c r="Z103" i="5"/>
  <c r="AB103" i="5"/>
  <c r="AA103" i="5"/>
  <c r="Y103" i="5"/>
  <c r="AH417" i="6"/>
  <c r="AI417" i="6"/>
  <c r="AJ417" i="6"/>
  <c r="AG417" i="6"/>
  <c r="L132" i="4"/>
  <c r="M132" i="4" s="1"/>
  <c r="N132" i="4" s="1"/>
  <c r="AA132" i="4" s="1"/>
  <c r="V44" i="5"/>
  <c r="X43" i="5"/>
  <c r="AA42" i="5"/>
  <c r="Z42" i="5"/>
  <c r="Y42" i="5"/>
  <c r="AB42" i="5"/>
  <c r="AH237" i="6"/>
  <c r="AG237" i="6"/>
  <c r="AJ237" i="6"/>
  <c r="AI237" i="6"/>
  <c r="L130" i="4"/>
  <c r="M130" i="4" s="1"/>
  <c r="N130" i="4" s="1"/>
  <c r="AA130" i="4" s="1"/>
  <c r="AD628" i="6"/>
  <c r="AF627" i="6"/>
  <c r="V134" i="5"/>
  <c r="X133" i="5"/>
  <c r="AJ476" i="6"/>
  <c r="AI476" i="6"/>
  <c r="AH476" i="6"/>
  <c r="AG476" i="6"/>
  <c r="AJ207" i="6"/>
  <c r="AI207" i="6"/>
  <c r="AH207" i="6"/>
  <c r="AG207" i="6"/>
  <c r="AI626" i="6"/>
  <c r="AH626" i="6"/>
  <c r="AJ626" i="6"/>
  <c r="AG626" i="6"/>
  <c r="AI356" i="6"/>
  <c r="AJ356" i="6"/>
  <c r="AH356" i="6"/>
  <c r="AG356" i="6"/>
  <c r="AH55" i="6"/>
  <c r="AG55" i="6"/>
  <c r="AI55" i="6"/>
  <c r="AJ55" i="6"/>
  <c r="AD597" i="6"/>
  <c r="AF596" i="6"/>
  <c r="AH146" i="6"/>
  <c r="AI146" i="6"/>
  <c r="AG146" i="6"/>
  <c r="AJ146" i="6"/>
  <c r="I72" i="4"/>
  <c r="L32" i="4"/>
  <c r="M32" i="4" s="1"/>
  <c r="V254" i="5" l="1"/>
  <c r="X253" i="5"/>
  <c r="AA252" i="5"/>
  <c r="Y252" i="5"/>
  <c r="Z252" i="5"/>
  <c r="AB252" i="5"/>
  <c r="M72" i="4"/>
  <c r="N32" i="4"/>
  <c r="U32" i="4"/>
  <c r="AI386" i="6"/>
  <c r="AG386" i="6"/>
  <c r="AJ386" i="6"/>
  <c r="AH386" i="6"/>
  <c r="AI20" i="3"/>
  <c r="AE21" i="3"/>
  <c r="AF628" i="6"/>
  <c r="AD629" i="6"/>
  <c r="M120" i="4"/>
  <c r="N80" i="4"/>
  <c r="U80" i="4"/>
  <c r="AH147" i="6"/>
  <c r="AJ147" i="6"/>
  <c r="AG147" i="6"/>
  <c r="AI147" i="6"/>
  <c r="AD598" i="6"/>
  <c r="AF597" i="6"/>
  <c r="L120" i="4"/>
  <c r="AH238" i="6"/>
  <c r="AG238" i="6"/>
  <c r="AI238" i="6"/>
  <c r="AJ238" i="6"/>
  <c r="AD179" i="6"/>
  <c r="AF178" i="6"/>
  <c r="AF239" i="6"/>
  <c r="AD240" i="6"/>
  <c r="AG506" i="6"/>
  <c r="AH506" i="6"/>
  <c r="AJ506" i="6"/>
  <c r="AI506" i="6"/>
  <c r="AD388" i="6"/>
  <c r="AF387" i="6"/>
  <c r="AH177" i="6"/>
  <c r="AI177" i="6"/>
  <c r="AG177" i="6"/>
  <c r="AJ177" i="6"/>
  <c r="AB73" i="5"/>
  <c r="Z73" i="5"/>
  <c r="AA73" i="5"/>
  <c r="Y73" i="5"/>
  <c r="AI627" i="6"/>
  <c r="AJ627" i="6"/>
  <c r="AH627" i="6"/>
  <c r="AG627" i="6"/>
  <c r="AF507" i="6"/>
  <c r="AD508" i="6"/>
  <c r="AI418" i="6"/>
  <c r="AH418" i="6"/>
  <c r="AG418" i="6"/>
  <c r="AJ418" i="6"/>
  <c r="AJ56" i="6"/>
  <c r="AI56" i="6"/>
  <c r="AH56" i="6"/>
  <c r="AG56" i="6"/>
  <c r="Z223" i="5"/>
  <c r="AB223" i="5"/>
  <c r="AA223" i="5"/>
  <c r="Y223" i="5"/>
  <c r="AF419" i="6"/>
  <c r="AD420" i="6"/>
  <c r="AB164" i="5"/>
  <c r="AA164" i="5"/>
  <c r="Y164" i="5"/>
  <c r="Z164" i="5"/>
  <c r="V75" i="5"/>
  <c r="X74" i="5"/>
  <c r="AJ208" i="6"/>
  <c r="AI208" i="6"/>
  <c r="AH208" i="6"/>
  <c r="AG208" i="6"/>
  <c r="L72" i="4"/>
  <c r="W32" i="4"/>
  <c r="W33" i="4" s="1"/>
  <c r="W34" i="4" s="1"/>
  <c r="W35" i="4" s="1"/>
  <c r="W36" i="4" s="1"/>
  <c r="W37" i="4" s="1"/>
  <c r="W38" i="4" s="1"/>
  <c r="W39" i="4" s="1"/>
  <c r="W40" i="4" s="1"/>
  <c r="W41" i="4" s="1"/>
  <c r="AF57" i="6"/>
  <c r="AD58" i="6"/>
  <c r="V225" i="5"/>
  <c r="X224" i="5"/>
  <c r="L168" i="4"/>
  <c r="W128" i="4"/>
  <c r="W129" i="4" s="1"/>
  <c r="W130" i="4" s="1"/>
  <c r="W131" i="4" s="1"/>
  <c r="W132" i="4" s="1"/>
  <c r="W133" i="4" s="1"/>
  <c r="W134" i="4" s="1"/>
  <c r="W135" i="4" s="1"/>
  <c r="W136" i="4" s="1"/>
  <c r="X165" i="5"/>
  <c r="V166" i="5"/>
  <c r="Z194" i="5"/>
  <c r="AB194" i="5"/>
  <c r="AA194" i="5"/>
  <c r="Y194" i="5"/>
  <c r="AD690" i="6"/>
  <c r="AF689" i="6"/>
  <c r="AF657" i="6"/>
  <c r="AD658" i="6"/>
  <c r="AG357" i="6"/>
  <c r="AJ357" i="6"/>
  <c r="AI357" i="6"/>
  <c r="AH357" i="6"/>
  <c r="AD210" i="6"/>
  <c r="AF209" i="6"/>
  <c r="Z133" i="5"/>
  <c r="AB133" i="5"/>
  <c r="AA133" i="5"/>
  <c r="Y133" i="5"/>
  <c r="V135" i="5"/>
  <c r="X134" i="5"/>
  <c r="AF478" i="6"/>
  <c r="AD479" i="6"/>
  <c r="M128" i="4"/>
  <c r="X195" i="5"/>
  <c r="V196" i="5"/>
  <c r="AI747" i="6"/>
  <c r="AH747" i="6"/>
  <c r="AG747" i="6"/>
  <c r="AJ747" i="6"/>
  <c r="Z104" i="5"/>
  <c r="Y104" i="5"/>
  <c r="AB104" i="5"/>
  <c r="AA104" i="5"/>
  <c r="AJ688" i="6"/>
  <c r="AI688" i="6"/>
  <c r="AH688" i="6"/>
  <c r="AG688" i="6"/>
  <c r="AG656" i="6"/>
  <c r="AJ656" i="6"/>
  <c r="AI656" i="6"/>
  <c r="AH656" i="6"/>
  <c r="AD359" i="6"/>
  <c r="AF358" i="6"/>
  <c r="AD149" i="6"/>
  <c r="AF148" i="6"/>
  <c r="AJ477" i="6"/>
  <c r="AI477" i="6"/>
  <c r="AH477" i="6"/>
  <c r="AG477" i="6"/>
  <c r="AD537" i="6"/>
  <c r="AF536" i="6"/>
  <c r="AI326" i="6"/>
  <c r="AJ326" i="6"/>
  <c r="AH326" i="6"/>
  <c r="AG326" i="6"/>
  <c r="AD749" i="6"/>
  <c r="AF748" i="6"/>
  <c r="X105" i="5"/>
  <c r="V106" i="5"/>
  <c r="AF268" i="6"/>
  <c r="AD269" i="6"/>
  <c r="AF568" i="6"/>
  <c r="AD569" i="6"/>
  <c r="AF87" i="6"/>
  <c r="AD88" i="6"/>
  <c r="AG535" i="6"/>
  <c r="AJ535" i="6"/>
  <c r="AI535" i="6"/>
  <c r="AH535" i="6"/>
  <c r="V285" i="5"/>
  <c r="X284" i="5"/>
  <c r="AD118" i="6"/>
  <c r="AF117" i="6"/>
  <c r="AD328" i="6"/>
  <c r="AF327" i="6"/>
  <c r="AD719" i="6"/>
  <c r="AF718" i="6"/>
  <c r="AH267" i="6"/>
  <c r="AG267" i="6"/>
  <c r="AI267" i="6"/>
  <c r="AJ267" i="6"/>
  <c r="AJ567" i="6"/>
  <c r="AI567" i="6"/>
  <c r="AH567" i="6"/>
  <c r="AG567" i="6"/>
  <c r="AJ86" i="6"/>
  <c r="AI86" i="6"/>
  <c r="AH86" i="6"/>
  <c r="AG86" i="6"/>
  <c r="AB283" i="5"/>
  <c r="AA283" i="5"/>
  <c r="Z283" i="5"/>
  <c r="Y283" i="5"/>
  <c r="AF297" i="6"/>
  <c r="AD298" i="6"/>
  <c r="AG116" i="6"/>
  <c r="AH116" i="6"/>
  <c r="AJ116" i="6"/>
  <c r="AI116" i="6"/>
  <c r="AD449" i="6"/>
  <c r="AF448" i="6"/>
  <c r="AB43" i="5"/>
  <c r="AA43" i="5"/>
  <c r="Z43" i="5"/>
  <c r="Y43" i="5"/>
  <c r="AJ717" i="6"/>
  <c r="AI717" i="6"/>
  <c r="AG717" i="6"/>
  <c r="AH717" i="6"/>
  <c r="J67" i="1"/>
  <c r="AJ29" i="3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G596" i="6"/>
  <c r="AJ596" i="6"/>
  <c r="AI596" i="6"/>
  <c r="AH596" i="6"/>
  <c r="V45" i="5"/>
  <c r="X44" i="5"/>
  <c r="W81" i="4"/>
  <c r="W82" i="4" s="1"/>
  <c r="W83" i="4" s="1"/>
  <c r="W84" i="4" s="1"/>
  <c r="W85" i="4" s="1"/>
  <c r="W86" i="4" s="1"/>
  <c r="W87" i="4" s="1"/>
  <c r="W88" i="4" s="1"/>
  <c r="W89" i="4" s="1"/>
  <c r="AG296" i="6"/>
  <c r="AH296" i="6"/>
  <c r="AI296" i="6"/>
  <c r="AJ296" i="6"/>
  <c r="J68" i="1"/>
  <c r="AK29" i="3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J447" i="6"/>
  <c r="AI447" i="6"/>
  <c r="AH447" i="6"/>
  <c r="AG447" i="6"/>
  <c r="AA253" i="5" l="1"/>
  <c r="Y253" i="5"/>
  <c r="AB253" i="5"/>
  <c r="Z253" i="5"/>
  <c r="V255" i="5"/>
  <c r="X254" i="5"/>
  <c r="AA284" i="5"/>
  <c r="Z284" i="5"/>
  <c r="Y284" i="5"/>
  <c r="AB284" i="5"/>
  <c r="AI358" i="6"/>
  <c r="AG358" i="6"/>
  <c r="AH358" i="6"/>
  <c r="AJ358" i="6"/>
  <c r="M168" i="4"/>
  <c r="N128" i="4"/>
  <c r="U128" i="4"/>
  <c r="AF690" i="6"/>
  <c r="AD691" i="6"/>
  <c r="AG507" i="6"/>
  <c r="AJ507" i="6"/>
  <c r="AI507" i="6"/>
  <c r="AH507" i="6"/>
  <c r="AD389" i="6"/>
  <c r="AF388" i="6"/>
  <c r="AD180" i="6"/>
  <c r="AF179" i="6"/>
  <c r="V107" i="5"/>
  <c r="X106" i="5"/>
  <c r="V286" i="5"/>
  <c r="X285" i="5"/>
  <c r="Z105" i="5"/>
  <c r="Y105" i="5"/>
  <c r="AA105" i="5"/>
  <c r="AB105" i="5"/>
  <c r="F24" i="5"/>
  <c r="AD360" i="6"/>
  <c r="AF359" i="6"/>
  <c r="AJ209" i="6"/>
  <c r="AI209" i="6"/>
  <c r="AH209" i="6"/>
  <c r="AG209" i="6"/>
  <c r="L27" i="6"/>
  <c r="V167" i="5"/>
  <c r="X166" i="5"/>
  <c r="AF240" i="6"/>
  <c r="AD241" i="6"/>
  <c r="AH239" i="6"/>
  <c r="AG239" i="6"/>
  <c r="AJ239" i="6"/>
  <c r="AI239" i="6"/>
  <c r="L28" i="6"/>
  <c r="AI748" i="6"/>
  <c r="AH748" i="6"/>
  <c r="AJ748" i="6"/>
  <c r="AG748" i="6"/>
  <c r="AF210" i="6"/>
  <c r="AD211" i="6"/>
  <c r="AD630" i="6"/>
  <c r="AF629" i="6"/>
  <c r="X135" i="5"/>
  <c r="V136" i="5"/>
  <c r="X225" i="5"/>
  <c r="V226" i="5"/>
  <c r="X75" i="5"/>
  <c r="V76" i="5"/>
  <c r="AI419" i="6"/>
  <c r="AG419" i="6"/>
  <c r="AH419" i="6"/>
  <c r="AJ419" i="6"/>
  <c r="L34" i="6"/>
  <c r="AI628" i="6"/>
  <c r="AH628" i="6"/>
  <c r="AJ628" i="6"/>
  <c r="AG628" i="6"/>
  <c r="Z134" i="5"/>
  <c r="Y134" i="5"/>
  <c r="AB134" i="5"/>
  <c r="AA134" i="5"/>
  <c r="AD421" i="6"/>
  <c r="AF420" i="6"/>
  <c r="AD299" i="6"/>
  <c r="AF298" i="6"/>
  <c r="AH117" i="6"/>
  <c r="AJ117" i="6"/>
  <c r="AG117" i="6"/>
  <c r="AI117" i="6"/>
  <c r="AD89" i="6"/>
  <c r="AF88" i="6"/>
  <c r="AH297" i="6"/>
  <c r="AG297" i="6"/>
  <c r="AI297" i="6"/>
  <c r="AJ297" i="6"/>
  <c r="AD119" i="6"/>
  <c r="AF118" i="6"/>
  <c r="AH87" i="6"/>
  <c r="AJ87" i="6"/>
  <c r="AI87" i="6"/>
  <c r="AG87" i="6"/>
  <c r="AD480" i="6"/>
  <c r="AF479" i="6"/>
  <c r="AD59" i="6"/>
  <c r="AF58" i="6"/>
  <c r="AI448" i="6"/>
  <c r="AH448" i="6"/>
  <c r="AG448" i="6"/>
  <c r="AJ448" i="6"/>
  <c r="Z165" i="5"/>
  <c r="Y165" i="5"/>
  <c r="AB165" i="5"/>
  <c r="AA165" i="5"/>
  <c r="F26" i="5"/>
  <c r="AB224" i="5"/>
  <c r="AA224" i="5"/>
  <c r="Z224" i="5"/>
  <c r="Y224" i="5"/>
  <c r="AB74" i="5"/>
  <c r="AA74" i="5"/>
  <c r="Z74" i="5"/>
  <c r="Y74" i="5"/>
  <c r="AJ478" i="6"/>
  <c r="AI478" i="6"/>
  <c r="AH478" i="6"/>
  <c r="AG478" i="6"/>
  <c r="AH57" i="6"/>
  <c r="AG57" i="6"/>
  <c r="AJ57" i="6"/>
  <c r="AI57" i="6"/>
  <c r="Y80" i="4"/>
  <c r="U81" i="4"/>
  <c r="AD750" i="6"/>
  <c r="AF749" i="6"/>
  <c r="AI718" i="6"/>
  <c r="AH718" i="6"/>
  <c r="AG718" i="6"/>
  <c r="AJ718" i="6"/>
  <c r="AF569" i="6"/>
  <c r="AD570" i="6"/>
  <c r="AJ536" i="6"/>
  <c r="AI536" i="6"/>
  <c r="AG536" i="6"/>
  <c r="AH536" i="6"/>
  <c r="AJ148" i="6"/>
  <c r="AH148" i="6"/>
  <c r="AI148" i="6"/>
  <c r="AG148" i="6"/>
  <c r="AF719" i="6"/>
  <c r="AD720" i="6"/>
  <c r="AG568" i="6"/>
  <c r="AJ568" i="6"/>
  <c r="AI568" i="6"/>
  <c r="AH568" i="6"/>
  <c r="AF537" i="6"/>
  <c r="AD538" i="6"/>
  <c r="AD150" i="6"/>
  <c r="AF149" i="6"/>
  <c r="AF658" i="6"/>
  <c r="AD659" i="6"/>
  <c r="AA80" i="4"/>
  <c r="AA120" i="4" s="1"/>
  <c r="U33" i="4"/>
  <c r="Y32" i="4"/>
  <c r="AF449" i="6"/>
  <c r="AD450" i="6"/>
  <c r="AB44" i="5"/>
  <c r="AA44" i="5"/>
  <c r="Z44" i="5"/>
  <c r="Y44" i="5"/>
  <c r="AJ327" i="6"/>
  <c r="AI327" i="6"/>
  <c r="AH327" i="6"/>
  <c r="AG327" i="6"/>
  <c r="AF269" i="6"/>
  <c r="AD270" i="6"/>
  <c r="V197" i="5"/>
  <c r="X196" i="5"/>
  <c r="AJ657" i="6"/>
  <c r="AI657" i="6"/>
  <c r="AH657" i="6"/>
  <c r="AG657" i="6"/>
  <c r="AI597" i="6"/>
  <c r="AJ597" i="6"/>
  <c r="AG597" i="6"/>
  <c r="AH597" i="6"/>
  <c r="AA32" i="4"/>
  <c r="AA72" i="4" s="1"/>
  <c r="X45" i="5"/>
  <c r="V46" i="5"/>
  <c r="AD329" i="6"/>
  <c r="AF328" i="6"/>
  <c r="AJ268" i="6"/>
  <c r="AI268" i="6"/>
  <c r="AH268" i="6"/>
  <c r="AG268" i="6"/>
  <c r="Z195" i="5"/>
  <c r="Y195" i="5"/>
  <c r="AB195" i="5"/>
  <c r="AA195" i="5"/>
  <c r="F27" i="5"/>
  <c r="AI689" i="6"/>
  <c r="AH689" i="6"/>
  <c r="AG689" i="6"/>
  <c r="AJ689" i="6"/>
  <c r="L43" i="6"/>
  <c r="AD509" i="6"/>
  <c r="AF508" i="6"/>
  <c r="AG387" i="6"/>
  <c r="AI387" i="6"/>
  <c r="AJ387" i="6"/>
  <c r="AH387" i="6"/>
  <c r="AJ178" i="6"/>
  <c r="AH178" i="6"/>
  <c r="AI178" i="6"/>
  <c r="AG178" i="6"/>
  <c r="AD599" i="6"/>
  <c r="AF598" i="6"/>
  <c r="AE22" i="3"/>
  <c r="AI21" i="3"/>
  <c r="Y254" i="5" l="1"/>
  <c r="Z254" i="5"/>
  <c r="AB254" i="5"/>
  <c r="AA254" i="5"/>
  <c r="X255" i="5"/>
  <c r="V256" i="5"/>
  <c r="AI328" i="6"/>
  <c r="AH328" i="6"/>
  <c r="AG328" i="6"/>
  <c r="AJ328" i="6"/>
  <c r="AD751" i="6"/>
  <c r="AF750" i="6"/>
  <c r="O24" i="5"/>
  <c r="H24" i="5"/>
  <c r="G24" i="5"/>
  <c r="J24" i="5"/>
  <c r="I24" i="5"/>
  <c r="AD181" i="6"/>
  <c r="AF180" i="6"/>
  <c r="AA128" i="4"/>
  <c r="AA168" i="4" s="1"/>
  <c r="AF89" i="6"/>
  <c r="AD90" i="6"/>
  <c r="AD330" i="6"/>
  <c r="AF329" i="6"/>
  <c r="AI658" i="6"/>
  <c r="AG658" i="6"/>
  <c r="AJ658" i="6"/>
  <c r="AH658" i="6"/>
  <c r="AJ569" i="6"/>
  <c r="AI569" i="6"/>
  <c r="AH569" i="6"/>
  <c r="AG569" i="6"/>
  <c r="L39" i="6"/>
  <c r="AD120" i="6"/>
  <c r="AF119" i="6"/>
  <c r="AI388" i="6"/>
  <c r="AG388" i="6"/>
  <c r="AH388" i="6"/>
  <c r="AJ388" i="6"/>
  <c r="AH598" i="6"/>
  <c r="AI598" i="6"/>
  <c r="AG598" i="6"/>
  <c r="AJ598" i="6"/>
  <c r="AB196" i="5"/>
  <c r="AA196" i="5"/>
  <c r="Y196" i="5"/>
  <c r="Z196" i="5"/>
  <c r="V227" i="5"/>
  <c r="X226" i="5"/>
  <c r="AD600" i="6"/>
  <c r="AF599" i="6"/>
  <c r="AF509" i="6"/>
  <c r="AD510" i="6"/>
  <c r="V198" i="5"/>
  <c r="X197" i="5"/>
  <c r="AB166" i="5"/>
  <c r="AA166" i="5"/>
  <c r="Z166" i="5"/>
  <c r="Y166" i="5"/>
  <c r="U43" i="6"/>
  <c r="P43" i="6"/>
  <c r="O43" i="6"/>
  <c r="N43" i="6"/>
  <c r="M43" i="6"/>
  <c r="AD271" i="6"/>
  <c r="AF270" i="6"/>
  <c r="AF450" i="6"/>
  <c r="AD451" i="6"/>
  <c r="AD151" i="6"/>
  <c r="AF150" i="6"/>
  <c r="AF59" i="6"/>
  <c r="AD60" i="6"/>
  <c r="AF299" i="6"/>
  <c r="AD300" i="6"/>
  <c r="V137" i="5"/>
  <c r="X136" i="5"/>
  <c r="V168" i="5"/>
  <c r="X167" i="5"/>
  <c r="AD390" i="6"/>
  <c r="AF389" i="6"/>
  <c r="Z225" i="5"/>
  <c r="Y225" i="5"/>
  <c r="AA225" i="5"/>
  <c r="AB225" i="5"/>
  <c r="F28" i="5"/>
  <c r="AH269" i="6"/>
  <c r="AG269" i="6"/>
  <c r="AJ269" i="6"/>
  <c r="AI269" i="6"/>
  <c r="L29" i="6"/>
  <c r="AG449" i="6"/>
  <c r="AJ449" i="6"/>
  <c r="AH449" i="6"/>
  <c r="AI449" i="6"/>
  <c r="L35" i="6"/>
  <c r="AD539" i="6"/>
  <c r="AF538" i="6"/>
  <c r="AG479" i="6"/>
  <c r="AJ479" i="6"/>
  <c r="AI479" i="6"/>
  <c r="AH479" i="6"/>
  <c r="L36" i="6"/>
  <c r="AI420" i="6"/>
  <c r="AH420" i="6"/>
  <c r="AG420" i="6"/>
  <c r="AJ420" i="6"/>
  <c r="O28" i="6"/>
  <c r="P28" i="6"/>
  <c r="N28" i="6"/>
  <c r="U28" i="6"/>
  <c r="M28" i="6"/>
  <c r="P27" i="6"/>
  <c r="M27" i="6"/>
  <c r="U27" i="6"/>
  <c r="O27" i="6"/>
  <c r="N27" i="6"/>
  <c r="I27" i="5"/>
  <c r="H27" i="5"/>
  <c r="G27" i="5"/>
  <c r="O27" i="5"/>
  <c r="J27" i="5"/>
  <c r="AG508" i="6"/>
  <c r="AJ508" i="6"/>
  <c r="AI508" i="6"/>
  <c r="AH508" i="6"/>
  <c r="AG719" i="6"/>
  <c r="AJ719" i="6"/>
  <c r="AI719" i="6"/>
  <c r="AH719" i="6"/>
  <c r="L44" i="6"/>
  <c r="AH149" i="6"/>
  <c r="AJ149" i="6"/>
  <c r="AI149" i="6"/>
  <c r="AG149" i="6"/>
  <c r="L25" i="6"/>
  <c r="U34" i="6"/>
  <c r="P34" i="6"/>
  <c r="O34" i="6"/>
  <c r="N34" i="6"/>
  <c r="M34" i="6"/>
  <c r="AD481" i="6"/>
  <c r="AF480" i="6"/>
  <c r="AJ58" i="6"/>
  <c r="AI58" i="6"/>
  <c r="AH58" i="6"/>
  <c r="AG58" i="6"/>
  <c r="AJ298" i="6"/>
  <c r="AI298" i="6"/>
  <c r="AG298" i="6"/>
  <c r="AH298" i="6"/>
  <c r="Z135" i="5"/>
  <c r="Y135" i="5"/>
  <c r="AB135" i="5"/>
  <c r="AA135" i="5"/>
  <c r="F25" i="5"/>
  <c r="L173" i="4"/>
  <c r="AG32" i="4"/>
  <c r="AG537" i="6"/>
  <c r="AI537" i="6"/>
  <c r="AJ537" i="6"/>
  <c r="AH537" i="6"/>
  <c r="AF421" i="6"/>
  <c r="AD422" i="6"/>
  <c r="AI629" i="6"/>
  <c r="AJ629" i="6"/>
  <c r="AH629" i="6"/>
  <c r="AG629" i="6"/>
  <c r="L41" i="6"/>
  <c r="U34" i="4"/>
  <c r="Y33" i="4"/>
  <c r="AI749" i="6"/>
  <c r="AH749" i="6"/>
  <c r="AG749" i="6"/>
  <c r="AJ749" i="6"/>
  <c r="L45" i="6"/>
  <c r="AJ88" i="6"/>
  <c r="AI88" i="6"/>
  <c r="AH88" i="6"/>
  <c r="AG88" i="6"/>
  <c r="AF630" i="6"/>
  <c r="AD631" i="6"/>
  <c r="AB285" i="5"/>
  <c r="Z285" i="5"/>
  <c r="AA285" i="5"/>
  <c r="Y285" i="5"/>
  <c r="F30" i="5"/>
  <c r="V287" i="5"/>
  <c r="X286" i="5"/>
  <c r="AB106" i="5"/>
  <c r="Y106" i="5"/>
  <c r="AA106" i="5"/>
  <c r="Z106" i="5"/>
  <c r="AD692" i="6"/>
  <c r="AF691" i="6"/>
  <c r="J26" i="5"/>
  <c r="I26" i="5"/>
  <c r="H26" i="5"/>
  <c r="O26" i="5"/>
  <c r="G26" i="5"/>
  <c r="V47" i="5"/>
  <c r="X46" i="5"/>
  <c r="V77" i="5"/>
  <c r="X76" i="5"/>
  <c r="AJ210" i="6"/>
  <c r="AI210" i="6"/>
  <c r="AH210" i="6"/>
  <c r="AG210" i="6"/>
  <c r="AF241" i="6"/>
  <c r="AD242" i="6"/>
  <c r="AH359" i="6"/>
  <c r="AG359" i="6"/>
  <c r="AI359" i="6"/>
  <c r="AJ359" i="6"/>
  <c r="L32" i="6"/>
  <c r="V108" i="5"/>
  <c r="X107" i="5"/>
  <c r="AJ690" i="6"/>
  <c r="AI690" i="6"/>
  <c r="AH690" i="6"/>
  <c r="AG690" i="6"/>
  <c r="Y81" i="4"/>
  <c r="U82" i="4"/>
  <c r="AD212" i="6"/>
  <c r="AF211" i="6"/>
  <c r="M173" i="4"/>
  <c r="AG80" i="4"/>
  <c r="AE23" i="3"/>
  <c r="AI22" i="3"/>
  <c r="Z45" i="5"/>
  <c r="Y45" i="5"/>
  <c r="AB45" i="5"/>
  <c r="AA45" i="5"/>
  <c r="F22" i="5"/>
  <c r="AF659" i="6"/>
  <c r="AD660" i="6"/>
  <c r="AD721" i="6"/>
  <c r="AF720" i="6"/>
  <c r="AD571" i="6"/>
  <c r="AF570" i="6"/>
  <c r="AJ118" i="6"/>
  <c r="AG118" i="6"/>
  <c r="AI118" i="6"/>
  <c r="AH118" i="6"/>
  <c r="Z75" i="5"/>
  <c r="Y75" i="5"/>
  <c r="AB75" i="5"/>
  <c r="AA75" i="5"/>
  <c r="F23" i="5"/>
  <c r="AI240" i="6"/>
  <c r="AH240" i="6"/>
  <c r="AG240" i="6"/>
  <c r="AJ240" i="6"/>
  <c r="AD361" i="6"/>
  <c r="AF360" i="6"/>
  <c r="AH179" i="6"/>
  <c r="AJ179" i="6"/>
  <c r="AI179" i="6"/>
  <c r="AG179" i="6"/>
  <c r="L26" i="6"/>
  <c r="U129" i="4"/>
  <c r="Y128" i="4"/>
  <c r="V257" i="5" l="1"/>
  <c r="X256" i="5"/>
  <c r="AB255" i="5"/>
  <c r="Z255" i="5"/>
  <c r="Y255" i="5"/>
  <c r="AA255" i="5"/>
  <c r="F29" i="5"/>
  <c r="AH241" i="6"/>
  <c r="AI241" i="6"/>
  <c r="AG241" i="6"/>
  <c r="AJ241" i="6"/>
  <c r="O41" i="6"/>
  <c r="N41" i="6"/>
  <c r="M41" i="6"/>
  <c r="U41" i="6"/>
  <c r="P41" i="6"/>
  <c r="N44" i="6"/>
  <c r="M44" i="6"/>
  <c r="P44" i="6"/>
  <c r="O44" i="6"/>
  <c r="U44" i="6"/>
  <c r="U29" i="6"/>
  <c r="M29" i="6"/>
  <c r="P29" i="6"/>
  <c r="O29" i="6"/>
  <c r="N29" i="6"/>
  <c r="AJ389" i="6"/>
  <c r="AI389" i="6"/>
  <c r="AH389" i="6"/>
  <c r="AG389" i="6"/>
  <c r="L33" i="6"/>
  <c r="AH150" i="6"/>
  <c r="AG150" i="6"/>
  <c r="AJ150" i="6"/>
  <c r="AI150" i="6"/>
  <c r="AF600" i="6"/>
  <c r="AD601" i="6"/>
  <c r="X287" i="5"/>
  <c r="V288" i="5"/>
  <c r="AD391" i="6"/>
  <c r="AF390" i="6"/>
  <c r="AD152" i="6"/>
  <c r="AF151" i="6"/>
  <c r="AB226" i="5"/>
  <c r="AA226" i="5"/>
  <c r="Y226" i="5"/>
  <c r="Z226" i="5"/>
  <c r="M174" i="4"/>
  <c r="AG81" i="4"/>
  <c r="AB46" i="5"/>
  <c r="AA46" i="5"/>
  <c r="Z46" i="5"/>
  <c r="Y46" i="5"/>
  <c r="AD632" i="6"/>
  <c r="AF631" i="6"/>
  <c r="AI360" i="6"/>
  <c r="AJ360" i="6"/>
  <c r="AH360" i="6"/>
  <c r="AG360" i="6"/>
  <c r="AF571" i="6"/>
  <c r="AD572" i="6"/>
  <c r="AB286" i="5"/>
  <c r="Y286" i="5"/>
  <c r="AA286" i="5"/>
  <c r="Z286" i="5"/>
  <c r="AD362" i="6"/>
  <c r="AF361" i="6"/>
  <c r="AI720" i="6"/>
  <c r="AH720" i="6"/>
  <c r="AG720" i="6"/>
  <c r="AJ720" i="6"/>
  <c r="AE24" i="3"/>
  <c r="AI23" i="3"/>
  <c r="AF721" i="6"/>
  <c r="AD722" i="6"/>
  <c r="AB107" i="5"/>
  <c r="AA107" i="5"/>
  <c r="Z107" i="5"/>
  <c r="Y107" i="5"/>
  <c r="J30" i="5"/>
  <c r="O30" i="5"/>
  <c r="I30" i="5"/>
  <c r="H30" i="5"/>
  <c r="G30" i="5"/>
  <c r="AB167" i="5"/>
  <c r="Y167" i="5"/>
  <c r="AA167" i="5"/>
  <c r="Z167" i="5"/>
  <c r="AF451" i="6"/>
  <c r="AD452" i="6"/>
  <c r="V228" i="5"/>
  <c r="X227" i="5"/>
  <c r="X108" i="5"/>
  <c r="V109" i="5"/>
  <c r="P45" i="6"/>
  <c r="O45" i="6"/>
  <c r="N45" i="6"/>
  <c r="U45" i="6"/>
  <c r="M45" i="6"/>
  <c r="J25" i="5"/>
  <c r="I25" i="5"/>
  <c r="H25" i="5"/>
  <c r="G25" i="5"/>
  <c r="O25" i="5"/>
  <c r="M25" i="6"/>
  <c r="U25" i="6"/>
  <c r="P25" i="6"/>
  <c r="O25" i="6"/>
  <c r="N25" i="6"/>
  <c r="AJ538" i="6"/>
  <c r="AI538" i="6"/>
  <c r="AH538" i="6"/>
  <c r="AG538" i="6"/>
  <c r="X168" i="5"/>
  <c r="V169" i="5"/>
  <c r="AJ450" i="6"/>
  <c r="AI450" i="6"/>
  <c r="AH450" i="6"/>
  <c r="AG450" i="6"/>
  <c r="Y129" i="4"/>
  <c r="U130" i="4"/>
  <c r="AJ659" i="6"/>
  <c r="AI659" i="6"/>
  <c r="AG659" i="6"/>
  <c r="AH659" i="6"/>
  <c r="L42" i="6"/>
  <c r="AJ211" i="6"/>
  <c r="AI211" i="6"/>
  <c r="AH211" i="6"/>
  <c r="AG211" i="6"/>
  <c r="AF539" i="6"/>
  <c r="AD540" i="6"/>
  <c r="AB136" i="5"/>
  <c r="AA136" i="5"/>
  <c r="Z136" i="5"/>
  <c r="Y136" i="5"/>
  <c r="AI270" i="6"/>
  <c r="AH270" i="6"/>
  <c r="AG270" i="6"/>
  <c r="AJ270" i="6"/>
  <c r="AJ750" i="6"/>
  <c r="AI750" i="6"/>
  <c r="AH750" i="6"/>
  <c r="AG750" i="6"/>
  <c r="AG128" i="4"/>
  <c r="N173" i="4"/>
  <c r="AF660" i="6"/>
  <c r="AD661" i="6"/>
  <c r="P32" i="6"/>
  <c r="O32" i="6"/>
  <c r="N32" i="6"/>
  <c r="M32" i="6"/>
  <c r="U32" i="6"/>
  <c r="AJ691" i="6"/>
  <c r="AI691" i="6"/>
  <c r="AH691" i="6"/>
  <c r="AG691" i="6"/>
  <c r="O26" i="6"/>
  <c r="N26" i="6"/>
  <c r="U26" i="6"/>
  <c r="P26" i="6"/>
  <c r="M26" i="6"/>
  <c r="I22" i="5"/>
  <c r="H22" i="5"/>
  <c r="G22" i="5"/>
  <c r="J22" i="5"/>
  <c r="O22" i="5"/>
  <c r="AF212" i="6"/>
  <c r="AD213" i="6"/>
  <c r="AB76" i="5"/>
  <c r="AA76" i="5"/>
  <c r="Y76" i="5"/>
  <c r="Z76" i="5"/>
  <c r="AF692" i="6"/>
  <c r="AD693" i="6"/>
  <c r="AD423" i="6"/>
  <c r="AF422" i="6"/>
  <c r="M35" i="6"/>
  <c r="U35" i="6"/>
  <c r="P35" i="6"/>
  <c r="O35" i="6"/>
  <c r="N35" i="6"/>
  <c r="G28" i="5"/>
  <c r="O28" i="5"/>
  <c r="J28" i="5"/>
  <c r="I28" i="5"/>
  <c r="H28" i="5"/>
  <c r="V138" i="5"/>
  <c r="X137" i="5"/>
  <c r="AF271" i="6"/>
  <c r="AD272" i="6"/>
  <c r="AB197" i="5"/>
  <c r="Z197" i="5"/>
  <c r="Y197" i="5"/>
  <c r="AA197" i="5"/>
  <c r="AH119" i="6"/>
  <c r="AJ119" i="6"/>
  <c r="AI119" i="6"/>
  <c r="AG119" i="6"/>
  <c r="L24" i="6"/>
  <c r="AD752" i="6"/>
  <c r="AF751" i="6"/>
  <c r="G23" i="5"/>
  <c r="O23" i="5"/>
  <c r="J23" i="5"/>
  <c r="I23" i="5"/>
  <c r="H23" i="5"/>
  <c r="Y82" i="4"/>
  <c r="U83" i="4"/>
  <c r="V78" i="5"/>
  <c r="X77" i="5"/>
  <c r="AJ421" i="6"/>
  <c r="AH421" i="6"/>
  <c r="AG421" i="6"/>
  <c r="AI421" i="6"/>
  <c r="AH480" i="6"/>
  <c r="AJ480" i="6"/>
  <c r="AI480" i="6"/>
  <c r="AG480" i="6"/>
  <c r="AF300" i="6"/>
  <c r="AD301" i="6"/>
  <c r="X198" i="5"/>
  <c r="V199" i="5"/>
  <c r="AD121" i="6"/>
  <c r="AF120" i="6"/>
  <c r="AG329" i="6"/>
  <c r="AH329" i="6"/>
  <c r="AJ329" i="6"/>
  <c r="AI329" i="6"/>
  <c r="L31" i="6"/>
  <c r="AH299" i="6"/>
  <c r="AG299" i="6"/>
  <c r="AI299" i="6"/>
  <c r="AJ299" i="6"/>
  <c r="L30" i="6"/>
  <c r="AD511" i="6"/>
  <c r="AF510" i="6"/>
  <c r="U39" i="6"/>
  <c r="P39" i="6"/>
  <c r="O39" i="6"/>
  <c r="N39" i="6"/>
  <c r="M39" i="6"/>
  <c r="AD331" i="6"/>
  <c r="AF330" i="6"/>
  <c r="AH180" i="6"/>
  <c r="AG180" i="6"/>
  <c r="AI180" i="6"/>
  <c r="AJ180" i="6"/>
  <c r="AI630" i="6"/>
  <c r="AH630" i="6"/>
  <c r="AJ630" i="6"/>
  <c r="AG630" i="6"/>
  <c r="L174" i="4"/>
  <c r="AG33" i="4"/>
  <c r="O36" i="6"/>
  <c r="N36" i="6"/>
  <c r="M36" i="6"/>
  <c r="U36" i="6"/>
  <c r="P36" i="6"/>
  <c r="AD61" i="6"/>
  <c r="AF60" i="6"/>
  <c r="AG509" i="6"/>
  <c r="AJ509" i="6"/>
  <c r="AI509" i="6"/>
  <c r="AH509" i="6"/>
  <c r="L37" i="6"/>
  <c r="AF90" i="6"/>
  <c r="AD91" i="6"/>
  <c r="AD182" i="6"/>
  <c r="AF181" i="6"/>
  <c r="AD482" i="6"/>
  <c r="AF481" i="6"/>
  <c r="V48" i="5"/>
  <c r="X47" i="5"/>
  <c r="AG570" i="6"/>
  <c r="AI570" i="6"/>
  <c r="AJ570" i="6"/>
  <c r="AH570" i="6"/>
  <c r="AD243" i="6"/>
  <c r="AF242" i="6"/>
  <c r="Y34" i="4"/>
  <c r="U35" i="4"/>
  <c r="AH59" i="6"/>
  <c r="AG59" i="6"/>
  <c r="AJ59" i="6"/>
  <c r="AI59" i="6"/>
  <c r="L22" i="6"/>
  <c r="AI599" i="6"/>
  <c r="AH599" i="6"/>
  <c r="AJ599" i="6"/>
  <c r="AG599" i="6"/>
  <c r="L40" i="6"/>
  <c r="AH89" i="6"/>
  <c r="AJ89" i="6"/>
  <c r="AI89" i="6"/>
  <c r="AG89" i="6"/>
  <c r="L23" i="6"/>
  <c r="O29" i="5" l="1"/>
  <c r="J29" i="5"/>
  <c r="I29" i="5"/>
  <c r="G29" i="5"/>
  <c r="H29" i="5"/>
  <c r="AB256" i="5"/>
  <c r="AA256" i="5"/>
  <c r="Y256" i="5"/>
  <c r="Z256" i="5"/>
  <c r="X257" i="5"/>
  <c r="V258" i="5"/>
  <c r="X48" i="5"/>
  <c r="V49" i="5"/>
  <c r="AD122" i="6"/>
  <c r="AF121" i="6"/>
  <c r="AG510" i="6"/>
  <c r="AJ510" i="6"/>
  <c r="AI510" i="6"/>
  <c r="AH510" i="6"/>
  <c r="AI422" i="6"/>
  <c r="AH422" i="6"/>
  <c r="AG422" i="6"/>
  <c r="AJ422" i="6"/>
  <c r="AI660" i="6"/>
  <c r="AJ660" i="6"/>
  <c r="AH660" i="6"/>
  <c r="AG660" i="6"/>
  <c r="AG361" i="6"/>
  <c r="AJ361" i="6"/>
  <c r="AI361" i="6"/>
  <c r="AH361" i="6"/>
  <c r="AD602" i="6"/>
  <c r="AF601" i="6"/>
  <c r="AF423" i="6"/>
  <c r="AD424" i="6"/>
  <c r="P42" i="6"/>
  <c r="O42" i="6"/>
  <c r="N42" i="6"/>
  <c r="M42" i="6"/>
  <c r="U42" i="6"/>
  <c r="AD363" i="6"/>
  <c r="AF362" i="6"/>
  <c r="AJ600" i="6"/>
  <c r="AI600" i="6"/>
  <c r="AG600" i="6"/>
  <c r="AH600" i="6"/>
  <c r="AF693" i="6"/>
  <c r="AD694" i="6"/>
  <c r="X169" i="5"/>
  <c r="V170" i="5"/>
  <c r="AD723" i="6"/>
  <c r="AF722" i="6"/>
  <c r="AI631" i="6"/>
  <c r="AJ631" i="6"/>
  <c r="AH631" i="6"/>
  <c r="AG631" i="6"/>
  <c r="Y168" i="5"/>
  <c r="AB168" i="5"/>
  <c r="AA168" i="5"/>
  <c r="Z168" i="5"/>
  <c r="X109" i="5"/>
  <c r="V110" i="5"/>
  <c r="AH721" i="6"/>
  <c r="AG721" i="6"/>
  <c r="AJ721" i="6"/>
  <c r="AI721" i="6"/>
  <c r="AF632" i="6"/>
  <c r="AD633" i="6"/>
  <c r="AJ60" i="6"/>
  <c r="AI60" i="6"/>
  <c r="AH60" i="6"/>
  <c r="AG60" i="6"/>
  <c r="AF331" i="6"/>
  <c r="AD332" i="6"/>
  <c r="X199" i="5"/>
  <c r="V200" i="5"/>
  <c r="Y108" i="5"/>
  <c r="AB108" i="5"/>
  <c r="AA108" i="5"/>
  <c r="Z108" i="5"/>
  <c r="AH151" i="6"/>
  <c r="AG151" i="6"/>
  <c r="AJ151" i="6"/>
  <c r="AI151" i="6"/>
  <c r="AF511" i="6"/>
  <c r="AD512" i="6"/>
  <c r="AH120" i="6"/>
  <c r="AG120" i="6"/>
  <c r="AJ120" i="6"/>
  <c r="AI120" i="6"/>
  <c r="AG481" i="6"/>
  <c r="AJ481" i="6"/>
  <c r="AI481" i="6"/>
  <c r="AH481" i="6"/>
  <c r="AE25" i="3"/>
  <c r="AI24" i="3"/>
  <c r="AD153" i="6"/>
  <c r="AF152" i="6"/>
  <c r="AH692" i="6"/>
  <c r="AG692" i="6"/>
  <c r="AJ692" i="6"/>
  <c r="AI692" i="6"/>
  <c r="L175" i="4"/>
  <c r="AG34" i="4"/>
  <c r="AH181" i="6"/>
  <c r="AJ181" i="6"/>
  <c r="AG181" i="6"/>
  <c r="AI181" i="6"/>
  <c r="AD541" i="6"/>
  <c r="AF540" i="6"/>
  <c r="AB227" i="5"/>
  <c r="AA227" i="5"/>
  <c r="Z227" i="5"/>
  <c r="Y227" i="5"/>
  <c r="AF243" i="6"/>
  <c r="AD244" i="6"/>
  <c r="AF182" i="6"/>
  <c r="AD183" i="6"/>
  <c r="AF301" i="6"/>
  <c r="AD302" i="6"/>
  <c r="AB77" i="5"/>
  <c r="AA77" i="5"/>
  <c r="Z77" i="5"/>
  <c r="Y77" i="5"/>
  <c r="AF752" i="6"/>
  <c r="AD753" i="6"/>
  <c r="AD273" i="6"/>
  <c r="AF272" i="6"/>
  <c r="AG539" i="6"/>
  <c r="AH539" i="6"/>
  <c r="AJ539" i="6"/>
  <c r="AI539" i="6"/>
  <c r="L38" i="6"/>
  <c r="U131" i="4"/>
  <c r="Y130" i="4"/>
  <c r="X228" i="5"/>
  <c r="V229" i="5"/>
  <c r="AD573" i="6"/>
  <c r="AF572" i="6"/>
  <c r="AI390" i="6"/>
  <c r="AG390" i="6"/>
  <c r="AJ390" i="6"/>
  <c r="AH390" i="6"/>
  <c r="P33" i="6"/>
  <c r="O33" i="6"/>
  <c r="N33" i="6"/>
  <c r="U33" i="6"/>
  <c r="M33" i="6"/>
  <c r="M30" i="6"/>
  <c r="U30" i="6"/>
  <c r="P30" i="6"/>
  <c r="O30" i="6"/>
  <c r="N30" i="6"/>
  <c r="O23" i="6"/>
  <c r="P23" i="6"/>
  <c r="N23" i="6"/>
  <c r="M23" i="6"/>
  <c r="U23" i="6"/>
  <c r="Y198" i="5"/>
  <c r="Z198" i="5"/>
  <c r="AB198" i="5"/>
  <c r="AA198" i="5"/>
  <c r="O31" i="6"/>
  <c r="N31" i="6"/>
  <c r="M31" i="6"/>
  <c r="U31" i="6"/>
  <c r="P31" i="6"/>
  <c r="U24" i="6"/>
  <c r="M24" i="6"/>
  <c r="P24" i="6"/>
  <c r="O24" i="6"/>
  <c r="N24" i="6"/>
  <c r="AH271" i="6"/>
  <c r="AG271" i="6"/>
  <c r="AJ271" i="6"/>
  <c r="AI271" i="6"/>
  <c r="N174" i="4"/>
  <c r="AG129" i="4"/>
  <c r="AD453" i="6"/>
  <c r="AF452" i="6"/>
  <c r="AJ571" i="6"/>
  <c r="AH571" i="6"/>
  <c r="AG571" i="6"/>
  <c r="AI571" i="6"/>
  <c r="AD392" i="6"/>
  <c r="AF391" i="6"/>
  <c r="AB47" i="5"/>
  <c r="Z47" i="5"/>
  <c r="Y47" i="5"/>
  <c r="AA47" i="5"/>
  <c r="Y35" i="4"/>
  <c r="U36" i="4"/>
  <c r="AI330" i="6"/>
  <c r="AG330" i="6"/>
  <c r="AJ330" i="6"/>
  <c r="AH330" i="6"/>
  <c r="P22" i="6"/>
  <c r="M22" i="6"/>
  <c r="U22" i="6"/>
  <c r="O22" i="6"/>
  <c r="N22" i="6"/>
  <c r="AF482" i="6"/>
  <c r="AD483" i="6"/>
  <c r="AJ242" i="6"/>
  <c r="AI242" i="6"/>
  <c r="AH242" i="6"/>
  <c r="AG242" i="6"/>
  <c r="AF61" i="6"/>
  <c r="AD62" i="6"/>
  <c r="AI751" i="6"/>
  <c r="AH751" i="6"/>
  <c r="AG751" i="6"/>
  <c r="AJ751" i="6"/>
  <c r="AD92" i="6"/>
  <c r="AF91" i="6"/>
  <c r="AI300" i="6"/>
  <c r="AH300" i="6"/>
  <c r="AG300" i="6"/>
  <c r="AJ300" i="6"/>
  <c r="X78" i="5"/>
  <c r="V79" i="5"/>
  <c r="AH90" i="6"/>
  <c r="AJ90" i="6"/>
  <c r="AI90" i="6"/>
  <c r="AG90" i="6"/>
  <c r="Y83" i="4"/>
  <c r="U84" i="4"/>
  <c r="V289" i="5"/>
  <c r="X288" i="5"/>
  <c r="AB137" i="5"/>
  <c r="Z137" i="5"/>
  <c r="AA137" i="5"/>
  <c r="Y137" i="5"/>
  <c r="AD214" i="6"/>
  <c r="AF213" i="6"/>
  <c r="AJ451" i="6"/>
  <c r="AI451" i="6"/>
  <c r="AH451" i="6"/>
  <c r="AG451" i="6"/>
  <c r="M40" i="6"/>
  <c r="U40" i="6"/>
  <c r="P40" i="6"/>
  <c r="O40" i="6"/>
  <c r="N40" i="6"/>
  <c r="P37" i="6"/>
  <c r="O37" i="6"/>
  <c r="N37" i="6"/>
  <c r="M37" i="6"/>
  <c r="U37" i="6"/>
  <c r="M175" i="4"/>
  <c r="AG82" i="4"/>
  <c r="X138" i="5"/>
  <c r="V139" i="5"/>
  <c r="AJ212" i="6"/>
  <c r="AI212" i="6"/>
  <c r="AG212" i="6"/>
  <c r="AH212" i="6"/>
  <c r="AD662" i="6"/>
  <c r="AF661" i="6"/>
  <c r="Z287" i="5"/>
  <c r="Y287" i="5"/>
  <c r="AB287" i="5"/>
  <c r="AA287" i="5"/>
  <c r="Z257" i="5" l="1"/>
  <c r="AA257" i="5"/>
  <c r="Y257" i="5"/>
  <c r="AB257" i="5"/>
  <c r="V259" i="5"/>
  <c r="X258" i="5"/>
  <c r="M176" i="4"/>
  <c r="AG83" i="4"/>
  <c r="AG572" i="6"/>
  <c r="AJ572" i="6"/>
  <c r="AH572" i="6"/>
  <c r="AI572" i="6"/>
  <c r="AH301" i="6"/>
  <c r="AG301" i="6"/>
  <c r="AJ301" i="6"/>
  <c r="AI301" i="6"/>
  <c r="AF541" i="6"/>
  <c r="AD542" i="6"/>
  <c r="AB109" i="5"/>
  <c r="AA109" i="5"/>
  <c r="Z109" i="5"/>
  <c r="Y109" i="5"/>
  <c r="AF723" i="6"/>
  <c r="AD724" i="6"/>
  <c r="AF363" i="6"/>
  <c r="AD364" i="6"/>
  <c r="V171" i="5"/>
  <c r="X170" i="5"/>
  <c r="AD484" i="6"/>
  <c r="AF483" i="6"/>
  <c r="X229" i="5"/>
  <c r="V230" i="5"/>
  <c r="AF273" i="6"/>
  <c r="AD274" i="6"/>
  <c r="AI182" i="6"/>
  <c r="AH182" i="6"/>
  <c r="AG182" i="6"/>
  <c r="AJ182" i="6"/>
  <c r="AF153" i="6"/>
  <c r="AD154" i="6"/>
  <c r="AB169" i="5"/>
  <c r="AA169" i="5"/>
  <c r="Z169" i="5"/>
  <c r="Y169" i="5"/>
  <c r="AF214" i="6"/>
  <c r="AD215" i="6"/>
  <c r="AF92" i="6"/>
  <c r="AD93" i="6"/>
  <c r="AJ272" i="6"/>
  <c r="AI272" i="6"/>
  <c r="AH272" i="6"/>
  <c r="AG272" i="6"/>
  <c r="AF694" i="6"/>
  <c r="AD695" i="6"/>
  <c r="AJ213" i="6"/>
  <c r="AI213" i="6"/>
  <c r="AH213" i="6"/>
  <c r="AG213" i="6"/>
  <c r="AH91" i="6"/>
  <c r="AJ91" i="6"/>
  <c r="AI91" i="6"/>
  <c r="AG91" i="6"/>
  <c r="AF453" i="6"/>
  <c r="AD454" i="6"/>
  <c r="AF573" i="6"/>
  <c r="AD574" i="6"/>
  <c r="AD184" i="6"/>
  <c r="AF183" i="6"/>
  <c r="L176" i="4"/>
  <c r="AG35" i="4"/>
  <c r="AD393" i="6"/>
  <c r="AF392" i="6"/>
  <c r="N175" i="4"/>
  <c r="AG130" i="4"/>
  <c r="AJ752" i="6"/>
  <c r="AI752" i="6"/>
  <c r="AG752" i="6"/>
  <c r="AH752" i="6"/>
  <c r="AH243" i="6"/>
  <c r="AJ243" i="6"/>
  <c r="AI243" i="6"/>
  <c r="AG243" i="6"/>
  <c r="AI25" i="3"/>
  <c r="AE26" i="3"/>
  <c r="AI632" i="6"/>
  <c r="AH632" i="6"/>
  <c r="AJ632" i="6"/>
  <c r="AG632" i="6"/>
  <c r="AJ693" i="6"/>
  <c r="AI693" i="6"/>
  <c r="AH693" i="6"/>
  <c r="AG693" i="6"/>
  <c r="Y78" i="5"/>
  <c r="AB78" i="5"/>
  <c r="AA78" i="5"/>
  <c r="Z78" i="5"/>
  <c r="AD513" i="6"/>
  <c r="AF512" i="6"/>
  <c r="V201" i="5"/>
  <c r="X200" i="5"/>
  <c r="Y228" i="5"/>
  <c r="AB228" i="5"/>
  <c r="Z228" i="5"/>
  <c r="AA228" i="5"/>
  <c r="AD754" i="6"/>
  <c r="AF753" i="6"/>
  <c r="AF244" i="6"/>
  <c r="AD245" i="6"/>
  <c r="AD634" i="6"/>
  <c r="AF633" i="6"/>
  <c r="X79" i="5"/>
  <c r="V80" i="5"/>
  <c r="Y131" i="4"/>
  <c r="U132" i="4"/>
  <c r="AJ661" i="6"/>
  <c r="AI661" i="6"/>
  <c r="AH661" i="6"/>
  <c r="AG661" i="6"/>
  <c r="P38" i="6"/>
  <c r="O38" i="6"/>
  <c r="N38" i="6"/>
  <c r="M38" i="6"/>
  <c r="U38" i="6"/>
  <c r="AG511" i="6"/>
  <c r="AH511" i="6"/>
  <c r="AJ511" i="6"/>
  <c r="AI511" i="6"/>
  <c r="AB199" i="5"/>
  <c r="AA199" i="5"/>
  <c r="Z199" i="5"/>
  <c r="Y199" i="5"/>
  <c r="AD425" i="6"/>
  <c r="AF424" i="6"/>
  <c r="AH121" i="6"/>
  <c r="AI121" i="6"/>
  <c r="AJ121" i="6"/>
  <c r="AG121" i="6"/>
  <c r="AJ482" i="6"/>
  <c r="AI482" i="6"/>
  <c r="AH482" i="6"/>
  <c r="AG482" i="6"/>
  <c r="V290" i="5"/>
  <c r="X289" i="5"/>
  <c r="AH61" i="6"/>
  <c r="AG61" i="6"/>
  <c r="AJ61" i="6"/>
  <c r="AI61" i="6"/>
  <c r="AD333" i="6"/>
  <c r="AF332" i="6"/>
  <c r="AJ423" i="6"/>
  <c r="AG423" i="6"/>
  <c r="AI423" i="6"/>
  <c r="AH423" i="6"/>
  <c r="AD123" i="6"/>
  <c r="AF122" i="6"/>
  <c r="AI452" i="6"/>
  <c r="AH452" i="6"/>
  <c r="AG452" i="6"/>
  <c r="AJ452" i="6"/>
  <c r="AI152" i="6"/>
  <c r="AJ152" i="6"/>
  <c r="AH152" i="6"/>
  <c r="AG152" i="6"/>
  <c r="X139" i="5"/>
  <c r="V140" i="5"/>
  <c r="Y138" i="5"/>
  <c r="Z138" i="5"/>
  <c r="AA138" i="5"/>
  <c r="AB138" i="5"/>
  <c r="U37" i="4"/>
  <c r="Y36" i="4"/>
  <c r="AG391" i="6"/>
  <c r="AJ391" i="6"/>
  <c r="AI391" i="6"/>
  <c r="AH391" i="6"/>
  <c r="AB288" i="5"/>
  <c r="AA288" i="5"/>
  <c r="Y288" i="5"/>
  <c r="Z288" i="5"/>
  <c r="AD63" i="6"/>
  <c r="AF62" i="6"/>
  <c r="AF662" i="6"/>
  <c r="AD663" i="6"/>
  <c r="U85" i="4"/>
  <c r="Y84" i="4"/>
  <c r="AH331" i="6"/>
  <c r="AG331" i="6"/>
  <c r="AJ331" i="6"/>
  <c r="AI331" i="6"/>
  <c r="AI601" i="6"/>
  <c r="AG601" i="6"/>
  <c r="AJ601" i="6"/>
  <c r="AH601" i="6"/>
  <c r="X49" i="5"/>
  <c r="V50" i="5"/>
  <c r="AD303" i="6"/>
  <c r="AF302" i="6"/>
  <c r="AJ540" i="6"/>
  <c r="AI540" i="6"/>
  <c r="AG540" i="6"/>
  <c r="AH540" i="6"/>
  <c r="V111" i="5"/>
  <c r="X110" i="5"/>
  <c r="AI722" i="6"/>
  <c r="AH722" i="6"/>
  <c r="AG722" i="6"/>
  <c r="AJ722" i="6"/>
  <c r="AI362" i="6"/>
  <c r="AG362" i="6"/>
  <c r="AJ362" i="6"/>
  <c r="AH362" i="6"/>
  <c r="AF602" i="6"/>
  <c r="AD603" i="6"/>
  <c r="Y48" i="5"/>
  <c r="AB48" i="5"/>
  <c r="AA48" i="5"/>
  <c r="Z48" i="5"/>
  <c r="Z258" i="5" l="1"/>
  <c r="AA258" i="5"/>
  <c r="Y258" i="5"/>
  <c r="AB258" i="5"/>
  <c r="V260" i="5"/>
  <c r="X259" i="5"/>
  <c r="AF63" i="6"/>
  <c r="AD64" i="6"/>
  <c r="Y37" i="4"/>
  <c r="U38" i="4"/>
  <c r="AJ633" i="6"/>
  <c r="AI633" i="6"/>
  <c r="AH633" i="6"/>
  <c r="AG633" i="6"/>
  <c r="AD575" i="6"/>
  <c r="AF574" i="6"/>
  <c r="AD216" i="6"/>
  <c r="AF215" i="6"/>
  <c r="AD365" i="6"/>
  <c r="AF364" i="6"/>
  <c r="AJ302" i="6"/>
  <c r="AI302" i="6"/>
  <c r="AH302" i="6"/>
  <c r="AG302" i="6"/>
  <c r="AI332" i="6"/>
  <c r="AJ332" i="6"/>
  <c r="AH332" i="6"/>
  <c r="AG332" i="6"/>
  <c r="AF634" i="6"/>
  <c r="AD635" i="6"/>
  <c r="AJ573" i="6"/>
  <c r="AG573" i="6"/>
  <c r="AI573" i="6"/>
  <c r="AH573" i="6"/>
  <c r="AH214" i="6"/>
  <c r="AG214" i="6"/>
  <c r="AJ214" i="6"/>
  <c r="AI214" i="6"/>
  <c r="AH363" i="6"/>
  <c r="AG363" i="6"/>
  <c r="AJ363" i="6"/>
  <c r="AI363" i="6"/>
  <c r="AE27" i="3"/>
  <c r="AI26" i="3"/>
  <c r="AD455" i="6"/>
  <c r="AF454" i="6"/>
  <c r="AD696" i="6"/>
  <c r="AF695" i="6"/>
  <c r="AF274" i="6"/>
  <c r="AD275" i="6"/>
  <c r="AD725" i="6"/>
  <c r="AF724" i="6"/>
  <c r="AH273" i="6"/>
  <c r="AG273" i="6"/>
  <c r="AJ273" i="6"/>
  <c r="AI273" i="6"/>
  <c r="AI723" i="6"/>
  <c r="AH723" i="6"/>
  <c r="AG723" i="6"/>
  <c r="AJ723" i="6"/>
  <c r="M177" i="4"/>
  <c r="AG84" i="4"/>
  <c r="V141" i="5"/>
  <c r="X140" i="5"/>
  <c r="AH122" i="6"/>
  <c r="AJ122" i="6"/>
  <c r="AI122" i="6"/>
  <c r="AG122" i="6"/>
  <c r="X201" i="5"/>
  <c r="V202" i="5"/>
  <c r="AD394" i="6"/>
  <c r="AF393" i="6"/>
  <c r="AB229" i="5"/>
  <c r="AA229" i="5"/>
  <c r="Z229" i="5"/>
  <c r="Y229" i="5"/>
  <c r="AD334" i="6"/>
  <c r="AF333" i="6"/>
  <c r="AI392" i="6"/>
  <c r="AG392" i="6"/>
  <c r="AH392" i="6"/>
  <c r="AJ392" i="6"/>
  <c r="Y132" i="4"/>
  <c r="U133" i="4"/>
  <c r="AF245" i="6"/>
  <c r="AD246" i="6"/>
  <c r="AG512" i="6"/>
  <c r="AJ512" i="6"/>
  <c r="AI512" i="6"/>
  <c r="AH512" i="6"/>
  <c r="AF154" i="6"/>
  <c r="AD155" i="6"/>
  <c r="AG483" i="6"/>
  <c r="AJ483" i="6"/>
  <c r="AI483" i="6"/>
  <c r="AH483" i="6"/>
  <c r="Y85" i="4"/>
  <c r="U86" i="4"/>
  <c r="AB139" i="5"/>
  <c r="AA139" i="5"/>
  <c r="Z139" i="5"/>
  <c r="Y139" i="5"/>
  <c r="AD124" i="6"/>
  <c r="AF123" i="6"/>
  <c r="AD604" i="6"/>
  <c r="AF603" i="6"/>
  <c r="AB110" i="5"/>
  <c r="AA110" i="5"/>
  <c r="Z110" i="5"/>
  <c r="Y110" i="5"/>
  <c r="AB289" i="5"/>
  <c r="Z289" i="5"/>
  <c r="Y289" i="5"/>
  <c r="AA289" i="5"/>
  <c r="AI424" i="6"/>
  <c r="AH424" i="6"/>
  <c r="AG424" i="6"/>
  <c r="AJ424" i="6"/>
  <c r="AF513" i="6"/>
  <c r="AD514" i="6"/>
  <c r="AH153" i="6"/>
  <c r="AJ153" i="6"/>
  <c r="AG153" i="6"/>
  <c r="AI153" i="6"/>
  <c r="AD485" i="6"/>
  <c r="AF484" i="6"/>
  <c r="AJ453" i="6"/>
  <c r="AI453" i="6"/>
  <c r="AH453" i="6"/>
  <c r="AG453" i="6"/>
  <c r="AH694" i="6"/>
  <c r="AI694" i="6"/>
  <c r="AG694" i="6"/>
  <c r="AJ694" i="6"/>
  <c r="AF303" i="6"/>
  <c r="AD304" i="6"/>
  <c r="AA200" i="5"/>
  <c r="AB200" i="5"/>
  <c r="Z200" i="5"/>
  <c r="Y200" i="5"/>
  <c r="V231" i="5"/>
  <c r="X230" i="5"/>
  <c r="V51" i="5"/>
  <c r="X50" i="5"/>
  <c r="AB49" i="5"/>
  <c r="AA49" i="5"/>
  <c r="Z49" i="5"/>
  <c r="Y49" i="5"/>
  <c r="AJ244" i="6"/>
  <c r="AI244" i="6"/>
  <c r="AH244" i="6"/>
  <c r="AG244" i="6"/>
  <c r="X111" i="5"/>
  <c r="V112" i="5"/>
  <c r="AI662" i="6"/>
  <c r="AH662" i="6"/>
  <c r="AJ662" i="6"/>
  <c r="AG662" i="6"/>
  <c r="X290" i="5"/>
  <c r="V291" i="5"/>
  <c r="AD426" i="6"/>
  <c r="AF425" i="6"/>
  <c r="V81" i="5"/>
  <c r="X80" i="5"/>
  <c r="AI753" i="6"/>
  <c r="AH753" i="6"/>
  <c r="AG753" i="6"/>
  <c r="AJ753" i="6"/>
  <c r="AH183" i="6"/>
  <c r="AJ183" i="6"/>
  <c r="AI183" i="6"/>
  <c r="AG183" i="6"/>
  <c r="AF93" i="6"/>
  <c r="AD94" i="6"/>
  <c r="AA170" i="5"/>
  <c r="AB170" i="5"/>
  <c r="Z170" i="5"/>
  <c r="Y170" i="5"/>
  <c r="AD543" i="6"/>
  <c r="AF542" i="6"/>
  <c r="AF663" i="6"/>
  <c r="AD664" i="6"/>
  <c r="N176" i="4"/>
  <c r="AG131" i="4"/>
  <c r="AH602" i="6"/>
  <c r="AI602" i="6"/>
  <c r="AJ602" i="6"/>
  <c r="AG602" i="6"/>
  <c r="AJ62" i="6"/>
  <c r="AI62" i="6"/>
  <c r="AH62" i="6"/>
  <c r="AG62" i="6"/>
  <c r="L177" i="4"/>
  <c r="AG36" i="4"/>
  <c r="AB79" i="5"/>
  <c r="AA79" i="5"/>
  <c r="Z79" i="5"/>
  <c r="Y79" i="5"/>
  <c r="AF754" i="6"/>
  <c r="AD755" i="6"/>
  <c r="AF184" i="6"/>
  <c r="AD185" i="6"/>
  <c r="AJ92" i="6"/>
  <c r="AI92" i="6"/>
  <c r="AH92" i="6"/>
  <c r="AG92" i="6"/>
  <c r="X171" i="5"/>
  <c r="V172" i="5"/>
  <c r="AG541" i="6"/>
  <c r="AI541" i="6"/>
  <c r="AJ541" i="6"/>
  <c r="AH541" i="6"/>
  <c r="AB259" i="5" l="1"/>
  <c r="Y259" i="5"/>
  <c r="AA259" i="5"/>
  <c r="Z259" i="5"/>
  <c r="X260" i="5"/>
  <c r="V261" i="5"/>
  <c r="X291" i="5"/>
  <c r="V292" i="5"/>
  <c r="AD515" i="6"/>
  <c r="AF514" i="6"/>
  <c r="X202" i="5"/>
  <c r="V203" i="5"/>
  <c r="AF275" i="6"/>
  <c r="AD276" i="6"/>
  <c r="AJ663" i="6"/>
  <c r="AI663" i="6"/>
  <c r="AG663" i="6"/>
  <c r="AH663" i="6"/>
  <c r="Y290" i="5"/>
  <c r="AB290" i="5"/>
  <c r="AA290" i="5"/>
  <c r="Z290" i="5"/>
  <c r="Y86" i="4"/>
  <c r="U87" i="4"/>
  <c r="AG333" i="6"/>
  <c r="AH333" i="6"/>
  <c r="AJ333" i="6"/>
  <c r="AI333" i="6"/>
  <c r="AJ695" i="6"/>
  <c r="AI695" i="6"/>
  <c r="AH695" i="6"/>
  <c r="AG695" i="6"/>
  <c r="AD335" i="6"/>
  <c r="AF334" i="6"/>
  <c r="AF696" i="6"/>
  <c r="AD697" i="6"/>
  <c r="AD427" i="6"/>
  <c r="AF426" i="6"/>
  <c r="X231" i="5"/>
  <c r="V232" i="5"/>
  <c r="AJ542" i="6"/>
  <c r="AI542" i="6"/>
  <c r="AG542" i="6"/>
  <c r="AH542" i="6"/>
  <c r="AJ754" i="6"/>
  <c r="AI754" i="6"/>
  <c r="AG754" i="6"/>
  <c r="AH754" i="6"/>
  <c r="M178" i="4"/>
  <c r="AG85" i="4"/>
  <c r="AD305" i="6"/>
  <c r="AF304" i="6"/>
  <c r="AH484" i="6"/>
  <c r="AJ484" i="6"/>
  <c r="AI484" i="6"/>
  <c r="AG484" i="6"/>
  <c r="AJ603" i="6"/>
  <c r="AG603" i="6"/>
  <c r="AI603" i="6"/>
  <c r="AH603" i="6"/>
  <c r="AF246" i="6"/>
  <c r="AD247" i="6"/>
  <c r="AJ454" i="6"/>
  <c r="AH454" i="6"/>
  <c r="AG454" i="6"/>
  <c r="AI454" i="6"/>
  <c r="AD636" i="6"/>
  <c r="AF635" i="6"/>
  <c r="AI364" i="6"/>
  <c r="AJ364" i="6"/>
  <c r="AH364" i="6"/>
  <c r="AG364" i="6"/>
  <c r="AH303" i="6"/>
  <c r="AG303" i="6"/>
  <c r="AJ303" i="6"/>
  <c r="AI303" i="6"/>
  <c r="AD486" i="6"/>
  <c r="AF485" i="6"/>
  <c r="AF604" i="6"/>
  <c r="AD605" i="6"/>
  <c r="AH245" i="6"/>
  <c r="AG245" i="6"/>
  <c r="AJ245" i="6"/>
  <c r="AI245" i="6"/>
  <c r="AF455" i="6"/>
  <c r="AD456" i="6"/>
  <c r="AG634" i="6"/>
  <c r="AJ634" i="6"/>
  <c r="AI634" i="6"/>
  <c r="AH634" i="6"/>
  <c r="AD366" i="6"/>
  <c r="AF365" i="6"/>
  <c r="AH123" i="6"/>
  <c r="AJ123" i="6"/>
  <c r="AI123" i="6"/>
  <c r="AG123" i="6"/>
  <c r="U134" i="4"/>
  <c r="Y133" i="4"/>
  <c r="AB140" i="5"/>
  <c r="AA140" i="5"/>
  <c r="Y140" i="5"/>
  <c r="Z140" i="5"/>
  <c r="AJ215" i="6"/>
  <c r="AI215" i="6"/>
  <c r="AH215" i="6"/>
  <c r="AG215" i="6"/>
  <c r="Y38" i="4"/>
  <c r="U39" i="4"/>
  <c r="AJ184" i="6"/>
  <c r="AI184" i="6"/>
  <c r="AH184" i="6"/>
  <c r="AG184" i="6"/>
  <c r="AD756" i="6"/>
  <c r="AF755" i="6"/>
  <c r="AF543" i="6"/>
  <c r="AD544" i="6"/>
  <c r="AG513" i="6"/>
  <c r="AJ513" i="6"/>
  <c r="AI513" i="6"/>
  <c r="AH513" i="6"/>
  <c r="X172" i="5"/>
  <c r="V173" i="5"/>
  <c r="Y171" i="5"/>
  <c r="Z171" i="5"/>
  <c r="AB171" i="5"/>
  <c r="AA171" i="5"/>
  <c r="AD95" i="6"/>
  <c r="AF94" i="6"/>
  <c r="AB80" i="5"/>
  <c r="AA80" i="5"/>
  <c r="Z80" i="5"/>
  <c r="Y80" i="5"/>
  <c r="X112" i="5"/>
  <c r="V113" i="5"/>
  <c r="AA50" i="5"/>
  <c r="AB50" i="5"/>
  <c r="Z50" i="5"/>
  <c r="Y50" i="5"/>
  <c r="AH93" i="6"/>
  <c r="AJ93" i="6"/>
  <c r="AI93" i="6"/>
  <c r="AG93" i="6"/>
  <c r="X81" i="5"/>
  <c r="V82" i="5"/>
  <c r="AB111" i="5"/>
  <c r="AA111" i="5"/>
  <c r="Z111" i="5"/>
  <c r="Y111" i="5"/>
  <c r="X51" i="5"/>
  <c r="V52" i="5"/>
  <c r="AD125" i="6"/>
  <c r="AF124" i="6"/>
  <c r="AG132" i="4"/>
  <c r="N177" i="4"/>
  <c r="X141" i="5"/>
  <c r="V142" i="5"/>
  <c r="AE28" i="3"/>
  <c r="AI27" i="3"/>
  <c r="AD217" i="6"/>
  <c r="AF216" i="6"/>
  <c r="L178" i="4"/>
  <c r="AG37" i="4"/>
  <c r="AA201" i="5"/>
  <c r="Z201" i="5"/>
  <c r="Y201" i="5"/>
  <c r="AB201" i="5"/>
  <c r="AJ274" i="6"/>
  <c r="AI274" i="6"/>
  <c r="AH274" i="6"/>
  <c r="AG274" i="6"/>
  <c r="AF185" i="6"/>
  <c r="AD186" i="6"/>
  <c r="AF664" i="6"/>
  <c r="AD665" i="6"/>
  <c r="AJ425" i="6"/>
  <c r="AI425" i="6"/>
  <c r="AG425" i="6"/>
  <c r="AH425" i="6"/>
  <c r="AA230" i="5"/>
  <c r="AB230" i="5"/>
  <c r="Z230" i="5"/>
  <c r="Y230" i="5"/>
  <c r="AF155" i="6"/>
  <c r="AD156" i="6"/>
  <c r="AJ393" i="6"/>
  <c r="AI393" i="6"/>
  <c r="AH393" i="6"/>
  <c r="AG393" i="6"/>
  <c r="AI724" i="6"/>
  <c r="AH724" i="6"/>
  <c r="AG724" i="6"/>
  <c r="AJ724" i="6"/>
  <c r="AG574" i="6"/>
  <c r="AJ574" i="6"/>
  <c r="AI574" i="6"/>
  <c r="AH574" i="6"/>
  <c r="AD65" i="6"/>
  <c r="AF64" i="6"/>
  <c r="AJ154" i="6"/>
  <c r="AI154" i="6"/>
  <c r="AH154" i="6"/>
  <c r="AG154" i="6"/>
  <c r="AD395" i="6"/>
  <c r="AF394" i="6"/>
  <c r="AD726" i="6"/>
  <c r="AF725" i="6"/>
  <c r="AD576" i="6"/>
  <c r="AF575" i="6"/>
  <c r="AH63" i="6"/>
  <c r="AG63" i="6"/>
  <c r="AJ63" i="6"/>
  <c r="AI63" i="6"/>
  <c r="X261" i="5" l="1"/>
  <c r="V262" i="5"/>
  <c r="Y260" i="5"/>
  <c r="AB260" i="5"/>
  <c r="AA260" i="5"/>
  <c r="Z260" i="5"/>
  <c r="X232" i="5"/>
  <c r="V233" i="5"/>
  <c r="AD606" i="6"/>
  <c r="AF605" i="6"/>
  <c r="AD218" i="6"/>
  <c r="AF217" i="6"/>
  <c r="AA51" i="5"/>
  <c r="Z51" i="5"/>
  <c r="Y51" i="5"/>
  <c r="AB51" i="5"/>
  <c r="AG604" i="6"/>
  <c r="AI604" i="6"/>
  <c r="AH604" i="6"/>
  <c r="AJ604" i="6"/>
  <c r="AB231" i="5"/>
  <c r="AA231" i="5"/>
  <c r="Z231" i="5"/>
  <c r="Y231" i="5"/>
  <c r="AG133" i="4"/>
  <c r="N178" i="4"/>
  <c r="AG485" i="6"/>
  <c r="AJ485" i="6"/>
  <c r="AI485" i="6"/>
  <c r="AH485" i="6"/>
  <c r="AJ635" i="6"/>
  <c r="AI635" i="6"/>
  <c r="AH635" i="6"/>
  <c r="AG635" i="6"/>
  <c r="AI426" i="6"/>
  <c r="AH426" i="6"/>
  <c r="AG426" i="6"/>
  <c r="AJ426" i="6"/>
  <c r="AF276" i="6"/>
  <c r="AD277" i="6"/>
  <c r="Y39" i="4"/>
  <c r="U40" i="4"/>
  <c r="AD577" i="6"/>
  <c r="AF576" i="6"/>
  <c r="AF65" i="6"/>
  <c r="AD66" i="6"/>
  <c r="AI28" i="3"/>
  <c r="O67" i="1" s="1"/>
  <c r="O68" i="1"/>
  <c r="AA29" i="3"/>
  <c r="AE29" i="3" s="1"/>
  <c r="AF95" i="6"/>
  <c r="AD96" i="6"/>
  <c r="L179" i="4"/>
  <c r="AG38" i="4"/>
  <c r="Y134" i="4"/>
  <c r="U135" i="4"/>
  <c r="AD487" i="6"/>
  <c r="AF486" i="6"/>
  <c r="AF636" i="6"/>
  <c r="AD637" i="6"/>
  <c r="AF427" i="6"/>
  <c r="AD428" i="6"/>
  <c r="AH275" i="6"/>
  <c r="AG275" i="6"/>
  <c r="AJ275" i="6"/>
  <c r="AI275" i="6"/>
  <c r="AD545" i="6"/>
  <c r="AF544" i="6"/>
  <c r="AD457" i="6"/>
  <c r="AF456" i="6"/>
  <c r="AD698" i="6"/>
  <c r="AF697" i="6"/>
  <c r="V204" i="5"/>
  <c r="X203" i="5"/>
  <c r="AJ216" i="6"/>
  <c r="AI216" i="6"/>
  <c r="AH216" i="6"/>
  <c r="AG216" i="6"/>
  <c r="AJ64" i="6"/>
  <c r="AI64" i="6"/>
  <c r="AH64" i="6"/>
  <c r="AG64" i="6"/>
  <c r="AA141" i="5"/>
  <c r="AB141" i="5"/>
  <c r="Z141" i="5"/>
  <c r="Y141" i="5"/>
  <c r="AJ455" i="6"/>
  <c r="AI455" i="6"/>
  <c r="AH455" i="6"/>
  <c r="AG455" i="6"/>
  <c r="AH696" i="6"/>
  <c r="AJ696" i="6"/>
  <c r="AI696" i="6"/>
  <c r="AG696" i="6"/>
  <c r="AA202" i="5"/>
  <c r="Z202" i="5"/>
  <c r="Y202" i="5"/>
  <c r="AB202" i="5"/>
  <c r="AJ94" i="6"/>
  <c r="AI94" i="6"/>
  <c r="AH94" i="6"/>
  <c r="AG94" i="6"/>
  <c r="AJ725" i="6"/>
  <c r="AI725" i="6"/>
  <c r="AH725" i="6"/>
  <c r="AG725" i="6"/>
  <c r="X142" i="5"/>
  <c r="V143" i="5"/>
  <c r="AG543" i="6"/>
  <c r="AJ543" i="6"/>
  <c r="AI543" i="6"/>
  <c r="AH543" i="6"/>
  <c r="AI394" i="6"/>
  <c r="AG394" i="6"/>
  <c r="AJ394" i="6"/>
  <c r="AH394" i="6"/>
  <c r="AF156" i="6"/>
  <c r="AD157" i="6"/>
  <c r="AD666" i="6"/>
  <c r="AF665" i="6"/>
  <c r="X82" i="5"/>
  <c r="V83" i="5"/>
  <c r="V114" i="5"/>
  <c r="X113" i="5"/>
  <c r="AI755" i="6"/>
  <c r="AH755" i="6"/>
  <c r="AG755" i="6"/>
  <c r="AJ755" i="6"/>
  <c r="AI334" i="6"/>
  <c r="AG334" i="6"/>
  <c r="AH334" i="6"/>
  <c r="AJ334" i="6"/>
  <c r="Y87" i="4"/>
  <c r="U88" i="4"/>
  <c r="AG514" i="6"/>
  <c r="AH514" i="6"/>
  <c r="AJ514" i="6"/>
  <c r="AI514" i="6"/>
  <c r="AD727" i="6"/>
  <c r="AF726" i="6"/>
  <c r="AD396" i="6"/>
  <c r="AF395" i="6"/>
  <c r="AH155" i="6"/>
  <c r="AG155" i="6"/>
  <c r="AJ155" i="6"/>
  <c r="AI155" i="6"/>
  <c r="AI664" i="6"/>
  <c r="AH664" i="6"/>
  <c r="AG664" i="6"/>
  <c r="AJ664" i="6"/>
  <c r="AB81" i="5"/>
  <c r="AA81" i="5"/>
  <c r="Z81" i="5"/>
  <c r="Y81" i="5"/>
  <c r="AA112" i="5"/>
  <c r="Z112" i="5"/>
  <c r="Y112" i="5"/>
  <c r="AB112" i="5"/>
  <c r="AF756" i="6"/>
  <c r="AD757" i="6"/>
  <c r="AD336" i="6"/>
  <c r="AF335" i="6"/>
  <c r="M179" i="4"/>
  <c r="AG86" i="4"/>
  <c r="AF515" i="6"/>
  <c r="AD516" i="6"/>
  <c r="AG365" i="6"/>
  <c r="AJ365" i="6"/>
  <c r="AI365" i="6"/>
  <c r="AH365" i="6"/>
  <c r="AF247" i="6"/>
  <c r="AD248" i="6"/>
  <c r="AJ304" i="6"/>
  <c r="AI304" i="6"/>
  <c r="AG304" i="6"/>
  <c r="AH304" i="6"/>
  <c r="V293" i="5"/>
  <c r="X292" i="5"/>
  <c r="X52" i="5"/>
  <c r="V53" i="5"/>
  <c r="AJ575" i="6"/>
  <c r="AI575" i="6"/>
  <c r="AH575" i="6"/>
  <c r="AG575" i="6"/>
  <c r="AF186" i="6"/>
  <c r="AD187" i="6"/>
  <c r="AJ124" i="6"/>
  <c r="AI124" i="6"/>
  <c r="AH124" i="6"/>
  <c r="AG124" i="6"/>
  <c r="V174" i="5"/>
  <c r="X173" i="5"/>
  <c r="AH185" i="6"/>
  <c r="AG185" i="6"/>
  <c r="AJ185" i="6"/>
  <c r="AI185" i="6"/>
  <c r="AF125" i="6"/>
  <c r="AD126" i="6"/>
  <c r="AA172" i="5"/>
  <c r="Z172" i="5"/>
  <c r="Y172" i="5"/>
  <c r="AB172" i="5"/>
  <c r="AD367" i="6"/>
  <c r="AF366" i="6"/>
  <c r="AG246" i="6"/>
  <c r="AJ246" i="6"/>
  <c r="AH246" i="6"/>
  <c r="AI246" i="6"/>
  <c r="AF305" i="6"/>
  <c r="AD306" i="6"/>
  <c r="AB291" i="5"/>
  <c r="AA291" i="5"/>
  <c r="Z291" i="5"/>
  <c r="Y291" i="5"/>
  <c r="V263" i="5" l="1"/>
  <c r="X262" i="5"/>
  <c r="AB261" i="5"/>
  <c r="Z261" i="5"/>
  <c r="Y261" i="5"/>
  <c r="AA261" i="5"/>
  <c r="AA30" i="3"/>
  <c r="AJ217" i="6"/>
  <c r="AI217" i="6"/>
  <c r="AH217" i="6"/>
  <c r="AG217" i="6"/>
  <c r="AG276" i="6"/>
  <c r="AJ276" i="6"/>
  <c r="AI276" i="6"/>
  <c r="AH276" i="6"/>
  <c r="AF218" i="6"/>
  <c r="AD219" i="6"/>
  <c r="AG605" i="6"/>
  <c r="AJ605" i="6"/>
  <c r="AI605" i="6"/>
  <c r="AH605" i="6"/>
  <c r="AF487" i="6"/>
  <c r="AD488" i="6"/>
  <c r="AF606" i="6"/>
  <c r="AD607" i="6"/>
  <c r="AI456" i="6"/>
  <c r="AH456" i="6"/>
  <c r="AG456" i="6"/>
  <c r="AJ456" i="6"/>
  <c r="AH305" i="6"/>
  <c r="AG305" i="6"/>
  <c r="AI305" i="6"/>
  <c r="AJ305" i="6"/>
  <c r="AA292" i="5"/>
  <c r="Y292" i="5"/>
  <c r="AB292" i="5"/>
  <c r="Z292" i="5"/>
  <c r="AJ156" i="6"/>
  <c r="AG156" i="6"/>
  <c r="AI156" i="6"/>
  <c r="AH156" i="6"/>
  <c r="AD188" i="6"/>
  <c r="AF187" i="6"/>
  <c r="U136" i="4"/>
  <c r="Y135" i="4"/>
  <c r="AD67" i="6"/>
  <c r="AF66" i="6"/>
  <c r="AB29" i="3"/>
  <c r="AC29" i="3"/>
  <c r="AG515" i="6"/>
  <c r="AJ515" i="6"/>
  <c r="AI515" i="6"/>
  <c r="AH515" i="6"/>
  <c r="N179" i="4"/>
  <c r="AG134" i="4"/>
  <c r="AH65" i="6"/>
  <c r="AG65" i="6"/>
  <c r="AI65" i="6"/>
  <c r="AJ65" i="6"/>
  <c r="AF306" i="6"/>
  <c r="AD307" i="6"/>
  <c r="AA52" i="5"/>
  <c r="Z52" i="5"/>
  <c r="Y52" i="5"/>
  <c r="AB52" i="5"/>
  <c r="AD728" i="6"/>
  <c r="AF727" i="6"/>
  <c r="AF457" i="6"/>
  <c r="AD458" i="6"/>
  <c r="V144" i="5"/>
  <c r="X143" i="5"/>
  <c r="AJ544" i="6"/>
  <c r="AI544" i="6"/>
  <c r="AH544" i="6"/>
  <c r="AG544" i="6"/>
  <c r="AH125" i="6"/>
  <c r="AG125" i="6"/>
  <c r="AI125" i="6"/>
  <c r="AJ125" i="6"/>
  <c r="AA142" i="5"/>
  <c r="Z142" i="5"/>
  <c r="Y142" i="5"/>
  <c r="AB142" i="5"/>
  <c r="AI186" i="6"/>
  <c r="AG186" i="6"/>
  <c r="AJ186" i="6"/>
  <c r="AH186" i="6"/>
  <c r="AI366" i="6"/>
  <c r="AJ366" i="6"/>
  <c r="AH366" i="6"/>
  <c r="AG366" i="6"/>
  <c r="Y88" i="4"/>
  <c r="U89" i="4"/>
  <c r="Z113" i="5"/>
  <c r="AB113" i="5"/>
  <c r="AA113" i="5"/>
  <c r="Y113" i="5"/>
  <c r="AB203" i="5"/>
  <c r="Z203" i="5"/>
  <c r="AA203" i="5"/>
  <c r="Y203" i="5"/>
  <c r="AI576" i="6"/>
  <c r="AG576" i="6"/>
  <c r="AJ576" i="6"/>
  <c r="AH576" i="6"/>
  <c r="AG756" i="6"/>
  <c r="AJ756" i="6"/>
  <c r="AI756" i="6"/>
  <c r="AH756" i="6"/>
  <c r="AF666" i="6"/>
  <c r="AD667" i="6"/>
  <c r="AG636" i="6"/>
  <c r="AH636" i="6"/>
  <c r="AI636" i="6"/>
  <c r="AJ636" i="6"/>
  <c r="V115" i="5"/>
  <c r="X114" i="5"/>
  <c r="V205" i="5"/>
  <c r="X204" i="5"/>
  <c r="AD578" i="6"/>
  <c r="AF577" i="6"/>
  <c r="V54" i="5"/>
  <c r="X53" i="5"/>
  <c r="AD758" i="6"/>
  <c r="AF757" i="6"/>
  <c r="AI726" i="6"/>
  <c r="AH726" i="6"/>
  <c r="AG726" i="6"/>
  <c r="AJ726" i="6"/>
  <c r="AF277" i="6"/>
  <c r="AD278" i="6"/>
  <c r="AJ486" i="6"/>
  <c r="AI486" i="6"/>
  <c r="AH486" i="6"/>
  <c r="AG486" i="6"/>
  <c r="X293" i="5"/>
  <c r="V294" i="5"/>
  <c r="AF545" i="6"/>
  <c r="AD546" i="6"/>
  <c r="Z173" i="5"/>
  <c r="AB173" i="5"/>
  <c r="AA173" i="5"/>
  <c r="Y173" i="5"/>
  <c r="AD249" i="6"/>
  <c r="AF248" i="6"/>
  <c r="AH335" i="6"/>
  <c r="AG335" i="6"/>
  <c r="AJ335" i="6"/>
  <c r="AI335" i="6"/>
  <c r="AG395" i="6"/>
  <c r="AH395" i="6"/>
  <c r="AJ395" i="6"/>
  <c r="AI395" i="6"/>
  <c r="V84" i="5"/>
  <c r="X83" i="5"/>
  <c r="AH697" i="6"/>
  <c r="AG697" i="6"/>
  <c r="AJ697" i="6"/>
  <c r="AI697" i="6"/>
  <c r="AD429" i="6"/>
  <c r="AF428" i="6"/>
  <c r="AF96" i="6"/>
  <c r="AD97" i="6"/>
  <c r="Y40" i="4"/>
  <c r="U41" i="4"/>
  <c r="V234" i="5"/>
  <c r="X233" i="5"/>
  <c r="AJ665" i="6"/>
  <c r="AI665" i="6"/>
  <c r="AH665" i="6"/>
  <c r="AG665" i="6"/>
  <c r="AD638" i="6"/>
  <c r="AF637" i="6"/>
  <c r="AF126" i="6"/>
  <c r="AD127" i="6"/>
  <c r="AF157" i="6"/>
  <c r="AD158" i="6"/>
  <c r="AD517" i="6"/>
  <c r="AF516" i="6"/>
  <c r="AF367" i="6"/>
  <c r="AD368" i="6"/>
  <c r="AG87" i="4"/>
  <c r="M180" i="4"/>
  <c r="V175" i="5"/>
  <c r="X174" i="5"/>
  <c r="AH247" i="6"/>
  <c r="AG247" i="6"/>
  <c r="AI247" i="6"/>
  <c r="AJ247" i="6"/>
  <c r="AD337" i="6"/>
  <c r="AF336" i="6"/>
  <c r="AD397" i="6"/>
  <c r="AF396" i="6"/>
  <c r="AA82" i="5"/>
  <c r="Z82" i="5"/>
  <c r="Y82" i="5"/>
  <c r="AB82" i="5"/>
  <c r="AD699" i="6"/>
  <c r="AF698" i="6"/>
  <c r="AJ427" i="6"/>
  <c r="AH427" i="6"/>
  <c r="AI427" i="6"/>
  <c r="AG427" i="6"/>
  <c r="AH95" i="6"/>
  <c r="AG95" i="6"/>
  <c r="AJ95" i="6"/>
  <c r="AI95" i="6"/>
  <c r="L180" i="4"/>
  <c r="AG39" i="4"/>
  <c r="AA232" i="5"/>
  <c r="Z232" i="5"/>
  <c r="Y232" i="5"/>
  <c r="AB232" i="5"/>
  <c r="AB262" i="5" l="1"/>
  <c r="Z262" i="5"/>
  <c r="AA262" i="5"/>
  <c r="Y262" i="5"/>
  <c r="X263" i="5"/>
  <c r="V264" i="5"/>
  <c r="AD128" i="6"/>
  <c r="AF127" i="6"/>
  <c r="Y41" i="4"/>
  <c r="Q42" i="4"/>
  <c r="AB83" i="5"/>
  <c r="AA83" i="5"/>
  <c r="Z83" i="5"/>
  <c r="Y83" i="5"/>
  <c r="AI248" i="6"/>
  <c r="AH248" i="6"/>
  <c r="AG248" i="6"/>
  <c r="AJ248" i="6"/>
  <c r="AI757" i="6"/>
  <c r="AH757" i="6"/>
  <c r="AG757" i="6"/>
  <c r="AJ757" i="6"/>
  <c r="AB204" i="5"/>
  <c r="Z204" i="5"/>
  <c r="AA204" i="5"/>
  <c r="Y204" i="5"/>
  <c r="AB143" i="5"/>
  <c r="AA143" i="5"/>
  <c r="Z143" i="5"/>
  <c r="Y143" i="5"/>
  <c r="AF307" i="6"/>
  <c r="AD308" i="6"/>
  <c r="Y136" i="4"/>
  <c r="Q137" i="4"/>
  <c r="U137" i="4" s="1"/>
  <c r="AG606" i="6"/>
  <c r="AH606" i="6"/>
  <c r="AI606" i="6"/>
  <c r="AJ606" i="6"/>
  <c r="V145" i="5"/>
  <c r="X144" i="5"/>
  <c r="AG306" i="6"/>
  <c r="AH306" i="6"/>
  <c r="AI306" i="6"/>
  <c r="AJ306" i="6"/>
  <c r="AJ187" i="6"/>
  <c r="AH187" i="6"/>
  <c r="AI187" i="6"/>
  <c r="AG187" i="6"/>
  <c r="AD489" i="6"/>
  <c r="AF488" i="6"/>
  <c r="AD189" i="6"/>
  <c r="AF188" i="6"/>
  <c r="AG487" i="6"/>
  <c r="AJ487" i="6"/>
  <c r="AI487" i="6"/>
  <c r="AH487" i="6"/>
  <c r="AJ126" i="6"/>
  <c r="AG126" i="6"/>
  <c r="AI126" i="6"/>
  <c r="AH126" i="6"/>
  <c r="V85" i="5"/>
  <c r="X84" i="5"/>
  <c r="AF758" i="6"/>
  <c r="AD759" i="6"/>
  <c r="X205" i="5"/>
  <c r="V206" i="5"/>
  <c r="AD98" i="6"/>
  <c r="AF97" i="6"/>
  <c r="AB114" i="5"/>
  <c r="AA114" i="5"/>
  <c r="Z114" i="5"/>
  <c r="Y114" i="5"/>
  <c r="AF638" i="6"/>
  <c r="AD639" i="6"/>
  <c r="AJ96" i="6"/>
  <c r="AI96" i="6"/>
  <c r="AH96" i="6"/>
  <c r="AG96" i="6"/>
  <c r="AJ457" i="6"/>
  <c r="AI457" i="6"/>
  <c r="AH457" i="6"/>
  <c r="AG457" i="6"/>
  <c r="AG29" i="3"/>
  <c r="AB174" i="5"/>
  <c r="Z174" i="5"/>
  <c r="AA174" i="5"/>
  <c r="Y174" i="5"/>
  <c r="AJ637" i="6"/>
  <c r="AI637" i="6"/>
  <c r="AH637" i="6"/>
  <c r="AG637" i="6"/>
  <c r="Z53" i="5"/>
  <c r="AB53" i="5"/>
  <c r="AA53" i="5"/>
  <c r="Y53" i="5"/>
  <c r="AD459" i="6"/>
  <c r="AF458" i="6"/>
  <c r="AD398" i="6"/>
  <c r="AF397" i="6"/>
  <c r="V55" i="5"/>
  <c r="X54" i="5"/>
  <c r="X115" i="5"/>
  <c r="V116" i="5"/>
  <c r="AI336" i="6"/>
  <c r="AJ336" i="6"/>
  <c r="AH336" i="6"/>
  <c r="AG336" i="6"/>
  <c r="AD369" i="6"/>
  <c r="AF368" i="6"/>
  <c r="AI428" i="6"/>
  <c r="AH428" i="6"/>
  <c r="AG428" i="6"/>
  <c r="AJ428" i="6"/>
  <c r="AD279" i="6"/>
  <c r="AF278" i="6"/>
  <c r="AJ727" i="6"/>
  <c r="AI727" i="6"/>
  <c r="AH727" i="6"/>
  <c r="AG727" i="6"/>
  <c r="AF29" i="3"/>
  <c r="AB30" i="3" s="1"/>
  <c r="AD729" i="6"/>
  <c r="AF728" i="6"/>
  <c r="AD29" i="3"/>
  <c r="Z29" i="3" s="1"/>
  <c r="Z233" i="5"/>
  <c r="AB233" i="5"/>
  <c r="AA233" i="5"/>
  <c r="Y233" i="5"/>
  <c r="AH157" i="6"/>
  <c r="AI157" i="6"/>
  <c r="AJ157" i="6"/>
  <c r="AG157" i="6"/>
  <c r="AI396" i="6"/>
  <c r="AG396" i="6"/>
  <c r="AH396" i="6"/>
  <c r="AJ396" i="6"/>
  <c r="AD159" i="6"/>
  <c r="AF158" i="6"/>
  <c r="V235" i="5"/>
  <c r="X234" i="5"/>
  <c r="X175" i="5"/>
  <c r="V176" i="5"/>
  <c r="AG40" i="4"/>
  <c r="L181" i="4"/>
  <c r="AF249" i="6"/>
  <c r="AD250" i="6"/>
  <c r="AD338" i="6"/>
  <c r="AF337" i="6"/>
  <c r="AG367" i="6"/>
  <c r="AI367" i="6"/>
  <c r="AH367" i="6"/>
  <c r="AJ367" i="6"/>
  <c r="AD430" i="6"/>
  <c r="AF429" i="6"/>
  <c r="AH277" i="6"/>
  <c r="AG277" i="6"/>
  <c r="AI277" i="6"/>
  <c r="AJ277" i="6"/>
  <c r="AH698" i="6"/>
  <c r="AJ698" i="6"/>
  <c r="AI698" i="6"/>
  <c r="AG698" i="6"/>
  <c r="AJ516" i="6"/>
  <c r="AG516" i="6"/>
  <c r="AI516" i="6"/>
  <c r="AH516" i="6"/>
  <c r="AD547" i="6"/>
  <c r="AF546" i="6"/>
  <c r="AD700" i="6"/>
  <c r="AF699" i="6"/>
  <c r="AF517" i="6"/>
  <c r="AD518" i="6"/>
  <c r="AG545" i="6"/>
  <c r="AJ545" i="6"/>
  <c r="AI545" i="6"/>
  <c r="AH545" i="6"/>
  <c r="AJ66" i="6"/>
  <c r="AI66" i="6"/>
  <c r="AH66" i="6"/>
  <c r="AG66" i="6"/>
  <c r="AD220" i="6"/>
  <c r="AF219" i="6"/>
  <c r="V295" i="5"/>
  <c r="X294" i="5"/>
  <c r="AI577" i="6"/>
  <c r="AG577" i="6"/>
  <c r="AH577" i="6"/>
  <c r="AJ577" i="6"/>
  <c r="AF667" i="6"/>
  <c r="AD668" i="6"/>
  <c r="Y89" i="4"/>
  <c r="Q90" i="4"/>
  <c r="U90" i="4" s="1"/>
  <c r="AF67" i="6"/>
  <c r="AD68" i="6"/>
  <c r="AJ218" i="6"/>
  <c r="AI218" i="6"/>
  <c r="AH218" i="6"/>
  <c r="AG218" i="6"/>
  <c r="AA293" i="5"/>
  <c r="Z293" i="5"/>
  <c r="Y293" i="5"/>
  <c r="AB293" i="5"/>
  <c r="AD579" i="6"/>
  <c r="AF578" i="6"/>
  <c r="AH666" i="6"/>
  <c r="AG666" i="6"/>
  <c r="AJ666" i="6"/>
  <c r="AI666" i="6"/>
  <c r="AG88" i="4"/>
  <c r="M181" i="4"/>
  <c r="N180" i="4"/>
  <c r="AG135" i="4"/>
  <c r="AD608" i="6"/>
  <c r="AF607" i="6"/>
  <c r="AE30" i="3"/>
  <c r="X264" i="5" l="1"/>
  <c r="V265" i="5"/>
  <c r="Y263" i="5"/>
  <c r="AB263" i="5"/>
  <c r="Z263" i="5"/>
  <c r="AA263" i="5"/>
  <c r="AC30" i="3"/>
  <c r="Q91" i="4"/>
  <c r="V296" i="5"/>
  <c r="X295" i="5"/>
  <c r="AF547" i="6"/>
  <c r="AD548" i="6"/>
  <c r="M182" i="4"/>
  <c r="AG89" i="4"/>
  <c r="H14" i="4"/>
  <c r="H13" i="4"/>
  <c r="H20" i="4"/>
  <c r="H19" i="4"/>
  <c r="H12" i="4"/>
  <c r="H18" i="4"/>
  <c r="H22" i="4"/>
  <c r="AD251" i="6"/>
  <c r="AF250" i="6"/>
  <c r="V117" i="5"/>
  <c r="X116" i="5"/>
  <c r="AG30" i="3"/>
  <c r="AD640" i="6"/>
  <c r="AF639" i="6"/>
  <c r="AD760" i="6"/>
  <c r="AF759" i="6"/>
  <c r="R137" i="4"/>
  <c r="S137" i="4" s="1"/>
  <c r="AF279" i="6"/>
  <c r="AD280" i="6"/>
  <c r="AH249" i="6"/>
  <c r="AG249" i="6"/>
  <c r="AI249" i="6"/>
  <c r="AJ249" i="6"/>
  <c r="Z115" i="5"/>
  <c r="Y115" i="5"/>
  <c r="AB115" i="5"/>
  <c r="AA115" i="5"/>
  <c r="AI638" i="6"/>
  <c r="AG638" i="6"/>
  <c r="AJ638" i="6"/>
  <c r="AH638" i="6"/>
  <c r="AJ758" i="6"/>
  <c r="AI758" i="6"/>
  <c r="AG758" i="6"/>
  <c r="AH758" i="6"/>
  <c r="Q138" i="4"/>
  <c r="U138" i="4" s="1"/>
  <c r="Z234" i="5"/>
  <c r="Y234" i="5"/>
  <c r="AA234" i="5"/>
  <c r="AB234" i="5"/>
  <c r="AD580" i="6"/>
  <c r="AF579" i="6"/>
  <c r="AH67" i="6"/>
  <c r="AG67" i="6"/>
  <c r="AJ67" i="6"/>
  <c r="AI67" i="6"/>
  <c r="AJ546" i="6"/>
  <c r="AI546" i="6"/>
  <c r="AG546" i="6"/>
  <c r="AH546" i="6"/>
  <c r="AG337" i="6"/>
  <c r="AJ337" i="6"/>
  <c r="AI337" i="6"/>
  <c r="AH337" i="6"/>
  <c r="AJ158" i="6"/>
  <c r="AG158" i="6"/>
  <c r="AI158" i="6"/>
  <c r="AH158" i="6"/>
  <c r="R90" i="4"/>
  <c r="AF159" i="6"/>
  <c r="AD160" i="6"/>
  <c r="AF668" i="6"/>
  <c r="AD669" i="6"/>
  <c r="AJ429" i="6"/>
  <c r="AI429" i="6"/>
  <c r="AH429" i="6"/>
  <c r="AG429" i="6"/>
  <c r="Y54" i="5"/>
  <c r="AA54" i="5"/>
  <c r="AB54" i="5"/>
  <c r="Z54" i="5"/>
  <c r="Z84" i="5"/>
  <c r="Y84" i="5"/>
  <c r="AA84" i="5"/>
  <c r="AB84" i="5"/>
  <c r="AJ188" i="6"/>
  <c r="AI188" i="6"/>
  <c r="AH188" i="6"/>
  <c r="AG188" i="6"/>
  <c r="N181" i="4"/>
  <c r="AG136" i="4"/>
  <c r="I19" i="4"/>
  <c r="D81" i="1" s="1"/>
  <c r="I12" i="4"/>
  <c r="I18" i="4"/>
  <c r="D80" i="1" s="1"/>
  <c r="AA294" i="5"/>
  <c r="Z294" i="5"/>
  <c r="Y294" i="5"/>
  <c r="AB294" i="5"/>
  <c r="AD339" i="6"/>
  <c r="AF338" i="6"/>
  <c r="AJ667" i="6"/>
  <c r="AI667" i="6"/>
  <c r="AH667" i="6"/>
  <c r="AG667" i="6"/>
  <c r="AD431" i="6"/>
  <c r="AF430" i="6"/>
  <c r="AH29" i="3"/>
  <c r="AD30" i="3" s="1"/>
  <c r="X55" i="5"/>
  <c r="V56" i="5"/>
  <c r="X85" i="5"/>
  <c r="V86" i="5"/>
  <c r="AD190" i="6"/>
  <c r="AF189" i="6"/>
  <c r="AF308" i="6"/>
  <c r="AD309" i="6"/>
  <c r="V177" i="5"/>
  <c r="X176" i="5"/>
  <c r="AI728" i="6"/>
  <c r="AH728" i="6"/>
  <c r="AG728" i="6"/>
  <c r="AJ728" i="6"/>
  <c r="AI368" i="6"/>
  <c r="AJ368" i="6"/>
  <c r="AH368" i="6"/>
  <c r="AG368" i="6"/>
  <c r="AJ397" i="6"/>
  <c r="AI397" i="6"/>
  <c r="AG397" i="6"/>
  <c r="AH397" i="6"/>
  <c r="AH488" i="6"/>
  <c r="AJ488" i="6"/>
  <c r="AI488" i="6"/>
  <c r="AG488" i="6"/>
  <c r="AA144" i="5"/>
  <c r="Z144" i="5"/>
  <c r="AB144" i="5"/>
  <c r="Y144" i="5"/>
  <c r="AH307" i="6"/>
  <c r="AG307" i="6"/>
  <c r="AI307" i="6"/>
  <c r="AJ307" i="6"/>
  <c r="AI699" i="6"/>
  <c r="AJ699" i="6"/>
  <c r="AH699" i="6"/>
  <c r="AG699" i="6"/>
  <c r="AF608" i="6"/>
  <c r="AD609" i="6"/>
  <c r="AJ219" i="6"/>
  <c r="AI219" i="6"/>
  <c r="AH219" i="6"/>
  <c r="AG219" i="6"/>
  <c r="AD519" i="6"/>
  <c r="AF518" i="6"/>
  <c r="AF220" i="6"/>
  <c r="AD221" i="6"/>
  <c r="AG517" i="6"/>
  <c r="AH517" i="6"/>
  <c r="AJ517" i="6"/>
  <c r="AI517" i="6"/>
  <c r="Z175" i="5"/>
  <c r="Y175" i="5"/>
  <c r="AB175" i="5"/>
  <c r="AA175" i="5"/>
  <c r="AD730" i="6"/>
  <c r="AF729" i="6"/>
  <c r="AD370" i="6"/>
  <c r="AF369" i="6"/>
  <c r="AD399" i="6"/>
  <c r="AF398" i="6"/>
  <c r="AD490" i="6"/>
  <c r="AF489" i="6"/>
  <c r="X145" i="5"/>
  <c r="V146" i="5"/>
  <c r="R42" i="4"/>
  <c r="S42" i="4" s="1"/>
  <c r="T42" i="4" s="1"/>
  <c r="P42" i="4" s="1"/>
  <c r="AJ458" i="6"/>
  <c r="AI458" i="6"/>
  <c r="AH458" i="6"/>
  <c r="AG458" i="6"/>
  <c r="AH97" i="6"/>
  <c r="AJ97" i="6"/>
  <c r="AI97" i="6"/>
  <c r="AG97" i="6"/>
  <c r="L182" i="4"/>
  <c r="AG41" i="4"/>
  <c r="G13" i="4"/>
  <c r="G14" i="4"/>
  <c r="B77" i="1" s="1"/>
  <c r="G18" i="4"/>
  <c r="B80" i="1" s="1"/>
  <c r="G19" i="4"/>
  <c r="B81" i="1" s="1"/>
  <c r="G22" i="4"/>
  <c r="B82" i="1" s="1"/>
  <c r="G20" i="4"/>
  <c r="G12" i="4"/>
  <c r="AJ607" i="6"/>
  <c r="AI607" i="6"/>
  <c r="AH607" i="6"/>
  <c r="AG607" i="6"/>
  <c r="AJ578" i="6"/>
  <c r="AI578" i="6"/>
  <c r="AH578" i="6"/>
  <c r="AG578" i="6"/>
  <c r="AD69" i="6"/>
  <c r="AF68" i="6"/>
  <c r="AD701" i="6"/>
  <c r="AF700" i="6"/>
  <c r="X235" i="5"/>
  <c r="V236" i="5"/>
  <c r="AF459" i="6"/>
  <c r="AD460" i="6"/>
  <c r="AD99" i="6"/>
  <c r="AF98" i="6"/>
  <c r="U42" i="4"/>
  <c r="AA31" i="3"/>
  <c r="AF30" i="3"/>
  <c r="AJ278" i="6"/>
  <c r="AI278" i="6"/>
  <c r="AH278" i="6"/>
  <c r="AG278" i="6"/>
  <c r="V207" i="5"/>
  <c r="X206" i="5"/>
  <c r="AH127" i="6"/>
  <c r="AJ127" i="6"/>
  <c r="AI127" i="6"/>
  <c r="AG127" i="6"/>
  <c r="Z205" i="5"/>
  <c r="Y205" i="5"/>
  <c r="AA205" i="5"/>
  <c r="AB205" i="5"/>
  <c r="AF128" i="6"/>
  <c r="AD129" i="6"/>
  <c r="AI29" i="3" l="1"/>
  <c r="V266" i="5"/>
  <c r="X265" i="5"/>
  <c r="AA264" i="5"/>
  <c r="Y264" i="5"/>
  <c r="AB264" i="5"/>
  <c r="Z264" i="5"/>
  <c r="N42" i="4"/>
  <c r="Z42" i="4"/>
  <c r="Z30" i="3"/>
  <c r="AJ729" i="6"/>
  <c r="AI729" i="6"/>
  <c r="AH729" i="6"/>
  <c r="AG729" i="6"/>
  <c r="AF99" i="6"/>
  <c r="AD100" i="6"/>
  <c r="AJ459" i="6"/>
  <c r="AI459" i="6"/>
  <c r="AH459" i="6"/>
  <c r="AG459" i="6"/>
  <c r="AF69" i="6"/>
  <c r="AD70" i="6"/>
  <c r="AD371" i="6"/>
  <c r="AF370" i="6"/>
  <c r="AG608" i="6"/>
  <c r="AH608" i="6"/>
  <c r="AI608" i="6"/>
  <c r="AJ608" i="6"/>
  <c r="V178" i="5"/>
  <c r="X177" i="5"/>
  <c r="AD581" i="6"/>
  <c r="AF580" i="6"/>
  <c r="M62" i="1"/>
  <c r="C82" i="1"/>
  <c r="B219" i="4"/>
  <c r="AG547" i="6"/>
  <c r="AJ547" i="6"/>
  <c r="AI547" i="6"/>
  <c r="AH547" i="6"/>
  <c r="AF309" i="6"/>
  <c r="AD310" i="6"/>
  <c r="AI430" i="6"/>
  <c r="AH430" i="6"/>
  <c r="AG430" i="6"/>
  <c r="AJ430" i="6"/>
  <c r="V90" i="4"/>
  <c r="R91" i="4" s="1"/>
  <c r="AJ759" i="6"/>
  <c r="AI759" i="6"/>
  <c r="AH759" i="6"/>
  <c r="AG759" i="6"/>
  <c r="C80" i="1"/>
  <c r="M5" i="1"/>
  <c r="M60" i="1"/>
  <c r="AB295" i="5"/>
  <c r="Z295" i="5"/>
  <c r="AA295" i="5"/>
  <c r="Y295" i="5"/>
  <c r="AG308" i="6"/>
  <c r="AJ308" i="6"/>
  <c r="AI308" i="6"/>
  <c r="AH308" i="6"/>
  <c r="AD432" i="6"/>
  <c r="AF431" i="6"/>
  <c r="AF760" i="6"/>
  <c r="AD761" i="6"/>
  <c r="V297" i="5"/>
  <c r="X296" i="5"/>
  <c r="AJ639" i="6"/>
  <c r="AI639" i="6"/>
  <c r="AH639" i="6"/>
  <c r="AG639" i="6"/>
  <c r="M61" i="1"/>
  <c r="C81" i="1"/>
  <c r="AB31" i="3"/>
  <c r="AF31" i="3" s="1"/>
  <c r="AF669" i="6"/>
  <c r="AD670" i="6"/>
  <c r="AF280" i="6"/>
  <c r="AD281" i="6"/>
  <c r="AF640" i="6"/>
  <c r="AD641" i="6"/>
  <c r="Z145" i="5"/>
  <c r="Y145" i="5"/>
  <c r="AA145" i="5"/>
  <c r="AB145" i="5"/>
  <c r="AF519" i="6"/>
  <c r="AD520" i="6"/>
  <c r="AD130" i="6"/>
  <c r="AF129" i="6"/>
  <c r="AB206" i="5"/>
  <c r="AA206" i="5"/>
  <c r="Z206" i="5"/>
  <c r="Y206" i="5"/>
  <c r="AE31" i="3"/>
  <c r="V237" i="5"/>
  <c r="X236" i="5"/>
  <c r="AG489" i="6"/>
  <c r="AJ489" i="6"/>
  <c r="AI489" i="6"/>
  <c r="AH489" i="6"/>
  <c r="V87" i="5"/>
  <c r="X86" i="5"/>
  <c r="AI668" i="6"/>
  <c r="AG668" i="6"/>
  <c r="AH668" i="6"/>
  <c r="AJ668" i="6"/>
  <c r="AH279" i="6"/>
  <c r="AG279" i="6"/>
  <c r="AJ279" i="6"/>
  <c r="AI279" i="6"/>
  <c r="U91" i="4"/>
  <c r="V147" i="5"/>
  <c r="X146" i="5"/>
  <c r="AJ518" i="6"/>
  <c r="AH518" i="6"/>
  <c r="AI518" i="6"/>
  <c r="AG518" i="6"/>
  <c r="AJ189" i="6"/>
  <c r="AH189" i="6"/>
  <c r="AG189" i="6"/>
  <c r="AI189" i="6"/>
  <c r="Z235" i="5"/>
  <c r="Y235" i="5"/>
  <c r="AB235" i="5"/>
  <c r="AA235" i="5"/>
  <c r="Z85" i="5"/>
  <c r="Y85" i="5"/>
  <c r="AB85" i="5"/>
  <c r="AA85" i="5"/>
  <c r="AD161" i="6"/>
  <c r="AF160" i="6"/>
  <c r="Q139" i="4"/>
  <c r="W137" i="4"/>
  <c r="AB116" i="5"/>
  <c r="Y116" i="5"/>
  <c r="AA116" i="5"/>
  <c r="Z116" i="5"/>
  <c r="C77" i="1"/>
  <c r="I5" i="1"/>
  <c r="M57" i="1"/>
  <c r="AD222" i="6"/>
  <c r="AF221" i="6"/>
  <c r="Q43" i="4"/>
  <c r="AD491" i="6"/>
  <c r="AF490" i="6"/>
  <c r="AJ98" i="6"/>
  <c r="AI98" i="6"/>
  <c r="AH98" i="6"/>
  <c r="AG98" i="6"/>
  <c r="AI700" i="6"/>
  <c r="AH700" i="6"/>
  <c r="AG700" i="6"/>
  <c r="AJ700" i="6"/>
  <c r="AI398" i="6"/>
  <c r="AG398" i="6"/>
  <c r="AJ398" i="6"/>
  <c r="AH398" i="6"/>
  <c r="V57" i="5"/>
  <c r="X56" i="5"/>
  <c r="AI338" i="6"/>
  <c r="AG338" i="6"/>
  <c r="AJ338" i="6"/>
  <c r="AH338" i="6"/>
  <c r="AH159" i="6"/>
  <c r="AJ159" i="6"/>
  <c r="AI159" i="6"/>
  <c r="AG159" i="6"/>
  <c r="V118" i="5"/>
  <c r="X117" i="5"/>
  <c r="X42" i="4"/>
  <c r="AF730" i="6"/>
  <c r="AD731" i="6"/>
  <c r="AJ220" i="6"/>
  <c r="AI220" i="6"/>
  <c r="AH220" i="6"/>
  <c r="AG220" i="6"/>
  <c r="W42" i="4"/>
  <c r="AD400" i="6"/>
  <c r="AF399" i="6"/>
  <c r="Z55" i="5"/>
  <c r="Y55" i="5"/>
  <c r="AA55" i="5"/>
  <c r="AB55" i="5"/>
  <c r="AD340" i="6"/>
  <c r="AF339" i="6"/>
  <c r="V137" i="4"/>
  <c r="R138" i="4" s="1"/>
  <c r="AI250" i="6"/>
  <c r="AH250" i="6"/>
  <c r="AG250" i="6"/>
  <c r="AJ250" i="6"/>
  <c r="AF190" i="6"/>
  <c r="AD191" i="6"/>
  <c r="AH128" i="6"/>
  <c r="AJ128" i="6"/>
  <c r="AI128" i="6"/>
  <c r="AG128" i="6"/>
  <c r="V208" i="5"/>
  <c r="X207" i="5"/>
  <c r="AF701" i="6"/>
  <c r="AD702" i="6"/>
  <c r="AD461" i="6"/>
  <c r="AF460" i="6"/>
  <c r="AJ68" i="6"/>
  <c r="AI68" i="6"/>
  <c r="AH68" i="6"/>
  <c r="AG68" i="6"/>
  <c r="V42" i="4"/>
  <c r="AG369" i="6"/>
  <c r="AJ369" i="6"/>
  <c r="AI369" i="6"/>
  <c r="AH369" i="6"/>
  <c r="AF609" i="6"/>
  <c r="AD610" i="6"/>
  <c r="AB176" i="5"/>
  <c r="AA176" i="5"/>
  <c r="Y176" i="5"/>
  <c r="Z176" i="5"/>
  <c r="AH30" i="3"/>
  <c r="S90" i="4"/>
  <c r="AI579" i="6"/>
  <c r="AJ579" i="6"/>
  <c r="AG579" i="6"/>
  <c r="AH579" i="6"/>
  <c r="T137" i="4"/>
  <c r="AF251" i="6"/>
  <c r="AD252" i="6"/>
  <c r="AD549" i="6"/>
  <c r="AF548" i="6"/>
  <c r="AB265" i="5" l="1"/>
  <c r="Z265" i="5"/>
  <c r="Y265" i="5"/>
  <c r="AA265" i="5"/>
  <c r="V267" i="5"/>
  <c r="X266" i="5"/>
  <c r="S138" i="4"/>
  <c r="V238" i="5"/>
  <c r="X237" i="5"/>
  <c r="AF610" i="6"/>
  <c r="AD611" i="6"/>
  <c r="AH339" i="6"/>
  <c r="AG339" i="6"/>
  <c r="AI339" i="6"/>
  <c r="AJ339" i="6"/>
  <c r="AD223" i="6"/>
  <c r="AF222" i="6"/>
  <c r="AA32" i="3"/>
  <c r="AD433" i="6"/>
  <c r="AF432" i="6"/>
  <c r="AD372" i="6"/>
  <c r="AF371" i="6"/>
  <c r="X118" i="5"/>
  <c r="V119" i="5"/>
  <c r="AJ221" i="6"/>
  <c r="AI221" i="6"/>
  <c r="AH221" i="6"/>
  <c r="AG221" i="6"/>
  <c r="AI580" i="6"/>
  <c r="AG580" i="6"/>
  <c r="AJ580" i="6"/>
  <c r="AH580" i="6"/>
  <c r="AD71" i="6"/>
  <c r="AF70" i="6"/>
  <c r="AB207" i="5"/>
  <c r="Z207" i="5"/>
  <c r="AA207" i="5"/>
  <c r="Y207" i="5"/>
  <c r="AG399" i="6"/>
  <c r="AJ399" i="6"/>
  <c r="AI399" i="6"/>
  <c r="AH399" i="6"/>
  <c r="R43" i="4"/>
  <c r="S43" i="4" s="1"/>
  <c r="W43" i="4" s="1"/>
  <c r="X137" i="4"/>
  <c r="U139" i="4"/>
  <c r="AB86" i="5"/>
  <c r="AA86" i="5"/>
  <c r="Z86" i="5"/>
  <c r="Y86" i="5"/>
  <c r="AC31" i="3"/>
  <c r="AD311" i="6"/>
  <c r="AF310" i="6"/>
  <c r="AD582" i="6"/>
  <c r="AF581" i="6"/>
  <c r="AH69" i="6"/>
  <c r="AG69" i="6"/>
  <c r="AJ69" i="6"/>
  <c r="AI69" i="6"/>
  <c r="AB177" i="5"/>
  <c r="AA177" i="5"/>
  <c r="Y177" i="5"/>
  <c r="Z177" i="5"/>
  <c r="AF549" i="6"/>
  <c r="AD550" i="6"/>
  <c r="AG609" i="6"/>
  <c r="AI609" i="6"/>
  <c r="AH609" i="6"/>
  <c r="AJ609" i="6"/>
  <c r="AD341" i="6"/>
  <c r="AF340" i="6"/>
  <c r="AD192" i="6"/>
  <c r="AF191" i="6"/>
  <c r="V88" i="5"/>
  <c r="X87" i="5"/>
  <c r="AD642" i="6"/>
  <c r="AF641" i="6"/>
  <c r="AH309" i="6"/>
  <c r="AG309" i="6"/>
  <c r="AI309" i="6"/>
  <c r="AJ309" i="6"/>
  <c r="W90" i="4"/>
  <c r="S91" i="4" s="1"/>
  <c r="AD732" i="6"/>
  <c r="AF731" i="6"/>
  <c r="AD162" i="6"/>
  <c r="AF161" i="6"/>
  <c r="AG640" i="6"/>
  <c r="AJ640" i="6"/>
  <c r="AI640" i="6"/>
  <c r="AH640" i="6"/>
  <c r="X178" i="5"/>
  <c r="V179" i="5"/>
  <c r="AJ460" i="6"/>
  <c r="AI460" i="6"/>
  <c r="AH460" i="6"/>
  <c r="AG460" i="6"/>
  <c r="AF461" i="6"/>
  <c r="AD462" i="6"/>
  <c r="AJ190" i="6"/>
  <c r="AG190" i="6"/>
  <c r="AI190" i="6"/>
  <c r="AH190" i="6"/>
  <c r="AH160" i="6"/>
  <c r="AG160" i="6"/>
  <c r="AI160" i="6"/>
  <c r="AJ160" i="6"/>
  <c r="AD703" i="6"/>
  <c r="AF702" i="6"/>
  <c r="AJ490" i="6"/>
  <c r="AI490" i="6"/>
  <c r="AG490" i="6"/>
  <c r="AH490" i="6"/>
  <c r="AJ548" i="6"/>
  <c r="AI548" i="6"/>
  <c r="AH548" i="6"/>
  <c r="AG548" i="6"/>
  <c r="AJ701" i="6"/>
  <c r="AH701" i="6"/>
  <c r="AG701" i="6"/>
  <c r="AI701" i="6"/>
  <c r="AJ730" i="6"/>
  <c r="AI730" i="6"/>
  <c r="AH730" i="6"/>
  <c r="AG730" i="6"/>
  <c r="AD492" i="6"/>
  <c r="AF491" i="6"/>
  <c r="AH129" i="6"/>
  <c r="AJ129" i="6"/>
  <c r="AI129" i="6"/>
  <c r="AG129" i="6"/>
  <c r="AF281" i="6"/>
  <c r="AD282" i="6"/>
  <c r="AB296" i="5"/>
  <c r="AA296" i="5"/>
  <c r="Y296" i="5"/>
  <c r="Z296" i="5"/>
  <c r="AI280" i="6"/>
  <c r="AH280" i="6"/>
  <c r="AG280" i="6"/>
  <c r="AJ280" i="6"/>
  <c r="X297" i="5"/>
  <c r="V298" i="5"/>
  <c r="V91" i="4"/>
  <c r="AB146" i="5"/>
  <c r="Y146" i="5"/>
  <c r="AA146" i="5"/>
  <c r="Z146" i="5"/>
  <c r="AD131" i="6"/>
  <c r="AF130" i="6"/>
  <c r="AD253" i="6"/>
  <c r="AF252" i="6"/>
  <c r="X208" i="5"/>
  <c r="V209" i="5"/>
  <c r="AD401" i="6"/>
  <c r="AF400" i="6"/>
  <c r="Y42" i="4"/>
  <c r="AI30" i="3"/>
  <c r="V148" i="5"/>
  <c r="X147" i="5"/>
  <c r="AF520" i="6"/>
  <c r="AD521" i="6"/>
  <c r="AF670" i="6"/>
  <c r="AD671" i="6"/>
  <c r="AD762" i="6"/>
  <c r="AF761" i="6"/>
  <c r="AD101" i="6"/>
  <c r="AF100" i="6"/>
  <c r="P137" i="4"/>
  <c r="AH251" i="6"/>
  <c r="AG251" i="6"/>
  <c r="AJ251" i="6"/>
  <c r="AI251" i="6"/>
  <c r="V138" i="4"/>
  <c r="AB117" i="5"/>
  <c r="AA117" i="5"/>
  <c r="Y117" i="5"/>
  <c r="Z117" i="5"/>
  <c r="AB56" i="5"/>
  <c r="Y56" i="5"/>
  <c r="AA56" i="5"/>
  <c r="Z56" i="5"/>
  <c r="U43" i="4"/>
  <c r="W138" i="4"/>
  <c r="Q92" i="4"/>
  <c r="U92" i="4" s="1"/>
  <c r="Y236" i="5"/>
  <c r="AB236" i="5"/>
  <c r="AA236" i="5"/>
  <c r="Z236" i="5"/>
  <c r="AG519" i="6"/>
  <c r="AJ519" i="6"/>
  <c r="AI519" i="6"/>
  <c r="AH519" i="6"/>
  <c r="AJ669" i="6"/>
  <c r="AI669" i="6"/>
  <c r="AH669" i="6"/>
  <c r="AG669" i="6"/>
  <c r="AJ760" i="6"/>
  <c r="AI760" i="6"/>
  <c r="AH760" i="6"/>
  <c r="AG760" i="6"/>
  <c r="B223" i="4"/>
  <c r="L248" i="4"/>
  <c r="L243" i="4"/>
  <c r="L238" i="4"/>
  <c r="L233" i="4"/>
  <c r="L228" i="4"/>
  <c r="B220" i="4"/>
  <c r="L251" i="4"/>
  <c r="L246" i="4"/>
  <c r="L241" i="4"/>
  <c r="L236" i="4"/>
  <c r="L231" i="4"/>
  <c r="B224" i="4"/>
  <c r="B221" i="4"/>
  <c r="L247" i="4"/>
  <c r="L242" i="4"/>
  <c r="L237" i="4"/>
  <c r="L232" i="4"/>
  <c r="L227" i="4"/>
  <c r="B222" i="4"/>
  <c r="L239" i="4"/>
  <c r="L235" i="4"/>
  <c r="L234" i="4"/>
  <c r="L230" i="4"/>
  <c r="L229" i="4"/>
  <c r="L240" i="4"/>
  <c r="L245" i="4"/>
  <c r="L244" i="4"/>
  <c r="L249" i="4"/>
  <c r="L250" i="4"/>
  <c r="AH99" i="6"/>
  <c r="AJ99" i="6"/>
  <c r="AI99" i="6"/>
  <c r="AG99" i="6"/>
  <c r="V58" i="5"/>
  <c r="X57" i="5"/>
  <c r="AJ431" i="6"/>
  <c r="AH431" i="6"/>
  <c r="AG431" i="6"/>
  <c r="AI431" i="6"/>
  <c r="AI370" i="6"/>
  <c r="AH370" i="6"/>
  <c r="AJ370" i="6"/>
  <c r="AG370" i="6"/>
  <c r="T90" i="4"/>
  <c r="P90" i="4" s="1"/>
  <c r="AB266" i="5" l="1"/>
  <c r="AA266" i="5"/>
  <c r="Z266" i="5"/>
  <c r="Y266" i="5"/>
  <c r="X267" i="5"/>
  <c r="V268" i="5"/>
  <c r="N90" i="4"/>
  <c r="Z90" i="4"/>
  <c r="AF71" i="6"/>
  <c r="AD72" i="6"/>
  <c r="Y118" i="5"/>
  <c r="AB118" i="5"/>
  <c r="AA118" i="5"/>
  <c r="Z118" i="5"/>
  <c r="AG610" i="6"/>
  <c r="AJ610" i="6"/>
  <c r="AI610" i="6"/>
  <c r="AH610" i="6"/>
  <c r="G516" i="4"/>
  <c r="Y513" i="4"/>
  <c r="G511" i="4"/>
  <c r="Y508" i="4"/>
  <c r="G506" i="4"/>
  <c r="Y503" i="4"/>
  <c r="G501" i="4"/>
  <c r="Y498" i="4"/>
  <c r="G496" i="4"/>
  <c r="Y493" i="4"/>
  <c r="G491" i="4"/>
  <c r="Y488" i="4"/>
  <c r="G486" i="4"/>
  <c r="Y483" i="4"/>
  <c r="G481" i="4"/>
  <c r="Y478" i="4"/>
  <c r="A475" i="4"/>
  <c r="Y516" i="4"/>
  <c r="Y517" i="4" s="1"/>
  <c r="G514" i="4"/>
  <c r="Y511" i="4"/>
  <c r="G509" i="4"/>
  <c r="Y506" i="4"/>
  <c r="G504" i="4"/>
  <c r="Y501" i="4"/>
  <c r="G499" i="4"/>
  <c r="Y496" i="4"/>
  <c r="G494" i="4"/>
  <c r="Y491" i="4"/>
  <c r="G489" i="4"/>
  <c r="Y486" i="4"/>
  <c r="G484" i="4"/>
  <c r="Y481" i="4"/>
  <c r="G479" i="4"/>
  <c r="X516" i="4"/>
  <c r="X511" i="4"/>
  <c r="X506" i="4"/>
  <c r="X501" i="4"/>
  <c r="H501" i="4" s="1"/>
  <c r="X496" i="4"/>
  <c r="Z496" i="4" s="1"/>
  <c r="X491" i="4"/>
  <c r="Z491" i="4" s="1"/>
  <c r="X486" i="4"/>
  <c r="Z486" i="4" s="1"/>
  <c r="H482" i="4"/>
  <c r="X481" i="4"/>
  <c r="H477" i="4"/>
  <c r="Y514" i="4"/>
  <c r="G512" i="4"/>
  <c r="Y509" i="4"/>
  <c r="G507" i="4"/>
  <c r="Y504" i="4"/>
  <c r="G502" i="4"/>
  <c r="Y499" i="4"/>
  <c r="G497" i="4"/>
  <c r="Y494" i="4"/>
  <c r="G492" i="4"/>
  <c r="Y489" i="4"/>
  <c r="G487" i="4"/>
  <c r="Y484" i="4"/>
  <c r="G482" i="4"/>
  <c r="Y479" i="4"/>
  <c r="G477" i="4"/>
  <c r="X514" i="4"/>
  <c r="Z514" i="4" s="1"/>
  <c r="X509" i="4"/>
  <c r="H509" i="4" s="1"/>
  <c r="X504" i="4"/>
  <c r="H504" i="4" s="1"/>
  <c r="X499" i="4"/>
  <c r="X494" i="4"/>
  <c r="X489" i="4"/>
  <c r="Z489" i="4" s="1"/>
  <c r="H485" i="4"/>
  <c r="X484" i="4"/>
  <c r="H480" i="4"/>
  <c r="X479" i="4"/>
  <c r="G515" i="4"/>
  <c r="Y512" i="4"/>
  <c r="G510" i="4"/>
  <c r="Y507" i="4"/>
  <c r="G505" i="4"/>
  <c r="Y502" i="4"/>
  <c r="G500" i="4"/>
  <c r="Y497" i="4"/>
  <c r="G495" i="4"/>
  <c r="Y492" i="4"/>
  <c r="G490" i="4"/>
  <c r="Y487" i="4"/>
  <c r="G485" i="4"/>
  <c r="Y482" i="4"/>
  <c r="G480" i="4"/>
  <c r="Y477" i="4"/>
  <c r="X512" i="4"/>
  <c r="X507" i="4"/>
  <c r="Z507" i="4" s="1"/>
  <c r="X502" i="4"/>
  <c r="X497" i="4"/>
  <c r="X492" i="4"/>
  <c r="Z492" i="4" s="1"/>
  <c r="H488" i="4"/>
  <c r="X487" i="4"/>
  <c r="H483" i="4"/>
  <c r="X482" i="4"/>
  <c r="H478" i="4"/>
  <c r="X477" i="4"/>
  <c r="Y515" i="4"/>
  <c r="G513" i="4"/>
  <c r="Y510" i="4"/>
  <c r="G508" i="4"/>
  <c r="Y505" i="4"/>
  <c r="G503" i="4"/>
  <c r="Y500" i="4"/>
  <c r="G498" i="4"/>
  <c r="Y495" i="4"/>
  <c r="G493" i="4"/>
  <c r="Y490" i="4"/>
  <c r="G488" i="4"/>
  <c r="Y485" i="4"/>
  <c r="G483" i="4"/>
  <c r="Y480" i="4"/>
  <c r="G478" i="4"/>
  <c r="X498" i="4"/>
  <c r="X515" i="4"/>
  <c r="H506" i="4"/>
  <c r="X490" i="4"/>
  <c r="H490" i="4" s="1"/>
  <c r="H481" i="4"/>
  <c r="X513" i="4"/>
  <c r="X488" i="4"/>
  <c r="H479" i="4"/>
  <c r="X505" i="4"/>
  <c r="X480" i="4"/>
  <c r="X503" i="4"/>
  <c r="H494" i="4"/>
  <c r="X478" i="4"/>
  <c r="Z478" i="4" s="1"/>
  <c r="H511" i="4"/>
  <c r="X495" i="4"/>
  <c r="H495" i="4" s="1"/>
  <c r="X493" i="4"/>
  <c r="H484" i="4"/>
  <c r="X510" i="4"/>
  <c r="Z510" i="4" s="1"/>
  <c r="X485" i="4"/>
  <c r="X483" i="4"/>
  <c r="Z483" i="4" s="1"/>
  <c r="X508" i="4"/>
  <c r="H508" i="4" s="1"/>
  <c r="X500" i="4"/>
  <c r="X1086" i="4"/>
  <c r="H1086" i="4" s="1"/>
  <c r="X1081" i="4"/>
  <c r="X1076" i="4"/>
  <c r="X1071" i="4"/>
  <c r="H1071" i="4" s="1"/>
  <c r="X1066" i="4"/>
  <c r="H1066" i="4" s="1"/>
  <c r="X1061" i="4"/>
  <c r="H1057" i="4"/>
  <c r="X1056" i="4"/>
  <c r="H1052" i="4"/>
  <c r="X1051" i="4"/>
  <c r="G1087" i="4"/>
  <c r="Y1084" i="4"/>
  <c r="G1082" i="4"/>
  <c r="Y1079" i="4"/>
  <c r="G1077" i="4"/>
  <c r="Y1074" i="4"/>
  <c r="G1072" i="4"/>
  <c r="Y1069" i="4"/>
  <c r="X1084" i="4"/>
  <c r="X1079" i="4"/>
  <c r="H1079" i="4" s="1"/>
  <c r="X1074" i="4"/>
  <c r="H1074" i="4" s="1"/>
  <c r="H1070" i="4"/>
  <c r="X1069" i="4"/>
  <c r="Z1069" i="4" s="1"/>
  <c r="X1064" i="4"/>
  <c r="H1064" i="4" s="1"/>
  <c r="X1059" i="4"/>
  <c r="H1055" i="4"/>
  <c r="X1054" i="4"/>
  <c r="H1050" i="4"/>
  <c r="X1049" i="4"/>
  <c r="Y1087" i="4"/>
  <c r="G1085" i="4"/>
  <c r="Y1082" i="4"/>
  <c r="G1080" i="4"/>
  <c r="Y1077" i="4"/>
  <c r="G1075" i="4"/>
  <c r="Y1072" i="4"/>
  <c r="G1070" i="4"/>
  <c r="Y1067" i="4"/>
  <c r="G1065" i="4"/>
  <c r="Y1062" i="4"/>
  <c r="G1060" i="4"/>
  <c r="Y1057" i="4"/>
  <c r="G1055" i="4"/>
  <c r="Y1052" i="4"/>
  <c r="G1050" i="4"/>
  <c r="I1050" i="4" s="1"/>
  <c r="J1050" i="4" s="1"/>
  <c r="G1088" i="4"/>
  <c r="Y1085" i="4"/>
  <c r="G1083" i="4"/>
  <c r="G1084" i="4"/>
  <c r="Y1076" i="4"/>
  <c r="G1076" i="4"/>
  <c r="G1069" i="4"/>
  <c r="Y1066" i="4"/>
  <c r="G1059" i="4"/>
  <c r="X1055" i="4"/>
  <c r="Z1055" i="4" s="1"/>
  <c r="H1054" i="4"/>
  <c r="Y1050" i="4"/>
  <c r="Y1078" i="4"/>
  <c r="Y1073" i="4"/>
  <c r="Y1068" i="4"/>
  <c r="G1068" i="4"/>
  <c r="Y1080" i="4"/>
  <c r="X1078" i="4"/>
  <c r="Z1078" i="4" s="1"/>
  <c r="Y1075" i="4"/>
  <c r="X1073" i="4"/>
  <c r="Y1070" i="4"/>
  <c r="X1068" i="4"/>
  <c r="Y1063" i="4"/>
  <c r="X1060" i="4"/>
  <c r="G1057" i="4"/>
  <c r="I1057" i="4" s="1"/>
  <c r="J1057" i="4" s="1"/>
  <c r="X1052" i="4"/>
  <c r="Y1049" i="4"/>
  <c r="H1049" i="4"/>
  <c r="Y1083" i="4"/>
  <c r="X1080" i="4"/>
  <c r="X1075" i="4"/>
  <c r="X1070" i="4"/>
  <c r="X1063" i="4"/>
  <c r="Z1063" i="4" s="1"/>
  <c r="G1063" i="4"/>
  <c r="Y1055" i="4"/>
  <c r="X1083" i="4"/>
  <c r="X1077" i="4"/>
  <c r="X1072" i="4"/>
  <c r="Z1072" i="4" s="1"/>
  <c r="G1066" i="4"/>
  <c r="Y1058" i="4"/>
  <c r="G1052" i="4"/>
  <c r="Y1088" i="4"/>
  <c r="Y1089" i="4" s="1"/>
  <c r="X1082" i="4"/>
  <c r="H1082" i="4" s="1"/>
  <c r="Y1061" i="4"/>
  <c r="X1058" i="4"/>
  <c r="H1058" i="4" s="1"/>
  <c r="G1058" i="4"/>
  <c r="X1050" i="4"/>
  <c r="Z1050" i="4" s="1"/>
  <c r="X1088" i="4"/>
  <c r="H1088" i="4" s="1"/>
  <c r="X1087" i="4"/>
  <c r="G1086" i="4"/>
  <c r="X1067" i="4"/>
  <c r="Z1067" i="4" s="1"/>
  <c r="Y1064" i="4"/>
  <c r="G1061" i="4"/>
  <c r="Y1086" i="4"/>
  <c r="Y1081" i="4"/>
  <c r="H1073" i="4"/>
  <c r="G1071" i="4"/>
  <c r="Y1065" i="4"/>
  <c r="X1085" i="4"/>
  <c r="Z1085" i="4" s="1"/>
  <c r="G1078" i="4"/>
  <c r="G1073" i="4"/>
  <c r="X1057" i="4"/>
  <c r="H1056" i="4"/>
  <c r="Y1054" i="4"/>
  <c r="G1049" i="4"/>
  <c r="H1068" i="4"/>
  <c r="G1064" i="4"/>
  <c r="Y1060" i="4"/>
  <c r="G1056" i="4"/>
  <c r="G1062" i="4"/>
  <c r="X1065" i="4"/>
  <c r="H1065" i="4" s="1"/>
  <c r="H1053" i="4"/>
  <c r="A1047" i="4"/>
  <c r="G1081" i="4"/>
  <c r="Y1071" i="4"/>
  <c r="G1067" i="4"/>
  <c r="Y1056" i="4"/>
  <c r="G1054" i="4"/>
  <c r="I1054" i="4" s="1"/>
  <c r="J1054" i="4" s="1"/>
  <c r="X1062" i="4"/>
  <c r="H1062" i="4" s="1"/>
  <c r="Y1059" i="4"/>
  <c r="Y1053" i="4"/>
  <c r="G1074" i="4"/>
  <c r="Y1051" i="4"/>
  <c r="H1081" i="4"/>
  <c r="H1051" i="4"/>
  <c r="G1079" i="4"/>
  <c r="X1053" i="4"/>
  <c r="G1053" i="4"/>
  <c r="G1051" i="4"/>
  <c r="X732" i="4"/>
  <c r="X727" i="4"/>
  <c r="H727" i="4" s="1"/>
  <c r="H723" i="4"/>
  <c r="X722" i="4"/>
  <c r="H722" i="4" s="1"/>
  <c r="X717" i="4"/>
  <c r="H717" i="4" s="1"/>
  <c r="X712" i="4"/>
  <c r="X707" i="4"/>
  <c r="H703" i="4"/>
  <c r="X702" i="4"/>
  <c r="H698" i="4"/>
  <c r="X697" i="4"/>
  <c r="Y735" i="4"/>
  <c r="G733" i="4"/>
  <c r="Y730" i="4"/>
  <c r="G728" i="4"/>
  <c r="Y725" i="4"/>
  <c r="G723" i="4"/>
  <c r="Y720" i="4"/>
  <c r="G718" i="4"/>
  <c r="Y715" i="4"/>
  <c r="G713" i="4"/>
  <c r="Y710" i="4"/>
  <c r="G708" i="4"/>
  <c r="Y705" i="4"/>
  <c r="G703" i="4"/>
  <c r="Y700" i="4"/>
  <c r="G698" i="4"/>
  <c r="X735" i="4"/>
  <c r="H735" i="4" s="1"/>
  <c r="X730" i="4"/>
  <c r="H730" i="4" s="1"/>
  <c r="X725" i="4"/>
  <c r="H725" i="4" s="1"/>
  <c r="X720" i="4"/>
  <c r="Z720" i="4" s="1"/>
  <c r="H716" i="4"/>
  <c r="X715" i="4"/>
  <c r="X710" i="4"/>
  <c r="X705" i="4"/>
  <c r="H701" i="4"/>
  <c r="X700" i="4"/>
  <c r="G736" i="4"/>
  <c r="Y733" i="4"/>
  <c r="G731" i="4"/>
  <c r="Y728" i="4"/>
  <c r="G726" i="4"/>
  <c r="Y723" i="4"/>
  <c r="G721" i="4"/>
  <c r="Y718" i="4"/>
  <c r="G716" i="4"/>
  <c r="Y713" i="4"/>
  <c r="G711" i="4"/>
  <c r="Y708" i="4"/>
  <c r="G706" i="4"/>
  <c r="Y703" i="4"/>
  <c r="G701" i="4"/>
  <c r="I701" i="4" s="1"/>
  <c r="J701" i="4" s="1"/>
  <c r="Y698" i="4"/>
  <c r="A695" i="4"/>
  <c r="X733" i="4"/>
  <c r="H733" i="4" s="1"/>
  <c r="X728" i="4"/>
  <c r="X723" i="4"/>
  <c r="X718" i="4"/>
  <c r="Z718" i="4" s="1"/>
  <c r="X713" i="4"/>
  <c r="Z713" i="4" s="1"/>
  <c r="X708" i="4"/>
  <c r="H708" i="4" s="1"/>
  <c r="H704" i="4"/>
  <c r="X703" i="4"/>
  <c r="Z703" i="4" s="1"/>
  <c r="H699" i="4"/>
  <c r="X698" i="4"/>
  <c r="Y736" i="4"/>
  <c r="Y737" i="4" s="1"/>
  <c r="G734" i="4"/>
  <c r="Y731" i="4"/>
  <c r="G729" i="4"/>
  <c r="Y726" i="4"/>
  <c r="G724" i="4"/>
  <c r="Y721" i="4"/>
  <c r="G719" i="4"/>
  <c r="Y716" i="4"/>
  <c r="G714" i="4"/>
  <c r="Y711" i="4"/>
  <c r="G709" i="4"/>
  <c r="Y706" i="4"/>
  <c r="G704" i="4"/>
  <c r="Y701" i="4"/>
  <c r="G699" i="4"/>
  <c r="X736" i="4"/>
  <c r="H732" i="4"/>
  <c r="X731" i="4"/>
  <c r="Z731" i="4" s="1"/>
  <c r="X726" i="4"/>
  <c r="X721" i="4"/>
  <c r="H721" i="4" s="1"/>
  <c r="X716" i="4"/>
  <c r="X711" i="4"/>
  <c r="H707" i="4"/>
  <c r="X706" i="4"/>
  <c r="Z706" i="4" s="1"/>
  <c r="H702" i="4"/>
  <c r="X701" i="4"/>
  <c r="H697" i="4"/>
  <c r="Y734" i="4"/>
  <c r="G732" i="4"/>
  <c r="Y729" i="4"/>
  <c r="G727" i="4"/>
  <c r="Y724" i="4"/>
  <c r="G722" i="4"/>
  <c r="Y719" i="4"/>
  <c r="G717" i="4"/>
  <c r="Y714" i="4"/>
  <c r="G712" i="4"/>
  <c r="Y709" i="4"/>
  <c r="X734" i="4"/>
  <c r="X729" i="4"/>
  <c r="X724" i="4"/>
  <c r="Z724" i="4" s="1"/>
  <c r="H720" i="4"/>
  <c r="X719" i="4"/>
  <c r="X714" i="4"/>
  <c r="X709" i="4"/>
  <c r="H705" i="4"/>
  <c r="X704" i="4"/>
  <c r="H700" i="4"/>
  <c r="X699" i="4"/>
  <c r="Y712" i="4"/>
  <c r="Y704" i="4"/>
  <c r="G697" i="4"/>
  <c r="Y727" i="4"/>
  <c r="G720" i="4"/>
  <c r="Y702" i="4"/>
  <c r="G735" i="4"/>
  <c r="Y722" i="4"/>
  <c r="G715" i="4"/>
  <c r="G702" i="4"/>
  <c r="G730" i="4"/>
  <c r="Y707" i="4"/>
  <c r="G700" i="4"/>
  <c r="Y699" i="4"/>
  <c r="Y717" i="4"/>
  <c r="G710" i="4"/>
  <c r="Y697" i="4"/>
  <c r="Y732" i="4"/>
  <c r="G725" i="4"/>
  <c r="G707" i="4"/>
  <c r="G705" i="4"/>
  <c r="I705" i="4" s="1"/>
  <c r="J705" i="4" s="1"/>
  <c r="AF671" i="6"/>
  <c r="AD672" i="6"/>
  <c r="X209" i="5"/>
  <c r="V210" i="5"/>
  <c r="AJ641" i="6"/>
  <c r="AI641" i="6"/>
  <c r="AH641" i="6"/>
  <c r="AG641" i="6"/>
  <c r="AJ371" i="6"/>
  <c r="AI371" i="6"/>
  <c r="AH371" i="6"/>
  <c r="AG371" i="6"/>
  <c r="AB237" i="5"/>
  <c r="AA237" i="5"/>
  <c r="Z237" i="5"/>
  <c r="Y237" i="5"/>
  <c r="AI670" i="6"/>
  <c r="AH670" i="6"/>
  <c r="AG670" i="6"/>
  <c r="AJ670" i="6"/>
  <c r="Y208" i="5"/>
  <c r="AB208" i="5"/>
  <c r="Z208" i="5"/>
  <c r="AA208" i="5"/>
  <c r="X179" i="5"/>
  <c r="V180" i="5"/>
  <c r="AJ731" i="6"/>
  <c r="AI731" i="6"/>
  <c r="AH731" i="6"/>
  <c r="AG731" i="6"/>
  <c r="AF642" i="6"/>
  <c r="AD643" i="6"/>
  <c r="Q140" i="4"/>
  <c r="AD373" i="6"/>
  <c r="AF372" i="6"/>
  <c r="X238" i="5"/>
  <c r="V239" i="5"/>
  <c r="X58" i="5"/>
  <c r="V59" i="5"/>
  <c r="AI432" i="6"/>
  <c r="AH432" i="6"/>
  <c r="AG432" i="6"/>
  <c r="AJ432" i="6"/>
  <c r="AJ222" i="6"/>
  <c r="AI222" i="6"/>
  <c r="AH222" i="6"/>
  <c r="AG222" i="6"/>
  <c r="AB57" i="5"/>
  <c r="AA57" i="5"/>
  <c r="Z57" i="5"/>
  <c r="Y57" i="5"/>
  <c r="X338" i="4"/>
  <c r="H338" i="4" s="1"/>
  <c r="X333" i="4"/>
  <c r="X328" i="4"/>
  <c r="X323" i="4"/>
  <c r="X318" i="4"/>
  <c r="X313" i="4"/>
  <c r="H313" i="4" s="1"/>
  <c r="H309" i="4"/>
  <c r="X308" i="4"/>
  <c r="Z308" i="4" s="1"/>
  <c r="H304" i="4"/>
  <c r="X303" i="4"/>
  <c r="G339" i="4"/>
  <c r="Y336" i="4"/>
  <c r="G334" i="4"/>
  <c r="Y331" i="4"/>
  <c r="G329" i="4"/>
  <c r="Y326" i="4"/>
  <c r="G324" i="4"/>
  <c r="Y321" i="4"/>
  <c r="G319" i="4"/>
  <c r="Y316" i="4"/>
  <c r="G314" i="4"/>
  <c r="Y311" i="4"/>
  <c r="G309" i="4"/>
  <c r="Y306" i="4"/>
  <c r="G304" i="4"/>
  <c r="Y301" i="4"/>
  <c r="X336" i="4"/>
  <c r="H336" i="4" s="1"/>
  <c r="X331" i="4"/>
  <c r="H331" i="4" s="1"/>
  <c r="X326" i="4"/>
  <c r="Z326" i="4" s="1"/>
  <c r="X321" i="4"/>
  <c r="X316" i="4"/>
  <c r="H316" i="4" s="1"/>
  <c r="X311" i="4"/>
  <c r="H311" i="4" s="1"/>
  <c r="H307" i="4"/>
  <c r="X306" i="4"/>
  <c r="H302" i="4"/>
  <c r="X301" i="4"/>
  <c r="Z301" i="4" s="1"/>
  <c r="Y339" i="4"/>
  <c r="G337" i="4"/>
  <c r="Y334" i="4"/>
  <c r="G332" i="4"/>
  <c r="Y329" i="4"/>
  <c r="G327" i="4"/>
  <c r="Y324" i="4"/>
  <c r="G322" i="4"/>
  <c r="Y319" i="4"/>
  <c r="G317" i="4"/>
  <c r="Y314" i="4"/>
  <c r="G312" i="4"/>
  <c r="Y309" i="4"/>
  <c r="G307" i="4"/>
  <c r="Y304" i="4"/>
  <c r="G302" i="4"/>
  <c r="X339" i="4"/>
  <c r="H339" i="4" s="1"/>
  <c r="X334" i="4"/>
  <c r="X329" i="4"/>
  <c r="X324" i="4"/>
  <c r="X319" i="4"/>
  <c r="X314" i="4"/>
  <c r="H314" i="4" s="1"/>
  <c r="X309" i="4"/>
  <c r="H305" i="4"/>
  <c r="X304" i="4"/>
  <c r="G340" i="4"/>
  <c r="Y337" i="4"/>
  <c r="G335" i="4"/>
  <c r="Y332" i="4"/>
  <c r="G330" i="4"/>
  <c r="Y327" i="4"/>
  <c r="G325" i="4"/>
  <c r="Y322" i="4"/>
  <c r="G320" i="4"/>
  <c r="X337" i="4"/>
  <c r="X332" i="4"/>
  <c r="H332" i="4" s="1"/>
  <c r="H328" i="4"/>
  <c r="X327" i="4"/>
  <c r="X322" i="4"/>
  <c r="H322" i="4" s="1"/>
  <c r="H318" i="4"/>
  <c r="X317" i="4"/>
  <c r="H317" i="4" s="1"/>
  <c r="X312" i="4"/>
  <c r="H308" i="4"/>
  <c r="X307" i="4"/>
  <c r="H303" i="4"/>
  <c r="X302" i="4"/>
  <c r="Y340" i="4"/>
  <c r="Y341" i="4" s="1"/>
  <c r="G338" i="4"/>
  <c r="Y335" i="4"/>
  <c r="G333" i="4"/>
  <c r="Y330" i="4"/>
  <c r="G328" i="4"/>
  <c r="Y325" i="4"/>
  <c r="G323" i="4"/>
  <c r="Y320" i="4"/>
  <c r="G318" i="4"/>
  <c r="Y315" i="4"/>
  <c r="G313" i="4"/>
  <c r="Y310" i="4"/>
  <c r="G308" i="4"/>
  <c r="Y305" i="4"/>
  <c r="G303" i="4"/>
  <c r="X335" i="4"/>
  <c r="H335" i="4" s="1"/>
  <c r="Y313" i="4"/>
  <c r="G306" i="4"/>
  <c r="A299" i="4"/>
  <c r="Y333" i="4"/>
  <c r="G326" i="4"/>
  <c r="Y318" i="4"/>
  <c r="G311" i="4"/>
  <c r="X325" i="4"/>
  <c r="H325" i="4" s="1"/>
  <c r="G316" i="4"/>
  <c r="X305" i="4"/>
  <c r="Y323" i="4"/>
  <c r="X310" i="4"/>
  <c r="X340" i="4"/>
  <c r="X315" i="4"/>
  <c r="Y338" i="4"/>
  <c r="G331" i="4"/>
  <c r="Y302" i="4"/>
  <c r="G310" i="4"/>
  <c r="Y303" i="4"/>
  <c r="Y328" i="4"/>
  <c r="Y312" i="4"/>
  <c r="H306" i="4"/>
  <c r="G315" i="4"/>
  <c r="Y308" i="4"/>
  <c r="G305" i="4"/>
  <c r="G321" i="4"/>
  <c r="Y317" i="4"/>
  <c r="X330" i="4"/>
  <c r="H330" i="4" s="1"/>
  <c r="X320" i="4"/>
  <c r="H320" i="4" s="1"/>
  <c r="Y307" i="4"/>
  <c r="H301" i="4"/>
  <c r="G336" i="4"/>
  <c r="G301" i="4"/>
  <c r="Y178" i="5"/>
  <c r="AB178" i="5"/>
  <c r="Z178" i="5"/>
  <c r="AA178" i="5"/>
  <c r="AD733" i="6"/>
  <c r="AF732" i="6"/>
  <c r="AI581" i="6"/>
  <c r="AH581" i="6"/>
  <c r="AG581" i="6"/>
  <c r="AJ581" i="6"/>
  <c r="G427" i="4"/>
  <c r="Y424" i="4"/>
  <c r="G422" i="4"/>
  <c r="Y419" i="4"/>
  <c r="G417" i="4"/>
  <c r="Y414" i="4"/>
  <c r="G412" i="4"/>
  <c r="Y409" i="4"/>
  <c r="G407" i="4"/>
  <c r="Y404" i="4"/>
  <c r="G402" i="4"/>
  <c r="Y399" i="4"/>
  <c r="G397" i="4"/>
  <c r="Y394" i="4"/>
  <c r="G392" i="4"/>
  <c r="Y389" i="4"/>
  <c r="Y427" i="4"/>
  <c r="G425" i="4"/>
  <c r="Y422" i="4"/>
  <c r="X427" i="4"/>
  <c r="H427" i="4" s="1"/>
  <c r="G428" i="4"/>
  <c r="Y425" i="4"/>
  <c r="G423" i="4"/>
  <c r="Y420" i="4"/>
  <c r="G418" i="4"/>
  <c r="Y415" i="4"/>
  <c r="G413" i="4"/>
  <c r="Y410" i="4"/>
  <c r="G408" i="4"/>
  <c r="Y405" i="4"/>
  <c r="G403" i="4"/>
  <c r="Y400" i="4"/>
  <c r="G398" i="4"/>
  <c r="Y395" i="4"/>
  <c r="X428" i="4"/>
  <c r="H428" i="4" s="1"/>
  <c r="X423" i="4"/>
  <c r="X418" i="4"/>
  <c r="H418" i="4" s="1"/>
  <c r="Y426" i="4"/>
  <c r="X421" i="4"/>
  <c r="G420" i="4"/>
  <c r="G415" i="4"/>
  <c r="X411" i="4"/>
  <c r="X410" i="4"/>
  <c r="H401" i="4"/>
  <c r="X398" i="4"/>
  <c r="H398" i="4" s="1"/>
  <c r="Y397" i="4"/>
  <c r="G394" i="4"/>
  <c r="Y392" i="4"/>
  <c r="G391" i="4"/>
  <c r="X426" i="4"/>
  <c r="H421" i="4"/>
  <c r="G414" i="4"/>
  <c r="X409" i="4"/>
  <c r="Y408" i="4"/>
  <c r="G401" i="4"/>
  <c r="H400" i="4"/>
  <c r="X397" i="4"/>
  <c r="Y396" i="4"/>
  <c r="X392" i="4"/>
  <c r="X389" i="4"/>
  <c r="G421" i="4"/>
  <c r="X408" i="4"/>
  <c r="Y407" i="4"/>
  <c r="G400" i="4"/>
  <c r="X396" i="4"/>
  <c r="X395" i="4"/>
  <c r="H393" i="4"/>
  <c r="H390" i="4"/>
  <c r="A387" i="4"/>
  <c r="X425" i="4"/>
  <c r="Z425" i="4" s="1"/>
  <c r="X422" i="4"/>
  <c r="H422" i="4"/>
  <c r="G411" i="4"/>
  <c r="X407" i="4"/>
  <c r="H407" i="4" s="1"/>
  <c r="Y406" i="4"/>
  <c r="G399" i="4"/>
  <c r="G393" i="4"/>
  <c r="G390" i="4"/>
  <c r="Y428" i="4"/>
  <c r="Y429" i="4" s="1"/>
  <c r="Y418" i="4"/>
  <c r="Y417" i="4"/>
  <c r="G410" i="4"/>
  <c r="X406" i="4"/>
  <c r="H406" i="4" s="1"/>
  <c r="X405" i="4"/>
  <c r="H405" i="4" s="1"/>
  <c r="H397" i="4"/>
  <c r="H396" i="4"/>
  <c r="X394" i="4"/>
  <c r="Y391" i="4"/>
  <c r="G424" i="4"/>
  <c r="X417" i="4"/>
  <c r="Y416" i="4"/>
  <c r="G409" i="4"/>
  <c r="H408" i="4"/>
  <c r="X404" i="4"/>
  <c r="H404" i="4" s="1"/>
  <c r="Y403" i="4"/>
  <c r="G396" i="4"/>
  <c r="I396" i="4" s="1"/>
  <c r="J396" i="4" s="1"/>
  <c r="H395" i="4"/>
  <c r="X391" i="4"/>
  <c r="Z391" i="4" s="1"/>
  <c r="X419" i="4"/>
  <c r="X416" i="4"/>
  <c r="X415" i="4"/>
  <c r="X403" i="4"/>
  <c r="Y402" i="4"/>
  <c r="G395" i="4"/>
  <c r="H392" i="4"/>
  <c r="H389" i="4"/>
  <c r="X424" i="4"/>
  <c r="H424" i="4" s="1"/>
  <c r="X414" i="4"/>
  <c r="Y413" i="4"/>
  <c r="G406" i="4"/>
  <c r="X402" i="4"/>
  <c r="H402" i="4" s="1"/>
  <c r="Y401" i="4"/>
  <c r="Y393" i="4"/>
  <c r="Y390" i="4"/>
  <c r="G389" i="4"/>
  <c r="Y412" i="4"/>
  <c r="X400" i="4"/>
  <c r="X393" i="4"/>
  <c r="Z393" i="4" s="1"/>
  <c r="H415" i="4"/>
  <c r="X412" i="4"/>
  <c r="Z412" i="4" s="1"/>
  <c r="G405" i="4"/>
  <c r="G426" i="4"/>
  <c r="H391" i="4"/>
  <c r="G419" i="4"/>
  <c r="X390" i="4"/>
  <c r="Y421" i="4"/>
  <c r="Y411" i="4"/>
  <c r="X399" i="4"/>
  <c r="Z399" i="4" s="1"/>
  <c r="H416" i="4"/>
  <c r="H394" i="4"/>
  <c r="Y423" i="4"/>
  <c r="G416" i="4"/>
  <c r="G404" i="4"/>
  <c r="Y398" i="4"/>
  <c r="X420" i="4"/>
  <c r="X413" i="4"/>
  <c r="H413" i="4" s="1"/>
  <c r="X401" i="4"/>
  <c r="Y778" i="4"/>
  <c r="G776" i="4"/>
  <c r="Y773" i="4"/>
  <c r="X780" i="4"/>
  <c r="X777" i="4"/>
  <c r="X774" i="4"/>
  <c r="Z774" i="4" s="1"/>
  <c r="X770" i="4"/>
  <c r="X765" i="4"/>
  <c r="X760" i="4"/>
  <c r="X755" i="4"/>
  <c r="H755" i="4" s="1"/>
  <c r="X750" i="4"/>
  <c r="H746" i="4"/>
  <c r="X745" i="4"/>
  <c r="Y779" i="4"/>
  <c r="G778" i="4"/>
  <c r="Y776" i="4"/>
  <c r="G775" i="4"/>
  <c r="X768" i="4"/>
  <c r="X763" i="4"/>
  <c r="X758" i="4"/>
  <c r="H758" i="4" s="1"/>
  <c r="X753" i="4"/>
  <c r="H753" i="4" s="1"/>
  <c r="H780" i="4"/>
  <c r="X771" i="4"/>
  <c r="X766" i="4"/>
  <c r="Z766" i="4" s="1"/>
  <c r="G780" i="4"/>
  <c r="G777" i="4"/>
  <c r="X778" i="4"/>
  <c r="Y774" i="4"/>
  <c r="G774" i="4"/>
  <c r="Y770" i="4"/>
  <c r="G769" i="4"/>
  <c r="Y760" i="4"/>
  <c r="Y759" i="4"/>
  <c r="G753" i="4"/>
  <c r="G752" i="4"/>
  <c r="H748" i="4"/>
  <c r="H745" i="4"/>
  <c r="H742" i="4"/>
  <c r="Y771" i="4"/>
  <c r="Y765" i="4"/>
  <c r="G764" i="4"/>
  <c r="H763" i="4"/>
  <c r="X759" i="4"/>
  <c r="H759" i="4" s="1"/>
  <c r="Y758" i="4"/>
  <c r="G751" i="4"/>
  <c r="Y749" i="4"/>
  <c r="G748" i="4"/>
  <c r="Y746" i="4"/>
  <c r="G745" i="4"/>
  <c r="I745" i="4" s="1"/>
  <c r="J745" i="4" s="1"/>
  <c r="Y743" i="4"/>
  <c r="G742" i="4"/>
  <c r="I742" i="4" s="1"/>
  <c r="J742" i="4" s="1"/>
  <c r="A739" i="4"/>
  <c r="G770" i="4"/>
  <c r="Y766" i="4"/>
  <c r="H765" i="4"/>
  <c r="G763" i="4"/>
  <c r="G762" i="4"/>
  <c r="Y757" i="4"/>
  <c r="Y756" i="4"/>
  <c r="X749" i="4"/>
  <c r="Z749" i="4" s="1"/>
  <c r="X746" i="4"/>
  <c r="Z746" i="4" s="1"/>
  <c r="X743" i="4"/>
  <c r="Y775" i="4"/>
  <c r="Y772" i="4"/>
  <c r="G765" i="4"/>
  <c r="K765" i="4" s="1"/>
  <c r="G761" i="4"/>
  <c r="X757" i="4"/>
  <c r="X756" i="4"/>
  <c r="H747" i="4"/>
  <c r="H744" i="4"/>
  <c r="X775" i="4"/>
  <c r="X772" i="4"/>
  <c r="Z772" i="4" s="1"/>
  <c r="G771" i="4"/>
  <c r="Y767" i="4"/>
  <c r="G760" i="4"/>
  <c r="G759" i="4"/>
  <c r="Y755" i="4"/>
  <c r="Y754" i="4"/>
  <c r="G750" i="4"/>
  <c r="Y748" i="4"/>
  <c r="G747" i="4"/>
  <c r="G744" i="4"/>
  <c r="H741" i="4"/>
  <c r="X779" i="4"/>
  <c r="H779" i="4" s="1"/>
  <c r="G772" i="4"/>
  <c r="X767" i="4"/>
  <c r="G766" i="4"/>
  <c r="X754" i="4"/>
  <c r="Y753" i="4"/>
  <c r="X748" i="4"/>
  <c r="Y745" i="4"/>
  <c r="Y742" i="4"/>
  <c r="G741" i="4"/>
  <c r="X773" i="4"/>
  <c r="Y768" i="4"/>
  <c r="G767" i="4"/>
  <c r="G758" i="4"/>
  <c r="G757" i="4"/>
  <c r="Y752" i="4"/>
  <c r="Y751" i="4"/>
  <c r="H749" i="4"/>
  <c r="X742" i="4"/>
  <c r="Z742" i="4" s="1"/>
  <c r="Y769" i="4"/>
  <c r="Y763" i="4"/>
  <c r="G756" i="4"/>
  <c r="X752" i="4"/>
  <c r="X751" i="4"/>
  <c r="H751" i="4" s="1"/>
  <c r="G749" i="4"/>
  <c r="G746" i="4"/>
  <c r="H743" i="4"/>
  <c r="Y780" i="4"/>
  <c r="Y781" i="4" s="1"/>
  <c r="H776" i="4"/>
  <c r="G773" i="4"/>
  <c r="X769" i="4"/>
  <c r="Y764" i="4"/>
  <c r="Y762" i="4"/>
  <c r="Y761" i="4"/>
  <c r="G755" i="4"/>
  <c r="G754" i="4"/>
  <c r="Y750" i="4"/>
  <c r="Y747" i="4"/>
  <c r="Y744" i="4"/>
  <c r="G743" i="4"/>
  <c r="Y741" i="4"/>
  <c r="G779" i="4"/>
  <c r="Y777" i="4"/>
  <c r="X776" i="4"/>
  <c r="X764" i="4"/>
  <c r="H764" i="4" s="1"/>
  <c r="X741" i="4"/>
  <c r="X744" i="4"/>
  <c r="Z744" i="4" s="1"/>
  <c r="G768" i="4"/>
  <c r="X762" i="4"/>
  <c r="Z762" i="4" s="1"/>
  <c r="X747" i="4"/>
  <c r="X761" i="4"/>
  <c r="H761" i="4" s="1"/>
  <c r="R92" i="4"/>
  <c r="N137" i="4"/>
  <c r="Z137" i="4"/>
  <c r="AJ520" i="6"/>
  <c r="AH520" i="6"/>
  <c r="AG520" i="6"/>
  <c r="AI520" i="6"/>
  <c r="AF253" i="6"/>
  <c r="AD254" i="6"/>
  <c r="V299" i="5"/>
  <c r="X298" i="5"/>
  <c r="AD493" i="6"/>
  <c r="AF492" i="6"/>
  <c r="X88" i="5"/>
  <c r="V89" i="5"/>
  <c r="AG549" i="6"/>
  <c r="AJ549" i="6"/>
  <c r="AI549" i="6"/>
  <c r="AH549" i="6"/>
  <c r="AD583" i="6"/>
  <c r="AF582" i="6"/>
  <c r="AF433" i="6"/>
  <c r="AD434" i="6"/>
  <c r="AD224" i="6"/>
  <c r="AF223" i="6"/>
  <c r="X1175" i="4"/>
  <c r="H1175" i="4" s="1"/>
  <c r="X1170" i="4"/>
  <c r="X1165" i="4"/>
  <c r="H1165" i="4" s="1"/>
  <c r="X1160" i="4"/>
  <c r="X1155" i="4"/>
  <c r="H1155" i="4" s="1"/>
  <c r="X1150" i="4"/>
  <c r="X1145" i="4"/>
  <c r="H1141" i="4"/>
  <c r="X1140" i="4"/>
  <c r="G1176" i="4"/>
  <c r="Y1173" i="4"/>
  <c r="G1171" i="4"/>
  <c r="Y1168" i="4"/>
  <c r="G1166" i="4"/>
  <c r="Y1163" i="4"/>
  <c r="G1161" i="4"/>
  <c r="Y1158" i="4"/>
  <c r="G1156" i="4"/>
  <c r="Y1153" i="4"/>
  <c r="G1151" i="4"/>
  <c r="Y1148" i="4"/>
  <c r="G1146" i="4"/>
  <c r="Y1143" i="4"/>
  <c r="G1141" i="4"/>
  <c r="Y1138" i="4"/>
  <c r="A1135" i="4"/>
  <c r="X1173" i="4"/>
  <c r="H1169" i="4"/>
  <c r="X1168" i="4"/>
  <c r="X1163" i="4"/>
  <c r="X1158" i="4"/>
  <c r="X1153" i="4"/>
  <c r="H1153" i="4" s="1"/>
  <c r="X1148" i="4"/>
  <c r="H1144" i="4"/>
  <c r="X1143" i="4"/>
  <c r="H1139" i="4"/>
  <c r="X1138" i="4"/>
  <c r="Z1138" i="4" s="1"/>
  <c r="Y1176" i="4"/>
  <c r="Y1177" i="4" s="1"/>
  <c r="G1174" i="4"/>
  <c r="Y1171" i="4"/>
  <c r="G1169" i="4"/>
  <c r="Y1166" i="4"/>
  <c r="G1164" i="4"/>
  <c r="Y1161" i="4"/>
  <c r="G1159" i="4"/>
  <c r="Y1156" i="4"/>
  <c r="G1154" i="4"/>
  <c r="Y1151" i="4"/>
  <c r="G1149" i="4"/>
  <c r="Y1146" i="4"/>
  <c r="G1144" i="4"/>
  <c r="Y1141" i="4"/>
  <c r="G1139" i="4"/>
  <c r="Y1174" i="4"/>
  <c r="G1172" i="4"/>
  <c r="Y1169" i="4"/>
  <c r="G1167" i="4"/>
  <c r="Y1164" i="4"/>
  <c r="G1162" i="4"/>
  <c r="Y1159" i="4"/>
  <c r="G1157" i="4"/>
  <c r="Y1154" i="4"/>
  <c r="G1152" i="4"/>
  <c r="Y1149" i="4"/>
  <c r="G1147" i="4"/>
  <c r="Y1144" i="4"/>
  <c r="G1142" i="4"/>
  <c r="Y1139" i="4"/>
  <c r="G1137" i="4"/>
  <c r="Y1175" i="4"/>
  <c r="G1168" i="4"/>
  <c r="Y1165" i="4"/>
  <c r="G1158" i="4"/>
  <c r="Y1155" i="4"/>
  <c r="G1148" i="4"/>
  <c r="Y1145" i="4"/>
  <c r="G1138" i="4"/>
  <c r="X1171" i="4"/>
  <c r="X1161" i="4"/>
  <c r="H1161" i="4" s="1"/>
  <c r="X1174" i="4"/>
  <c r="H1174" i="4" s="1"/>
  <c r="X1164" i="4"/>
  <c r="H1164" i="4" s="1"/>
  <c r="H1160" i="4"/>
  <c r="G1170" i="4"/>
  <c r="Y1167" i="4"/>
  <c r="G1160" i="4"/>
  <c r="G1173" i="4"/>
  <c r="Y1170" i="4"/>
  <c r="G1163" i="4"/>
  <c r="Y1160" i="4"/>
  <c r="X1162" i="4"/>
  <c r="X1159" i="4"/>
  <c r="Y1157" i="4"/>
  <c r="X1152" i="4"/>
  <c r="X1151" i="4"/>
  <c r="H1151" i="4" s="1"/>
  <c r="G1150" i="4"/>
  <c r="Y1140" i="4"/>
  <c r="X1157" i="4"/>
  <c r="H1157" i="4" s="1"/>
  <c r="X1139" i="4"/>
  <c r="Z1139" i="4" s="1"/>
  <c r="H1138" i="4"/>
  <c r="H1137" i="4"/>
  <c r="X1166" i="4"/>
  <c r="X1156" i="4"/>
  <c r="G1155" i="4"/>
  <c r="X1144" i="4"/>
  <c r="H1143" i="4"/>
  <c r="X1169" i="4"/>
  <c r="Z1169" i="4" s="1"/>
  <c r="Y1150" i="4"/>
  <c r="G1143" i="4"/>
  <c r="H1142" i="4"/>
  <c r="Y1172" i="4"/>
  <c r="G1165" i="4"/>
  <c r="X1149" i="4"/>
  <c r="Y1137" i="4"/>
  <c r="X1172" i="4"/>
  <c r="X1154" i="4"/>
  <c r="X1137" i="4"/>
  <c r="X1147" i="4"/>
  <c r="Z1147" i="4" s="1"/>
  <c r="H1145" i="4"/>
  <c r="H1140" i="4"/>
  <c r="Y1142" i="4"/>
  <c r="G1140" i="4"/>
  <c r="I1140" i="4" s="1"/>
  <c r="J1140" i="4" s="1"/>
  <c r="X1142" i="4"/>
  <c r="G1175" i="4"/>
  <c r="Y1147" i="4"/>
  <c r="G1145" i="4"/>
  <c r="Y1162" i="4"/>
  <c r="Y1152" i="4"/>
  <c r="H1158" i="4"/>
  <c r="X1146" i="4"/>
  <c r="X1167" i="4"/>
  <c r="G1153" i="4"/>
  <c r="X1141" i="4"/>
  <c r="X1176" i="4"/>
  <c r="H1176" i="4" s="1"/>
  <c r="H1150" i="4"/>
  <c r="AG491" i="6"/>
  <c r="AJ491" i="6"/>
  <c r="AI491" i="6"/>
  <c r="AH491" i="6"/>
  <c r="AI310" i="6"/>
  <c r="AH310" i="6"/>
  <c r="AG310" i="6"/>
  <c r="AJ310" i="6"/>
  <c r="AB32" i="3"/>
  <c r="AF32" i="3" s="1"/>
  <c r="AF192" i="6"/>
  <c r="AD193" i="6"/>
  <c r="AD312" i="6"/>
  <c r="AF311" i="6"/>
  <c r="T138" i="4"/>
  <c r="X138" i="4" s="1"/>
  <c r="G1352" i="4"/>
  <c r="Y1349" i="4"/>
  <c r="G1347" i="4"/>
  <c r="Y1344" i="4"/>
  <c r="G1342" i="4"/>
  <c r="Y1339" i="4"/>
  <c r="G1337" i="4"/>
  <c r="Y1334" i="4"/>
  <c r="G1332" i="4"/>
  <c r="Y1329" i="4"/>
  <c r="G1327" i="4"/>
  <c r="Y1324" i="4"/>
  <c r="G1322" i="4"/>
  <c r="Y1319" i="4"/>
  <c r="G1317" i="4"/>
  <c r="Y1314" i="4"/>
  <c r="A1311" i="4"/>
  <c r="X1352" i="4"/>
  <c r="H1352" i="4" s="1"/>
  <c r="X1347" i="4"/>
  <c r="H1347" i="4" s="1"/>
  <c r="X1342" i="4"/>
  <c r="H1342" i="4" s="1"/>
  <c r="X1337" i="4"/>
  <c r="H1333" i="4"/>
  <c r="X1332" i="4"/>
  <c r="X1327" i="4"/>
  <c r="X1322" i="4"/>
  <c r="H1322" i="4" s="1"/>
  <c r="H1318" i="4"/>
  <c r="X1317" i="4"/>
  <c r="H1313" i="4"/>
  <c r="Y1351" i="4"/>
  <c r="Y1350" i="4"/>
  <c r="G1344" i="4"/>
  <c r="G1343" i="4"/>
  <c r="X1339" i="4"/>
  <c r="Y1338" i="4"/>
  <c r="G1331" i="4"/>
  <c r="H1330" i="4"/>
  <c r="Y1326" i="4"/>
  <c r="Y1325" i="4"/>
  <c r="G1319" i="4"/>
  <c r="G1318" i="4"/>
  <c r="I1318" i="4" s="1"/>
  <c r="J1318" i="4" s="1"/>
  <c r="X1314" i="4"/>
  <c r="Y1313" i="4"/>
  <c r="X1351" i="4"/>
  <c r="X1350" i="4"/>
  <c r="H1350" i="4" s="1"/>
  <c r="X1338" i="4"/>
  <c r="H1338" i="4" s="1"/>
  <c r="Y1337" i="4"/>
  <c r="G1330" i="4"/>
  <c r="H1329" i="4"/>
  <c r="X1326" i="4"/>
  <c r="X1325" i="4"/>
  <c r="H1317" i="4"/>
  <c r="H1316" i="4"/>
  <c r="X1313" i="4"/>
  <c r="G1351" i="4"/>
  <c r="Y1346" i="4"/>
  <c r="Y1345" i="4"/>
  <c r="G1339" i="4"/>
  <c r="G1338" i="4"/>
  <c r="G1350" i="4"/>
  <c r="X1346" i="4"/>
  <c r="X1345" i="4"/>
  <c r="X1333" i="4"/>
  <c r="Y1332" i="4"/>
  <c r="G1325" i="4"/>
  <c r="X1321" i="4"/>
  <c r="X1320" i="4"/>
  <c r="X1349" i="4"/>
  <c r="H1349" i="4" s="1"/>
  <c r="G1348" i="4"/>
  <c r="Y1341" i="4"/>
  <c r="G1336" i="4"/>
  <c r="G1329" i="4"/>
  <c r="Y1327" i="4"/>
  <c r="Y1318" i="4"/>
  <c r="Y1316" i="4"/>
  <c r="H1344" i="4"/>
  <c r="X1341" i="4"/>
  <c r="H1341" i="4" s="1"/>
  <c r="G1340" i="4"/>
  <c r="Y1331" i="4"/>
  <c r="X1329" i="4"/>
  <c r="Y1320" i="4"/>
  <c r="H1320" i="4"/>
  <c r="X1318" i="4"/>
  <c r="Z1318" i="4" s="1"/>
  <c r="X1316" i="4"/>
  <c r="Y1348" i="4"/>
  <c r="X1344" i="4"/>
  <c r="Y1340" i="4"/>
  <c r="Y1336" i="4"/>
  <c r="Y1333" i="4"/>
  <c r="G1333" i="4"/>
  <c r="X1331" i="4"/>
  <c r="Y1322" i="4"/>
  <c r="G1320" i="4"/>
  <c r="I1320" i="4" s="1"/>
  <c r="J1320" i="4" s="1"/>
  <c r="Y1352" i="4"/>
  <c r="Y1353" i="4" s="1"/>
  <c r="H1351" i="4"/>
  <c r="X1348" i="4"/>
  <c r="H1348" i="4" s="1"/>
  <c r="X1340" i="4"/>
  <c r="H1339" i="4"/>
  <c r="X1336" i="4"/>
  <c r="G1335" i="4"/>
  <c r="X1324" i="4"/>
  <c r="G1324" i="4"/>
  <c r="H1315" i="4"/>
  <c r="G1313" i="4"/>
  <c r="Y1343" i="4"/>
  <c r="Y1335" i="4"/>
  <c r="G1328" i="4"/>
  <c r="G1326" i="4"/>
  <c r="Y1315" i="4"/>
  <c r="G1315" i="4"/>
  <c r="Y1347" i="4"/>
  <c r="X1343" i="4"/>
  <c r="X1335" i="4"/>
  <c r="H1335" i="4" s="1"/>
  <c r="Y1330" i="4"/>
  <c r="Y1328" i="4"/>
  <c r="Y1317" i="4"/>
  <c r="X1315" i="4"/>
  <c r="G1346" i="4"/>
  <c r="X1330" i="4"/>
  <c r="X1328" i="4"/>
  <c r="H1328" i="4" s="1"/>
  <c r="H1321" i="4"/>
  <c r="X1319" i="4"/>
  <c r="H1319" i="4"/>
  <c r="G1349" i="4"/>
  <c r="G1341" i="4"/>
  <c r="Y1321" i="4"/>
  <c r="Y1323" i="4"/>
  <c r="X1323" i="4"/>
  <c r="Y1342" i="4"/>
  <c r="G1321" i="4"/>
  <c r="X1334" i="4"/>
  <c r="G1323" i="4"/>
  <c r="H1314" i="4"/>
  <c r="G1314" i="4"/>
  <c r="I1314" i="4" s="1"/>
  <c r="J1314" i="4" s="1"/>
  <c r="H1345" i="4"/>
  <c r="G1345" i="4"/>
  <c r="G1334" i="4"/>
  <c r="G1316" i="4"/>
  <c r="AD551" i="6"/>
  <c r="AF550" i="6"/>
  <c r="W91" i="4"/>
  <c r="AJ191" i="6"/>
  <c r="AH191" i="6"/>
  <c r="AI191" i="6"/>
  <c r="AG191" i="6"/>
  <c r="Y1219" i="4"/>
  <c r="G1217" i="4"/>
  <c r="X1220" i="4"/>
  <c r="H1220" i="4" s="1"/>
  <c r="X1216" i="4"/>
  <c r="H1216" i="4" s="1"/>
  <c r="X1212" i="4"/>
  <c r="X1207" i="4"/>
  <c r="X1202" i="4"/>
  <c r="H1202" i="4" s="1"/>
  <c r="X1197" i="4"/>
  <c r="X1192" i="4"/>
  <c r="H1192" i="4" s="1"/>
  <c r="H1188" i="4"/>
  <c r="X1187" i="4"/>
  <c r="H1183" i="4"/>
  <c r="X1182" i="4"/>
  <c r="Y1220" i="4"/>
  <c r="Y1221" i="4" s="1"/>
  <c r="G1213" i="4"/>
  <c r="Y1210" i="4"/>
  <c r="G1208" i="4"/>
  <c r="Y1205" i="4"/>
  <c r="G1203" i="4"/>
  <c r="Y1200" i="4"/>
  <c r="G1198" i="4"/>
  <c r="Y1195" i="4"/>
  <c r="G1193" i="4"/>
  <c r="Y1190" i="4"/>
  <c r="G1188" i="4"/>
  <c r="I1188" i="4" s="1"/>
  <c r="J1188" i="4" s="1"/>
  <c r="Y1185" i="4"/>
  <c r="G1183" i="4"/>
  <c r="X1219" i="4"/>
  <c r="Y1218" i="4"/>
  <c r="Y1215" i="4"/>
  <c r="X1210" i="4"/>
  <c r="X1205" i="4"/>
  <c r="X1200" i="4"/>
  <c r="H1200" i="4" s="1"/>
  <c r="X1195" i="4"/>
  <c r="H1195" i="4" s="1"/>
  <c r="X1190" i="4"/>
  <c r="H1186" i="4"/>
  <c r="X1185" i="4"/>
  <c r="H1181" i="4"/>
  <c r="X1218" i="4"/>
  <c r="Z1218" i="4" s="1"/>
  <c r="X1215" i="4"/>
  <c r="H1215" i="4" s="1"/>
  <c r="Y1213" i="4"/>
  <c r="G1211" i="4"/>
  <c r="Y1208" i="4"/>
  <c r="G1206" i="4"/>
  <c r="Y1203" i="4"/>
  <c r="G1201" i="4"/>
  <c r="Y1198" i="4"/>
  <c r="G1196" i="4"/>
  <c r="Y1193" i="4"/>
  <c r="G1191" i="4"/>
  <c r="Y1188" i="4"/>
  <c r="G1186" i="4"/>
  <c r="Y1183" i="4"/>
  <c r="G1181" i="4"/>
  <c r="X1213" i="4"/>
  <c r="X1208" i="4"/>
  <c r="H1208" i="4" s="1"/>
  <c r="X1203" i="4"/>
  <c r="X1198" i="4"/>
  <c r="H1198" i="4" s="1"/>
  <c r="X1193" i="4"/>
  <c r="Z1193" i="4" s="1"/>
  <c r="H1189" i="4"/>
  <c r="X1188" i="4"/>
  <c r="Z1188" i="4" s="1"/>
  <c r="H1184" i="4"/>
  <c r="X1183" i="4"/>
  <c r="G1220" i="4"/>
  <c r="H1219" i="4"/>
  <c r="Y1217" i="4"/>
  <c r="G1216" i="4"/>
  <c r="G1214" i="4"/>
  <c r="Y1211" i="4"/>
  <c r="G1209" i="4"/>
  <c r="Y1206" i="4"/>
  <c r="G1204" i="4"/>
  <c r="Y1201" i="4"/>
  <c r="G1199" i="4"/>
  <c r="Y1196" i="4"/>
  <c r="G1194" i="4"/>
  <c r="Y1191" i="4"/>
  <c r="G1189" i="4"/>
  <c r="I1189" i="4" s="1"/>
  <c r="J1189" i="4" s="1"/>
  <c r="Y1186" i="4"/>
  <c r="G1184" i="4"/>
  <c r="Y1181" i="4"/>
  <c r="G1219" i="4"/>
  <c r="X1217" i="4"/>
  <c r="H1217" i="4" s="1"/>
  <c r="X1211" i="4"/>
  <c r="H1211" i="4" s="1"/>
  <c r="X1206" i="4"/>
  <c r="H1206" i="4" s="1"/>
  <c r="X1201" i="4"/>
  <c r="Z1201" i="4" s="1"/>
  <c r="G1218" i="4"/>
  <c r="Y1216" i="4"/>
  <c r="Y1212" i="4"/>
  <c r="H1210" i="4"/>
  <c r="G1205" i="4"/>
  <c r="X1189" i="4"/>
  <c r="X1186" i="4"/>
  <c r="G1210" i="4"/>
  <c r="Y1204" i="4"/>
  <c r="Y1187" i="4"/>
  <c r="Y1184" i="4"/>
  <c r="G1215" i="4"/>
  <c r="Y1209" i="4"/>
  <c r="X1204" i="4"/>
  <c r="G1202" i="4"/>
  <c r="X1184" i="4"/>
  <c r="X1181" i="4"/>
  <c r="Y1214" i="4"/>
  <c r="X1209" i="4"/>
  <c r="G1207" i="4"/>
  <c r="G1200" i="4"/>
  <c r="G1197" i="4"/>
  <c r="Y1182" i="4"/>
  <c r="X1214" i="4"/>
  <c r="H1214" i="4" s="1"/>
  <c r="G1212" i="4"/>
  <c r="Y1199" i="4"/>
  <c r="G1195" i="4"/>
  <c r="G1192" i="4"/>
  <c r="A1179" i="4"/>
  <c r="X1199" i="4"/>
  <c r="H1199" i="4" s="1"/>
  <c r="X1196" i="4"/>
  <c r="Y1197" i="4"/>
  <c r="Y1194" i="4"/>
  <c r="Y1192" i="4"/>
  <c r="G1190" i="4"/>
  <c r="X1194" i="4"/>
  <c r="Z1194" i="4" s="1"/>
  <c r="H1187" i="4"/>
  <c r="H1185" i="4"/>
  <c r="Y1189" i="4"/>
  <c r="G1187" i="4"/>
  <c r="G1185" i="4"/>
  <c r="Y1202" i="4"/>
  <c r="X1191" i="4"/>
  <c r="H1182" i="4"/>
  <c r="G1182" i="4"/>
  <c r="Y1207" i="4"/>
  <c r="AI702" i="6"/>
  <c r="AH702" i="6"/>
  <c r="AJ702" i="6"/>
  <c r="AG702" i="6"/>
  <c r="AD463" i="6"/>
  <c r="AF462" i="6"/>
  <c r="G823" i="4"/>
  <c r="Y820" i="4"/>
  <c r="G818" i="4"/>
  <c r="Y815" i="4"/>
  <c r="G813" i="4"/>
  <c r="Y810" i="4"/>
  <c r="G808" i="4"/>
  <c r="Y805" i="4"/>
  <c r="G803" i="4"/>
  <c r="Y800" i="4"/>
  <c r="G798" i="4"/>
  <c r="Y795" i="4"/>
  <c r="G793" i="4"/>
  <c r="Y790" i="4"/>
  <c r="G788" i="4"/>
  <c r="I788" i="4" s="1"/>
  <c r="J788" i="4" s="1"/>
  <c r="Y785" i="4"/>
  <c r="Y822" i="4"/>
  <c r="Y819" i="4"/>
  <c r="Y816" i="4"/>
  <c r="G815" i="4"/>
  <c r="Y813" i="4"/>
  <c r="G812" i="4"/>
  <c r="G809" i="4"/>
  <c r="G806" i="4"/>
  <c r="H794" i="4"/>
  <c r="H791" i="4"/>
  <c r="X787" i="4"/>
  <c r="X822" i="4"/>
  <c r="X819" i="4"/>
  <c r="X816" i="4"/>
  <c r="H816" i="4" s="1"/>
  <c r="X813" i="4"/>
  <c r="H813" i="4" s="1"/>
  <c r="X810" i="4"/>
  <c r="Y807" i="4"/>
  <c r="Y804" i="4"/>
  <c r="Y801" i="4"/>
  <c r="G800" i="4"/>
  <c r="Y798" i="4"/>
  <c r="G797" i="4"/>
  <c r="G794" i="4"/>
  <c r="G791" i="4"/>
  <c r="H788" i="4"/>
  <c r="H785" i="4"/>
  <c r="X807" i="4"/>
  <c r="Z807" i="4" s="1"/>
  <c r="X804" i="4"/>
  <c r="X801" i="4"/>
  <c r="H801" i="4" s="1"/>
  <c r="X798" i="4"/>
  <c r="H798" i="4" s="1"/>
  <c r="X795" i="4"/>
  <c r="Y792" i="4"/>
  <c r="Y789" i="4"/>
  <c r="Y786" i="4"/>
  <c r="G785" i="4"/>
  <c r="Y824" i="4"/>
  <c r="Y825" i="4" s="1"/>
  <c r="Y821" i="4"/>
  <c r="G820" i="4"/>
  <c r="X824" i="4"/>
  <c r="H824" i="4" s="1"/>
  <c r="X821" i="4"/>
  <c r="H821" i="4" s="1"/>
  <c r="X818" i="4"/>
  <c r="Z818" i="4" s="1"/>
  <c r="X815" i="4"/>
  <c r="H815" i="4" s="1"/>
  <c r="Y812" i="4"/>
  <c r="Y809" i="4"/>
  <c r="Y806" i="4"/>
  <c r="G805" i="4"/>
  <c r="Y803" i="4"/>
  <c r="G802" i="4"/>
  <c r="G799" i="4"/>
  <c r="G796" i="4"/>
  <c r="H793" i="4"/>
  <c r="H790" i="4"/>
  <c r="H787" i="4"/>
  <c r="H819" i="4"/>
  <c r="X812" i="4"/>
  <c r="Z812" i="4" s="1"/>
  <c r="X809" i="4"/>
  <c r="X806" i="4"/>
  <c r="H806" i="4" s="1"/>
  <c r="X803" i="4"/>
  <c r="H803" i="4" s="1"/>
  <c r="X800" i="4"/>
  <c r="Y797" i="4"/>
  <c r="Y794" i="4"/>
  <c r="Y791" i="4"/>
  <c r="G790" i="4"/>
  <c r="Y788" i="4"/>
  <c r="G787" i="4"/>
  <c r="I787" i="4" s="1"/>
  <c r="J787" i="4" s="1"/>
  <c r="Y823" i="4"/>
  <c r="G822" i="4"/>
  <c r="G819" i="4"/>
  <c r="G816" i="4"/>
  <c r="X797" i="4"/>
  <c r="Z797" i="4" s="1"/>
  <c r="X794" i="4"/>
  <c r="X791" i="4"/>
  <c r="X788" i="4"/>
  <c r="X785" i="4"/>
  <c r="X823" i="4"/>
  <c r="X820" i="4"/>
  <c r="Y817" i="4"/>
  <c r="Y814" i="4"/>
  <c r="Y811" i="4"/>
  <c r="G810" i="4"/>
  <c r="Y808" i="4"/>
  <c r="G807" i="4"/>
  <c r="G804" i="4"/>
  <c r="G801" i="4"/>
  <c r="H792" i="4"/>
  <c r="H789" i="4"/>
  <c r="H786" i="4"/>
  <c r="A783" i="4"/>
  <c r="X817" i="4"/>
  <c r="H817" i="4" s="1"/>
  <c r="G792" i="4"/>
  <c r="X790" i="4"/>
  <c r="X814" i="4"/>
  <c r="H799" i="4"/>
  <c r="G789" i="4"/>
  <c r="Y787" i="4"/>
  <c r="X811" i="4"/>
  <c r="H811" i="4" s="1"/>
  <c r="G786" i="4"/>
  <c r="Y818" i="4"/>
  <c r="X808" i="4"/>
  <c r="Z808" i="4" s="1"/>
  <c r="G821" i="4"/>
  <c r="X805" i="4"/>
  <c r="G817" i="4"/>
  <c r="Y802" i="4"/>
  <c r="G814" i="4"/>
  <c r="X802" i="4"/>
  <c r="Z802" i="4" s="1"/>
  <c r="Y799" i="4"/>
  <c r="X792" i="4"/>
  <c r="Z792" i="4" s="1"/>
  <c r="G824" i="4"/>
  <c r="G811" i="4"/>
  <c r="X799" i="4"/>
  <c r="Y796" i="4"/>
  <c r="X789" i="4"/>
  <c r="Z789" i="4" s="1"/>
  <c r="X796" i="4"/>
  <c r="H796" i="4" s="1"/>
  <c r="Y793" i="4"/>
  <c r="X786" i="4"/>
  <c r="G795" i="4"/>
  <c r="X793" i="4"/>
  <c r="H691" i="4"/>
  <c r="X690" i="4"/>
  <c r="X685" i="4"/>
  <c r="X680" i="4"/>
  <c r="H680" i="4" s="1"/>
  <c r="X675" i="4"/>
  <c r="X670" i="4"/>
  <c r="X665" i="4"/>
  <c r="H665" i="4" s="1"/>
  <c r="H661" i="4"/>
  <c r="X660" i="4"/>
  <c r="H656" i="4"/>
  <c r="X655" i="4"/>
  <c r="G691" i="4"/>
  <c r="Y688" i="4"/>
  <c r="G686" i="4"/>
  <c r="Y683" i="4"/>
  <c r="G681" i="4"/>
  <c r="Y678" i="4"/>
  <c r="G676" i="4"/>
  <c r="Y673" i="4"/>
  <c r="G671" i="4"/>
  <c r="Y668" i="4"/>
  <c r="G666" i="4"/>
  <c r="Y663" i="4"/>
  <c r="G661" i="4"/>
  <c r="Y658" i="4"/>
  <c r="G656" i="4"/>
  <c r="Y653" i="4"/>
  <c r="X688" i="4"/>
  <c r="H688" i="4" s="1"/>
  <c r="X683" i="4"/>
  <c r="X678" i="4"/>
  <c r="X673" i="4"/>
  <c r="Z673" i="4" s="1"/>
  <c r="X668" i="4"/>
  <c r="Z668" i="4" s="1"/>
  <c r="X663" i="4"/>
  <c r="H663" i="4" s="1"/>
  <c r="H659" i="4"/>
  <c r="X658" i="4"/>
  <c r="H654" i="4"/>
  <c r="X653" i="4"/>
  <c r="Y691" i="4"/>
  <c r="G689" i="4"/>
  <c r="Y686" i="4"/>
  <c r="G684" i="4"/>
  <c r="Y681" i="4"/>
  <c r="G679" i="4"/>
  <c r="Y676" i="4"/>
  <c r="G674" i="4"/>
  <c r="Y671" i="4"/>
  <c r="G669" i="4"/>
  <c r="Y666" i="4"/>
  <c r="G664" i="4"/>
  <c r="Y661" i="4"/>
  <c r="G659" i="4"/>
  <c r="Y656" i="4"/>
  <c r="G654" i="4"/>
  <c r="X691" i="4"/>
  <c r="X686" i="4"/>
  <c r="X681" i="4"/>
  <c r="X676" i="4"/>
  <c r="Z676" i="4" s="1"/>
  <c r="X671" i="4"/>
  <c r="Z671" i="4" s="1"/>
  <c r="X666" i="4"/>
  <c r="H666" i="4" s="1"/>
  <c r="X661" i="4"/>
  <c r="Z661" i="4" s="1"/>
  <c r="H657" i="4"/>
  <c r="X656" i="4"/>
  <c r="Z656" i="4" s="1"/>
  <c r="G692" i="4"/>
  <c r="Y689" i="4"/>
  <c r="G687" i="4"/>
  <c r="Y684" i="4"/>
  <c r="G682" i="4"/>
  <c r="Y679" i="4"/>
  <c r="G677" i="4"/>
  <c r="Y674" i="4"/>
  <c r="G672" i="4"/>
  <c r="Y669" i="4"/>
  <c r="G667" i="4"/>
  <c r="Y664" i="4"/>
  <c r="G662" i="4"/>
  <c r="Y659" i="4"/>
  <c r="G657" i="4"/>
  <c r="Y654" i="4"/>
  <c r="X689" i="4"/>
  <c r="X684" i="4"/>
  <c r="Z684" i="4" s="1"/>
  <c r="X679" i="4"/>
  <c r="X674" i="4"/>
  <c r="H674" i="4" s="1"/>
  <c r="X692" i="4"/>
  <c r="X687" i="4"/>
  <c r="H683" i="4"/>
  <c r="X682" i="4"/>
  <c r="X677" i="4"/>
  <c r="Z677" i="4" s="1"/>
  <c r="X672" i="4"/>
  <c r="X667" i="4"/>
  <c r="X662" i="4"/>
  <c r="H658" i="4"/>
  <c r="X657" i="4"/>
  <c r="H653" i="4"/>
  <c r="G690" i="4"/>
  <c r="Y665" i="4"/>
  <c r="G658" i="4"/>
  <c r="G688" i="4"/>
  <c r="Y670" i="4"/>
  <c r="G663" i="4"/>
  <c r="Y687" i="4"/>
  <c r="G680" i="4"/>
  <c r="G668" i="4"/>
  <c r="Y657" i="4"/>
  <c r="H655" i="4"/>
  <c r="Y685" i="4"/>
  <c r="G678" i="4"/>
  <c r="G673" i="4"/>
  <c r="Y662" i="4"/>
  <c r="H660" i="4"/>
  <c r="G655" i="4"/>
  <c r="I655" i="4" s="1"/>
  <c r="J655" i="4" s="1"/>
  <c r="G653" i="4"/>
  <c r="Y677" i="4"/>
  <c r="Y667" i="4"/>
  <c r="G660" i="4"/>
  <c r="I660" i="4" s="1"/>
  <c r="J660" i="4" s="1"/>
  <c r="Y675" i="4"/>
  <c r="Y672" i="4"/>
  <c r="G665" i="4"/>
  <c r="X654" i="4"/>
  <c r="Y692" i="4"/>
  <c r="Y693" i="4" s="1"/>
  <c r="G685" i="4"/>
  <c r="G670" i="4"/>
  <c r="X659" i="4"/>
  <c r="A651" i="4"/>
  <c r="Y690" i="4"/>
  <c r="G683" i="4"/>
  <c r="X664" i="4"/>
  <c r="H664" i="4" s="1"/>
  <c r="Y682" i="4"/>
  <c r="G675" i="4"/>
  <c r="X669" i="4"/>
  <c r="Z669" i="4" s="1"/>
  <c r="Y655" i="4"/>
  <c r="Y680" i="4"/>
  <c r="Y660" i="4"/>
  <c r="AD283" i="6"/>
  <c r="AF282" i="6"/>
  <c r="AF703" i="6"/>
  <c r="AD704" i="6"/>
  <c r="AJ461" i="6"/>
  <c r="AI461" i="6"/>
  <c r="AH461" i="6"/>
  <c r="AG461" i="6"/>
  <c r="AI340" i="6"/>
  <c r="AJ340" i="6"/>
  <c r="AG340" i="6"/>
  <c r="AH340" i="6"/>
  <c r="AD31" i="3"/>
  <c r="AH31" i="3" s="1"/>
  <c r="AG31" i="3"/>
  <c r="AE32" i="3"/>
  <c r="P138" i="4"/>
  <c r="X1044" i="4"/>
  <c r="X1039" i="4"/>
  <c r="X1042" i="4"/>
  <c r="X1037" i="4"/>
  <c r="G1043" i="4"/>
  <c r="Y1040" i="4"/>
  <c r="G1038" i="4"/>
  <c r="Y1035" i="4"/>
  <c r="Y1043" i="4"/>
  <c r="Y1032" i="4"/>
  <c r="G1030" i="4"/>
  <c r="Y1027" i="4"/>
  <c r="G1025" i="4"/>
  <c r="Y1022" i="4"/>
  <c r="Y1044" i="4"/>
  <c r="Y1045" i="4" s="1"/>
  <c r="X1041" i="4"/>
  <c r="G1041" i="4"/>
  <c r="Y1033" i="4"/>
  <c r="G1032" i="4"/>
  <c r="Y1030" i="4"/>
  <c r="G1029" i="4"/>
  <c r="G1026" i="4"/>
  <c r="G1023" i="4"/>
  <c r="X1018" i="4"/>
  <c r="H1018" i="4" s="1"/>
  <c r="X1013" i="4"/>
  <c r="H1009" i="4"/>
  <c r="X1008" i="4"/>
  <c r="X1036" i="4"/>
  <c r="Z1036" i="4" s="1"/>
  <c r="X1033" i="4"/>
  <c r="X1024" i="4"/>
  <c r="H1024" i="4" s="1"/>
  <c r="Y1023" i="4"/>
  <c r="X1019" i="4"/>
  <c r="X1016" i="4"/>
  <c r="H1039" i="4"/>
  <c r="G1036" i="4"/>
  <c r="X1032" i="4"/>
  <c r="H1032" i="4" s="1"/>
  <c r="G1027" i="4"/>
  <c r="X1023" i="4"/>
  <c r="H1023" i="4" s="1"/>
  <c r="X1010" i="4"/>
  <c r="X1007" i="4"/>
  <c r="Z1007" i="4" s="1"/>
  <c r="Y1039" i="4"/>
  <c r="G1039" i="4"/>
  <c r="Y1031" i="4"/>
  <c r="X1022" i="4"/>
  <c r="Z1022" i="4" s="1"/>
  <c r="Y1021" i="4"/>
  <c r="G1020" i="4"/>
  <c r="G1017" i="4"/>
  <c r="X1043" i="4"/>
  <c r="H1043" i="4" s="1"/>
  <c r="Y1041" i="4"/>
  <c r="Y1037" i="4"/>
  <c r="Y1034" i="4"/>
  <c r="H1033" i="4"/>
  <c r="X1031" i="4"/>
  <c r="X1030" i="4"/>
  <c r="X1021" i="4"/>
  <c r="H1021" i="4" s="1"/>
  <c r="Y1018" i="4"/>
  <c r="Y1015" i="4"/>
  <c r="X1034" i="4"/>
  <c r="H1034" i="4"/>
  <c r="G1033" i="4"/>
  <c r="Y1029" i="4"/>
  <c r="G1024" i="4"/>
  <c r="X1015" i="4"/>
  <c r="H1015" i="4" s="1"/>
  <c r="H1042" i="4"/>
  <c r="X1040" i="4"/>
  <c r="X1038" i="4"/>
  <c r="H1038" i="4" s="1"/>
  <c r="Y1026" i="4"/>
  <c r="X1020" i="4"/>
  <c r="H1020" i="4" s="1"/>
  <c r="X1017" i="4"/>
  <c r="H1017" i="4" s="1"/>
  <c r="X1014" i="4"/>
  <c r="X1011" i="4"/>
  <c r="Y1008" i="4"/>
  <c r="Y1005" i="4"/>
  <c r="G1044" i="4"/>
  <c r="Y1042" i="4"/>
  <c r="G1042" i="4"/>
  <c r="G1040" i="4"/>
  <c r="H1028" i="4"/>
  <c r="X1026" i="4"/>
  <c r="Z1026" i="4" s="1"/>
  <c r="Y1025" i="4"/>
  <c r="H1012" i="4"/>
  <c r="X1005" i="4"/>
  <c r="A1003" i="4"/>
  <c r="Y1028" i="4"/>
  <c r="X1025" i="4"/>
  <c r="G1021" i="4"/>
  <c r="Y1016" i="4"/>
  <c r="H1013" i="4"/>
  <c r="G1010" i="4"/>
  <c r="H1005" i="4"/>
  <c r="X1028" i="4"/>
  <c r="G1018" i="4"/>
  <c r="G1013" i="4"/>
  <c r="H1008" i="4"/>
  <c r="G1005" i="4"/>
  <c r="G1037" i="4"/>
  <c r="Y1020" i="4"/>
  <c r="Y1011" i="4"/>
  <c r="H1011" i="4"/>
  <c r="G1008" i="4"/>
  <c r="G1035" i="4"/>
  <c r="G1022" i="4"/>
  <c r="G1019" i="4"/>
  <c r="Y1017" i="4"/>
  <c r="G1015" i="4"/>
  <c r="G1011" i="4"/>
  <c r="Y1006" i="4"/>
  <c r="Y1038" i="4"/>
  <c r="Y1036" i="4"/>
  <c r="X1029" i="4"/>
  <c r="G1014" i="4"/>
  <c r="Y1009" i="4"/>
  <c r="X1006" i="4"/>
  <c r="H1006" i="4"/>
  <c r="G1031" i="4"/>
  <c r="Y1024" i="4"/>
  <c r="Y1014" i="4"/>
  <c r="X1012" i="4"/>
  <c r="G1012" i="4"/>
  <c r="I1012" i="4" s="1"/>
  <c r="J1012" i="4" s="1"/>
  <c r="G1034" i="4"/>
  <c r="X1027" i="4"/>
  <c r="Z1027" i="4" s="1"/>
  <c r="Y1007" i="4"/>
  <c r="Y1010" i="4"/>
  <c r="H1007" i="4"/>
  <c r="X1035" i="4"/>
  <c r="Y1019" i="4"/>
  <c r="Y1013" i="4"/>
  <c r="H1010" i="4"/>
  <c r="G1007" i="4"/>
  <c r="X1009" i="4"/>
  <c r="G1016" i="4"/>
  <c r="G1009" i="4"/>
  <c r="I1009" i="4" s="1"/>
  <c r="J1009" i="4" s="1"/>
  <c r="G1028" i="4"/>
  <c r="Y1012" i="4"/>
  <c r="G1006" i="4"/>
  <c r="AF401" i="6"/>
  <c r="AD402" i="6"/>
  <c r="H955" i="4"/>
  <c r="X954" i="4"/>
  <c r="X949" i="4"/>
  <c r="H956" i="4"/>
  <c r="X947" i="4"/>
  <c r="H947" i="4" s="1"/>
  <c r="X942" i="4"/>
  <c r="H942" i="4" s="1"/>
  <c r="X937" i="4"/>
  <c r="H937" i="4" s="1"/>
  <c r="X932" i="4"/>
  <c r="Z932" i="4" s="1"/>
  <c r="X927" i="4"/>
  <c r="X956" i="4"/>
  <c r="Y955" i="4"/>
  <c r="X939" i="4"/>
  <c r="X936" i="4"/>
  <c r="H936" i="4" s="1"/>
  <c r="X933" i="4"/>
  <c r="X930" i="4"/>
  <c r="Y927" i="4"/>
  <c r="H924" i="4"/>
  <c r="X923" i="4"/>
  <c r="H919" i="4"/>
  <c r="X918" i="4"/>
  <c r="X955" i="4"/>
  <c r="Y954" i="4"/>
  <c r="G949" i="4"/>
  <c r="G946" i="4"/>
  <c r="G943" i="4"/>
  <c r="G924" i="4"/>
  <c r="Y921" i="4"/>
  <c r="G919" i="4"/>
  <c r="Y953" i="4"/>
  <c r="Y947" i="4"/>
  <c r="Y944" i="4"/>
  <c r="Y941" i="4"/>
  <c r="G940" i="4"/>
  <c r="Y938" i="4"/>
  <c r="G937" i="4"/>
  <c r="Y935" i="4"/>
  <c r="G934" i="4"/>
  <c r="G931" i="4"/>
  <c r="G928" i="4"/>
  <c r="H922" i="4"/>
  <c r="X921" i="4"/>
  <c r="H917" i="4"/>
  <c r="G956" i="4"/>
  <c r="X953" i="4"/>
  <c r="Y952" i="4"/>
  <c r="X944" i="4"/>
  <c r="X941" i="4"/>
  <c r="H941" i="4" s="1"/>
  <c r="X938" i="4"/>
  <c r="X935" i="4"/>
  <c r="H935" i="4" s="1"/>
  <c r="Y932" i="4"/>
  <c r="Y929" i="4"/>
  <c r="Y926" i="4"/>
  <c r="Y924" i="4"/>
  <c r="G922" i="4"/>
  <c r="I922" i="4" s="1"/>
  <c r="J922" i="4" s="1"/>
  <c r="Y919" i="4"/>
  <c r="G917" i="4"/>
  <c r="G955" i="4"/>
  <c r="X952" i="4"/>
  <c r="Y951" i="4"/>
  <c r="G948" i="4"/>
  <c r="X929" i="4"/>
  <c r="H929" i="4" s="1"/>
  <c r="X926" i="4"/>
  <c r="H925" i="4"/>
  <c r="X924" i="4"/>
  <c r="H920" i="4"/>
  <c r="X919" i="4"/>
  <c r="G954" i="4"/>
  <c r="G953" i="4"/>
  <c r="X950" i="4"/>
  <c r="X946" i="4"/>
  <c r="Z946" i="4" s="1"/>
  <c r="X943" i="4"/>
  <c r="X940" i="4"/>
  <c r="H940" i="4" s="1"/>
  <c r="Y937" i="4"/>
  <c r="Y934" i="4"/>
  <c r="Y931" i="4"/>
  <c r="G930" i="4"/>
  <c r="Y928" i="4"/>
  <c r="G927" i="4"/>
  <c r="H923" i="4"/>
  <c r="X922" i="4"/>
  <c r="H918" i="4"/>
  <c r="X917" i="4"/>
  <c r="Y956" i="4"/>
  <c r="Y957" i="4" s="1"/>
  <c r="G951" i="4"/>
  <c r="G950" i="4"/>
  <c r="X948" i="4"/>
  <c r="H948" i="4" s="1"/>
  <c r="X945" i="4"/>
  <c r="Y942" i="4"/>
  <c r="G947" i="4"/>
  <c r="H944" i="4"/>
  <c r="H927" i="4"/>
  <c r="H926" i="4"/>
  <c r="G925" i="4"/>
  <c r="I925" i="4" s="1"/>
  <c r="J925" i="4" s="1"/>
  <c r="Y949" i="4"/>
  <c r="Y946" i="4"/>
  <c r="G944" i="4"/>
  <c r="Y936" i="4"/>
  <c r="G926" i="4"/>
  <c r="G923" i="4"/>
  <c r="Y943" i="4"/>
  <c r="G941" i="4"/>
  <c r="H921" i="4"/>
  <c r="G920" i="4"/>
  <c r="H954" i="4"/>
  <c r="H951" i="4"/>
  <c r="G945" i="4"/>
  <c r="Y940" i="4"/>
  <c r="Y939" i="4"/>
  <c r="G929" i="4"/>
  <c r="Y925" i="4"/>
  <c r="G921" i="4"/>
  <c r="G918" i="4"/>
  <c r="Y950" i="4"/>
  <c r="G942" i="4"/>
  <c r="G933" i="4"/>
  <c r="X925" i="4"/>
  <c r="Y922" i="4"/>
  <c r="G932" i="4"/>
  <c r="X928" i="4"/>
  <c r="H928" i="4" s="1"/>
  <c r="Y923" i="4"/>
  <c r="Y920" i="4"/>
  <c r="G936" i="4"/>
  <c r="X920" i="4"/>
  <c r="Z920" i="4" s="1"/>
  <c r="Y917" i="4"/>
  <c r="G952" i="4"/>
  <c r="G935" i="4"/>
  <c r="X931" i="4"/>
  <c r="Y930" i="4"/>
  <c r="Y918" i="4"/>
  <c r="X951" i="4"/>
  <c r="Y948" i="4"/>
  <c r="G939" i="4"/>
  <c r="G938" i="4"/>
  <c r="A915" i="4"/>
  <c r="X934" i="4"/>
  <c r="H934" i="4" s="1"/>
  <c r="Y945" i="4"/>
  <c r="Y933" i="4"/>
  <c r="X90" i="4"/>
  <c r="Y382" i="4"/>
  <c r="G380" i="4"/>
  <c r="Y377" i="4"/>
  <c r="G375" i="4"/>
  <c r="G384" i="4"/>
  <c r="G381" i="4"/>
  <c r="G378" i="4"/>
  <c r="X370" i="4"/>
  <c r="H370" i="4" s="1"/>
  <c r="X365" i="4"/>
  <c r="X360" i="4"/>
  <c r="X355" i="4"/>
  <c r="H355" i="4" s="1"/>
  <c r="H351" i="4"/>
  <c r="X350" i="4"/>
  <c r="H346" i="4"/>
  <c r="X345" i="4"/>
  <c r="X382" i="4"/>
  <c r="Y379" i="4"/>
  <c r="Y376" i="4"/>
  <c r="Y373" i="4"/>
  <c r="G371" i="4"/>
  <c r="Y368" i="4"/>
  <c r="G366" i="4"/>
  <c r="Y363" i="4"/>
  <c r="G361" i="4"/>
  <c r="Y358" i="4"/>
  <c r="G356" i="4"/>
  <c r="Y353" i="4"/>
  <c r="G351" i="4"/>
  <c r="Y348" i="4"/>
  <c r="G346" i="4"/>
  <c r="X379" i="4"/>
  <c r="H379" i="4" s="1"/>
  <c r="X376" i="4"/>
  <c r="Z376" i="4" s="1"/>
  <c r="X373" i="4"/>
  <c r="X368" i="4"/>
  <c r="X363" i="4"/>
  <c r="H363" i="4" s="1"/>
  <c r="X358" i="4"/>
  <c r="X353" i="4"/>
  <c r="H349" i="4"/>
  <c r="X348" i="4"/>
  <c r="G383" i="4"/>
  <c r="H377" i="4"/>
  <c r="Y371" i="4"/>
  <c r="G369" i="4"/>
  <c r="Y366" i="4"/>
  <c r="G364" i="4"/>
  <c r="Y361" i="4"/>
  <c r="G359" i="4"/>
  <c r="Y356" i="4"/>
  <c r="G354" i="4"/>
  <c r="Y351" i="4"/>
  <c r="G349" i="4"/>
  <c r="Y346" i="4"/>
  <c r="A343" i="4"/>
  <c r="Y384" i="4"/>
  <c r="Y385" i="4" s="1"/>
  <c r="Y381" i="4"/>
  <c r="Y378" i="4"/>
  <c r="G377" i="4"/>
  <c r="Y375" i="4"/>
  <c r="G374" i="4"/>
  <c r="X371" i="4"/>
  <c r="X366" i="4"/>
  <c r="Z366" i="4" s="1"/>
  <c r="X361" i="4"/>
  <c r="H361" i="4" s="1"/>
  <c r="X356" i="4"/>
  <c r="H356" i="4" s="1"/>
  <c r="H352" i="4"/>
  <c r="X351" i="4"/>
  <c r="H347" i="4"/>
  <c r="X346" i="4"/>
  <c r="X384" i="4"/>
  <c r="X381" i="4"/>
  <c r="Z381" i="4" s="1"/>
  <c r="X378" i="4"/>
  <c r="H378" i="4" s="1"/>
  <c r="X375" i="4"/>
  <c r="H375" i="4" s="1"/>
  <c r="G372" i="4"/>
  <c r="Y369" i="4"/>
  <c r="G367" i="4"/>
  <c r="Y364" i="4"/>
  <c r="G362" i="4"/>
  <c r="Y359" i="4"/>
  <c r="G357" i="4"/>
  <c r="Y354" i="4"/>
  <c r="G352" i="4"/>
  <c r="I352" i="4" s="1"/>
  <c r="J352" i="4" s="1"/>
  <c r="Y349" i="4"/>
  <c r="G347" i="4"/>
  <c r="X369" i="4"/>
  <c r="Z369" i="4" s="1"/>
  <c r="X364" i="4"/>
  <c r="H364" i="4" s="1"/>
  <c r="X359" i="4"/>
  <c r="H359" i="4" s="1"/>
  <c r="X354" i="4"/>
  <c r="H354" i="4" s="1"/>
  <c r="H350" i="4"/>
  <c r="X349" i="4"/>
  <c r="H345" i="4"/>
  <c r="Y383" i="4"/>
  <c r="G382" i="4"/>
  <c r="Y380" i="4"/>
  <c r="G379" i="4"/>
  <c r="G376" i="4"/>
  <c r="Y372" i="4"/>
  <c r="G370" i="4"/>
  <c r="Y367" i="4"/>
  <c r="G365" i="4"/>
  <c r="Y362" i="4"/>
  <c r="G360" i="4"/>
  <c r="Y357" i="4"/>
  <c r="G355" i="4"/>
  <c r="Y352" i="4"/>
  <c r="G350" i="4"/>
  <c r="Y347" i="4"/>
  <c r="G345" i="4"/>
  <c r="X377" i="4"/>
  <c r="X367" i="4"/>
  <c r="Y365" i="4"/>
  <c r="G358" i="4"/>
  <c r="X383" i="4"/>
  <c r="Z383" i="4" s="1"/>
  <c r="H373" i="4"/>
  <c r="X357" i="4"/>
  <c r="H348" i="4"/>
  <c r="G373" i="4"/>
  <c r="Y355" i="4"/>
  <c r="G348" i="4"/>
  <c r="Y374" i="4"/>
  <c r="X372" i="4"/>
  <c r="H372" i="4" s="1"/>
  <c r="X347" i="4"/>
  <c r="X374" i="4"/>
  <c r="Z374" i="4" s="1"/>
  <c r="Y370" i="4"/>
  <c r="G363" i="4"/>
  <c r="Y345" i="4"/>
  <c r="X380" i="4"/>
  <c r="Z380" i="4" s="1"/>
  <c r="Y360" i="4"/>
  <c r="Y350" i="4"/>
  <c r="G368" i="4"/>
  <c r="H353" i="4"/>
  <c r="G353" i="4"/>
  <c r="I353" i="4" s="1"/>
  <c r="J353" i="4" s="1"/>
  <c r="X362" i="4"/>
  <c r="H362" i="4" s="1"/>
  <c r="X352" i="4"/>
  <c r="G560" i="4"/>
  <c r="Y557" i="4"/>
  <c r="G553" i="4"/>
  <c r="Y550" i="4"/>
  <c r="G548" i="4"/>
  <c r="Y545" i="4"/>
  <c r="G543" i="4"/>
  <c r="Y540" i="4"/>
  <c r="G538" i="4"/>
  <c r="Y535" i="4"/>
  <c r="G533" i="4"/>
  <c r="Y530" i="4"/>
  <c r="G528" i="4"/>
  <c r="Y525" i="4"/>
  <c r="G523" i="4"/>
  <c r="Y558" i="4"/>
  <c r="G557" i="4"/>
  <c r="Y555" i="4"/>
  <c r="X550" i="4"/>
  <c r="Z550" i="4" s="1"/>
  <c r="X545" i="4"/>
  <c r="X540" i="4"/>
  <c r="X535" i="4"/>
  <c r="X530" i="4"/>
  <c r="X558" i="4"/>
  <c r="Z558" i="4" s="1"/>
  <c r="X555" i="4"/>
  <c r="H555" i="4" s="1"/>
  <c r="Y553" i="4"/>
  <c r="G551" i="4"/>
  <c r="Y548" i="4"/>
  <c r="G546" i="4"/>
  <c r="Y543" i="4"/>
  <c r="G541" i="4"/>
  <c r="Y538" i="4"/>
  <c r="G536" i="4"/>
  <c r="Y533" i="4"/>
  <c r="G531" i="4"/>
  <c r="Y528" i="4"/>
  <c r="G526" i="4"/>
  <c r="Y523" i="4"/>
  <c r="G521" i="4"/>
  <c r="X553" i="4"/>
  <c r="X548" i="4"/>
  <c r="H544" i="4"/>
  <c r="X543" i="4"/>
  <c r="H539" i="4"/>
  <c r="X538" i="4"/>
  <c r="Z538" i="4" s="1"/>
  <c r="X533" i="4"/>
  <c r="H533" i="4" s="1"/>
  <c r="H529" i="4"/>
  <c r="X528" i="4"/>
  <c r="H524" i="4"/>
  <c r="X523" i="4"/>
  <c r="Y560" i="4"/>
  <c r="Y561" i="4" s="1"/>
  <c r="G559" i="4"/>
  <c r="G556" i="4"/>
  <c r="G554" i="4"/>
  <c r="Y551" i="4"/>
  <c r="G549" i="4"/>
  <c r="Y546" i="4"/>
  <c r="G544" i="4"/>
  <c r="Y541" i="4"/>
  <c r="G539" i="4"/>
  <c r="Y536" i="4"/>
  <c r="G534" i="4"/>
  <c r="Y531" i="4"/>
  <c r="G529" i="4"/>
  <c r="I529" i="4" s="1"/>
  <c r="J529" i="4" s="1"/>
  <c r="Y526" i="4"/>
  <c r="G524" i="4"/>
  <c r="Y521" i="4"/>
  <c r="X560" i="4"/>
  <c r="H560" i="4" s="1"/>
  <c r="X557" i="4"/>
  <c r="X551" i="4"/>
  <c r="H551" i="4" s="1"/>
  <c r="X546" i="4"/>
  <c r="H546" i="4" s="1"/>
  <c r="X541" i="4"/>
  <c r="X536" i="4"/>
  <c r="H536" i="4" s="1"/>
  <c r="X531" i="4"/>
  <c r="Z531" i="4" s="1"/>
  <c r="H527" i="4"/>
  <c r="X526" i="4"/>
  <c r="H522" i="4"/>
  <c r="X521" i="4"/>
  <c r="Y554" i="4"/>
  <c r="G552" i="4"/>
  <c r="Y549" i="4"/>
  <c r="G547" i="4"/>
  <c r="Y544" i="4"/>
  <c r="G542" i="4"/>
  <c r="Y539" i="4"/>
  <c r="G537" i="4"/>
  <c r="Y534" i="4"/>
  <c r="G532" i="4"/>
  <c r="Y529" i="4"/>
  <c r="G527" i="4"/>
  <c r="Y524" i="4"/>
  <c r="G522" i="4"/>
  <c r="I522" i="4" s="1"/>
  <c r="J522" i="4" s="1"/>
  <c r="G558" i="4"/>
  <c r="X554" i="4"/>
  <c r="Z554" i="4" s="1"/>
  <c r="X549" i="4"/>
  <c r="H549" i="4" s="1"/>
  <c r="X544" i="4"/>
  <c r="H540" i="4"/>
  <c r="X539" i="4"/>
  <c r="H535" i="4"/>
  <c r="X534" i="4"/>
  <c r="X529" i="4"/>
  <c r="Z529" i="4" s="1"/>
  <c r="H525" i="4"/>
  <c r="X524" i="4"/>
  <c r="Y559" i="4"/>
  <c r="Y556" i="4"/>
  <c r="G555" i="4"/>
  <c r="Y552" i="4"/>
  <c r="G550" i="4"/>
  <c r="Y547" i="4"/>
  <c r="G545" i="4"/>
  <c r="Y542" i="4"/>
  <c r="G540" i="4"/>
  <c r="Y537" i="4"/>
  <c r="G535" i="4"/>
  <c r="Y532" i="4"/>
  <c r="G530" i="4"/>
  <c r="Y527" i="4"/>
  <c r="G525" i="4"/>
  <c r="Y522" i="4"/>
  <c r="A519" i="4"/>
  <c r="H548" i="4"/>
  <c r="X532" i="4"/>
  <c r="H532" i="4" s="1"/>
  <c r="H521" i="4"/>
  <c r="X559" i="4"/>
  <c r="X547" i="4"/>
  <c r="H547" i="4" s="1"/>
  <c r="X522" i="4"/>
  <c r="H528" i="4"/>
  <c r="X542" i="4"/>
  <c r="H526" i="4"/>
  <c r="X527" i="4"/>
  <c r="X525" i="4"/>
  <c r="Z525" i="4" s="1"/>
  <c r="X537" i="4"/>
  <c r="H523" i="4"/>
  <c r="X556" i="4"/>
  <c r="X552" i="4"/>
  <c r="AF521" i="6"/>
  <c r="AD522" i="6"/>
  <c r="AI252" i="6"/>
  <c r="AH252" i="6"/>
  <c r="AG252" i="6"/>
  <c r="AJ252" i="6"/>
  <c r="V92" i="4"/>
  <c r="Y471" i="4"/>
  <c r="G469" i="4"/>
  <c r="Y466" i="4"/>
  <c r="G464" i="4"/>
  <c r="Y461" i="4"/>
  <c r="G459" i="4"/>
  <c r="Y456" i="4"/>
  <c r="G454" i="4"/>
  <c r="Y451" i="4"/>
  <c r="G449" i="4"/>
  <c r="Y446" i="4"/>
  <c r="G444" i="4"/>
  <c r="Y441" i="4"/>
  <c r="G439" i="4"/>
  <c r="Y436" i="4"/>
  <c r="G434" i="4"/>
  <c r="G472" i="4"/>
  <c r="Y469" i="4"/>
  <c r="G467" i="4"/>
  <c r="Y464" i="4"/>
  <c r="G462" i="4"/>
  <c r="Y459" i="4"/>
  <c r="G457" i="4"/>
  <c r="Y454" i="4"/>
  <c r="G452" i="4"/>
  <c r="Y449" i="4"/>
  <c r="G447" i="4"/>
  <c r="Y444" i="4"/>
  <c r="G442" i="4"/>
  <c r="Y439" i="4"/>
  <c r="G437" i="4"/>
  <c r="Y434" i="4"/>
  <c r="A431" i="4"/>
  <c r="X469" i="4"/>
  <c r="X464" i="4"/>
  <c r="X459" i="4"/>
  <c r="X454" i="4"/>
  <c r="H450" i="4"/>
  <c r="X449" i="4"/>
  <c r="Z449" i="4" s="1"/>
  <c r="X444" i="4"/>
  <c r="H440" i="4"/>
  <c r="X439" i="4"/>
  <c r="H435" i="4"/>
  <c r="X434" i="4"/>
  <c r="Y472" i="4"/>
  <c r="Y473" i="4" s="1"/>
  <c r="G470" i="4"/>
  <c r="Y467" i="4"/>
  <c r="G465" i="4"/>
  <c r="Y462" i="4"/>
  <c r="G460" i="4"/>
  <c r="Y457" i="4"/>
  <c r="G455" i="4"/>
  <c r="Y452" i="4"/>
  <c r="G450" i="4"/>
  <c r="Y447" i="4"/>
  <c r="G445" i="4"/>
  <c r="Y442" i="4"/>
  <c r="G440" i="4"/>
  <c r="Y437" i="4"/>
  <c r="G435" i="4"/>
  <c r="I435" i="4" s="1"/>
  <c r="J435" i="4" s="1"/>
  <c r="X472" i="4"/>
  <c r="H472" i="4" s="1"/>
  <c r="X467" i="4"/>
  <c r="H467" i="4" s="1"/>
  <c r="X462" i="4"/>
  <c r="X457" i="4"/>
  <c r="X452" i="4"/>
  <c r="X447" i="4"/>
  <c r="Z447" i="4" s="1"/>
  <c r="X442" i="4"/>
  <c r="H442" i="4" s="1"/>
  <c r="H438" i="4"/>
  <c r="X437" i="4"/>
  <c r="Y470" i="4"/>
  <c r="G468" i="4"/>
  <c r="Y465" i="4"/>
  <c r="G463" i="4"/>
  <c r="Y460" i="4"/>
  <c r="G458" i="4"/>
  <c r="Y455" i="4"/>
  <c r="G453" i="4"/>
  <c r="Y450" i="4"/>
  <c r="G448" i="4"/>
  <c r="Y445" i="4"/>
  <c r="H471" i="4"/>
  <c r="X470" i="4"/>
  <c r="X465" i="4"/>
  <c r="H465" i="4" s="1"/>
  <c r="X460" i="4"/>
  <c r="H460" i="4" s="1"/>
  <c r="X455" i="4"/>
  <c r="Z455" i="4" s="1"/>
  <c r="X450" i="4"/>
  <c r="X445" i="4"/>
  <c r="H441" i="4"/>
  <c r="X440" i="4"/>
  <c r="H436" i="4"/>
  <c r="X435" i="4"/>
  <c r="G471" i="4"/>
  <c r="Y468" i="4"/>
  <c r="G466" i="4"/>
  <c r="Y463" i="4"/>
  <c r="G461" i="4"/>
  <c r="Y458" i="4"/>
  <c r="G456" i="4"/>
  <c r="X466" i="4"/>
  <c r="Y448" i="4"/>
  <c r="X443" i="4"/>
  <c r="H443" i="4" s="1"/>
  <c r="Y440" i="4"/>
  <c r="G436" i="4"/>
  <c r="Y433" i="4"/>
  <c r="X458" i="4"/>
  <c r="H458" i="4" s="1"/>
  <c r="Y453" i="4"/>
  <c r="X448" i="4"/>
  <c r="H448" i="4" s="1"/>
  <c r="G446" i="4"/>
  <c r="X441" i="4"/>
  <c r="Y438" i="4"/>
  <c r="X433" i="4"/>
  <c r="X456" i="4"/>
  <c r="X453" i="4"/>
  <c r="H453" i="4" s="1"/>
  <c r="G451" i="4"/>
  <c r="X438" i="4"/>
  <c r="X436" i="4"/>
  <c r="X471" i="4"/>
  <c r="H462" i="4"/>
  <c r="Y435" i="4"/>
  <c r="X463" i="4"/>
  <c r="X461" i="4"/>
  <c r="H461" i="4" s="1"/>
  <c r="G443" i="4"/>
  <c r="H434" i="4"/>
  <c r="X446" i="4"/>
  <c r="G441" i="4"/>
  <c r="G438" i="4"/>
  <c r="H433" i="4"/>
  <c r="H454" i="4"/>
  <c r="H437" i="4"/>
  <c r="G433" i="4"/>
  <c r="X451" i="4"/>
  <c r="H439" i="4"/>
  <c r="X468" i="4"/>
  <c r="H468" i="4" s="1"/>
  <c r="Y443" i="4"/>
  <c r="AJ761" i="6"/>
  <c r="AI761" i="6"/>
  <c r="AH761" i="6"/>
  <c r="AG761" i="6"/>
  <c r="L183" i="4"/>
  <c r="AG42" i="4"/>
  <c r="AH281" i="6"/>
  <c r="AG281" i="6"/>
  <c r="AJ281" i="6"/>
  <c r="AI281" i="6"/>
  <c r="AH161" i="6"/>
  <c r="AJ161" i="6"/>
  <c r="AI161" i="6"/>
  <c r="AG161" i="6"/>
  <c r="AD342" i="6"/>
  <c r="AF341" i="6"/>
  <c r="T43" i="4"/>
  <c r="V43" i="4"/>
  <c r="Y867" i="4"/>
  <c r="G865" i="4"/>
  <c r="Y862" i="4"/>
  <c r="G860" i="4"/>
  <c r="Y857" i="4"/>
  <c r="G855" i="4"/>
  <c r="Y852" i="4"/>
  <c r="G850" i="4"/>
  <c r="Y847" i="4"/>
  <c r="G845" i="4"/>
  <c r="Y842" i="4"/>
  <c r="G840" i="4"/>
  <c r="Y837" i="4"/>
  <c r="G835" i="4"/>
  <c r="Y832" i="4"/>
  <c r="G830" i="4"/>
  <c r="I830" i="4" s="1"/>
  <c r="J830" i="4" s="1"/>
  <c r="G866" i="4"/>
  <c r="G863" i="4"/>
  <c r="H848" i="4"/>
  <c r="X844" i="4"/>
  <c r="H844" i="4" s="1"/>
  <c r="X841" i="4"/>
  <c r="X838" i="4"/>
  <c r="X835" i="4"/>
  <c r="X832" i="4"/>
  <c r="Y829" i="4"/>
  <c r="X867" i="4"/>
  <c r="Z867" i="4" s="1"/>
  <c r="Y864" i="4"/>
  <c r="Y861" i="4"/>
  <c r="Y858" i="4"/>
  <c r="G857" i="4"/>
  <c r="Y855" i="4"/>
  <c r="G854" i="4"/>
  <c r="G851" i="4"/>
  <c r="G848" i="4"/>
  <c r="H845" i="4"/>
  <c r="H836" i="4"/>
  <c r="H833" i="4"/>
  <c r="X829" i="4"/>
  <c r="A827" i="4"/>
  <c r="X864" i="4"/>
  <c r="X861" i="4"/>
  <c r="H861" i="4" s="1"/>
  <c r="X858" i="4"/>
  <c r="H858" i="4" s="1"/>
  <c r="X855" i="4"/>
  <c r="X852" i="4"/>
  <c r="H852" i="4" s="1"/>
  <c r="Y849" i="4"/>
  <c r="Y846" i="4"/>
  <c r="Y843" i="4"/>
  <c r="G842" i="4"/>
  <c r="Y840" i="4"/>
  <c r="G839" i="4"/>
  <c r="G836" i="4"/>
  <c r="G833" i="4"/>
  <c r="H830" i="4"/>
  <c r="G868" i="4"/>
  <c r="X849" i="4"/>
  <c r="Z849" i="4" s="1"/>
  <c r="X846" i="4"/>
  <c r="X843" i="4"/>
  <c r="X840" i="4"/>
  <c r="H840" i="4" s="1"/>
  <c r="X837" i="4"/>
  <c r="Y834" i="4"/>
  <c r="Y831" i="4"/>
  <c r="Y866" i="4"/>
  <c r="Y863" i="4"/>
  <c r="G862" i="4"/>
  <c r="Y860" i="4"/>
  <c r="G859" i="4"/>
  <c r="G856" i="4"/>
  <c r="G853" i="4"/>
  <c r="H847" i="4"/>
  <c r="X834" i="4"/>
  <c r="X831" i="4"/>
  <c r="X866" i="4"/>
  <c r="H866" i="4" s="1"/>
  <c r="X863" i="4"/>
  <c r="H863" i="4" s="1"/>
  <c r="X860" i="4"/>
  <c r="H860" i="4" s="1"/>
  <c r="X857" i="4"/>
  <c r="H857" i="4" s="1"/>
  <c r="Y854" i="4"/>
  <c r="Y851" i="4"/>
  <c r="Y848" i="4"/>
  <c r="G847" i="4"/>
  <c r="K847" i="4" s="1"/>
  <c r="Y845" i="4"/>
  <c r="G844" i="4"/>
  <c r="G841" i="4"/>
  <c r="G838" i="4"/>
  <c r="H835" i="4"/>
  <c r="H832" i="4"/>
  <c r="H829" i="4"/>
  <c r="H867" i="4"/>
  <c r="X854" i="4"/>
  <c r="X851" i="4"/>
  <c r="H851" i="4" s="1"/>
  <c r="X848" i="4"/>
  <c r="X845" i="4"/>
  <c r="X842" i="4"/>
  <c r="Z842" i="4" s="1"/>
  <c r="Y839" i="4"/>
  <c r="Y836" i="4"/>
  <c r="Y833" i="4"/>
  <c r="G832" i="4"/>
  <c r="I832" i="4" s="1"/>
  <c r="J832" i="4" s="1"/>
  <c r="Y830" i="4"/>
  <c r="G829" i="4"/>
  <c r="Y868" i="4"/>
  <c r="Y869" i="4" s="1"/>
  <c r="G867" i="4"/>
  <c r="Y865" i="4"/>
  <c r="G864" i="4"/>
  <c r="G861" i="4"/>
  <c r="G858" i="4"/>
  <c r="H855" i="4"/>
  <c r="H849" i="4"/>
  <c r="H846" i="4"/>
  <c r="X839" i="4"/>
  <c r="X836" i="4"/>
  <c r="X833" i="4"/>
  <c r="X830" i="4"/>
  <c r="X868" i="4"/>
  <c r="H868" i="4" s="1"/>
  <c r="X865" i="4"/>
  <c r="X862" i="4"/>
  <c r="H862" i="4" s="1"/>
  <c r="Y859" i="4"/>
  <c r="Y856" i="4"/>
  <c r="Y853" i="4"/>
  <c r="G852" i="4"/>
  <c r="Y850" i="4"/>
  <c r="G849" i="4"/>
  <c r="G846" i="4"/>
  <c r="G843" i="4"/>
  <c r="H837" i="4"/>
  <c r="H834" i="4"/>
  <c r="H831" i="4"/>
  <c r="Y838" i="4"/>
  <c r="X859" i="4"/>
  <c r="G834" i="4"/>
  <c r="X850" i="4"/>
  <c r="Y841" i="4"/>
  <c r="G837" i="4"/>
  <c r="X853" i="4"/>
  <c r="Y844" i="4"/>
  <c r="Y835" i="4"/>
  <c r="X856" i="4"/>
  <c r="G831" i="4"/>
  <c r="X847" i="4"/>
  <c r="AB87" i="5"/>
  <c r="AA87" i="5"/>
  <c r="Z87" i="5"/>
  <c r="Y87" i="5"/>
  <c r="X601" i="4"/>
  <c r="X596" i="4"/>
  <c r="Z596" i="4" s="1"/>
  <c r="X591" i="4"/>
  <c r="H591" i="4" s="1"/>
  <c r="X586" i="4"/>
  <c r="X581" i="4"/>
  <c r="Y604" i="4"/>
  <c r="Y605" i="4" s="1"/>
  <c r="G602" i="4"/>
  <c r="Y599" i="4"/>
  <c r="G597" i="4"/>
  <c r="Y594" i="4"/>
  <c r="G592" i="4"/>
  <c r="Y589" i="4"/>
  <c r="G587" i="4"/>
  <c r="Y584" i="4"/>
  <c r="G582" i="4"/>
  <c r="Y579" i="4"/>
  <c r="G577" i="4"/>
  <c r="Y574" i="4"/>
  <c r="G572" i="4"/>
  <c r="Y569" i="4"/>
  <c r="G567" i="4"/>
  <c r="X595" i="4"/>
  <c r="X594" i="4"/>
  <c r="Z594" i="4" s="1"/>
  <c r="X583" i="4"/>
  <c r="H583" i="4" s="1"/>
  <c r="X582" i="4"/>
  <c r="G579" i="4"/>
  <c r="Y577" i="4"/>
  <c r="G576" i="4"/>
  <c r="G573" i="4"/>
  <c r="G570" i="4"/>
  <c r="I570" i="4" s="1"/>
  <c r="J570" i="4" s="1"/>
  <c r="H567" i="4"/>
  <c r="G599" i="4"/>
  <c r="G598" i="4"/>
  <c r="Y593" i="4"/>
  <c r="Y592" i="4"/>
  <c r="G586" i="4"/>
  <c r="G585" i="4"/>
  <c r="Y581" i="4"/>
  <c r="Y580" i="4"/>
  <c r="X577" i="4"/>
  <c r="X574" i="4"/>
  <c r="Z574" i="4" s="1"/>
  <c r="Y571" i="4"/>
  <c r="Y568" i="4"/>
  <c r="Y565" i="4"/>
  <c r="X604" i="4"/>
  <c r="H604" i="4" s="1"/>
  <c r="X593" i="4"/>
  <c r="X592" i="4"/>
  <c r="X580" i="4"/>
  <c r="H580" i="4" s="1"/>
  <c r="X571" i="4"/>
  <c r="X568" i="4"/>
  <c r="X565" i="4"/>
  <c r="Y603" i="4"/>
  <c r="Y602" i="4"/>
  <c r="G596" i="4"/>
  <c r="G595" i="4"/>
  <c r="Y591" i="4"/>
  <c r="Y590" i="4"/>
  <c r="G584" i="4"/>
  <c r="G583" i="4"/>
  <c r="G578" i="4"/>
  <c r="G575" i="4"/>
  <c r="H572" i="4"/>
  <c r="H569" i="4"/>
  <c r="H566" i="4"/>
  <c r="A563" i="4"/>
  <c r="X603" i="4"/>
  <c r="H603" i="4" s="1"/>
  <c r="X602" i="4"/>
  <c r="H602" i="4" s="1"/>
  <c r="H593" i="4"/>
  <c r="X590" i="4"/>
  <c r="H590" i="4" s="1"/>
  <c r="X589" i="4"/>
  <c r="H589" i="4" s="1"/>
  <c r="X579" i="4"/>
  <c r="Z579" i="4" s="1"/>
  <c r="Y576" i="4"/>
  <c r="Y573" i="4"/>
  <c r="Y570" i="4"/>
  <c r="G569" i="4"/>
  <c r="Y567" i="4"/>
  <c r="G566" i="4"/>
  <c r="Y601" i="4"/>
  <c r="Y600" i="4"/>
  <c r="G594" i="4"/>
  <c r="G593" i="4"/>
  <c r="K593" i="4" s="1"/>
  <c r="Y588" i="4"/>
  <c r="Y587" i="4"/>
  <c r="G581" i="4"/>
  <c r="X576" i="4"/>
  <c r="X573" i="4"/>
  <c r="X570" i="4"/>
  <c r="X567" i="4"/>
  <c r="X600" i="4"/>
  <c r="X599" i="4"/>
  <c r="Z599" i="4" s="1"/>
  <c r="X588" i="4"/>
  <c r="H588" i="4" s="1"/>
  <c r="X587" i="4"/>
  <c r="H587" i="4" s="1"/>
  <c r="G580" i="4"/>
  <c r="H571" i="4"/>
  <c r="H568" i="4"/>
  <c r="H565" i="4"/>
  <c r="G604" i="4"/>
  <c r="G603" i="4"/>
  <c r="Y598" i="4"/>
  <c r="Y597" i="4"/>
  <c r="G591" i="4"/>
  <c r="G590" i="4"/>
  <c r="Y586" i="4"/>
  <c r="Y585" i="4"/>
  <c r="Y578" i="4"/>
  <c r="Y575" i="4"/>
  <c r="G574" i="4"/>
  <c r="Y572" i="4"/>
  <c r="G571" i="4"/>
  <c r="G568" i="4"/>
  <c r="G565" i="4"/>
  <c r="X598" i="4"/>
  <c r="Z598" i="4" s="1"/>
  <c r="X597" i="4"/>
  <c r="X585" i="4"/>
  <c r="X584" i="4"/>
  <c r="H584" i="4" s="1"/>
  <c r="X578" i="4"/>
  <c r="X575" i="4"/>
  <c r="X572" i="4"/>
  <c r="X569" i="4"/>
  <c r="Z569" i="4" s="1"/>
  <c r="Y566" i="4"/>
  <c r="H576" i="4"/>
  <c r="G589" i="4"/>
  <c r="X566" i="4"/>
  <c r="Y583" i="4"/>
  <c r="G588" i="4"/>
  <c r="H570" i="4"/>
  <c r="Y582" i="4"/>
  <c r="Y596" i="4"/>
  <c r="G601" i="4"/>
  <c r="H573" i="4"/>
  <c r="Y595" i="4"/>
  <c r="G600" i="4"/>
  <c r="X996" i="4"/>
  <c r="H996" i="4" s="1"/>
  <c r="X991" i="4"/>
  <c r="X986" i="4"/>
  <c r="X981" i="4"/>
  <c r="H977" i="4"/>
  <c r="X976" i="4"/>
  <c r="X971" i="4"/>
  <c r="H971" i="4" s="1"/>
  <c r="H967" i="4"/>
  <c r="X966" i="4"/>
  <c r="H962" i="4"/>
  <c r="X961" i="4"/>
  <c r="X1000" i="4"/>
  <c r="X997" i="4"/>
  <c r="H997" i="4" s="1"/>
  <c r="X994" i="4"/>
  <c r="Y991" i="4"/>
  <c r="Y988" i="4"/>
  <c r="Y985" i="4"/>
  <c r="G984" i="4"/>
  <c r="Y982" i="4"/>
  <c r="G981" i="4"/>
  <c r="Y979" i="4"/>
  <c r="G978" i="4"/>
  <c r="G975" i="4"/>
  <c r="G972" i="4"/>
  <c r="H969" i="4"/>
  <c r="H966" i="4"/>
  <c r="H963" i="4"/>
  <c r="Y998" i="4"/>
  <c r="Y995" i="4"/>
  <c r="G994" i="4"/>
  <c r="Y992" i="4"/>
  <c r="G991" i="4"/>
  <c r="X998" i="4"/>
  <c r="X995" i="4"/>
  <c r="X992" i="4"/>
  <c r="Z992" i="4" s="1"/>
  <c r="X989" i="4"/>
  <c r="Y986" i="4"/>
  <c r="Y1000" i="4"/>
  <c r="Y1001" i="4" s="1"/>
  <c r="X988" i="4"/>
  <c r="H988" i="4" s="1"/>
  <c r="G986" i="4"/>
  <c r="Y980" i="4"/>
  <c r="Y971" i="4"/>
  <c r="Y970" i="4"/>
  <c r="G965" i="4"/>
  <c r="X962" i="4"/>
  <c r="Y961" i="4"/>
  <c r="G997" i="4"/>
  <c r="Y989" i="4"/>
  <c r="G987" i="4"/>
  <c r="G983" i="4"/>
  <c r="X980" i="4"/>
  <c r="X979" i="4"/>
  <c r="H979" i="4" s="1"/>
  <c r="G974" i="4"/>
  <c r="X970" i="4"/>
  <c r="Y969" i="4"/>
  <c r="H964" i="4"/>
  <c r="G1000" i="4"/>
  <c r="H995" i="4"/>
  <c r="G992" i="4"/>
  <c r="G982" i="4"/>
  <c r="Y978" i="4"/>
  <c r="G973" i="4"/>
  <c r="X969" i="4"/>
  <c r="G964" i="4"/>
  <c r="G963" i="4"/>
  <c r="H998" i="4"/>
  <c r="G995" i="4"/>
  <c r="G988" i="4"/>
  <c r="H980" i="4"/>
  <c r="X978" i="4"/>
  <c r="H978" i="4" s="1"/>
  <c r="Y977" i="4"/>
  <c r="Y968" i="4"/>
  <c r="Y967" i="4"/>
  <c r="G962" i="4"/>
  <c r="G998" i="4"/>
  <c r="Y990" i="4"/>
  <c r="G989" i="4"/>
  <c r="G980" i="4"/>
  <c r="X977" i="4"/>
  <c r="Y976" i="4"/>
  <c r="G971" i="4"/>
  <c r="H970" i="4"/>
  <c r="X968" i="4"/>
  <c r="X967" i="4"/>
  <c r="H961" i="4"/>
  <c r="Y999" i="4"/>
  <c r="Y996" i="4"/>
  <c r="X993" i="4"/>
  <c r="H993" i="4" s="1"/>
  <c r="G993" i="4"/>
  <c r="X985" i="4"/>
  <c r="X984" i="4"/>
  <c r="H984" i="4" s="1"/>
  <c r="G979" i="4"/>
  <c r="X975" i="4"/>
  <c r="H975" i="4" s="1"/>
  <c r="Y974" i="4"/>
  <c r="G969" i="4"/>
  <c r="H968" i="4"/>
  <c r="Y965" i="4"/>
  <c r="Y964" i="4"/>
  <c r="X999" i="4"/>
  <c r="Z999" i="4" s="1"/>
  <c r="Y997" i="4"/>
  <c r="H991" i="4"/>
  <c r="X987" i="4"/>
  <c r="H987" i="4" s="1"/>
  <c r="G985" i="4"/>
  <c r="Y981" i="4"/>
  <c r="G976" i="4"/>
  <c r="X972" i="4"/>
  <c r="G966" i="4"/>
  <c r="H965" i="4"/>
  <c r="X963" i="4"/>
  <c r="Y962" i="4"/>
  <c r="A959" i="4"/>
  <c r="G996" i="4"/>
  <c r="X973" i="4"/>
  <c r="X965" i="4"/>
  <c r="Y993" i="4"/>
  <c r="G970" i="4"/>
  <c r="G967" i="4"/>
  <c r="Y987" i="4"/>
  <c r="X982" i="4"/>
  <c r="X974" i="4"/>
  <c r="Y966" i="4"/>
  <c r="Y963" i="4"/>
  <c r="G968" i="4"/>
  <c r="X990" i="4"/>
  <c r="Y983" i="4"/>
  <c r="Y975" i="4"/>
  <c r="Y972" i="4"/>
  <c r="X964" i="4"/>
  <c r="Y994" i="4"/>
  <c r="X983" i="4"/>
  <c r="H983" i="4" s="1"/>
  <c r="G999" i="4"/>
  <c r="G977" i="4"/>
  <c r="Y984" i="4"/>
  <c r="G961" i="4"/>
  <c r="G990" i="4"/>
  <c r="Y973" i="4"/>
  <c r="Q93" i="4"/>
  <c r="U93" i="4" s="1"/>
  <c r="AH100" i="6"/>
  <c r="AG100" i="6"/>
  <c r="AI100" i="6"/>
  <c r="AJ100" i="6"/>
  <c r="AB147" i="5"/>
  <c r="Z147" i="5"/>
  <c r="Y147" i="5"/>
  <c r="AA147" i="5"/>
  <c r="AH130" i="6"/>
  <c r="AG130" i="6"/>
  <c r="AJ130" i="6"/>
  <c r="AI130" i="6"/>
  <c r="Z297" i="5"/>
  <c r="Y297" i="5"/>
  <c r="AB297" i="5"/>
  <c r="AA297" i="5"/>
  <c r="X648" i="4"/>
  <c r="H648" i="4" s="1"/>
  <c r="X643" i="4"/>
  <c r="X638" i="4"/>
  <c r="H638" i="4" s="1"/>
  <c r="X633" i="4"/>
  <c r="X628" i="4"/>
  <c r="X623" i="4"/>
  <c r="H623" i="4" s="1"/>
  <c r="X618" i="4"/>
  <c r="H614" i="4"/>
  <c r="X613" i="4"/>
  <c r="H609" i="4"/>
  <c r="Y646" i="4"/>
  <c r="G644" i="4"/>
  <c r="Y641" i="4"/>
  <c r="G639" i="4"/>
  <c r="Y636" i="4"/>
  <c r="G634" i="4"/>
  <c r="Y631" i="4"/>
  <c r="G629" i="4"/>
  <c r="Y626" i="4"/>
  <c r="G624" i="4"/>
  <c r="Y621" i="4"/>
  <c r="G619" i="4"/>
  <c r="Y616" i="4"/>
  <c r="G614" i="4"/>
  <c r="Y611" i="4"/>
  <c r="G609" i="4"/>
  <c r="X640" i="4"/>
  <c r="H640" i="4" s="1"/>
  <c r="X639" i="4"/>
  <c r="X627" i="4"/>
  <c r="X626" i="4"/>
  <c r="Z626" i="4" s="1"/>
  <c r="H617" i="4"/>
  <c r="X615" i="4"/>
  <c r="X614" i="4"/>
  <c r="G643" i="4"/>
  <c r="G642" i="4"/>
  <c r="Y638" i="4"/>
  <c r="Y637" i="4"/>
  <c r="G631" i="4"/>
  <c r="G630" i="4"/>
  <c r="Y625" i="4"/>
  <c r="Y624" i="4"/>
  <c r="G618" i="4"/>
  <c r="G617" i="4"/>
  <c r="Y613" i="4"/>
  <c r="Y612" i="4"/>
  <c r="X637" i="4"/>
  <c r="Z637" i="4" s="1"/>
  <c r="X636" i="4"/>
  <c r="X625" i="4"/>
  <c r="X624" i="4"/>
  <c r="H624" i="4" s="1"/>
  <c r="H616" i="4"/>
  <c r="H615" i="4"/>
  <c r="X612" i="4"/>
  <c r="X611" i="4"/>
  <c r="Y648" i="4"/>
  <c r="Y649" i="4" s="1"/>
  <c r="Y647" i="4"/>
  <c r="G641" i="4"/>
  <c r="G640" i="4"/>
  <c r="Y635" i="4"/>
  <c r="Y634" i="4"/>
  <c r="G628" i="4"/>
  <c r="G627" i="4"/>
  <c r="Y623" i="4"/>
  <c r="Y622" i="4"/>
  <c r="G616" i="4"/>
  <c r="G615" i="4"/>
  <c r="Y610" i="4"/>
  <c r="Y609" i="4"/>
  <c r="A607" i="4"/>
  <c r="X647" i="4"/>
  <c r="H647" i="4" s="1"/>
  <c r="X646" i="4"/>
  <c r="H646" i="4" s="1"/>
  <c r="H637" i="4"/>
  <c r="X635" i="4"/>
  <c r="X634" i="4"/>
  <c r="X622" i="4"/>
  <c r="X621" i="4"/>
  <c r="H621" i="4" s="1"/>
  <c r="H613" i="4"/>
  <c r="H612" i="4"/>
  <c r="X610" i="4"/>
  <c r="X609" i="4"/>
  <c r="Y645" i="4"/>
  <c r="Y644" i="4"/>
  <c r="G638" i="4"/>
  <c r="G637" i="4"/>
  <c r="Y633" i="4"/>
  <c r="Y632" i="4"/>
  <c r="G626" i="4"/>
  <c r="G625" i="4"/>
  <c r="Y620" i="4"/>
  <c r="Y619" i="4"/>
  <c r="G613" i="4"/>
  <c r="I613" i="4" s="1"/>
  <c r="J613" i="4" s="1"/>
  <c r="G612" i="4"/>
  <c r="X645" i="4"/>
  <c r="H645" i="4" s="1"/>
  <c r="X644" i="4"/>
  <c r="X632" i="4"/>
  <c r="H632" i="4" s="1"/>
  <c r="X631" i="4"/>
  <c r="Z631" i="4" s="1"/>
  <c r="H622" i="4"/>
  <c r="X620" i="4"/>
  <c r="X619" i="4"/>
  <c r="H619" i="4" s="1"/>
  <c r="H611" i="4"/>
  <c r="H610" i="4"/>
  <c r="G648" i="4"/>
  <c r="G647" i="4"/>
  <c r="Y643" i="4"/>
  <c r="Y642" i="4"/>
  <c r="G636" i="4"/>
  <c r="G635" i="4"/>
  <c r="Y630" i="4"/>
  <c r="Y629" i="4"/>
  <c r="G623" i="4"/>
  <c r="G622" i="4"/>
  <c r="Y618" i="4"/>
  <c r="Y617" i="4"/>
  <c r="G611" i="4"/>
  <c r="G610" i="4"/>
  <c r="X642" i="4"/>
  <c r="X641" i="4"/>
  <c r="H641" i="4" s="1"/>
  <c r="X630" i="4"/>
  <c r="H630" i="4" s="1"/>
  <c r="X629" i="4"/>
  <c r="H629" i="4" s="1"/>
  <c r="X617" i="4"/>
  <c r="X616" i="4"/>
  <c r="G646" i="4"/>
  <c r="Y640" i="4"/>
  <c r="G645" i="4"/>
  <c r="G621" i="4"/>
  <c r="Y639" i="4"/>
  <c r="Y615" i="4"/>
  <c r="G620" i="4"/>
  <c r="Y614" i="4"/>
  <c r="Y628" i="4"/>
  <c r="G633" i="4"/>
  <c r="G632" i="4"/>
  <c r="Y627" i="4"/>
  <c r="AD102" i="6"/>
  <c r="AF101" i="6"/>
  <c r="X148" i="5"/>
  <c r="V149" i="5"/>
  <c r="AD132" i="6"/>
  <c r="AF131" i="6"/>
  <c r="Y1307" i="4"/>
  <c r="G1305" i="4"/>
  <c r="Y1302" i="4"/>
  <c r="G1300" i="4"/>
  <c r="Y1297" i="4"/>
  <c r="G1295" i="4"/>
  <c r="Y1292" i="4"/>
  <c r="G1290" i="4"/>
  <c r="Y1287" i="4"/>
  <c r="G1285" i="4"/>
  <c r="Y1282" i="4"/>
  <c r="G1280" i="4"/>
  <c r="Y1277" i="4"/>
  <c r="G1275" i="4"/>
  <c r="Y1272" i="4"/>
  <c r="X1305" i="4"/>
  <c r="H1305" i="4" s="1"/>
  <c r="X1300" i="4"/>
  <c r="H1300" i="4" s="1"/>
  <c r="X1295" i="4"/>
  <c r="H1295" i="4" s="1"/>
  <c r="X1290" i="4"/>
  <c r="Z1290" i="4" s="1"/>
  <c r="X1285" i="4"/>
  <c r="H1285" i="4" s="1"/>
  <c r="X1280" i="4"/>
  <c r="H1280" i="4" s="1"/>
  <c r="H1276" i="4"/>
  <c r="X1275" i="4"/>
  <c r="H1271" i="4"/>
  <c r="X1307" i="4"/>
  <c r="Y1306" i="4"/>
  <c r="G1299" i="4"/>
  <c r="Y1294" i="4"/>
  <c r="Y1293" i="4"/>
  <c r="G1287" i="4"/>
  <c r="G1286" i="4"/>
  <c r="X1282" i="4"/>
  <c r="Y1281" i="4"/>
  <c r="G1274" i="4"/>
  <c r="H1273" i="4"/>
  <c r="X1270" i="4"/>
  <c r="X1306" i="4"/>
  <c r="H1306" i="4" s="1"/>
  <c r="Y1305" i="4"/>
  <c r="G1298" i="4"/>
  <c r="X1294" i="4"/>
  <c r="H1294" i="4" s="1"/>
  <c r="X1293" i="4"/>
  <c r="H1293" i="4" s="1"/>
  <c r="X1301" i="4"/>
  <c r="Y1300" i="4"/>
  <c r="G1293" i="4"/>
  <c r="X1289" i="4"/>
  <c r="H1289" i="4" s="1"/>
  <c r="X1288" i="4"/>
  <c r="H1279" i="4"/>
  <c r="X1276" i="4"/>
  <c r="Y1275" i="4"/>
  <c r="H1270" i="4"/>
  <c r="X1269" i="4"/>
  <c r="Y1308" i="4"/>
  <c r="Y1309" i="4" s="1"/>
  <c r="G1308" i="4"/>
  <c r="G1297" i="4"/>
  <c r="Y1295" i="4"/>
  <c r="Y1286" i="4"/>
  <c r="Y1284" i="4"/>
  <c r="X1281" i="4"/>
  <c r="X1278" i="4"/>
  <c r="H1278" i="4" s="1"/>
  <c r="X1272" i="4"/>
  <c r="H1272" i="4"/>
  <c r="X1308" i="4"/>
  <c r="Y1299" i="4"/>
  <c r="X1297" i="4"/>
  <c r="Y1288" i="4"/>
  <c r="H1288" i="4"/>
  <c r="X1286" i="4"/>
  <c r="H1286" i="4" s="1"/>
  <c r="X1284" i="4"/>
  <c r="H1284" i="4" s="1"/>
  <c r="G1284" i="4"/>
  <c r="G1281" i="4"/>
  <c r="G1278" i="4"/>
  <c r="H1275" i="4"/>
  <c r="G1272" i="4"/>
  <c r="Y1303" i="4"/>
  <c r="Y1301" i="4"/>
  <c r="G1301" i="4"/>
  <c r="X1299" i="4"/>
  <c r="Y1290" i="4"/>
  <c r="G1288" i="4"/>
  <c r="Y1273" i="4"/>
  <c r="A1267" i="4"/>
  <c r="X1303" i="4"/>
  <c r="G1303" i="4"/>
  <c r="X1292" i="4"/>
  <c r="G1292" i="4"/>
  <c r="Y1279" i="4"/>
  <c r="Y1276" i="4"/>
  <c r="X1273" i="4"/>
  <c r="Y1270" i="4"/>
  <c r="Y1269" i="4"/>
  <c r="H1307" i="4"/>
  <c r="G1296" i="4"/>
  <c r="G1294" i="4"/>
  <c r="X1279" i="4"/>
  <c r="G1279" i="4"/>
  <c r="G1276" i="4"/>
  <c r="G1273" i="4"/>
  <c r="G1307" i="4"/>
  <c r="Y1298" i="4"/>
  <c r="Y1296" i="4"/>
  <c r="Y1285" i="4"/>
  <c r="G1282" i="4"/>
  <c r="X1298" i="4"/>
  <c r="X1296" i="4"/>
  <c r="H1296" i="4" s="1"/>
  <c r="X1287" i="4"/>
  <c r="Y1283" i="4"/>
  <c r="Y1280" i="4"/>
  <c r="Y1274" i="4"/>
  <c r="Y1271" i="4"/>
  <c r="G1270" i="4"/>
  <c r="I1270" i="4" s="1"/>
  <c r="J1270" i="4" s="1"/>
  <c r="H1269" i="4"/>
  <c r="X1291" i="4"/>
  <c r="H1291" i="4" s="1"/>
  <c r="X1274" i="4"/>
  <c r="G1269" i="4"/>
  <c r="G1289" i="4"/>
  <c r="Y1278" i="4"/>
  <c r="X1302" i="4"/>
  <c r="G1291" i="4"/>
  <c r="Y1304" i="4"/>
  <c r="H1274" i="4"/>
  <c r="X1304" i="4"/>
  <c r="G1302" i="4"/>
  <c r="X1283" i="4"/>
  <c r="H1283" i="4" s="1"/>
  <c r="X1277" i="4"/>
  <c r="X1271" i="4"/>
  <c r="G1304" i="4"/>
  <c r="H1308" i="4"/>
  <c r="G1271" i="4"/>
  <c r="Y1289" i="4"/>
  <c r="G1283" i="4"/>
  <c r="G1306" i="4"/>
  <c r="H1277" i="4"/>
  <c r="G1277" i="4"/>
  <c r="I1277" i="4" s="1"/>
  <c r="J1277" i="4" s="1"/>
  <c r="Y1291" i="4"/>
  <c r="X911" i="4"/>
  <c r="H911" i="4" s="1"/>
  <c r="X906" i="4"/>
  <c r="H906" i="4" s="1"/>
  <c r="G912" i="4"/>
  <c r="Y909" i="4"/>
  <c r="G907" i="4"/>
  <c r="Y904" i="4"/>
  <c r="G902" i="4"/>
  <c r="Y899" i="4"/>
  <c r="G897" i="4"/>
  <c r="Y894" i="4"/>
  <c r="G892" i="4"/>
  <c r="Y889" i="4"/>
  <c r="G887" i="4"/>
  <c r="Y884" i="4"/>
  <c r="G882" i="4"/>
  <c r="Y879" i="4"/>
  <c r="G877" i="4"/>
  <c r="Y874" i="4"/>
  <c r="A871" i="4"/>
  <c r="X909" i="4"/>
  <c r="Z909" i="4" s="1"/>
  <c r="X904" i="4"/>
  <c r="Z904" i="4" s="1"/>
  <c r="X899" i="4"/>
  <c r="H899" i="4" s="1"/>
  <c r="X894" i="4"/>
  <c r="Y912" i="4"/>
  <c r="Y913" i="4" s="1"/>
  <c r="G910" i="4"/>
  <c r="Y907" i="4"/>
  <c r="G905" i="4"/>
  <c r="Y902" i="4"/>
  <c r="G900" i="4"/>
  <c r="Y897" i="4"/>
  <c r="G895" i="4"/>
  <c r="Y892" i="4"/>
  <c r="G890" i="4"/>
  <c r="Y887" i="4"/>
  <c r="G885" i="4"/>
  <c r="Y882" i="4"/>
  <c r="X912" i="4"/>
  <c r="H912" i="4" s="1"/>
  <c r="X907" i="4"/>
  <c r="Z907" i="4" s="1"/>
  <c r="X902" i="4"/>
  <c r="H902" i="4" s="1"/>
  <c r="G908" i="4"/>
  <c r="Y905" i="4"/>
  <c r="Y901" i="4"/>
  <c r="G901" i="4"/>
  <c r="Y898" i="4"/>
  <c r="Y891" i="4"/>
  <c r="Y890" i="4"/>
  <c r="G884" i="4"/>
  <c r="G883" i="4"/>
  <c r="Y880" i="4"/>
  <c r="G879" i="4"/>
  <c r="Y877" i="4"/>
  <c r="G876" i="4"/>
  <c r="G873" i="4"/>
  <c r="X905" i="4"/>
  <c r="H905" i="4" s="1"/>
  <c r="X901" i="4"/>
  <c r="H901" i="4" s="1"/>
  <c r="X898" i="4"/>
  <c r="Y893" i="4"/>
  <c r="X891" i="4"/>
  <c r="Z891" i="4" s="1"/>
  <c r="X890" i="4"/>
  <c r="H890" i="4" s="1"/>
  <c r="X880" i="4"/>
  <c r="Z880" i="4" s="1"/>
  <c r="X877" i="4"/>
  <c r="X874" i="4"/>
  <c r="G911" i="4"/>
  <c r="Y908" i="4"/>
  <c r="G898" i="4"/>
  <c r="X893" i="4"/>
  <c r="H893" i="4"/>
  <c r="X889" i="4"/>
  <c r="Y888" i="4"/>
  <c r="H881" i="4"/>
  <c r="H878" i="4"/>
  <c r="H875" i="4"/>
  <c r="X908" i="4"/>
  <c r="G893" i="4"/>
  <c r="X888" i="4"/>
  <c r="X887" i="4"/>
  <c r="G881" i="4"/>
  <c r="G878" i="4"/>
  <c r="I878" i="4" s="1"/>
  <c r="J878" i="4" s="1"/>
  <c r="G875" i="4"/>
  <c r="Y911" i="4"/>
  <c r="G904" i="4"/>
  <c r="Y900" i="4"/>
  <c r="Y895" i="4"/>
  <c r="G891" i="4"/>
  <c r="Y886" i="4"/>
  <c r="Y885" i="4"/>
  <c r="X879" i="4"/>
  <c r="Y876" i="4"/>
  <c r="Y873" i="4"/>
  <c r="Y910" i="4"/>
  <c r="X900" i="4"/>
  <c r="G899" i="4"/>
  <c r="X895" i="4"/>
  <c r="X886" i="4"/>
  <c r="X885" i="4"/>
  <c r="H885" i="4" s="1"/>
  <c r="H880" i="4"/>
  <c r="X876" i="4"/>
  <c r="X873" i="4"/>
  <c r="Z873" i="4" s="1"/>
  <c r="X910" i="4"/>
  <c r="Z910" i="4" s="1"/>
  <c r="G894" i="4"/>
  <c r="G889" i="4"/>
  <c r="G888" i="4"/>
  <c r="X884" i="4"/>
  <c r="Z884" i="4" s="1"/>
  <c r="Y883" i="4"/>
  <c r="G880" i="4"/>
  <c r="I880" i="4" s="1"/>
  <c r="J880" i="4" s="1"/>
  <c r="H877" i="4"/>
  <c r="H874" i="4"/>
  <c r="G906" i="4"/>
  <c r="Y896" i="4"/>
  <c r="X883" i="4"/>
  <c r="X882" i="4"/>
  <c r="Z882" i="4" s="1"/>
  <c r="Y878" i="4"/>
  <c r="Y875" i="4"/>
  <c r="G874" i="4"/>
  <c r="Y903" i="4"/>
  <c r="G903" i="4"/>
  <c r="X897" i="4"/>
  <c r="X896" i="4"/>
  <c r="H896" i="4" s="1"/>
  <c r="G886" i="4"/>
  <c r="Y881" i="4"/>
  <c r="X878" i="4"/>
  <c r="Z878" i="4" s="1"/>
  <c r="X875" i="4"/>
  <c r="H876" i="4"/>
  <c r="Y906" i="4"/>
  <c r="H879" i="4"/>
  <c r="X892" i="4"/>
  <c r="H892" i="4" s="1"/>
  <c r="X903" i="4"/>
  <c r="X881" i="4"/>
  <c r="Z881" i="4" s="1"/>
  <c r="H873" i="4"/>
  <c r="G909" i="4"/>
  <c r="G896" i="4"/>
  <c r="Q44" i="4"/>
  <c r="U44" i="4" s="1"/>
  <c r="Y137" i="4"/>
  <c r="G1264" i="4"/>
  <c r="Y1261" i="4"/>
  <c r="G1259" i="4"/>
  <c r="Y1256" i="4"/>
  <c r="G1254" i="4"/>
  <c r="Y1251" i="4"/>
  <c r="G1249" i="4"/>
  <c r="Y1246" i="4"/>
  <c r="G1244" i="4"/>
  <c r="Y1241" i="4"/>
  <c r="G1239" i="4"/>
  <c r="Y1236" i="4"/>
  <c r="G1234" i="4"/>
  <c r="Y1231" i="4"/>
  <c r="G1229" i="4"/>
  <c r="Y1226" i="4"/>
  <c r="A1223" i="4"/>
  <c r="X1262" i="4"/>
  <c r="H1262" i="4" s="1"/>
  <c r="X1257" i="4"/>
  <c r="X1252" i="4"/>
  <c r="H1248" i="4"/>
  <c r="X1247" i="4"/>
  <c r="H1247" i="4" s="1"/>
  <c r="X1242" i="4"/>
  <c r="Z1242" i="4" s="1"/>
  <c r="X1237" i="4"/>
  <c r="H1233" i="4"/>
  <c r="X1232" i="4"/>
  <c r="H1228" i="4"/>
  <c r="X1227" i="4"/>
  <c r="G1258" i="4"/>
  <c r="H1257" i="4"/>
  <c r="X1254" i="4"/>
  <c r="Z1254" i="4" s="1"/>
  <c r="Y1253" i="4"/>
  <c r="G1246" i="4"/>
  <c r="X1241" i="4"/>
  <c r="Y1240" i="4"/>
  <c r="G1233" i="4"/>
  <c r="H1232" i="4"/>
  <c r="X1229" i="4"/>
  <c r="Y1228" i="4"/>
  <c r="Y1264" i="4"/>
  <c r="Y1265" i="4" s="1"/>
  <c r="G1257" i="4"/>
  <c r="X1253" i="4"/>
  <c r="H1253" i="4" s="1"/>
  <c r="Y1252" i="4"/>
  <c r="G1245" i="4"/>
  <c r="X1240" i="4"/>
  <c r="H1240" i="4" s="1"/>
  <c r="Y1239" i="4"/>
  <c r="G1232" i="4"/>
  <c r="H1231" i="4"/>
  <c r="X1228" i="4"/>
  <c r="Z1228" i="4" s="1"/>
  <c r="Y1227" i="4"/>
  <c r="X1264" i="4"/>
  <c r="H1264" i="4" s="1"/>
  <c r="Y1263" i="4"/>
  <c r="G1256" i="4"/>
  <c r="X1251" i="4"/>
  <c r="Y1250" i="4"/>
  <c r="G1243" i="4"/>
  <c r="X1239" i="4"/>
  <c r="Z1239" i="4" s="1"/>
  <c r="Y1238" i="4"/>
  <c r="G1231" i="4"/>
  <c r="H1230" i="4"/>
  <c r="X1226" i="4"/>
  <c r="Y1225" i="4"/>
  <c r="X1263" i="4"/>
  <c r="H1263" i="4" s="1"/>
  <c r="Y1262" i="4"/>
  <c r="G1255" i="4"/>
  <c r="X1250" i="4"/>
  <c r="Y1249" i="4"/>
  <c r="G1242" i="4"/>
  <c r="H1241" i="4"/>
  <c r="X1238" i="4"/>
  <c r="H1238" i="4" s="1"/>
  <c r="Y1237" i="4"/>
  <c r="G1230" i="4"/>
  <c r="H1229" i="4"/>
  <c r="X1225" i="4"/>
  <c r="X1261" i="4"/>
  <c r="Y1260" i="4"/>
  <c r="G1253" i="4"/>
  <c r="X1249" i="4"/>
  <c r="Z1249" i="4" s="1"/>
  <c r="Y1248" i="4"/>
  <c r="G1241" i="4"/>
  <c r="X1236" i="4"/>
  <c r="Y1235" i="4"/>
  <c r="G1228" i="4"/>
  <c r="H1227" i="4"/>
  <c r="X1260" i="4"/>
  <c r="Y1259" i="4"/>
  <c r="G1252" i="4"/>
  <c r="X1248" i="4"/>
  <c r="Y1247" i="4"/>
  <c r="G1240" i="4"/>
  <c r="X1235" i="4"/>
  <c r="Z1235" i="4" s="1"/>
  <c r="Y1234" i="4"/>
  <c r="G1227" i="4"/>
  <c r="H1226" i="4"/>
  <c r="G1263" i="4"/>
  <c r="X1259" i="4"/>
  <c r="H1259" i="4" s="1"/>
  <c r="Y1258" i="4"/>
  <c r="G1251" i="4"/>
  <c r="X1246" i="4"/>
  <c r="Z1246" i="4" s="1"/>
  <c r="Y1245" i="4"/>
  <c r="G1238" i="4"/>
  <c r="H1237" i="4"/>
  <c r="X1234" i="4"/>
  <c r="H1234" i="4" s="1"/>
  <c r="Y1233" i="4"/>
  <c r="G1226" i="4"/>
  <c r="H1225" i="4"/>
  <c r="X1243" i="4"/>
  <c r="G1237" i="4"/>
  <c r="K1237" i="4" s="1"/>
  <c r="Y1230" i="4"/>
  <c r="G1261" i="4"/>
  <c r="Y1257" i="4"/>
  <c r="Y1254" i="4"/>
  <c r="X1233" i="4"/>
  <c r="X1230" i="4"/>
  <c r="G1248" i="4"/>
  <c r="Y1244" i="4"/>
  <c r="X1244" i="4"/>
  <c r="Z1244" i="4" s="1"/>
  <c r="G1262" i="4"/>
  <c r="Y1255" i="4"/>
  <c r="G1235" i="4"/>
  <c r="X1231" i="4"/>
  <c r="X1258" i="4"/>
  <c r="H1258" i="4" s="1"/>
  <c r="X1255" i="4"/>
  <c r="G1225" i="4"/>
  <c r="X1245" i="4"/>
  <c r="Y1242" i="4"/>
  <c r="G1260" i="4"/>
  <c r="Y1232" i="4"/>
  <c r="Y1243" i="4"/>
  <c r="G1236" i="4"/>
  <c r="G1247" i="4"/>
  <c r="H1260" i="4"/>
  <c r="X1256" i="4"/>
  <c r="H1256" i="4" s="1"/>
  <c r="G1250" i="4"/>
  <c r="Y1229" i="4"/>
  <c r="X296" i="4"/>
  <c r="H296" i="4" s="1"/>
  <c r="X291" i="4"/>
  <c r="H291" i="4" s="1"/>
  <c r="X286" i="4"/>
  <c r="H282" i="4"/>
  <c r="X281" i="4"/>
  <c r="H281" i="4" s="1"/>
  <c r="X276" i="4"/>
  <c r="X271" i="4"/>
  <c r="H271" i="4" s="1"/>
  <c r="X266" i="4"/>
  <c r="H262" i="4"/>
  <c r="X261" i="4"/>
  <c r="H257" i="4"/>
  <c r="Y294" i="4"/>
  <c r="G292" i="4"/>
  <c r="Y289" i="4"/>
  <c r="G287" i="4"/>
  <c r="Y284" i="4"/>
  <c r="G282" i="4"/>
  <c r="Y279" i="4"/>
  <c r="G277" i="4"/>
  <c r="Y274" i="4"/>
  <c r="G272" i="4"/>
  <c r="Y269" i="4"/>
  <c r="G267" i="4"/>
  <c r="Y264" i="4"/>
  <c r="G262" i="4"/>
  <c r="Y259" i="4"/>
  <c r="G257" i="4"/>
  <c r="X294" i="4"/>
  <c r="X289" i="4"/>
  <c r="X284" i="4"/>
  <c r="H284" i="4" s="1"/>
  <c r="X279" i="4"/>
  <c r="H279" i="4" s="1"/>
  <c r="X274" i="4"/>
  <c r="H274" i="4" s="1"/>
  <c r="X269" i="4"/>
  <c r="H269" i="4" s="1"/>
  <c r="H265" i="4"/>
  <c r="X264" i="4"/>
  <c r="H260" i="4"/>
  <c r="X259" i="4"/>
  <c r="G295" i="4"/>
  <c r="Y292" i="4"/>
  <c r="G290" i="4"/>
  <c r="Y287" i="4"/>
  <c r="G285" i="4"/>
  <c r="Y282" i="4"/>
  <c r="G280" i="4"/>
  <c r="Y277" i="4"/>
  <c r="G275" i="4"/>
  <c r="Y272" i="4"/>
  <c r="G270" i="4"/>
  <c r="Y267" i="4"/>
  <c r="G265" i="4"/>
  <c r="Y262" i="4"/>
  <c r="G260" i="4"/>
  <c r="Y257" i="4"/>
  <c r="X292" i="4"/>
  <c r="X287" i="4"/>
  <c r="H287" i="4" s="1"/>
  <c r="X282" i="4"/>
  <c r="X277" i="4"/>
  <c r="X272" i="4"/>
  <c r="Z272" i="4" s="1"/>
  <c r="X267" i="4"/>
  <c r="Z267" i="4" s="1"/>
  <c r="H263" i="4"/>
  <c r="X262" i="4"/>
  <c r="H258" i="4"/>
  <c r="X257" i="4"/>
  <c r="X295" i="4"/>
  <c r="H295" i="4" s="1"/>
  <c r="G296" i="4"/>
  <c r="Y293" i="4"/>
  <c r="G291" i="4"/>
  <c r="Y288" i="4"/>
  <c r="G286" i="4"/>
  <c r="Y283" i="4"/>
  <c r="G281" i="4"/>
  <c r="Y278" i="4"/>
  <c r="G276" i="4"/>
  <c r="Y273" i="4"/>
  <c r="G271" i="4"/>
  <c r="Y268" i="4"/>
  <c r="G266" i="4"/>
  <c r="Y263" i="4"/>
  <c r="G261" i="4"/>
  <c r="I261" i="4" s="1"/>
  <c r="J261" i="4" s="1"/>
  <c r="Y258" i="4"/>
  <c r="A255" i="4"/>
  <c r="X283" i="4"/>
  <c r="H283" i="4" s="1"/>
  <c r="Y280" i="4"/>
  <c r="G273" i="4"/>
  <c r="X258" i="4"/>
  <c r="Y281" i="4"/>
  <c r="X280" i="4"/>
  <c r="G274" i="4"/>
  <c r="H294" i="4"/>
  <c r="G293" i="4"/>
  <c r="X278" i="4"/>
  <c r="Y275" i="4"/>
  <c r="G268" i="4"/>
  <c r="G294" i="4"/>
  <c r="Y276" i="4"/>
  <c r="X275" i="4"/>
  <c r="H275" i="4" s="1"/>
  <c r="G269" i="4"/>
  <c r="G288" i="4"/>
  <c r="X273" i="4"/>
  <c r="Y270" i="4"/>
  <c r="H264" i="4"/>
  <c r="G263" i="4"/>
  <c r="Y295" i="4"/>
  <c r="G289" i="4"/>
  <c r="Y271" i="4"/>
  <c r="X270" i="4"/>
  <c r="H270" i="4" s="1"/>
  <c r="X263" i="4"/>
  <c r="Y291" i="4"/>
  <c r="Y261" i="4"/>
  <c r="Y296" i="4"/>
  <c r="Y297" i="4" s="1"/>
  <c r="X293" i="4"/>
  <c r="H261" i="4"/>
  <c r="Y290" i="4"/>
  <c r="X288" i="4"/>
  <c r="H288" i="4" s="1"/>
  <c r="G259" i="4"/>
  <c r="Y286" i="4"/>
  <c r="G284" i="4"/>
  <c r="H259" i="4"/>
  <c r="X290" i="4"/>
  <c r="Z290" i="4" s="1"/>
  <c r="G279" i="4"/>
  <c r="Y266" i="4"/>
  <c r="Y260" i="4"/>
  <c r="G264" i="4"/>
  <c r="Y285" i="4"/>
  <c r="G258" i="4"/>
  <c r="X268" i="4"/>
  <c r="Z268" i="4" s="1"/>
  <c r="X285" i="4"/>
  <c r="Y265" i="4"/>
  <c r="G283" i="4"/>
  <c r="X265" i="4"/>
  <c r="X260" i="4"/>
  <c r="G278" i="4"/>
  <c r="X1128" i="4"/>
  <c r="X1123" i="4"/>
  <c r="H1119" i="4"/>
  <c r="X1118" i="4"/>
  <c r="H1118" i="4" s="1"/>
  <c r="X1113" i="4"/>
  <c r="X1108" i="4"/>
  <c r="H1108" i="4" s="1"/>
  <c r="X1103" i="4"/>
  <c r="H1099" i="4"/>
  <c r="X1098" i="4"/>
  <c r="H1094" i="4"/>
  <c r="X1093" i="4"/>
  <c r="Y1131" i="4"/>
  <c r="G1129" i="4"/>
  <c r="Y1126" i="4"/>
  <c r="G1124" i="4"/>
  <c r="Y1121" i="4"/>
  <c r="G1119" i="4"/>
  <c r="Y1116" i="4"/>
  <c r="G1114" i="4"/>
  <c r="Y1111" i="4"/>
  <c r="G1109" i="4"/>
  <c r="Y1106" i="4"/>
  <c r="G1104" i="4"/>
  <c r="Y1101" i="4"/>
  <c r="G1099" i="4"/>
  <c r="Y1096" i="4"/>
  <c r="G1094" i="4"/>
  <c r="X1131" i="4"/>
  <c r="X1126" i="4"/>
  <c r="X1121" i="4"/>
  <c r="X1116" i="4"/>
  <c r="H1116" i="4" s="1"/>
  <c r="X1111" i="4"/>
  <c r="H1111" i="4" s="1"/>
  <c r="X1106" i="4"/>
  <c r="X1101" i="4"/>
  <c r="H1097" i="4"/>
  <c r="X1096" i="4"/>
  <c r="G1132" i="4"/>
  <c r="Y1129" i="4"/>
  <c r="G1127" i="4"/>
  <c r="Y1124" i="4"/>
  <c r="G1122" i="4"/>
  <c r="Y1119" i="4"/>
  <c r="G1117" i="4"/>
  <c r="Y1114" i="4"/>
  <c r="G1112" i="4"/>
  <c r="Y1109" i="4"/>
  <c r="G1107" i="4"/>
  <c r="Y1104" i="4"/>
  <c r="G1102" i="4"/>
  <c r="Y1099" i="4"/>
  <c r="G1097" i="4"/>
  <c r="Y1094" i="4"/>
  <c r="A1091" i="4"/>
  <c r="Y1132" i="4"/>
  <c r="Y1133" i="4" s="1"/>
  <c r="G1130" i="4"/>
  <c r="Y1127" i="4"/>
  <c r="G1125" i="4"/>
  <c r="Y1122" i="4"/>
  <c r="G1120" i="4"/>
  <c r="Y1117" i="4"/>
  <c r="G1115" i="4"/>
  <c r="Y1112" i="4"/>
  <c r="G1110" i="4"/>
  <c r="Y1107" i="4"/>
  <c r="G1105" i="4"/>
  <c r="Y1102" i="4"/>
  <c r="G1100" i="4"/>
  <c r="Y1097" i="4"/>
  <c r="G1095" i="4"/>
  <c r="G1131" i="4"/>
  <c r="Y1128" i="4"/>
  <c r="G1121" i="4"/>
  <c r="Y1118" i="4"/>
  <c r="G1111" i="4"/>
  <c r="Y1108" i="4"/>
  <c r="G1101" i="4"/>
  <c r="Y1098" i="4"/>
  <c r="X1130" i="4"/>
  <c r="H1130" i="4" s="1"/>
  <c r="X1112" i="4"/>
  <c r="Y1100" i="4"/>
  <c r="X1095" i="4"/>
  <c r="X1094" i="4"/>
  <c r="G1093" i="4"/>
  <c r="X1129" i="4"/>
  <c r="H1129" i="4" s="1"/>
  <c r="G1128" i="4"/>
  <c r="X1117" i="4"/>
  <c r="X1100" i="4"/>
  <c r="H1098" i="4"/>
  <c r="Y1123" i="4"/>
  <c r="G1116" i="4"/>
  <c r="Y1105" i="4"/>
  <c r="X1099" i="4"/>
  <c r="G1098" i="4"/>
  <c r="X1122" i="4"/>
  <c r="Y1110" i="4"/>
  <c r="X1105" i="4"/>
  <c r="H1105" i="4" s="1"/>
  <c r="X1104" i="4"/>
  <c r="G1103" i="4"/>
  <c r="Y1093" i="4"/>
  <c r="X1127" i="4"/>
  <c r="H1127" i="4" s="1"/>
  <c r="X1110" i="4"/>
  <c r="H1110" i="4" s="1"/>
  <c r="G1126" i="4"/>
  <c r="Y1115" i="4"/>
  <c r="X1109" i="4"/>
  <c r="Z1109" i="4" s="1"/>
  <c r="G1108" i="4"/>
  <c r="X1097" i="4"/>
  <c r="H1096" i="4"/>
  <c r="Y1125" i="4"/>
  <c r="X1119" i="4"/>
  <c r="G1118" i="4"/>
  <c r="X1107" i="4"/>
  <c r="Z1107" i="4" s="1"/>
  <c r="G1123" i="4"/>
  <c r="G1106" i="4"/>
  <c r="H1100" i="4"/>
  <c r="X1125" i="4"/>
  <c r="H1125" i="4" s="1"/>
  <c r="X1102" i="4"/>
  <c r="H1102" i="4" s="1"/>
  <c r="Y1130" i="4"/>
  <c r="Y1113" i="4"/>
  <c r="X1124" i="4"/>
  <c r="H1124" i="4" s="1"/>
  <c r="G1113" i="4"/>
  <c r="G1096" i="4"/>
  <c r="Y1120" i="4"/>
  <c r="Y1103" i="4"/>
  <c r="H1101" i="4"/>
  <c r="H1095" i="4"/>
  <c r="X1120" i="4"/>
  <c r="H1120" i="4" s="1"/>
  <c r="X1114" i="4"/>
  <c r="X1115" i="4"/>
  <c r="X1132" i="4"/>
  <c r="H1132" i="4" s="1"/>
  <c r="Y1095" i="4"/>
  <c r="H1093" i="4"/>
  <c r="V139" i="4"/>
  <c r="Y138" i="4"/>
  <c r="AF762" i="6"/>
  <c r="AD763" i="6"/>
  <c r="AI400" i="6"/>
  <c r="AG400" i="6"/>
  <c r="AH400" i="6"/>
  <c r="AJ400" i="6"/>
  <c r="AD163" i="6"/>
  <c r="AF162" i="6"/>
  <c r="P43" i="4"/>
  <c r="AJ70" i="6"/>
  <c r="AI70" i="6"/>
  <c r="AH70" i="6"/>
  <c r="AG70" i="6"/>
  <c r="X119" i="5"/>
  <c r="V120" i="5"/>
  <c r="R139" i="4"/>
  <c r="AD612" i="6"/>
  <c r="AF611" i="6"/>
  <c r="Z653" i="4" l="1"/>
  <c r="Z889" i="4"/>
  <c r="Z1287" i="4"/>
  <c r="Z682" i="4"/>
  <c r="Z670" i="4"/>
  <c r="K1349" i="4"/>
  <c r="Z1077" i="4"/>
  <c r="Z1095" i="4"/>
  <c r="Z415" i="4"/>
  <c r="Z1271" i="4"/>
  <c r="Z1121" i="4"/>
  <c r="Z886" i="4"/>
  <c r="Z625" i="4"/>
  <c r="I968" i="4"/>
  <c r="J968" i="4" s="1"/>
  <c r="K998" i="4"/>
  <c r="K540" i="4"/>
  <c r="Z349" i="4"/>
  <c r="K1043" i="4"/>
  <c r="Z675" i="4"/>
  <c r="Z1104" i="4"/>
  <c r="Z1112" i="4"/>
  <c r="Z1126" i="4"/>
  <c r="Z1250" i="4"/>
  <c r="Z887" i="4"/>
  <c r="Z893" i="4"/>
  <c r="Z898" i="4"/>
  <c r="Z1298" i="4"/>
  <c r="Z636" i="4"/>
  <c r="K977" i="4"/>
  <c r="Z981" i="4"/>
  <c r="Z601" i="4"/>
  <c r="Z865" i="4"/>
  <c r="Z835" i="4"/>
  <c r="I440" i="4"/>
  <c r="J440" i="4" s="1"/>
  <c r="Z921" i="4"/>
  <c r="Z1009" i="4"/>
  <c r="I661" i="4"/>
  <c r="J661" i="4" s="1"/>
  <c r="H676" i="4"/>
  <c r="Z757" i="4"/>
  <c r="Z401" i="4"/>
  <c r="Z324" i="4"/>
  <c r="K730" i="4"/>
  <c r="I441" i="4"/>
  <c r="J441" i="4" s="1"/>
  <c r="Z527" i="4"/>
  <c r="Z534" i="4"/>
  <c r="Z950" i="4"/>
  <c r="Z1029" i="4"/>
  <c r="I1008" i="4"/>
  <c r="J1008" i="4" s="1"/>
  <c r="Z1011" i="4"/>
  <c r="I654" i="4"/>
  <c r="J654" i="4" s="1"/>
  <c r="I790" i="4"/>
  <c r="J790" i="4" s="1"/>
  <c r="Z1334" i="4"/>
  <c r="Z768" i="4"/>
  <c r="Z760" i="4"/>
  <c r="Z400" i="4"/>
  <c r="Z414" i="4"/>
  <c r="Z419" i="4"/>
  <c r="Z392" i="4"/>
  <c r="Z327" i="4"/>
  <c r="Z699" i="4"/>
  <c r="Z843" i="4"/>
  <c r="Z423" i="4"/>
  <c r="K316" i="4"/>
  <c r="Z1248" i="4"/>
  <c r="H909" i="4"/>
  <c r="I1097" i="4"/>
  <c r="J1097" i="4" s="1"/>
  <c r="I877" i="4"/>
  <c r="J877" i="4" s="1"/>
  <c r="Z537" i="4"/>
  <c r="Z266" i="4"/>
  <c r="Z1230" i="4"/>
  <c r="Z571" i="4"/>
  <c r="Z577" i="4"/>
  <c r="Z838" i="4"/>
  <c r="Z883" i="4"/>
  <c r="I1275" i="4"/>
  <c r="J1275" i="4" s="1"/>
  <c r="I610" i="4"/>
  <c r="J610" i="4" s="1"/>
  <c r="I573" i="4"/>
  <c r="J573" i="4" s="1"/>
  <c r="I572" i="4"/>
  <c r="J572" i="4" s="1"/>
  <c r="Z446" i="4"/>
  <c r="Z459" i="4"/>
  <c r="Z545" i="4"/>
  <c r="K356" i="4"/>
  <c r="Z382" i="4"/>
  <c r="K691" i="4"/>
  <c r="Z790" i="4"/>
  <c r="Z1331" i="4"/>
  <c r="Z773" i="4"/>
  <c r="Z420" i="4"/>
  <c r="Z329" i="4"/>
  <c r="K725" i="4"/>
  <c r="I1053" i="4"/>
  <c r="J1053" i="4" s="1"/>
  <c r="I1056" i="4"/>
  <c r="J1056" i="4" s="1"/>
  <c r="Z1229" i="4"/>
  <c r="Z471" i="4"/>
  <c r="K467" i="4"/>
  <c r="H1246" i="4"/>
  <c r="Z1255" i="4"/>
  <c r="Z1233" i="4"/>
  <c r="Z1096" i="4"/>
  <c r="Z293" i="4"/>
  <c r="Z292" i="4"/>
  <c r="Z276" i="4"/>
  <c r="Z1282" i="4"/>
  <c r="K646" i="4"/>
  <c r="I611" i="4"/>
  <c r="J611" i="4" s="1"/>
  <c r="I614" i="4"/>
  <c r="J614" i="4" s="1"/>
  <c r="Z974" i="4"/>
  <c r="H992" i="4"/>
  <c r="K992" i="4" s="1"/>
  <c r="K588" i="4"/>
  <c r="I566" i="4"/>
  <c r="J566" i="4" s="1"/>
  <c r="Z864" i="4"/>
  <c r="K857" i="4"/>
  <c r="Z452" i="4"/>
  <c r="Z945" i="4"/>
  <c r="Z952" i="4"/>
  <c r="I919" i="4"/>
  <c r="J919" i="4" s="1"/>
  <c r="I659" i="4"/>
  <c r="J659" i="4" s="1"/>
  <c r="Z799" i="4"/>
  <c r="Z1196" i="4"/>
  <c r="H1194" i="4"/>
  <c r="Z1314" i="4"/>
  <c r="Z1159" i="4"/>
  <c r="Z770" i="4"/>
  <c r="Z394" i="4"/>
  <c r="I394" i="4"/>
  <c r="J394" i="4" s="1"/>
  <c r="Z1070" i="4"/>
  <c r="Z503" i="4"/>
  <c r="Z482" i="4"/>
  <c r="I703" i="4"/>
  <c r="J703" i="4" s="1"/>
  <c r="K1086" i="4"/>
  <c r="I1052" i="4"/>
  <c r="J1052" i="4" s="1"/>
  <c r="Z480" i="4"/>
  <c r="Z498" i="4"/>
  <c r="Z897" i="4"/>
  <c r="K1305" i="4"/>
  <c r="Z592" i="4"/>
  <c r="Z457" i="4"/>
  <c r="Z434" i="4"/>
  <c r="K560" i="4"/>
  <c r="Z368" i="4"/>
  <c r="Z678" i="4"/>
  <c r="Z1162" i="4"/>
  <c r="Z1170" i="4"/>
  <c r="K404" i="4"/>
  <c r="Z304" i="4"/>
  <c r="Z285" i="4"/>
  <c r="Z273" i="4"/>
  <c r="Z617" i="4"/>
  <c r="Z612" i="4"/>
  <c r="Z615" i="4"/>
  <c r="K993" i="4"/>
  <c r="Z854" i="4"/>
  <c r="Z470" i="4"/>
  <c r="Z552" i="4"/>
  <c r="I526" i="4"/>
  <c r="J526" i="4" s="1"/>
  <c r="Z689" i="4"/>
  <c r="Z660" i="4"/>
  <c r="Z800" i="4"/>
  <c r="Z1209" i="4"/>
  <c r="Z1203" i="4"/>
  <c r="I744" i="4"/>
  <c r="J744" i="4" s="1"/>
  <c r="Z743" i="4"/>
  <c r="H762" i="4"/>
  <c r="Z771" i="4"/>
  <c r="Z777" i="4"/>
  <c r="Z396" i="4"/>
  <c r="H419" i="4"/>
  <c r="K419" i="4" s="1"/>
  <c r="Z710" i="4"/>
  <c r="H713" i="4"/>
  <c r="Z1061" i="4"/>
  <c r="Z505" i="4"/>
  <c r="H1249" i="4"/>
  <c r="H1282" i="4"/>
  <c r="Z1014" i="4"/>
  <c r="H1014" i="4"/>
  <c r="K1039" i="4"/>
  <c r="Z1019" i="4"/>
  <c r="H1019" i="4"/>
  <c r="K679" i="4"/>
  <c r="I1100" i="4"/>
  <c r="J1100" i="4" s="1"/>
  <c r="Z1128" i="4"/>
  <c r="H1254" i="4"/>
  <c r="Z1304" i="4"/>
  <c r="H1304" i="4"/>
  <c r="H838" i="4"/>
  <c r="Z1115" i="4"/>
  <c r="Z1122" i="4"/>
  <c r="Z1131" i="4"/>
  <c r="Z1098" i="4"/>
  <c r="K274" i="4"/>
  <c r="K995" i="4"/>
  <c r="Z464" i="4"/>
  <c r="Z367" i="4"/>
  <c r="H367" i="4"/>
  <c r="Z1205" i="4"/>
  <c r="H1205" i="4"/>
  <c r="K1175" i="4"/>
  <c r="Z416" i="4"/>
  <c r="Z417" i="4"/>
  <c r="H417" i="4"/>
  <c r="K1129" i="4"/>
  <c r="K281" i="4"/>
  <c r="H538" i="4"/>
  <c r="Z408" i="4"/>
  <c r="Z1291" i="4"/>
  <c r="K589" i="4"/>
  <c r="Z1129" i="4"/>
  <c r="Z280" i="4"/>
  <c r="K909" i="4"/>
  <c r="Z1303" i="4"/>
  <c r="Z609" i="4"/>
  <c r="K630" i="4"/>
  <c r="Z627" i="4"/>
  <c r="Z586" i="4"/>
  <c r="Z856" i="4"/>
  <c r="H856" i="4"/>
  <c r="I348" i="4"/>
  <c r="J348" i="4" s="1"/>
  <c r="Z953" i="4"/>
  <c r="Z662" i="4"/>
  <c r="Z679" i="4"/>
  <c r="K666" i="4"/>
  <c r="Z1152" i="4"/>
  <c r="H1152" i="4"/>
  <c r="Z778" i="4"/>
  <c r="H778" i="4"/>
  <c r="K317" i="4"/>
  <c r="Z409" i="4"/>
  <c r="H409" i="4"/>
  <c r="K409" i="4" s="1"/>
  <c r="Z1093" i="4"/>
  <c r="I260" i="4"/>
  <c r="J260" i="4" s="1"/>
  <c r="Z1292" i="4"/>
  <c r="H1292" i="4"/>
  <c r="Z1031" i="4"/>
  <c r="H1031" i="4"/>
  <c r="K1031" i="4" s="1"/>
  <c r="Z1321" i="4"/>
  <c r="Z1261" i="4"/>
  <c r="K1282" i="4"/>
  <c r="K1294" i="4"/>
  <c r="Z1297" i="4"/>
  <c r="K600" i="4"/>
  <c r="K1118" i="4"/>
  <c r="Z1120" i="4"/>
  <c r="Z1119" i="4"/>
  <c r="Z1101" i="4"/>
  <c r="Z1103" i="4"/>
  <c r="Z260" i="4"/>
  <c r="K294" i="4"/>
  <c r="Z289" i="4"/>
  <c r="Z261" i="4"/>
  <c r="H889" i="4"/>
  <c r="K889" i="4" s="1"/>
  <c r="I881" i="4"/>
  <c r="J881" i="4" s="1"/>
  <c r="H882" i="4"/>
  <c r="K892" i="4"/>
  <c r="Z620" i="4"/>
  <c r="H620" i="4"/>
  <c r="I963" i="4"/>
  <c r="J963" i="4" s="1"/>
  <c r="Z463" i="4"/>
  <c r="H463" i="4"/>
  <c r="K463" i="4" s="1"/>
  <c r="Z433" i="4"/>
  <c r="K1015" i="4"/>
  <c r="Z1025" i="4"/>
  <c r="Z690" i="4"/>
  <c r="H690" i="4"/>
  <c r="Z1149" i="4"/>
  <c r="H1149" i="4"/>
  <c r="K751" i="4"/>
  <c r="K1247" i="4"/>
  <c r="K1110" i="4"/>
  <c r="H1104" i="4"/>
  <c r="K1104" i="4" s="1"/>
  <c r="Z265" i="4"/>
  <c r="K271" i="4"/>
  <c r="K296" i="4"/>
  <c r="Z890" i="4"/>
  <c r="H910" i="4"/>
  <c r="K910" i="4" s="1"/>
  <c r="K1291" i="4"/>
  <c r="K855" i="4"/>
  <c r="H366" i="4"/>
  <c r="K366" i="4" s="1"/>
  <c r="I923" i="4"/>
  <c r="J923" i="4" s="1"/>
  <c r="Z922" i="4"/>
  <c r="H668" i="4"/>
  <c r="K668" i="4" s="1"/>
  <c r="H679" i="4"/>
  <c r="K1214" i="4"/>
  <c r="Z1337" i="4"/>
  <c r="H1337" i="4"/>
  <c r="Z1167" i="4"/>
  <c r="I743" i="4"/>
  <c r="J743" i="4" s="1"/>
  <c r="Z1325" i="4"/>
  <c r="H1325" i="4"/>
  <c r="K1325" i="4" s="1"/>
  <c r="K1352" i="4"/>
  <c r="Z1146" i="4"/>
  <c r="H1146" i="4"/>
  <c r="Z1106" i="4"/>
  <c r="Z1097" i="4"/>
  <c r="Z264" i="4"/>
  <c r="K1257" i="4"/>
  <c r="H883" i="4"/>
  <c r="Z900" i="4"/>
  <c r="H891" i="4"/>
  <c r="K891" i="4" s="1"/>
  <c r="Z628" i="4"/>
  <c r="Z444" i="4"/>
  <c r="Z559" i="4"/>
  <c r="H559" i="4"/>
  <c r="H550" i="4"/>
  <c r="Z526" i="4"/>
  <c r="K538" i="4"/>
  <c r="Z931" i="4"/>
  <c r="H931" i="4"/>
  <c r="K931" i="4" s="1"/>
  <c r="I1319" i="4"/>
  <c r="J1319" i="4" s="1"/>
  <c r="Z1059" i="4"/>
  <c r="K996" i="4"/>
  <c r="Z967" i="4"/>
  <c r="I962" i="4"/>
  <c r="J962" i="4" s="1"/>
  <c r="K997" i="4"/>
  <c r="Z600" i="4"/>
  <c r="K443" i="4"/>
  <c r="I442" i="4"/>
  <c r="J442" i="4" s="1"/>
  <c r="Z524" i="4"/>
  <c r="K533" i="4"/>
  <c r="I1010" i="4"/>
  <c r="J1010" i="4" s="1"/>
  <c r="Z1032" i="4"/>
  <c r="Z654" i="4"/>
  <c r="Z804" i="4"/>
  <c r="K1341" i="4"/>
  <c r="Z1349" i="4"/>
  <c r="Z1326" i="4"/>
  <c r="Z1172" i="4"/>
  <c r="H1061" i="4"/>
  <c r="K1061" i="4" s="1"/>
  <c r="K722" i="4"/>
  <c r="Z1083" i="4"/>
  <c r="Z729" i="4"/>
  <c r="K1308" i="4"/>
  <c r="K1280" i="4"/>
  <c r="Z616" i="4"/>
  <c r="Z633" i="4"/>
  <c r="Z982" i="4"/>
  <c r="Z985" i="4"/>
  <c r="K971" i="4"/>
  <c r="Z989" i="4"/>
  <c r="Z976" i="4"/>
  <c r="Z853" i="4"/>
  <c r="I835" i="4"/>
  <c r="J835" i="4" s="1"/>
  <c r="K468" i="4"/>
  <c r="I434" i="4"/>
  <c r="J434" i="4" s="1"/>
  <c r="I350" i="4"/>
  <c r="J350" i="4" s="1"/>
  <c r="K362" i="4"/>
  <c r="I354" i="4"/>
  <c r="J354" i="4" s="1"/>
  <c r="Z925" i="4"/>
  <c r="K927" i="4"/>
  <c r="Z947" i="4"/>
  <c r="K1021" i="4"/>
  <c r="K1033" i="4"/>
  <c r="Z1016" i="4"/>
  <c r="Z1041" i="4"/>
  <c r="K664" i="4"/>
  <c r="Z685" i="4"/>
  <c r="Z805" i="4"/>
  <c r="Z785" i="4"/>
  <c r="Z1210" i="4"/>
  <c r="Z1212" i="4"/>
  <c r="Z1319" i="4"/>
  <c r="Z1343" i="4"/>
  <c r="Z1145" i="4"/>
  <c r="Z748" i="4"/>
  <c r="Z775" i="4"/>
  <c r="K424" i="4"/>
  <c r="Z337" i="4"/>
  <c r="K1064" i="4"/>
  <c r="Z1076" i="4"/>
  <c r="H496" i="4"/>
  <c r="I480" i="4"/>
  <c r="J480" i="4" s="1"/>
  <c r="X268" i="5"/>
  <c r="V269" i="5"/>
  <c r="Z810" i="4"/>
  <c r="K1195" i="4"/>
  <c r="K1198" i="4"/>
  <c r="Z1324" i="4"/>
  <c r="K1161" i="4"/>
  <c r="I749" i="4"/>
  <c r="J749" i="4" s="1"/>
  <c r="H425" i="4"/>
  <c r="Z334" i="4"/>
  <c r="I704" i="4"/>
  <c r="J704" i="4" s="1"/>
  <c r="H1069" i="4"/>
  <c r="K1071" i="4"/>
  <c r="Z1060" i="4"/>
  <c r="Z493" i="4"/>
  <c r="K494" i="4"/>
  <c r="Z267" i="5"/>
  <c r="AB267" i="5"/>
  <c r="AA267" i="5"/>
  <c r="Y267" i="5"/>
  <c r="K902" i="4"/>
  <c r="Z1273" i="4"/>
  <c r="Z1272" i="4"/>
  <c r="Z1269" i="4"/>
  <c r="Z1270" i="4"/>
  <c r="Z1295" i="4"/>
  <c r="Z643" i="4"/>
  <c r="Z977" i="4"/>
  <c r="Z995" i="4"/>
  <c r="Z994" i="4"/>
  <c r="H600" i="4"/>
  <c r="Z603" i="4"/>
  <c r="K576" i="4"/>
  <c r="K840" i="4"/>
  <c r="K446" i="4"/>
  <c r="K450" i="4"/>
  <c r="Z469" i="4"/>
  <c r="Z542" i="4"/>
  <c r="I525" i="4"/>
  <c r="J525" i="4" s="1"/>
  <c r="K550" i="4"/>
  <c r="Z546" i="4"/>
  <c r="Z530" i="4"/>
  <c r="I346" i="4"/>
  <c r="J346" i="4" s="1"/>
  <c r="K375" i="4"/>
  <c r="Z939" i="4"/>
  <c r="Z1010" i="4"/>
  <c r="Z1037" i="4"/>
  <c r="K811" i="4"/>
  <c r="K1210" i="4"/>
  <c r="Z1208" i="4"/>
  <c r="Z1187" i="4"/>
  <c r="I1321" i="4"/>
  <c r="J1321" i="4" s="1"/>
  <c r="H1326" i="4"/>
  <c r="K1326" i="4" s="1"/>
  <c r="H1170" i="4"/>
  <c r="K1170" i="4" s="1"/>
  <c r="Z776" i="4"/>
  <c r="K416" i="4"/>
  <c r="Z389" i="4"/>
  <c r="Z411" i="4"/>
  <c r="Z325" i="4"/>
  <c r="K320" i="4"/>
  <c r="I304" i="4"/>
  <c r="J304" i="4" s="1"/>
  <c r="Z721" i="4"/>
  <c r="Z723" i="4"/>
  <c r="Z1087" i="4"/>
  <c r="Z1051" i="4"/>
  <c r="I485" i="4"/>
  <c r="J485" i="4" s="1"/>
  <c r="H507" i="4"/>
  <c r="K507" i="4" s="1"/>
  <c r="I263" i="4"/>
  <c r="J263" i="4" s="1"/>
  <c r="Z258" i="4"/>
  <c r="Z284" i="4"/>
  <c r="I1228" i="4"/>
  <c r="J1228" i="4" s="1"/>
  <c r="Z1225" i="4"/>
  <c r="Z1240" i="4"/>
  <c r="Z908" i="4"/>
  <c r="K911" i="4"/>
  <c r="K885" i="4"/>
  <c r="Z1283" i="4"/>
  <c r="I1276" i="4"/>
  <c r="J1276" i="4" s="1"/>
  <c r="H1290" i="4"/>
  <c r="Z1307" i="4"/>
  <c r="H626" i="4"/>
  <c r="K626" i="4" s="1"/>
  <c r="I615" i="4"/>
  <c r="J615" i="4" s="1"/>
  <c r="Z639" i="4"/>
  <c r="I970" i="4"/>
  <c r="J970" i="4" s="1"/>
  <c r="Z972" i="4"/>
  <c r="H982" i="4"/>
  <c r="Z436" i="4"/>
  <c r="Z445" i="4"/>
  <c r="Z551" i="4"/>
  <c r="I523" i="4"/>
  <c r="J523" i="4" s="1"/>
  <c r="Z356" i="4"/>
  <c r="Z360" i="4"/>
  <c r="Z1043" i="4"/>
  <c r="Z1024" i="4"/>
  <c r="Z681" i="4"/>
  <c r="K824" i="4"/>
  <c r="Z794" i="4"/>
  <c r="Z1191" i="4"/>
  <c r="Z1181" i="4"/>
  <c r="Z1213" i="4"/>
  <c r="Z1185" i="4"/>
  <c r="I1316" i="4"/>
  <c r="J1316" i="4" s="1"/>
  <c r="Z1330" i="4"/>
  <c r="I1143" i="4"/>
  <c r="J1143" i="4" s="1"/>
  <c r="Z752" i="4"/>
  <c r="Z758" i="4"/>
  <c r="Z745" i="4"/>
  <c r="I395" i="4"/>
  <c r="J395" i="4" s="1"/>
  <c r="I393" i="4"/>
  <c r="J393" i="4" s="1"/>
  <c r="Z426" i="4"/>
  <c r="Z309" i="4"/>
  <c r="I302" i="4"/>
  <c r="J302" i="4" s="1"/>
  <c r="K720" i="4"/>
  <c r="H710" i="4"/>
  <c r="K710" i="4" s="1"/>
  <c r="Z728" i="4"/>
  <c r="H731" i="4"/>
  <c r="K731" i="4" s="1"/>
  <c r="Z732" i="4"/>
  <c r="K1074" i="4"/>
  <c r="K1081" i="4"/>
  <c r="H1078" i="4"/>
  <c r="K1078" i="4" s="1"/>
  <c r="Z1084" i="4"/>
  <c r="Z1086" i="4"/>
  <c r="H486" i="4"/>
  <c r="I486" i="4" s="1"/>
  <c r="J486" i="4" s="1"/>
  <c r="I483" i="4"/>
  <c r="J483" i="4" s="1"/>
  <c r="Z499" i="4"/>
  <c r="Z511" i="4"/>
  <c r="Z1278" i="4"/>
  <c r="K638" i="4"/>
  <c r="Z634" i="4"/>
  <c r="I616" i="4"/>
  <c r="J616" i="4" s="1"/>
  <c r="I969" i="4"/>
  <c r="J969" i="4" s="1"/>
  <c r="K988" i="4"/>
  <c r="K983" i="4"/>
  <c r="K991" i="4"/>
  <c r="K978" i="4"/>
  <c r="Z986" i="4"/>
  <c r="I568" i="4"/>
  <c r="J568" i="4" s="1"/>
  <c r="Z593" i="4"/>
  <c r="Z848" i="4"/>
  <c r="Z438" i="4"/>
  <c r="H446" i="4"/>
  <c r="Z439" i="4"/>
  <c r="Z521" i="4"/>
  <c r="Z557" i="4"/>
  <c r="Z372" i="4"/>
  <c r="Z358" i="4"/>
  <c r="I351" i="4"/>
  <c r="J351" i="4" s="1"/>
  <c r="Z924" i="4"/>
  <c r="I924" i="4"/>
  <c r="J924" i="4" s="1"/>
  <c r="Z918" i="4"/>
  <c r="K1018" i="4"/>
  <c r="Z1040" i="4"/>
  <c r="K1017" i="4"/>
  <c r="H1027" i="4"/>
  <c r="K1027" i="4" s="1"/>
  <c r="Z686" i="4"/>
  <c r="Z793" i="4"/>
  <c r="Z795" i="4"/>
  <c r="Z1189" i="4"/>
  <c r="Z1217" i="4"/>
  <c r="Z1183" i="4"/>
  <c r="Z1336" i="4"/>
  <c r="K1333" i="4"/>
  <c r="Z1329" i="4"/>
  <c r="I1145" i="4"/>
  <c r="J1145" i="4" s="1"/>
  <c r="H1159" i="4"/>
  <c r="K1159" i="4" s="1"/>
  <c r="I305" i="4"/>
  <c r="J305" i="4" s="1"/>
  <c r="I308" i="4"/>
  <c r="J308" i="4" s="1"/>
  <c r="Z316" i="4"/>
  <c r="I309" i="4"/>
  <c r="J309" i="4" s="1"/>
  <c r="Z323" i="4"/>
  <c r="Z726" i="4"/>
  <c r="Z735" i="4"/>
  <c r="H1083" i="4"/>
  <c r="K1083" i="4" s="1"/>
  <c r="Z500" i="4"/>
  <c r="Z497" i="4"/>
  <c r="K490" i="4"/>
  <c r="H500" i="4"/>
  <c r="Z259" i="4"/>
  <c r="Z1236" i="4"/>
  <c r="Z1241" i="4"/>
  <c r="Z1237" i="4"/>
  <c r="Z875" i="4"/>
  <c r="I875" i="4"/>
  <c r="J875" i="4" s="1"/>
  <c r="K890" i="4"/>
  <c r="Z894" i="4"/>
  <c r="K1283" i="4"/>
  <c r="Z1279" i="4"/>
  <c r="Z1299" i="4"/>
  <c r="Z1286" i="4"/>
  <c r="I612" i="4"/>
  <c r="J612" i="4" s="1"/>
  <c r="H643" i="4"/>
  <c r="Z618" i="4"/>
  <c r="Z965" i="4"/>
  <c r="H989" i="4"/>
  <c r="K989" i="4" s="1"/>
  <c r="Z961" i="4"/>
  <c r="Z578" i="4"/>
  <c r="Z582" i="4"/>
  <c r="Z581" i="4"/>
  <c r="Z859" i="4"/>
  <c r="Z839" i="4"/>
  <c r="Z834" i="4"/>
  <c r="H865" i="4"/>
  <c r="K865" i="4" s="1"/>
  <c r="H842" i="4"/>
  <c r="K842" i="4" s="1"/>
  <c r="H469" i="4"/>
  <c r="Z549" i="4"/>
  <c r="H358" i="4"/>
  <c r="K358" i="4" s="1"/>
  <c r="Z375" i="4"/>
  <c r="Z365" i="4"/>
  <c r="I921" i="4"/>
  <c r="J921" i="4" s="1"/>
  <c r="K937" i="4"/>
  <c r="K1034" i="4"/>
  <c r="H1016" i="4"/>
  <c r="Z1028" i="4"/>
  <c r="Z1023" i="4"/>
  <c r="K680" i="4"/>
  <c r="I656" i="4"/>
  <c r="J656" i="4" s="1"/>
  <c r="H804" i="4"/>
  <c r="Z822" i="4"/>
  <c r="K803" i="4"/>
  <c r="H1218" i="4"/>
  <c r="K1218" i="4" s="1"/>
  <c r="K1202" i="4"/>
  <c r="Z1190" i="4"/>
  <c r="Z1197" i="4"/>
  <c r="H1334" i="4"/>
  <c r="K1328" i="4"/>
  <c r="Z1346" i="4"/>
  <c r="Z1339" i="4"/>
  <c r="I1317" i="4"/>
  <c r="J1317" i="4" s="1"/>
  <c r="K1342" i="4"/>
  <c r="Z1171" i="4"/>
  <c r="Z1163" i="4"/>
  <c r="Z767" i="4"/>
  <c r="K759" i="4"/>
  <c r="Z750" i="4"/>
  <c r="Z402" i="4"/>
  <c r="Z403" i="4"/>
  <c r="Z405" i="4"/>
  <c r="Z395" i="4"/>
  <c r="Z315" i="4"/>
  <c r="Z319" i="4"/>
  <c r="I307" i="4"/>
  <c r="J307" i="4" s="1"/>
  <c r="Z719" i="4"/>
  <c r="Z701" i="4"/>
  <c r="Z698" i="4"/>
  <c r="H706" i="4"/>
  <c r="I706" i="4" s="1"/>
  <c r="J706" i="4" s="1"/>
  <c r="Z513" i="4"/>
  <c r="H498" i="4"/>
  <c r="I479" i="4"/>
  <c r="J479" i="4" s="1"/>
  <c r="K504" i="4"/>
  <c r="K1249" i="4"/>
  <c r="Q45" i="4"/>
  <c r="H884" i="4"/>
  <c r="H887" i="4"/>
  <c r="H894" i="4"/>
  <c r="K894" i="4" s="1"/>
  <c r="Z911" i="4"/>
  <c r="Z1301" i="4"/>
  <c r="K632" i="4"/>
  <c r="Z642" i="4"/>
  <c r="Z963" i="4"/>
  <c r="H974" i="4"/>
  <c r="Z566" i="4"/>
  <c r="K604" i="4"/>
  <c r="Z580" i="4"/>
  <c r="H586" i="4"/>
  <c r="K862" i="4"/>
  <c r="H853" i="4"/>
  <c r="Z451" i="4"/>
  <c r="Z441" i="4"/>
  <c r="H457" i="4"/>
  <c r="K458" i="4"/>
  <c r="Z472" i="4"/>
  <c r="Z473" i="4" s="1"/>
  <c r="X473" i="4"/>
  <c r="Z532" i="4"/>
  <c r="K559" i="4"/>
  <c r="Z543" i="4"/>
  <c r="K551" i="4"/>
  <c r="H557" i="4"/>
  <c r="K557" i="4" s="1"/>
  <c r="H368" i="4"/>
  <c r="K355" i="4"/>
  <c r="Z364" i="4"/>
  <c r="Z943" i="4"/>
  <c r="Z929" i="4"/>
  <c r="I1006" i="4"/>
  <c r="J1006" i="4" s="1"/>
  <c r="Z1013" i="4"/>
  <c r="X1045" i="4"/>
  <c r="Z1044" i="4"/>
  <c r="Z1045" i="4" s="1"/>
  <c r="Z659" i="4"/>
  <c r="K690" i="4"/>
  <c r="H677" i="4"/>
  <c r="H669" i="4"/>
  <c r="K669" i="4" s="1"/>
  <c r="K817" i="4"/>
  <c r="I789" i="4"/>
  <c r="J789" i="4" s="1"/>
  <c r="Z809" i="4"/>
  <c r="I794" i="4"/>
  <c r="J794" i="4" s="1"/>
  <c r="Z819" i="4"/>
  <c r="I1182" i="4"/>
  <c r="J1182" i="4" s="1"/>
  <c r="K1192" i="4"/>
  <c r="K1215" i="4"/>
  <c r="K1219" i="4"/>
  <c r="H1209" i="4"/>
  <c r="K1209" i="4" s="1"/>
  <c r="Z1202" i="4"/>
  <c r="K1334" i="4"/>
  <c r="Z1323" i="4"/>
  <c r="I1315" i="4"/>
  <c r="J1315" i="4" s="1"/>
  <c r="Z1316" i="4"/>
  <c r="Z1320" i="4"/>
  <c r="Z1351" i="4"/>
  <c r="Z1327" i="4"/>
  <c r="Z1352" i="4"/>
  <c r="Z1353" i="4" s="1"/>
  <c r="X1353" i="4"/>
  <c r="AH311" i="6"/>
  <c r="AG311" i="6"/>
  <c r="AJ311" i="6"/>
  <c r="AI311" i="6"/>
  <c r="K1153" i="4"/>
  <c r="Z1166" i="4"/>
  <c r="Z1143" i="4"/>
  <c r="Z1168" i="4"/>
  <c r="K1151" i="4"/>
  <c r="K1176" i="4"/>
  <c r="AD435" i="6"/>
  <c r="AF434" i="6"/>
  <c r="AH492" i="6"/>
  <c r="AJ492" i="6"/>
  <c r="AI492" i="6"/>
  <c r="AG492" i="6"/>
  <c r="Z747" i="4"/>
  <c r="H768" i="4"/>
  <c r="K768" i="4" s="1"/>
  <c r="K758" i="4"/>
  <c r="H757" i="4"/>
  <c r="K757" i="4" s="1"/>
  <c r="K753" i="4"/>
  <c r="K780" i="4"/>
  <c r="H766" i="4"/>
  <c r="K766" i="4" s="1"/>
  <c r="Z413" i="4"/>
  <c r="H412" i="4"/>
  <c r="G341" i="4"/>
  <c r="I301" i="4"/>
  <c r="I303" i="4"/>
  <c r="J303" i="4" s="1"/>
  <c r="K328" i="4"/>
  <c r="Z312" i="4"/>
  <c r="X239" i="5"/>
  <c r="V240" i="5"/>
  <c r="AG671" i="6"/>
  <c r="AH671" i="6"/>
  <c r="AJ671" i="6"/>
  <c r="AI671" i="6"/>
  <c r="H719" i="4"/>
  <c r="Z715" i="4"/>
  <c r="I698" i="4"/>
  <c r="J698" i="4" s="1"/>
  <c r="K723" i="4"/>
  <c r="Z707" i="4"/>
  <c r="K1069" i="4"/>
  <c r="X517" i="4"/>
  <c r="Z516" i="4"/>
  <c r="Z517" i="4" s="1"/>
  <c r="Z1123" i="4"/>
  <c r="K291" i="4"/>
  <c r="H293" i="4"/>
  <c r="Z286" i="4"/>
  <c r="Z1243" i="4"/>
  <c r="H1239" i="4"/>
  <c r="K1239" i="4" s="1"/>
  <c r="H1242" i="4"/>
  <c r="K1242" i="4" s="1"/>
  <c r="H1243" i="4"/>
  <c r="K1243" i="4" s="1"/>
  <c r="K901" i="4"/>
  <c r="Z1281" i="4"/>
  <c r="K987" i="4"/>
  <c r="Z841" i="4"/>
  <c r="K336" i="4"/>
  <c r="Z321" i="4"/>
  <c r="Z318" i="4"/>
  <c r="Y238" i="5"/>
  <c r="Z238" i="5"/>
  <c r="AA238" i="5"/>
  <c r="AB238" i="5"/>
  <c r="K717" i="4"/>
  <c r="G1089" i="4"/>
  <c r="I1049" i="4"/>
  <c r="K1068" i="4"/>
  <c r="Z515" i="4"/>
  <c r="Z477" i="4"/>
  <c r="Z502" i="4"/>
  <c r="I482" i="4"/>
  <c r="J482" i="4" s="1"/>
  <c r="H492" i="4"/>
  <c r="K492" i="4" s="1"/>
  <c r="K511" i="4"/>
  <c r="H268" i="4"/>
  <c r="K268" i="4" s="1"/>
  <c r="H290" i="4"/>
  <c r="H1250" i="4"/>
  <c r="Z895" i="4"/>
  <c r="G913" i="4"/>
  <c r="I873" i="4"/>
  <c r="G1001" i="4"/>
  <c r="I961" i="4"/>
  <c r="K979" i="4"/>
  <c r="Z968" i="4"/>
  <c r="Z862" i="4"/>
  <c r="G473" i="4"/>
  <c r="I433" i="4"/>
  <c r="Z466" i="4"/>
  <c r="Z440" i="4"/>
  <c r="Z465" i="4"/>
  <c r="K460" i="4"/>
  <c r="AD523" i="6"/>
  <c r="AF522" i="6"/>
  <c r="H365" i="4"/>
  <c r="Z384" i="4"/>
  <c r="Z385" i="4" s="1"/>
  <c r="X385" i="4"/>
  <c r="Z923" i="4"/>
  <c r="X957" i="4"/>
  <c r="Z956" i="4"/>
  <c r="Z957" i="4" s="1"/>
  <c r="K1038" i="4"/>
  <c r="N138" i="4"/>
  <c r="Z138" i="4"/>
  <c r="H678" i="4"/>
  <c r="K678" i="4" s="1"/>
  <c r="K798" i="4"/>
  <c r="H1203" i="4"/>
  <c r="K1335" i="4"/>
  <c r="K1350" i="4"/>
  <c r="K1337" i="4"/>
  <c r="AF312" i="6"/>
  <c r="AD313" i="6"/>
  <c r="Z1142" i="4"/>
  <c r="Z1154" i="4"/>
  <c r="Z1140" i="4"/>
  <c r="Z1165" i="4"/>
  <c r="AJ433" i="6"/>
  <c r="AI433" i="6"/>
  <c r="AH433" i="6"/>
  <c r="AG433" i="6"/>
  <c r="AD494" i="6"/>
  <c r="AF493" i="6"/>
  <c r="Z769" i="4"/>
  <c r="K421" i="4"/>
  <c r="K413" i="4"/>
  <c r="K407" i="4"/>
  <c r="AG138" i="4"/>
  <c r="N183" i="4"/>
  <c r="Z1102" i="4"/>
  <c r="H1123" i="4"/>
  <c r="H1121" i="4"/>
  <c r="K1121" i="4" s="1"/>
  <c r="Z1100" i="4"/>
  <c r="H1107" i="4"/>
  <c r="K1107" i="4" s="1"/>
  <c r="I258" i="4"/>
  <c r="J258" i="4" s="1"/>
  <c r="K284" i="4"/>
  <c r="Z269" i="4"/>
  <c r="Z294" i="4"/>
  <c r="K1248" i="4"/>
  <c r="H1261" i="4"/>
  <c r="K1240" i="4"/>
  <c r="I1232" i="4"/>
  <c r="J1232" i="4" s="1"/>
  <c r="Z1247" i="4"/>
  <c r="I1229" i="4"/>
  <c r="J1229" i="4" s="1"/>
  <c r="K1254" i="4"/>
  <c r="K896" i="4"/>
  <c r="K906" i="4"/>
  <c r="K899" i="4"/>
  <c r="Z888" i="4"/>
  <c r="I876" i="4"/>
  <c r="J876" i="4" s="1"/>
  <c r="K1304" i="4"/>
  <c r="K1296" i="4"/>
  <c r="H1303" i="4"/>
  <c r="K1303" i="4" s="1"/>
  <c r="Z1276" i="4"/>
  <c r="I1274" i="4"/>
  <c r="J1274" i="4" s="1"/>
  <c r="Z635" i="4"/>
  <c r="Z611" i="4"/>
  <c r="K619" i="4"/>
  <c r="Z990" i="4"/>
  <c r="I967" i="4"/>
  <c r="J967" i="4" s="1"/>
  <c r="I966" i="4"/>
  <c r="J966" i="4" s="1"/>
  <c r="H999" i="4"/>
  <c r="Z984" i="4"/>
  <c r="Z998" i="4"/>
  <c r="K975" i="4"/>
  <c r="Z997" i="4"/>
  <c r="Z597" i="4"/>
  <c r="Z595" i="4"/>
  <c r="H582" i="4"/>
  <c r="K582" i="4" s="1"/>
  <c r="I837" i="4"/>
  <c r="J837" i="4" s="1"/>
  <c r="H864" i="4"/>
  <c r="H841" i="4"/>
  <c r="H859" i="4"/>
  <c r="K859" i="4" s="1"/>
  <c r="Z829" i="4"/>
  <c r="Z844" i="4"/>
  <c r="K860" i="4"/>
  <c r="H464" i="4"/>
  <c r="K464" i="4" s="1"/>
  <c r="Z448" i="4"/>
  <c r="H466" i="4"/>
  <c r="K466" i="4" s="1"/>
  <c r="H445" i="4"/>
  <c r="K445" i="4" s="1"/>
  <c r="H470" i="4"/>
  <c r="K470" i="4" s="1"/>
  <c r="I439" i="4"/>
  <c r="J439" i="4" s="1"/>
  <c r="AG521" i="6"/>
  <c r="AJ521" i="6"/>
  <c r="AI521" i="6"/>
  <c r="AH521" i="6"/>
  <c r="H530" i="4"/>
  <c r="H552" i="4"/>
  <c r="K552" i="4" s="1"/>
  <c r="K539" i="4"/>
  <c r="Z523" i="4"/>
  <c r="Z548" i="4"/>
  <c r="Z555" i="4"/>
  <c r="H384" i="4"/>
  <c r="K384" i="4" s="1"/>
  <c r="Z346" i="4"/>
  <c r="Z371" i="4"/>
  <c r="I349" i="4"/>
  <c r="J349" i="4" s="1"/>
  <c r="H374" i="4"/>
  <c r="K374" i="4" s="1"/>
  <c r="Z363" i="4"/>
  <c r="H932" i="4"/>
  <c r="I926" i="4"/>
  <c r="J926" i="4" s="1"/>
  <c r="K947" i="4"/>
  <c r="H939" i="4"/>
  <c r="K939" i="4" s="1"/>
  <c r="K956" i="4"/>
  <c r="K940" i="4"/>
  <c r="Z927" i="4"/>
  <c r="H953" i="4"/>
  <c r="K1028" i="4"/>
  <c r="Z1035" i="4"/>
  <c r="I1011" i="4"/>
  <c r="J1011" i="4" s="1"/>
  <c r="H1022" i="4"/>
  <c r="Z1015" i="4"/>
  <c r="Z1021" i="4"/>
  <c r="K1020" i="4"/>
  <c r="Z1018" i="4"/>
  <c r="H1044" i="4"/>
  <c r="K1044" i="4" s="1"/>
  <c r="AA33" i="3"/>
  <c r="Z657" i="4"/>
  <c r="H685" i="4"/>
  <c r="K685" i="4" s="1"/>
  <c r="H682" i="4"/>
  <c r="K682" i="4" s="1"/>
  <c r="H671" i="4"/>
  <c r="H805" i="4"/>
  <c r="K805" i="4" s="1"/>
  <c r="K821" i="4"/>
  <c r="H809" i="4"/>
  <c r="Z787" i="4"/>
  <c r="K815" i="4"/>
  <c r="AJ462" i="6"/>
  <c r="AH462" i="6"/>
  <c r="AG462" i="6"/>
  <c r="AI462" i="6"/>
  <c r="I1184" i="4"/>
  <c r="J1184" i="4" s="1"/>
  <c r="Z1182" i="4"/>
  <c r="Z1207" i="4"/>
  <c r="K1345" i="4"/>
  <c r="Z1315" i="4"/>
  <c r="H1324" i="4"/>
  <c r="K1324" i="4" s="1"/>
  <c r="K1338" i="4"/>
  <c r="K1344" i="4"/>
  <c r="Z1332" i="4"/>
  <c r="AF193" i="6"/>
  <c r="AD194" i="6"/>
  <c r="H1168" i="4"/>
  <c r="K1168" i="4" s="1"/>
  <c r="Z1164" i="4"/>
  <c r="K1158" i="4"/>
  <c r="K1152" i="4"/>
  <c r="I1139" i="4"/>
  <c r="J1139" i="4" s="1"/>
  <c r="K1164" i="4"/>
  <c r="Z1148" i="4"/>
  <c r="Z1173" i="4"/>
  <c r="H1166" i="4"/>
  <c r="AJ582" i="6"/>
  <c r="AI582" i="6"/>
  <c r="AH582" i="6"/>
  <c r="AG582" i="6"/>
  <c r="AB298" i="5"/>
  <c r="AA298" i="5"/>
  <c r="Y298" i="5"/>
  <c r="Z298" i="5"/>
  <c r="H750" i="4"/>
  <c r="I750" i="4" s="1"/>
  <c r="J750" i="4" s="1"/>
  <c r="K764" i="4"/>
  <c r="H767" i="4"/>
  <c r="K767" i="4" s="1"/>
  <c r="Z763" i="4"/>
  <c r="H771" i="4"/>
  <c r="K771" i="4" s="1"/>
  <c r="Z390" i="4"/>
  <c r="H420" i="4"/>
  <c r="K420" i="4" s="1"/>
  <c r="K406" i="4"/>
  <c r="Z404" i="4"/>
  <c r="Z410" i="4"/>
  <c r="K425" i="4"/>
  <c r="Z317" i="4"/>
  <c r="H319" i="4"/>
  <c r="K319" i="4" s="1"/>
  <c r="AI372" i="6"/>
  <c r="AJ372" i="6"/>
  <c r="AH372" i="6"/>
  <c r="AG372" i="6"/>
  <c r="K707" i="4"/>
  <c r="I702" i="4"/>
  <c r="J702" i="4" s="1"/>
  <c r="H724" i="4"/>
  <c r="K724" i="4" s="1"/>
  <c r="Z712" i="4"/>
  <c r="I1051" i="4"/>
  <c r="J1051" i="4" s="1"/>
  <c r="H1084" i="4"/>
  <c r="K1084" i="4" s="1"/>
  <c r="H1063" i="4"/>
  <c r="K1063" i="4" s="1"/>
  <c r="H1087" i="4"/>
  <c r="K1087" i="4" s="1"/>
  <c r="H489" i="4"/>
  <c r="K489" i="4" s="1"/>
  <c r="H503" i="4"/>
  <c r="K503" i="4" s="1"/>
  <c r="AD73" i="6"/>
  <c r="AF72" i="6"/>
  <c r="AH131" i="6"/>
  <c r="AJ131" i="6"/>
  <c r="AI131" i="6"/>
  <c r="AG131" i="6"/>
  <c r="X1001" i="4"/>
  <c r="Z1000" i="4"/>
  <c r="Z1001" i="4" s="1"/>
  <c r="K587" i="4"/>
  <c r="K858" i="4"/>
  <c r="K465" i="4"/>
  <c r="K457" i="4"/>
  <c r="K953" i="4"/>
  <c r="AF463" i="6"/>
  <c r="AD464" i="6"/>
  <c r="AG192" i="6"/>
  <c r="AI192" i="6"/>
  <c r="AJ192" i="6"/>
  <c r="AH192" i="6"/>
  <c r="Z1088" i="4"/>
  <c r="Z1089" i="4" s="1"/>
  <c r="X1089" i="4"/>
  <c r="K1065" i="4"/>
  <c r="Z1049" i="4"/>
  <c r="Z1074" i="4"/>
  <c r="Z1066" i="4"/>
  <c r="H491" i="4"/>
  <c r="K491" i="4" s="1"/>
  <c r="K498" i="4"/>
  <c r="Z479" i="4"/>
  <c r="Z504" i="4"/>
  <c r="H497" i="4"/>
  <c r="I484" i="4"/>
  <c r="J484" i="4" s="1"/>
  <c r="K509" i="4"/>
  <c r="AH71" i="6"/>
  <c r="AG71" i="6"/>
  <c r="AJ71" i="6"/>
  <c r="AI71" i="6"/>
  <c r="H1128" i="4"/>
  <c r="K1128" i="4" s="1"/>
  <c r="Z1259" i="4"/>
  <c r="Z1227" i="4"/>
  <c r="Z876" i="4"/>
  <c r="Z1302" i="4"/>
  <c r="Z1275" i="4"/>
  <c r="Z461" i="4"/>
  <c r="K461" i="4"/>
  <c r="Z560" i="4"/>
  <c r="Z561" i="4" s="1"/>
  <c r="X561" i="4"/>
  <c r="Z553" i="4"/>
  <c r="K365" i="4"/>
  <c r="H376" i="4"/>
  <c r="K936" i="4"/>
  <c r="K954" i="4"/>
  <c r="K1016" i="4"/>
  <c r="Z1006" i="4"/>
  <c r="G1045" i="4"/>
  <c r="I1005" i="4"/>
  <c r="K1024" i="4"/>
  <c r="AD705" i="6"/>
  <c r="AF704" i="6"/>
  <c r="H662" i="4"/>
  <c r="I662" i="4" s="1"/>
  <c r="J662" i="4" s="1"/>
  <c r="H807" i="4"/>
  <c r="K807" i="4" s="1"/>
  <c r="H822" i="4"/>
  <c r="K822" i="4" s="1"/>
  <c r="I1185" i="4"/>
  <c r="J1185" i="4" s="1"/>
  <c r="Z1184" i="4"/>
  <c r="Z1340" i="4"/>
  <c r="K1329" i="4"/>
  <c r="K1330" i="4"/>
  <c r="Z1174" i="4"/>
  <c r="K1157" i="4"/>
  <c r="I1144" i="4"/>
  <c r="J1144" i="4" s="1"/>
  <c r="K1169" i="4"/>
  <c r="Z1153" i="4"/>
  <c r="H1171" i="4"/>
  <c r="K1171" i="4" s="1"/>
  <c r="AF254" i="6"/>
  <c r="AD255" i="6"/>
  <c r="H773" i="4"/>
  <c r="K773" i="4" s="1"/>
  <c r="G781" i="4"/>
  <c r="I741" i="4"/>
  <c r="H770" i="4"/>
  <c r="H772" i="4"/>
  <c r="K772" i="4" s="1"/>
  <c r="Z407" i="4"/>
  <c r="H414" i="4"/>
  <c r="K414" i="4" s="1"/>
  <c r="AH732" i="6"/>
  <c r="AG732" i="6"/>
  <c r="AJ732" i="6"/>
  <c r="AI732" i="6"/>
  <c r="Z310" i="4"/>
  <c r="K313" i="4"/>
  <c r="K338" i="4"/>
  <c r="Z322" i="4"/>
  <c r="K325" i="4"/>
  <c r="H310" i="4"/>
  <c r="I310" i="4" s="1"/>
  <c r="J310" i="4" s="1"/>
  <c r="H327" i="4"/>
  <c r="K327" i="4" s="1"/>
  <c r="K314" i="4"/>
  <c r="K339" i="4"/>
  <c r="H324" i="4"/>
  <c r="R140" i="4"/>
  <c r="AB179" i="5"/>
  <c r="AA179" i="5"/>
  <c r="Z179" i="5"/>
  <c r="Y179" i="5"/>
  <c r="Z704" i="4"/>
  <c r="Z711" i="4"/>
  <c r="Z736" i="4"/>
  <c r="Z737" i="4" s="1"/>
  <c r="X737" i="4"/>
  <c r="H729" i="4"/>
  <c r="Z700" i="4"/>
  <c r="Z725" i="4"/>
  <c r="K708" i="4"/>
  <c r="K733" i="4"/>
  <c r="Z717" i="4"/>
  <c r="Z1053" i="4"/>
  <c r="Z1057" i="4"/>
  <c r="Z1075" i="4"/>
  <c r="Z1068" i="4"/>
  <c r="H1075" i="4"/>
  <c r="K1082" i="4"/>
  <c r="H1067" i="4"/>
  <c r="H514" i="4"/>
  <c r="K514" i="4" s="1"/>
  <c r="K495" i="4"/>
  <c r="H505" i="4"/>
  <c r="Z501" i="4"/>
  <c r="AI31" i="3"/>
  <c r="Z814" i="4"/>
  <c r="H814" i="4"/>
  <c r="V300" i="5"/>
  <c r="X299" i="5"/>
  <c r="Z756" i="4"/>
  <c r="Z406" i="4"/>
  <c r="K418" i="4"/>
  <c r="K412" i="4"/>
  <c r="Z340" i="4"/>
  <c r="Z341" i="4" s="1"/>
  <c r="X341" i="4"/>
  <c r="AD374" i="6"/>
  <c r="AF373" i="6"/>
  <c r="AJ611" i="6"/>
  <c r="AI611" i="6"/>
  <c r="AG611" i="6"/>
  <c r="AH611" i="6"/>
  <c r="H1126" i="4"/>
  <c r="K1126" i="4" s="1"/>
  <c r="Z1117" i="4"/>
  <c r="K1120" i="4"/>
  <c r="K1127" i="4"/>
  <c r="I259" i="4"/>
  <c r="J259" i="4" s="1"/>
  <c r="Z295" i="4"/>
  <c r="G297" i="4"/>
  <c r="I257" i="4"/>
  <c r="H267" i="4"/>
  <c r="K267" i="4" s="1"/>
  <c r="I1226" i="4"/>
  <c r="J1226" i="4" s="1"/>
  <c r="Z1263" i="4"/>
  <c r="Z1251" i="4"/>
  <c r="I1234" i="4"/>
  <c r="J1234" i="4" s="1"/>
  <c r="I874" i="4"/>
  <c r="J874" i="4" s="1"/>
  <c r="H1299" i="4"/>
  <c r="K1299" i="4" s="1"/>
  <c r="Z1300" i="4"/>
  <c r="AF132" i="6"/>
  <c r="AD133" i="6"/>
  <c r="I964" i="4"/>
  <c r="J964" i="4" s="1"/>
  <c r="H574" i="4"/>
  <c r="H599" i="4"/>
  <c r="K599" i="4" s="1"/>
  <c r="K846" i="4"/>
  <c r="Z556" i="4"/>
  <c r="K547" i="4"/>
  <c r="K544" i="4"/>
  <c r="K536" i="4"/>
  <c r="Z949" i="4"/>
  <c r="Z1030" i="4"/>
  <c r="K1023" i="4"/>
  <c r="Z687" i="4"/>
  <c r="K677" i="4"/>
  <c r="H687" i="4"/>
  <c r="K687" i="4" s="1"/>
  <c r="AF612" i="6"/>
  <c r="AD613" i="6"/>
  <c r="AD164" i="6"/>
  <c r="AF163" i="6"/>
  <c r="I1096" i="4"/>
  <c r="J1096" i="4" s="1"/>
  <c r="Z1127" i="4"/>
  <c r="Z1099" i="4"/>
  <c r="Z1130" i="4"/>
  <c r="Z1116" i="4"/>
  <c r="I1099" i="4"/>
  <c r="J1099" i="4" s="1"/>
  <c r="K1124" i="4"/>
  <c r="Z1108" i="4"/>
  <c r="H276" i="4"/>
  <c r="K276" i="4" s="1"/>
  <c r="Z270" i="4"/>
  <c r="H289" i="4"/>
  <c r="K289" i="4" s="1"/>
  <c r="Z278" i="4"/>
  <c r="H278" i="4"/>
  <c r="K278" i="4" s="1"/>
  <c r="I265" i="4"/>
  <c r="J265" i="4" s="1"/>
  <c r="K290" i="4"/>
  <c r="Z271" i="4"/>
  <c r="X297" i="4"/>
  <c r="Z296" i="4"/>
  <c r="Z297" i="4" s="1"/>
  <c r="K1260" i="4"/>
  <c r="H1251" i="4"/>
  <c r="K1251" i="4" s="1"/>
  <c r="K1241" i="4"/>
  <c r="H1255" i="4"/>
  <c r="K1255" i="4" s="1"/>
  <c r="H1244" i="4"/>
  <c r="K1244" i="4" s="1"/>
  <c r="I1233" i="4"/>
  <c r="J1233" i="4" s="1"/>
  <c r="K893" i="4"/>
  <c r="H897" i="4"/>
  <c r="K897" i="4" s="1"/>
  <c r="Z902" i="4"/>
  <c r="Z899" i="4"/>
  <c r="I882" i="4"/>
  <c r="J882" i="4" s="1"/>
  <c r="K1306" i="4"/>
  <c r="K1307" i="4"/>
  <c r="Z1288" i="4"/>
  <c r="Z1294" i="4"/>
  <c r="K1286" i="4"/>
  <c r="H1301" i="4"/>
  <c r="K1301" i="4" s="1"/>
  <c r="K1290" i="4"/>
  <c r="X149" i="5"/>
  <c r="V150" i="5"/>
  <c r="Z629" i="4"/>
  <c r="K647" i="4"/>
  <c r="H635" i="4"/>
  <c r="K635" i="4" s="1"/>
  <c r="Z646" i="4"/>
  <c r="K643" i="4"/>
  <c r="Z640" i="4"/>
  <c r="Z613" i="4"/>
  <c r="Z638" i="4"/>
  <c r="K999" i="4"/>
  <c r="Z993" i="4"/>
  <c r="Z969" i="4"/>
  <c r="Z970" i="4"/>
  <c r="Z988" i="4"/>
  <c r="Z572" i="4"/>
  <c r="H601" i="4"/>
  <c r="K601" i="4" s="1"/>
  <c r="K590" i="4"/>
  <c r="H577" i="4"/>
  <c r="K577" i="4" s="1"/>
  <c r="Z567" i="4"/>
  <c r="Z589" i="4"/>
  <c r="Z565" i="4"/>
  <c r="H595" i="4"/>
  <c r="K595" i="4" s="1"/>
  <c r="I567" i="4"/>
  <c r="J567" i="4" s="1"/>
  <c r="Z591" i="4"/>
  <c r="Z847" i="4"/>
  <c r="Z850" i="4"/>
  <c r="K849" i="4"/>
  <c r="Z833" i="4"/>
  <c r="K864" i="4"/>
  <c r="Z857" i="4"/>
  <c r="H850" i="4"/>
  <c r="Z837" i="4"/>
  <c r="K868" i="4"/>
  <c r="Z852" i="4"/>
  <c r="H839" i="4"/>
  <c r="H854" i="4"/>
  <c r="K854" i="4" s="1"/>
  <c r="H459" i="4"/>
  <c r="K459" i="4" s="1"/>
  <c r="I438" i="4"/>
  <c r="J438" i="4" s="1"/>
  <c r="H452" i="4"/>
  <c r="K452" i="4" s="1"/>
  <c r="Z453" i="4"/>
  <c r="Z450" i="4"/>
  <c r="Z454" i="4"/>
  <c r="I437" i="4"/>
  <c r="J437" i="4" s="1"/>
  <c r="K462" i="4"/>
  <c r="H543" i="4"/>
  <c r="K543" i="4" s="1"/>
  <c r="Z539" i="4"/>
  <c r="Z536" i="4"/>
  <c r="H554" i="4"/>
  <c r="H531" i="4"/>
  <c r="K531" i="4" s="1"/>
  <c r="Z352" i="4"/>
  <c r="K363" i="4"/>
  <c r="K373" i="4"/>
  <c r="Z377" i="4"/>
  <c r="K367" i="4"/>
  <c r="H369" i="4"/>
  <c r="K369" i="4" s="1"/>
  <c r="Z345" i="4"/>
  <c r="Z370" i="4"/>
  <c r="Z951" i="4"/>
  <c r="H952" i="4"/>
  <c r="K952" i="4" s="1"/>
  <c r="I920" i="4"/>
  <c r="J920" i="4" s="1"/>
  <c r="K944" i="4"/>
  <c r="Z948" i="4"/>
  <c r="Z919" i="4"/>
  <c r="K948" i="4"/>
  <c r="Z933" i="4"/>
  <c r="H933" i="4"/>
  <c r="K933" i="4" s="1"/>
  <c r="H950" i="4"/>
  <c r="K950" i="4" s="1"/>
  <c r="K1019" i="4"/>
  <c r="H1029" i="4"/>
  <c r="K1029" i="4" s="1"/>
  <c r="Z1017" i="4"/>
  <c r="H1025" i="4"/>
  <c r="H1026" i="4"/>
  <c r="K1026" i="4" s="1"/>
  <c r="Z1033" i="4"/>
  <c r="K1025" i="4"/>
  <c r="Z31" i="3"/>
  <c r="AG703" i="6"/>
  <c r="AI703" i="6"/>
  <c r="AH703" i="6"/>
  <c r="AJ703" i="6"/>
  <c r="K665" i="4"/>
  <c r="K663" i="4"/>
  <c r="Z666" i="4"/>
  <c r="Z691" i="4"/>
  <c r="K674" i="4"/>
  <c r="Z658" i="4"/>
  <c r="Z683" i="4"/>
  <c r="Z655" i="4"/>
  <c r="Z680" i="4"/>
  <c r="Z786" i="4"/>
  <c r="I786" i="4"/>
  <c r="J786" i="4" s="1"/>
  <c r="I792" i="4"/>
  <c r="J792" i="4" s="1"/>
  <c r="H795" i="4"/>
  <c r="K795" i="4" s="1"/>
  <c r="Z820" i="4"/>
  <c r="H810" i="4"/>
  <c r="K810" i="4" s="1"/>
  <c r="H820" i="4"/>
  <c r="K820" i="4" s="1"/>
  <c r="H797" i="4"/>
  <c r="K797" i="4" s="1"/>
  <c r="I1187" i="4"/>
  <c r="J1187" i="4" s="1"/>
  <c r="H1190" i="4"/>
  <c r="I1190" i="4" s="1"/>
  <c r="J1190" i="4" s="1"/>
  <c r="H1197" i="4"/>
  <c r="Z1206" i="4"/>
  <c r="K1216" i="4"/>
  <c r="Z1198" i="4"/>
  <c r="G1221" i="4"/>
  <c r="I1181" i="4"/>
  <c r="K1206" i="4"/>
  <c r="H1191" i="4"/>
  <c r="K1191" i="4" s="1"/>
  <c r="K1203" i="4"/>
  <c r="H1213" i="4"/>
  <c r="K1213" i="4" s="1"/>
  <c r="AJ550" i="6"/>
  <c r="AI550" i="6"/>
  <c r="AG550" i="6"/>
  <c r="AH550" i="6"/>
  <c r="H1327" i="4"/>
  <c r="H1331" i="4"/>
  <c r="K1331" i="4" s="1"/>
  <c r="Z1333" i="4"/>
  <c r="I1322" i="4"/>
  <c r="J1322" i="4" s="1"/>
  <c r="K1347" i="4"/>
  <c r="H1172" i="4"/>
  <c r="K1172" i="4" s="1"/>
  <c r="H1147" i="4"/>
  <c r="K1147" i="4" s="1"/>
  <c r="Z1157" i="4"/>
  <c r="Z1161" i="4"/>
  <c r="H1154" i="4"/>
  <c r="K1154" i="4" s="1"/>
  <c r="Z1150" i="4"/>
  <c r="Z1175" i="4"/>
  <c r="AH253" i="6"/>
  <c r="AG253" i="6"/>
  <c r="AI253" i="6"/>
  <c r="AJ253" i="6"/>
  <c r="Z741" i="4"/>
  <c r="Z779" i="4"/>
  <c r="H760" i="4"/>
  <c r="K760" i="4" s="1"/>
  <c r="K762" i="4"/>
  <c r="I748" i="4"/>
  <c r="J748" i="4" s="1"/>
  <c r="H774" i="4"/>
  <c r="K774" i="4" s="1"/>
  <c r="H769" i="4"/>
  <c r="K769" i="4" s="1"/>
  <c r="Z755" i="4"/>
  <c r="X781" i="4"/>
  <c r="Z780" i="4"/>
  <c r="Z781" i="4" s="1"/>
  <c r="H410" i="4"/>
  <c r="K410" i="4" s="1"/>
  <c r="H399" i="4"/>
  <c r="I391" i="4"/>
  <c r="J391" i="4" s="1"/>
  <c r="K415" i="4"/>
  <c r="I398" i="4"/>
  <c r="J398" i="4" s="1"/>
  <c r="I392" i="4"/>
  <c r="J392" i="4" s="1"/>
  <c r="K417" i="4"/>
  <c r="AD734" i="6"/>
  <c r="AF733" i="6"/>
  <c r="Z320" i="4"/>
  <c r="I306" i="4"/>
  <c r="J306" i="4" s="1"/>
  <c r="H323" i="4"/>
  <c r="Z314" i="4"/>
  <c r="Z339" i="4"/>
  <c r="K322" i="4"/>
  <c r="Z306" i="4"/>
  <c r="Z331" i="4"/>
  <c r="Z303" i="4"/>
  <c r="Z328" i="4"/>
  <c r="U140" i="4"/>
  <c r="K735" i="4"/>
  <c r="K727" i="4"/>
  <c r="H712" i="4"/>
  <c r="I699" i="4"/>
  <c r="J699" i="4" s="1"/>
  <c r="Z708" i="4"/>
  <c r="Z733" i="4"/>
  <c r="K716" i="4"/>
  <c r="H726" i="4"/>
  <c r="K726" i="4" s="1"/>
  <c r="H718" i="4"/>
  <c r="K718" i="4" s="1"/>
  <c r="Z1062" i="4"/>
  <c r="Z1065" i="4"/>
  <c r="I1058" i="4"/>
  <c r="J1058" i="4" s="1"/>
  <c r="K1066" i="4"/>
  <c r="Z1080" i="4"/>
  <c r="K1070" i="4"/>
  <c r="Z1054" i="4"/>
  <c r="Z1079" i="4"/>
  <c r="Z1071" i="4"/>
  <c r="H499" i="4"/>
  <c r="K499" i="4" s="1"/>
  <c r="Z488" i="4"/>
  <c r="I478" i="4"/>
  <c r="J478" i="4" s="1"/>
  <c r="Z487" i="4"/>
  <c r="Z512" i="4"/>
  <c r="Z484" i="4"/>
  <c r="Z509" i="4"/>
  <c r="H502" i="4"/>
  <c r="K502" i="4" s="1"/>
  <c r="K496" i="4"/>
  <c r="AJ762" i="6"/>
  <c r="AI762" i="6"/>
  <c r="AH762" i="6"/>
  <c r="AG762" i="6"/>
  <c r="N43" i="4"/>
  <c r="Z43" i="4"/>
  <c r="Z1125" i="4"/>
  <c r="K1119" i="4"/>
  <c r="Z291" i="4"/>
  <c r="K1285" i="4"/>
  <c r="H631" i="4"/>
  <c r="K631" i="4" s="1"/>
  <c r="H598" i="4"/>
  <c r="Z868" i="4"/>
  <c r="Z869" i="4" s="1"/>
  <c r="X869" i="4"/>
  <c r="G693" i="4"/>
  <c r="I653" i="4"/>
  <c r="G825" i="4"/>
  <c r="I785" i="4"/>
  <c r="K1339" i="4"/>
  <c r="AD584" i="6"/>
  <c r="AF583" i="6"/>
  <c r="Z428" i="4"/>
  <c r="Z429" i="4" s="1"/>
  <c r="X429" i="4"/>
  <c r="V181" i="5"/>
  <c r="X180" i="5"/>
  <c r="K719" i="4"/>
  <c r="AH162" i="6"/>
  <c r="AJ162" i="6"/>
  <c r="AI162" i="6"/>
  <c r="AG162" i="6"/>
  <c r="H1131" i="4"/>
  <c r="K1131" i="4" s="1"/>
  <c r="I1098" i="4"/>
  <c r="J1098" i="4" s="1"/>
  <c r="I1095" i="4"/>
  <c r="J1095" i="4" s="1"/>
  <c r="I1102" i="4"/>
  <c r="J1102" i="4" s="1"/>
  <c r="H1112" i="4"/>
  <c r="I264" i="4"/>
  <c r="J264" i="4" s="1"/>
  <c r="Z263" i="4"/>
  <c r="K288" i="4"/>
  <c r="Z277" i="4"/>
  <c r="Z274" i="4"/>
  <c r="K282" i="4"/>
  <c r="H292" i="4"/>
  <c r="Z1231" i="4"/>
  <c r="I1230" i="4"/>
  <c r="J1230" i="4" s="1"/>
  <c r="Z1252" i="4"/>
  <c r="K1259" i="4"/>
  <c r="I879" i="4"/>
  <c r="J879" i="4" s="1"/>
  <c r="H895" i="4"/>
  <c r="K895" i="4" s="1"/>
  <c r="Z1277" i="4"/>
  <c r="I1272" i="4"/>
  <c r="J1272" i="4" s="1"/>
  <c r="Z1293" i="4"/>
  <c r="K620" i="4"/>
  <c r="Z632" i="4"/>
  <c r="Z610" i="4"/>
  <c r="K624" i="4"/>
  <c r="H634" i="4"/>
  <c r="K634" i="4" s="1"/>
  <c r="H985" i="4"/>
  <c r="K985" i="4" s="1"/>
  <c r="H976" i="4"/>
  <c r="K976" i="4" s="1"/>
  <c r="H1000" i="4"/>
  <c r="K1000" i="4" s="1"/>
  <c r="H581" i="4"/>
  <c r="K581" i="4" s="1"/>
  <c r="Z830" i="4"/>
  <c r="K861" i="4"/>
  <c r="Z458" i="4"/>
  <c r="K469" i="4"/>
  <c r="Z528" i="4"/>
  <c r="Z351" i="4"/>
  <c r="H380" i="4"/>
  <c r="K380" i="4" s="1"/>
  <c r="K942" i="4"/>
  <c r="H945" i="4"/>
  <c r="K945" i="4" s="1"/>
  <c r="Z930" i="4"/>
  <c r="S139" i="4"/>
  <c r="W139" i="4" s="1"/>
  <c r="T139" i="4"/>
  <c r="X139" i="4" s="1"/>
  <c r="X1133" i="4"/>
  <c r="Z1132" i="4"/>
  <c r="Z1133" i="4" s="1"/>
  <c r="K1108" i="4"/>
  <c r="H1103" i="4"/>
  <c r="K1103" i="4" s="1"/>
  <c r="K1125" i="4"/>
  <c r="K1132" i="4"/>
  <c r="H1117" i="4"/>
  <c r="K1117" i="4" s="1"/>
  <c r="H1109" i="4"/>
  <c r="K1109" i="4" s="1"/>
  <c r="Z288" i="4"/>
  <c r="H266" i="4"/>
  <c r="I266" i="4" s="1"/>
  <c r="J266" i="4" s="1"/>
  <c r="K293" i="4"/>
  <c r="Z283" i="4"/>
  <c r="Z257" i="4"/>
  <c r="Z282" i="4"/>
  <c r="Z279" i="4"/>
  <c r="I262" i="4"/>
  <c r="J262" i="4" s="1"/>
  <c r="K287" i="4"/>
  <c r="H272" i="4"/>
  <c r="K272" i="4" s="1"/>
  <c r="H1236" i="4"/>
  <c r="K1236" i="4" s="1"/>
  <c r="Z1234" i="4"/>
  <c r="K1263" i="4"/>
  <c r="Z1238" i="4"/>
  <c r="Z1226" i="4"/>
  <c r="K1256" i="4"/>
  <c r="Z1232" i="4"/>
  <c r="Z1257" i="4"/>
  <c r="K1264" i="4"/>
  <c r="Z903" i="4"/>
  <c r="Z885" i="4"/>
  <c r="H904" i="4"/>
  <c r="K904" i="4" s="1"/>
  <c r="H898" i="4"/>
  <c r="K898" i="4" s="1"/>
  <c r="K883" i="4"/>
  <c r="H903" i="4"/>
  <c r="K903" i="4" s="1"/>
  <c r="H900" i="4"/>
  <c r="K900" i="4" s="1"/>
  <c r="K1289" i="4"/>
  <c r="H1287" i="4"/>
  <c r="K1287" i="4" s="1"/>
  <c r="I1273" i="4"/>
  <c r="J1273" i="4" s="1"/>
  <c r="K1288" i="4"/>
  <c r="I1278" i="4"/>
  <c r="J1278" i="4" s="1"/>
  <c r="Z1308" i="4"/>
  <c r="Z1309" i="4" s="1"/>
  <c r="X1309" i="4"/>
  <c r="Z1289" i="4"/>
  <c r="H1297" i="4"/>
  <c r="K1297" i="4" s="1"/>
  <c r="Z1280" i="4"/>
  <c r="Z1305" i="4"/>
  <c r="Y148" i="5"/>
  <c r="AA148" i="5"/>
  <c r="Z148" i="5"/>
  <c r="AB148" i="5"/>
  <c r="Z630" i="4"/>
  <c r="K648" i="4"/>
  <c r="H636" i="4"/>
  <c r="K636" i="4" s="1"/>
  <c r="Z647" i="4"/>
  <c r="Z624" i="4"/>
  <c r="I617" i="4"/>
  <c r="J617" i="4" s="1"/>
  <c r="Z614" i="4"/>
  <c r="H642" i="4"/>
  <c r="K642" i="4" s="1"/>
  <c r="K629" i="4"/>
  <c r="H639" i="4"/>
  <c r="K639" i="4" s="1"/>
  <c r="R93" i="4"/>
  <c r="V93" i="4" s="1"/>
  <c r="Z983" i="4"/>
  <c r="Z973" i="4"/>
  <c r="K980" i="4"/>
  <c r="Z978" i="4"/>
  <c r="H973" i="4"/>
  <c r="K973" i="4" s="1"/>
  <c r="Z962" i="4"/>
  <c r="H994" i="4"/>
  <c r="K994" i="4" s="1"/>
  <c r="Z966" i="4"/>
  <c r="Z991" i="4"/>
  <c r="Z575" i="4"/>
  <c r="G605" i="4"/>
  <c r="I565" i="4"/>
  <c r="K591" i="4"/>
  <c r="K580" i="4"/>
  <c r="Z570" i="4"/>
  <c r="Z590" i="4"/>
  <c r="Z568" i="4"/>
  <c r="H596" i="4"/>
  <c r="K596" i="4" s="1"/>
  <c r="K586" i="4"/>
  <c r="H592" i="4"/>
  <c r="K592" i="4" s="1"/>
  <c r="I831" i="4"/>
  <c r="J831" i="4" s="1"/>
  <c r="I834" i="4"/>
  <c r="J834" i="4" s="1"/>
  <c r="Z836" i="4"/>
  <c r="Z845" i="4"/>
  <c r="Z860" i="4"/>
  <c r="K853" i="4"/>
  <c r="Z840" i="4"/>
  <c r="Z855" i="4"/>
  <c r="K845" i="4"/>
  <c r="H449" i="4"/>
  <c r="K449" i="4" s="1"/>
  <c r="Z456" i="4"/>
  <c r="I436" i="4"/>
  <c r="J436" i="4" s="1"/>
  <c r="H451" i="4"/>
  <c r="K451" i="4" s="1"/>
  <c r="K448" i="4"/>
  <c r="Z437" i="4"/>
  <c r="Z462" i="4"/>
  <c r="H455" i="4"/>
  <c r="K455" i="4" s="1"/>
  <c r="Z522" i="4"/>
  <c r="I530" i="4"/>
  <c r="J530" i="4" s="1"/>
  <c r="K555" i="4"/>
  <c r="I527" i="4"/>
  <c r="J527" i="4" s="1"/>
  <c r="H537" i="4"/>
  <c r="K537" i="4" s="1"/>
  <c r="I524" i="4"/>
  <c r="J524" i="4" s="1"/>
  <c r="K549" i="4"/>
  <c r="Z533" i="4"/>
  <c r="H556" i="4"/>
  <c r="K556" i="4" s="1"/>
  <c r="Z535" i="4"/>
  <c r="Z362" i="4"/>
  <c r="G385" i="4"/>
  <c r="I345" i="4"/>
  <c r="K370" i="4"/>
  <c r="Z354" i="4"/>
  <c r="H382" i="4"/>
  <c r="K382" i="4" s="1"/>
  <c r="K377" i="4"/>
  <c r="K359" i="4"/>
  <c r="Z348" i="4"/>
  <c r="Z373" i="4"/>
  <c r="K361" i="4"/>
  <c r="H371" i="4"/>
  <c r="K371" i="4" s="1"/>
  <c r="I918" i="4"/>
  <c r="J918" i="4" s="1"/>
  <c r="Z935" i="4"/>
  <c r="K928" i="4"/>
  <c r="Z936" i="4"/>
  <c r="Z937" i="4"/>
  <c r="Z954" i="4"/>
  <c r="I1014" i="4"/>
  <c r="J1014" i="4" s="1"/>
  <c r="K1022" i="4"/>
  <c r="I1013" i="4"/>
  <c r="J1013" i="4" s="1"/>
  <c r="H1035" i="4"/>
  <c r="Z1020" i="4"/>
  <c r="H1036" i="4"/>
  <c r="K1036" i="4" s="1"/>
  <c r="Z1042" i="4"/>
  <c r="AJ282" i="6"/>
  <c r="AI282" i="6"/>
  <c r="AG282" i="6"/>
  <c r="AH282" i="6"/>
  <c r="Z664" i="4"/>
  <c r="H670" i="4"/>
  <c r="K670" i="4" s="1"/>
  <c r="Z667" i="4"/>
  <c r="Z692" i="4"/>
  <c r="Z693" i="4" s="1"/>
  <c r="X693" i="4"/>
  <c r="I657" i="4"/>
  <c r="J657" i="4" s="1"/>
  <c r="H667" i="4"/>
  <c r="K667" i="4" s="1"/>
  <c r="H692" i="4"/>
  <c r="K692" i="4" s="1"/>
  <c r="H684" i="4"/>
  <c r="K671" i="4"/>
  <c r="H681" i="4"/>
  <c r="K681" i="4" s="1"/>
  <c r="H802" i="4"/>
  <c r="Z823" i="4"/>
  <c r="Z815" i="4"/>
  <c r="H823" i="4"/>
  <c r="K823" i="4" s="1"/>
  <c r="H800" i="4"/>
  <c r="K800" i="4" s="1"/>
  <c r="Z1214" i="4"/>
  <c r="Z1186" i="4"/>
  <c r="H1207" i="4"/>
  <c r="K1207" i="4" s="1"/>
  <c r="K1194" i="4"/>
  <c r="Z1195" i="4"/>
  <c r="Z1219" i="4"/>
  <c r="Z1192" i="4"/>
  <c r="Z1216" i="4"/>
  <c r="AF551" i="6"/>
  <c r="AD552" i="6"/>
  <c r="Z1335" i="4"/>
  <c r="G1353" i="4"/>
  <c r="I1313" i="4"/>
  <c r="Z1348" i="4"/>
  <c r="H1340" i="4"/>
  <c r="K1340" i="4" s="1"/>
  <c r="H1336" i="4"/>
  <c r="K1336" i="4" s="1"/>
  <c r="Z1338" i="4"/>
  <c r="Z1317" i="4"/>
  <c r="Z1342" i="4"/>
  <c r="AC32" i="3"/>
  <c r="H1163" i="4"/>
  <c r="K1163" i="4" s="1"/>
  <c r="H1148" i="4"/>
  <c r="K1148" i="4" s="1"/>
  <c r="Z1144" i="4"/>
  <c r="H1173" i="4"/>
  <c r="K1173" i="4" s="1"/>
  <c r="H1167" i="4"/>
  <c r="G1177" i="4"/>
  <c r="I1137" i="4"/>
  <c r="K1149" i="4"/>
  <c r="K1174" i="4"/>
  <c r="Z1158" i="4"/>
  <c r="I1141" i="4"/>
  <c r="J1141" i="4" s="1"/>
  <c r="K1166" i="4"/>
  <c r="S92" i="4"/>
  <c r="Z764" i="4"/>
  <c r="K755" i="4"/>
  <c r="I746" i="4"/>
  <c r="J746" i="4" s="1"/>
  <c r="K761" i="4"/>
  <c r="K763" i="4"/>
  <c r="H777" i="4"/>
  <c r="H756" i="4"/>
  <c r="K756" i="4" s="1"/>
  <c r="K405" i="4"/>
  <c r="G429" i="4"/>
  <c r="I389" i="4"/>
  <c r="Z424" i="4"/>
  <c r="K400" i="4"/>
  <c r="Z397" i="4"/>
  <c r="Z330" i="4"/>
  <c r="Z305" i="4"/>
  <c r="K318" i="4"/>
  <c r="Z302" i="4"/>
  <c r="K330" i="4"/>
  <c r="H315" i="4"/>
  <c r="K315" i="4" s="1"/>
  <c r="H340" i="4"/>
  <c r="K340" i="4" s="1"/>
  <c r="H329" i="4"/>
  <c r="K329" i="4" s="1"/>
  <c r="Z709" i="4"/>
  <c r="Z734" i="4"/>
  <c r="Z716" i="4"/>
  <c r="H709" i="4"/>
  <c r="H734" i="4"/>
  <c r="Z705" i="4"/>
  <c r="Z730" i="4"/>
  <c r="K713" i="4"/>
  <c r="Z697" i="4"/>
  <c r="Z722" i="4"/>
  <c r="K1079" i="4"/>
  <c r="H1076" i="4"/>
  <c r="K1076" i="4" s="1"/>
  <c r="K1062" i="4"/>
  <c r="K1073" i="4"/>
  <c r="Z1058" i="4"/>
  <c r="Z1073" i="4"/>
  <c r="K1088" i="4"/>
  <c r="H1080" i="4"/>
  <c r="H1072" i="4"/>
  <c r="K1072" i="4" s="1"/>
  <c r="Z508" i="4"/>
  <c r="Z495" i="4"/>
  <c r="H513" i="4"/>
  <c r="K500" i="4"/>
  <c r="H510" i="4"/>
  <c r="K510" i="4" s="1"/>
  <c r="Z481" i="4"/>
  <c r="Z506" i="4"/>
  <c r="Y90" i="4"/>
  <c r="Z1110" i="4"/>
  <c r="Z1111" i="4"/>
  <c r="V121" i="5"/>
  <c r="X120" i="5"/>
  <c r="Z1124" i="4"/>
  <c r="I1101" i="4"/>
  <c r="J1101" i="4" s="1"/>
  <c r="H286" i="4"/>
  <c r="K286" i="4" s="1"/>
  <c r="K270" i="4"/>
  <c r="H280" i="4"/>
  <c r="K280" i="4" s="1"/>
  <c r="K1261" i="4"/>
  <c r="N182" i="4"/>
  <c r="AG137" i="4"/>
  <c r="I13" i="4"/>
  <c r="I14" i="4"/>
  <c r="D77" i="1" s="1"/>
  <c r="I22" i="4"/>
  <c r="D82" i="1" s="1"/>
  <c r="I20" i="4"/>
  <c r="K887" i="4"/>
  <c r="K1295" i="4"/>
  <c r="Z621" i="4"/>
  <c r="Q94" i="4"/>
  <c r="U94" i="4" s="1"/>
  <c r="K583" i="4"/>
  <c r="Z604" i="4"/>
  <c r="Z605" i="4" s="1"/>
  <c r="X605" i="4"/>
  <c r="I838" i="4"/>
  <c r="J838" i="4" s="1"/>
  <c r="Z311" i="4"/>
  <c r="Z336" i="4"/>
  <c r="Z333" i="4"/>
  <c r="AD644" i="6"/>
  <c r="AF643" i="6"/>
  <c r="V211" i="5"/>
  <c r="X210" i="5"/>
  <c r="K732" i="4"/>
  <c r="K729" i="4"/>
  <c r="K721" i="4"/>
  <c r="K1075" i="4"/>
  <c r="K508" i="4"/>
  <c r="K497" i="4"/>
  <c r="K501" i="4"/>
  <c r="I1094" i="4"/>
  <c r="J1094" i="4" s="1"/>
  <c r="H273" i="4"/>
  <c r="K273" i="4" s="1"/>
  <c r="K1258" i="4"/>
  <c r="Z1113" i="4"/>
  <c r="K269" i="4"/>
  <c r="K1250" i="4"/>
  <c r="K912" i="4"/>
  <c r="G1309" i="4"/>
  <c r="I1269" i="4"/>
  <c r="K621" i="4"/>
  <c r="K622" i="4"/>
  <c r="Z644" i="4"/>
  <c r="I965" i="4"/>
  <c r="J965" i="4" s="1"/>
  <c r="Z573" i="4"/>
  <c r="K856" i="4"/>
  <c r="Z858" i="4"/>
  <c r="X43" i="4"/>
  <c r="Z547" i="4"/>
  <c r="Z544" i="4"/>
  <c r="Z541" i="4"/>
  <c r="H534" i="4"/>
  <c r="K534" i="4" s="1"/>
  <c r="K548" i="4"/>
  <c r="Z357" i="4"/>
  <c r="I347" i="4"/>
  <c r="J347" i="4" s="1"/>
  <c r="K372" i="4"/>
  <c r="H357" i="4"/>
  <c r="K357" i="4" s="1"/>
  <c r="Z350" i="4"/>
  <c r="K951" i="4"/>
  <c r="Z938" i="4"/>
  <c r="H938" i="4"/>
  <c r="K938" i="4" s="1"/>
  <c r="I1007" i="4"/>
  <c r="J1007" i="4" s="1"/>
  <c r="K1035" i="4"/>
  <c r="Z1005" i="4"/>
  <c r="AF283" i="6"/>
  <c r="AD284" i="6"/>
  <c r="K683" i="4"/>
  <c r="K688" i="4"/>
  <c r="Z674" i="4"/>
  <c r="Z663" i="4"/>
  <c r="Z688" i="4"/>
  <c r="Z796" i="4"/>
  <c r="H812" i="4"/>
  <c r="K812" i="4" s="1"/>
  <c r="K801" i="4"/>
  <c r="K816" i="4"/>
  <c r="K813" i="4"/>
  <c r="Z1211" i="4"/>
  <c r="I1186" i="4"/>
  <c r="J1186" i="4" s="1"/>
  <c r="K1211" i="4"/>
  <c r="H1196" i="4"/>
  <c r="K1196" i="4" s="1"/>
  <c r="I1183" i="4"/>
  <c r="J1183" i="4" s="1"/>
  <c r="K1208" i="4"/>
  <c r="H1193" i="4"/>
  <c r="K1193" i="4" s="1"/>
  <c r="Z1220" i="4"/>
  <c r="Z1221" i="4" s="1"/>
  <c r="X1221" i="4"/>
  <c r="K1351" i="4"/>
  <c r="H1343" i="4"/>
  <c r="K1343" i="4" s="1"/>
  <c r="K1327" i="4"/>
  <c r="K1155" i="4"/>
  <c r="Z1155" i="4"/>
  <c r="K776" i="4"/>
  <c r="Z421" i="4"/>
  <c r="K428" i="4"/>
  <c r="I397" i="4"/>
  <c r="J397" i="4" s="1"/>
  <c r="K422" i="4"/>
  <c r="AB119" i="5"/>
  <c r="AA119" i="5"/>
  <c r="Z119" i="5"/>
  <c r="Y119" i="5"/>
  <c r="Z1114" i="4"/>
  <c r="H1106" i="4"/>
  <c r="K1106" i="4" s="1"/>
  <c r="H1113" i="4"/>
  <c r="K1113" i="4" s="1"/>
  <c r="H1115" i="4"/>
  <c r="K1115" i="4" s="1"/>
  <c r="Z1094" i="4"/>
  <c r="K1105" i="4"/>
  <c r="K1130" i="4"/>
  <c r="K1112" i="4"/>
  <c r="H1122" i="4"/>
  <c r="K1122" i="4" s="1"/>
  <c r="H1114" i="4"/>
  <c r="K1114" i="4" s="1"/>
  <c r="K283" i="4"/>
  <c r="K279" i="4"/>
  <c r="Z275" i="4"/>
  <c r="Z262" i="4"/>
  <c r="Z287" i="4"/>
  <c r="K292" i="4"/>
  <c r="H277" i="4"/>
  <c r="K277" i="4" s="1"/>
  <c r="Z1256" i="4"/>
  <c r="Z1245" i="4"/>
  <c r="K1262" i="4"/>
  <c r="K1238" i="4"/>
  <c r="I1227" i="4"/>
  <c r="J1227" i="4" s="1"/>
  <c r="Z1260" i="4"/>
  <c r="H1252" i="4"/>
  <c r="K1252" i="4" s="1"/>
  <c r="I1231" i="4"/>
  <c r="J1231" i="4" s="1"/>
  <c r="Z1264" i="4"/>
  <c r="Z1265" i="4" s="1"/>
  <c r="X1265" i="4"/>
  <c r="Z1253" i="4"/>
  <c r="H1245" i="4"/>
  <c r="K1245" i="4" s="1"/>
  <c r="Z1262" i="4"/>
  <c r="R44" i="4"/>
  <c r="Z892" i="4"/>
  <c r="H888" i="4"/>
  <c r="K888" i="4" s="1"/>
  <c r="Z879" i="4"/>
  <c r="Z874" i="4"/>
  <c r="Z901" i="4"/>
  <c r="H908" i="4"/>
  <c r="K908" i="4" s="1"/>
  <c r="Z906" i="4"/>
  <c r="H1302" i="4"/>
  <c r="K1302" i="4" s="1"/>
  <c r="Z1274" i="4"/>
  <c r="K1279" i="4"/>
  <c r="K1284" i="4"/>
  <c r="K1293" i="4"/>
  <c r="Z1285" i="4"/>
  <c r="AF102" i="6"/>
  <c r="AD103" i="6"/>
  <c r="K645" i="4"/>
  <c r="H633" i="4"/>
  <c r="K633" i="4" s="1"/>
  <c r="K623" i="4"/>
  <c r="Z645" i="4"/>
  <c r="Z622" i="4"/>
  <c r="K640" i="4"/>
  <c r="H627" i="4"/>
  <c r="K627" i="4" s="1"/>
  <c r="G649" i="4"/>
  <c r="I609" i="4"/>
  <c r="H644" i="4"/>
  <c r="K644" i="4" s="1"/>
  <c r="Z964" i="4"/>
  <c r="H986" i="4"/>
  <c r="K986" i="4" s="1"/>
  <c r="H990" i="4"/>
  <c r="K990" i="4" s="1"/>
  <c r="H981" i="4"/>
  <c r="K981" i="4" s="1"/>
  <c r="K982" i="4"/>
  <c r="Z979" i="4"/>
  <c r="Z971" i="4"/>
  <c r="Z996" i="4"/>
  <c r="H579" i="4"/>
  <c r="K579" i="4" s="1"/>
  <c r="Z584" i="4"/>
  <c r="I571" i="4"/>
  <c r="J571" i="4" s="1"/>
  <c r="Z588" i="4"/>
  <c r="Z576" i="4"/>
  <c r="H594" i="4"/>
  <c r="K594" i="4" s="1"/>
  <c r="K584" i="4"/>
  <c r="H575" i="4"/>
  <c r="K575" i="4" s="1"/>
  <c r="Z583" i="4"/>
  <c r="H597" i="4"/>
  <c r="K597" i="4" s="1"/>
  <c r="H843" i="4"/>
  <c r="Z851" i="4"/>
  <c r="K841" i="4"/>
  <c r="Z866" i="4"/>
  <c r="Z846" i="4"/>
  <c r="I836" i="4"/>
  <c r="J836" i="4" s="1"/>
  <c r="Z861" i="4"/>
  <c r="K848" i="4"/>
  <c r="Z832" i="4"/>
  <c r="K863" i="4"/>
  <c r="K850" i="4"/>
  <c r="AG341" i="6"/>
  <c r="AI341" i="6"/>
  <c r="AJ341" i="6"/>
  <c r="AH341" i="6"/>
  <c r="Z468" i="4"/>
  <c r="H447" i="4"/>
  <c r="K447" i="4" s="1"/>
  <c r="Z443" i="4"/>
  <c r="K471" i="4"/>
  <c r="H456" i="4"/>
  <c r="K456" i="4" s="1"/>
  <c r="K453" i="4"/>
  <c r="Z442" i="4"/>
  <c r="Z467" i="4"/>
  <c r="K454" i="4"/>
  <c r="H553" i="4"/>
  <c r="K535" i="4"/>
  <c r="H545" i="4"/>
  <c r="K545" i="4" s="1"/>
  <c r="K532" i="4"/>
  <c r="H558" i="4"/>
  <c r="K558" i="4" s="1"/>
  <c r="H542" i="4"/>
  <c r="K542" i="4" s="1"/>
  <c r="K554" i="4"/>
  <c r="G561" i="4"/>
  <c r="I521" i="4"/>
  <c r="K546" i="4"/>
  <c r="Z540" i="4"/>
  <c r="H381" i="4"/>
  <c r="K381" i="4" s="1"/>
  <c r="K376" i="4"/>
  <c r="Z359" i="4"/>
  <c r="Z361" i="4"/>
  <c r="K364" i="4"/>
  <c r="Z353" i="4"/>
  <c r="Z379" i="4"/>
  <c r="K378" i="4"/>
  <c r="Z928" i="4"/>
  <c r="H930" i="4"/>
  <c r="K930" i="4" s="1"/>
  <c r="K955" i="4"/>
  <c r="Z941" i="4"/>
  <c r="K934" i="4"/>
  <c r="Z955" i="4"/>
  <c r="H946" i="4"/>
  <c r="K946" i="4" s="1"/>
  <c r="Z942" i="4"/>
  <c r="AD403" i="6"/>
  <c r="AF402" i="6"/>
  <c r="K1042" i="4"/>
  <c r="H1030" i="4"/>
  <c r="K1030" i="4" s="1"/>
  <c r="Z1034" i="4"/>
  <c r="Z1008" i="4"/>
  <c r="K1032" i="4"/>
  <c r="Z1039" i="4"/>
  <c r="I658" i="4"/>
  <c r="J658" i="4" s="1"/>
  <c r="Z672" i="4"/>
  <c r="H675" i="4"/>
  <c r="K675" i="4" s="1"/>
  <c r="H672" i="4"/>
  <c r="K672" i="4" s="1"/>
  <c r="H689" i="4"/>
  <c r="K689" i="4" s="1"/>
  <c r="K676" i="4"/>
  <c r="H686" i="4"/>
  <c r="K686" i="4" s="1"/>
  <c r="H808" i="4"/>
  <c r="K808" i="4" s="1"/>
  <c r="K814" i="4"/>
  <c r="Z811" i="4"/>
  <c r="Z817" i="4"/>
  <c r="K804" i="4"/>
  <c r="Z788" i="4"/>
  <c r="K819" i="4"/>
  <c r="Z803" i="4"/>
  <c r="K796" i="4"/>
  <c r="Z821" i="4"/>
  <c r="Z798" i="4"/>
  <c r="Z813" i="4"/>
  <c r="K806" i="4"/>
  <c r="T91" i="4"/>
  <c r="X91" i="4" s="1"/>
  <c r="Z1199" i="4"/>
  <c r="K1197" i="4"/>
  <c r="Z1204" i="4"/>
  <c r="K1205" i="4"/>
  <c r="H1212" i="4"/>
  <c r="K1212" i="4" s="1"/>
  <c r="K1199" i="4"/>
  <c r="K1220" i="4"/>
  <c r="H1204" i="4"/>
  <c r="K1204" i="4" s="1"/>
  <c r="Z1200" i="4"/>
  <c r="K1217" i="4"/>
  <c r="H1332" i="4"/>
  <c r="K1332" i="4" s="1"/>
  <c r="H1346" i="4"/>
  <c r="K1346" i="4" s="1"/>
  <c r="Z1344" i="4"/>
  <c r="Z1341" i="4"/>
  <c r="K1348" i="4"/>
  <c r="Z1345" i="4"/>
  <c r="Z1313" i="4"/>
  <c r="Z1322" i="4"/>
  <c r="Z1347" i="4"/>
  <c r="Z1176" i="4"/>
  <c r="Z1177" i="4" s="1"/>
  <c r="X1177" i="4"/>
  <c r="K1165" i="4"/>
  <c r="Z1156" i="4"/>
  <c r="K1150" i="4"/>
  <c r="K1160" i="4"/>
  <c r="I1138" i="4"/>
  <c r="J1138" i="4" s="1"/>
  <c r="I1142" i="4"/>
  <c r="J1142" i="4" s="1"/>
  <c r="K1167" i="4"/>
  <c r="I1146" i="4"/>
  <c r="J1146" i="4" s="1"/>
  <c r="H1156" i="4"/>
  <c r="K1156" i="4" s="1"/>
  <c r="AJ223" i="6"/>
  <c r="AI223" i="6"/>
  <c r="AH223" i="6"/>
  <c r="AG223" i="6"/>
  <c r="X89" i="5"/>
  <c r="V90" i="5"/>
  <c r="H752" i="4"/>
  <c r="Z751" i="4"/>
  <c r="I747" i="4"/>
  <c r="J747" i="4" s="1"/>
  <c r="H775" i="4"/>
  <c r="K775" i="4" s="1"/>
  <c r="Z753" i="4"/>
  <c r="K778" i="4"/>
  <c r="H426" i="4"/>
  <c r="K426" i="4" s="1"/>
  <c r="Z422" i="4"/>
  <c r="K401" i="4"/>
  <c r="H423" i="4"/>
  <c r="K423" i="4" s="1"/>
  <c r="H326" i="4"/>
  <c r="K326" i="4" s="1"/>
  <c r="K323" i="4"/>
  <c r="Z307" i="4"/>
  <c r="Z332" i="4"/>
  <c r="K335" i="4"/>
  <c r="H312" i="4"/>
  <c r="H337" i="4"/>
  <c r="K337" i="4" s="1"/>
  <c r="K324" i="4"/>
  <c r="H334" i="4"/>
  <c r="K334" i="4" s="1"/>
  <c r="X59" i="5"/>
  <c r="V60" i="5"/>
  <c r="AI642" i="6"/>
  <c r="AJ642" i="6"/>
  <c r="AH642" i="6"/>
  <c r="AG642" i="6"/>
  <c r="AB209" i="5"/>
  <c r="AA209" i="5"/>
  <c r="Z209" i="5"/>
  <c r="Y209" i="5"/>
  <c r="Z714" i="4"/>
  <c r="H714" i="4"/>
  <c r="K714" i="4" s="1"/>
  <c r="Z702" i="4"/>
  <c r="Z727" i="4"/>
  <c r="H1060" i="4"/>
  <c r="K1060" i="4" s="1"/>
  <c r="H1085" i="4"/>
  <c r="K1085" i="4" s="1"/>
  <c r="H1077" i="4"/>
  <c r="K1077" i="4" s="1"/>
  <c r="H516" i="4"/>
  <c r="K516" i="4" s="1"/>
  <c r="H493" i="4"/>
  <c r="K493" i="4" s="1"/>
  <c r="K505" i="4"/>
  <c r="H515" i="4"/>
  <c r="K515" i="4" s="1"/>
  <c r="AD764" i="6"/>
  <c r="AF763" i="6"/>
  <c r="V140" i="4"/>
  <c r="Z1258" i="4"/>
  <c r="K1123" i="4"/>
  <c r="G1133" i="4"/>
  <c r="I1093" i="4"/>
  <c r="K295" i="4"/>
  <c r="K884" i="4"/>
  <c r="H1281" i="4"/>
  <c r="AH101" i="6"/>
  <c r="AI101" i="6"/>
  <c r="AG101" i="6"/>
  <c r="AJ101" i="6"/>
  <c r="K974" i="4"/>
  <c r="K984" i="4"/>
  <c r="Z587" i="4"/>
  <c r="K852" i="4"/>
  <c r="K867" i="4"/>
  <c r="Z863" i="4"/>
  <c r="I833" i="4"/>
  <c r="J833" i="4" s="1"/>
  <c r="Z1105" i="4"/>
  <c r="K1116" i="4"/>
  <c r="K1111" i="4"/>
  <c r="Z1118" i="4"/>
  <c r="K275" i="4"/>
  <c r="H285" i="4"/>
  <c r="K285" i="4" s="1"/>
  <c r="Z281" i="4"/>
  <c r="G1265" i="4"/>
  <c r="I1225" i="4"/>
  <c r="H1235" i="4"/>
  <c r="K1235" i="4" s="1"/>
  <c r="K1253" i="4"/>
  <c r="K1246" i="4"/>
  <c r="Z896" i="4"/>
  <c r="H886" i="4"/>
  <c r="K886" i="4" s="1"/>
  <c r="Z877" i="4"/>
  <c r="Z905" i="4"/>
  <c r="Z912" i="4"/>
  <c r="Z913" i="4" s="1"/>
  <c r="X913" i="4"/>
  <c r="K905" i="4"/>
  <c r="H907" i="4"/>
  <c r="K907" i="4" s="1"/>
  <c r="I1271" i="4"/>
  <c r="J1271" i="4" s="1"/>
  <c r="Z1296" i="4"/>
  <c r="K1292" i="4"/>
  <c r="Z1284" i="4"/>
  <c r="Z1306" i="4"/>
  <c r="H1298" i="4"/>
  <c r="K1298" i="4" s="1"/>
  <c r="K1300" i="4"/>
  <c r="Z641" i="4"/>
  <c r="Z619" i="4"/>
  <c r="K637" i="4"/>
  <c r="H625" i="4"/>
  <c r="K625" i="4" s="1"/>
  <c r="K641" i="4"/>
  <c r="H628" i="4"/>
  <c r="K628" i="4" s="1"/>
  <c r="H618" i="4"/>
  <c r="Z623" i="4"/>
  <c r="Z648" i="4"/>
  <c r="Z649" i="4" s="1"/>
  <c r="X649" i="4"/>
  <c r="Z987" i="4"/>
  <c r="Z975" i="4"/>
  <c r="Z980" i="4"/>
  <c r="H972" i="4"/>
  <c r="K972" i="4" s="1"/>
  <c r="Z585" i="4"/>
  <c r="K603" i="4"/>
  <c r="I569" i="4"/>
  <c r="J569" i="4" s="1"/>
  <c r="Z602" i="4"/>
  <c r="H578" i="4"/>
  <c r="K578" i="4" s="1"/>
  <c r="K598" i="4"/>
  <c r="H585" i="4"/>
  <c r="K585" i="4" s="1"/>
  <c r="K602" i="4"/>
  <c r="G869" i="4"/>
  <c r="I829" i="4"/>
  <c r="K844" i="4"/>
  <c r="Z831" i="4"/>
  <c r="K839" i="4"/>
  <c r="K851" i="4"/>
  <c r="K866" i="4"/>
  <c r="AD343" i="6"/>
  <c r="AF342" i="6"/>
  <c r="H444" i="4"/>
  <c r="K444" i="4" s="1"/>
  <c r="Z435" i="4"/>
  <c r="Z460" i="4"/>
  <c r="K472" i="4"/>
  <c r="H541" i="4"/>
  <c r="K541" i="4" s="1"/>
  <c r="I528" i="4"/>
  <c r="J528" i="4" s="1"/>
  <c r="K368" i="4"/>
  <c r="Z347" i="4"/>
  <c r="K379" i="4"/>
  <c r="H360" i="4"/>
  <c r="K360" i="4" s="1"/>
  <c r="Z378" i="4"/>
  <c r="H383" i="4"/>
  <c r="K383" i="4" s="1"/>
  <c r="Z355" i="4"/>
  <c r="Z934" i="4"/>
  <c r="K935" i="4"/>
  <c r="K932" i="4"/>
  <c r="K929" i="4"/>
  <c r="K941" i="4"/>
  <c r="Z917" i="4"/>
  <c r="Z940" i="4"/>
  <c r="Z926" i="4"/>
  <c r="G957" i="4"/>
  <c r="I917" i="4"/>
  <c r="Z944" i="4"/>
  <c r="H949" i="4"/>
  <c r="K949" i="4" s="1"/>
  <c r="H943" i="4"/>
  <c r="K943" i="4" s="1"/>
  <c r="AJ401" i="6"/>
  <c r="AI401" i="6"/>
  <c r="AG401" i="6"/>
  <c r="AH401" i="6"/>
  <c r="Z1012" i="4"/>
  <c r="Z1038" i="4"/>
  <c r="H1037" i="4"/>
  <c r="K1037" i="4" s="1"/>
  <c r="H1041" i="4"/>
  <c r="K1041" i="4" s="1"/>
  <c r="H1040" i="4"/>
  <c r="K1040" i="4" s="1"/>
  <c r="H673" i="4"/>
  <c r="K673" i="4" s="1"/>
  <c r="K684" i="4"/>
  <c r="Z665" i="4"/>
  <c r="H818" i="4"/>
  <c r="K818" i="4" s="1"/>
  <c r="Z791" i="4"/>
  <c r="Z806" i="4"/>
  <c r="K799" i="4"/>
  <c r="Z824" i="4"/>
  <c r="Z825" i="4" s="1"/>
  <c r="X825" i="4"/>
  <c r="Z801" i="4"/>
  <c r="I791" i="4"/>
  <c r="J791" i="4" s="1"/>
  <c r="Z816" i="4"/>
  <c r="K809" i="4"/>
  <c r="I793" i="4"/>
  <c r="J793" i="4" s="1"/>
  <c r="K1200" i="4"/>
  <c r="Z1215" i="4"/>
  <c r="H1201" i="4"/>
  <c r="K1201" i="4" s="1"/>
  <c r="Z1328" i="4"/>
  <c r="Z1350" i="4"/>
  <c r="H1323" i="4"/>
  <c r="H1353" i="4" s="1"/>
  <c r="Z1141" i="4"/>
  <c r="Z1137" i="4"/>
  <c r="H1162" i="4"/>
  <c r="K1162" i="4" s="1"/>
  <c r="Z1151" i="4"/>
  <c r="Z1160" i="4"/>
  <c r="AF224" i="6"/>
  <c r="AD225" i="6"/>
  <c r="Y88" i="5"/>
  <c r="Z88" i="5"/>
  <c r="AB88" i="5"/>
  <c r="AA88" i="5"/>
  <c r="Z761" i="4"/>
  <c r="K779" i="4"/>
  <c r="Z754" i="4"/>
  <c r="K770" i="4"/>
  <c r="Z759" i="4"/>
  <c r="K752" i="4"/>
  <c r="K777" i="4"/>
  <c r="H754" i="4"/>
  <c r="K754" i="4" s="1"/>
  <c r="Z765" i="4"/>
  <c r="H403" i="4"/>
  <c r="K403" i="4" s="1"/>
  <c r="I390" i="4"/>
  <c r="J390" i="4" s="1"/>
  <c r="H411" i="4"/>
  <c r="K411" i="4" s="1"/>
  <c r="Z398" i="4"/>
  <c r="Z418" i="4"/>
  <c r="K408" i="4"/>
  <c r="Z427" i="4"/>
  <c r="K402" i="4"/>
  <c r="K427" i="4"/>
  <c r="H321" i="4"/>
  <c r="K321" i="4" s="1"/>
  <c r="K331" i="4"/>
  <c r="K311" i="4"/>
  <c r="Z335" i="4"/>
  <c r="H333" i="4"/>
  <c r="K333" i="4" s="1"/>
  <c r="K332" i="4"/>
  <c r="Z313" i="4"/>
  <c r="Z338" i="4"/>
  <c r="Y58" i="5"/>
  <c r="AB58" i="5"/>
  <c r="AA58" i="5"/>
  <c r="Z58" i="5"/>
  <c r="AF672" i="6"/>
  <c r="AD673" i="6"/>
  <c r="I700" i="4"/>
  <c r="J700" i="4" s="1"/>
  <c r="G737" i="4"/>
  <c r="I697" i="4"/>
  <c r="H715" i="4"/>
  <c r="K715" i="4" s="1"/>
  <c r="K712" i="4"/>
  <c r="K734" i="4"/>
  <c r="H711" i="4"/>
  <c r="K711" i="4" s="1"/>
  <c r="H736" i="4"/>
  <c r="K736" i="4" s="1"/>
  <c r="H728" i="4"/>
  <c r="K728" i="4" s="1"/>
  <c r="K1067" i="4"/>
  <c r="H1059" i="4"/>
  <c r="K1059" i="4" s="1"/>
  <c r="Z1082" i="4"/>
  <c r="Z1052" i="4"/>
  <c r="I1055" i="4"/>
  <c r="J1055" i="4" s="1"/>
  <c r="K1080" i="4"/>
  <c r="Z1064" i="4"/>
  <c r="Z1056" i="4"/>
  <c r="Z1081" i="4"/>
  <c r="Z485" i="4"/>
  <c r="Z490" i="4"/>
  <c r="K488" i="4"/>
  <c r="K513" i="4"/>
  <c r="Z494" i="4"/>
  <c r="G517" i="4"/>
  <c r="I477" i="4"/>
  <c r="H487" i="4"/>
  <c r="H512" i="4"/>
  <c r="K512" i="4" s="1"/>
  <c r="I481" i="4"/>
  <c r="J481" i="4" s="1"/>
  <c r="K506" i="4"/>
  <c r="H869" i="4" l="1"/>
  <c r="H517" i="4"/>
  <c r="H1309" i="4"/>
  <c r="H781" i="4"/>
  <c r="H341" i="4"/>
  <c r="H693" i="4"/>
  <c r="V270" i="5"/>
  <c r="X269" i="5"/>
  <c r="H1265" i="4"/>
  <c r="Y268" i="5"/>
  <c r="AB268" i="5"/>
  <c r="Z268" i="5"/>
  <c r="AA268" i="5"/>
  <c r="H561" i="4"/>
  <c r="H649" i="4"/>
  <c r="H605" i="4"/>
  <c r="H1089" i="4"/>
  <c r="I618" i="4"/>
  <c r="J618" i="4" s="1"/>
  <c r="H737" i="4"/>
  <c r="H825" i="4"/>
  <c r="H429" i="4"/>
  <c r="K781" i="4"/>
  <c r="K605" i="4"/>
  <c r="K1221" i="4"/>
  <c r="K1045" i="4"/>
  <c r="Y91" i="4"/>
  <c r="K1001" i="4"/>
  <c r="K473" i="4"/>
  <c r="K1265" i="4"/>
  <c r="K1177" i="4"/>
  <c r="X121" i="5"/>
  <c r="V122" i="5"/>
  <c r="H297" i="4"/>
  <c r="AF734" i="6"/>
  <c r="AD735" i="6"/>
  <c r="AF164" i="6"/>
  <c r="AD165" i="6"/>
  <c r="AJ254" i="6"/>
  <c r="AI254" i="6"/>
  <c r="AH254" i="6"/>
  <c r="AG254" i="6"/>
  <c r="K487" i="4"/>
  <c r="I737" i="4"/>
  <c r="S697" i="4"/>
  <c r="S698" i="4" s="1"/>
  <c r="S699" i="4" s="1"/>
  <c r="S700" i="4" s="1"/>
  <c r="S701" i="4" s="1"/>
  <c r="S702" i="4" s="1"/>
  <c r="S703" i="4" s="1"/>
  <c r="S704" i="4" s="1"/>
  <c r="S705" i="4" s="1"/>
  <c r="S706" i="4" s="1"/>
  <c r="J697" i="4"/>
  <c r="V91" i="5"/>
  <c r="X90" i="5"/>
  <c r="AA120" i="5"/>
  <c r="AB120" i="5"/>
  <c r="Z120" i="5"/>
  <c r="Y120" i="5"/>
  <c r="AH224" i="6"/>
  <c r="AG224" i="6"/>
  <c r="AJ224" i="6"/>
  <c r="AI224" i="6"/>
  <c r="AJ643" i="6"/>
  <c r="AI643" i="6"/>
  <c r="AG643" i="6"/>
  <c r="AH643" i="6"/>
  <c r="T92" i="4"/>
  <c r="X92" i="4" s="1"/>
  <c r="K913" i="4"/>
  <c r="AD614" i="6"/>
  <c r="AF613" i="6"/>
  <c r="AB299" i="5"/>
  <c r="AA299" i="5"/>
  <c r="Y299" i="5"/>
  <c r="Z299" i="5"/>
  <c r="H385" i="4"/>
  <c r="AJ72" i="6"/>
  <c r="AI72" i="6"/>
  <c r="AH72" i="6"/>
  <c r="AG72" i="6"/>
  <c r="K399" i="4"/>
  <c r="H1177" i="4"/>
  <c r="K312" i="4"/>
  <c r="K802" i="4"/>
  <c r="K825" i="4" s="1"/>
  <c r="AB89" i="5"/>
  <c r="AA89" i="5"/>
  <c r="Z89" i="5"/>
  <c r="Y89" i="5"/>
  <c r="AF644" i="6"/>
  <c r="AD645" i="6"/>
  <c r="M183" i="4"/>
  <c r="AG90" i="4"/>
  <c r="I1353" i="4"/>
  <c r="S1313" i="4"/>
  <c r="S1314" i="4" s="1"/>
  <c r="S1315" i="4" s="1"/>
  <c r="S1316" i="4" s="1"/>
  <c r="S1317" i="4" s="1"/>
  <c r="S1318" i="4" s="1"/>
  <c r="S1319" i="4" s="1"/>
  <c r="S1320" i="4" s="1"/>
  <c r="S1321" i="4" s="1"/>
  <c r="S1322" i="4" s="1"/>
  <c r="J1313" i="4"/>
  <c r="V94" i="4"/>
  <c r="P139" i="4"/>
  <c r="I1221" i="4"/>
  <c r="S1181" i="4"/>
  <c r="S1182" i="4" s="1"/>
  <c r="S1183" i="4" s="1"/>
  <c r="S1184" i="4" s="1"/>
  <c r="S1185" i="4" s="1"/>
  <c r="S1186" i="4" s="1"/>
  <c r="S1187" i="4" s="1"/>
  <c r="S1188" i="4" s="1"/>
  <c r="S1189" i="4" s="1"/>
  <c r="S1190" i="4" s="1"/>
  <c r="J1181" i="4"/>
  <c r="AG612" i="6"/>
  <c r="AJ612" i="6"/>
  <c r="AI612" i="6"/>
  <c r="AH612" i="6"/>
  <c r="X300" i="5"/>
  <c r="V301" i="5"/>
  <c r="AI704" i="6"/>
  <c r="AH704" i="6"/>
  <c r="AJ704" i="6"/>
  <c r="AG704" i="6"/>
  <c r="H913" i="4"/>
  <c r="AF73" i="6"/>
  <c r="AD74" i="6"/>
  <c r="AF194" i="6"/>
  <c r="AD195" i="6"/>
  <c r="I341" i="4"/>
  <c r="S301" i="4"/>
  <c r="S302" i="4" s="1"/>
  <c r="S303" i="4" s="1"/>
  <c r="S304" i="4" s="1"/>
  <c r="S305" i="4" s="1"/>
  <c r="S306" i="4" s="1"/>
  <c r="S307" i="4" s="1"/>
  <c r="S308" i="4" s="1"/>
  <c r="S309" i="4" s="1"/>
  <c r="S310" i="4" s="1"/>
  <c r="J301" i="4"/>
  <c r="I574" i="4"/>
  <c r="J574" i="4" s="1"/>
  <c r="K553" i="4"/>
  <c r="K1281" i="4"/>
  <c r="AF764" i="6"/>
  <c r="AD765" i="6"/>
  <c r="S44" i="4"/>
  <c r="W44" i="4" s="1"/>
  <c r="K297" i="4"/>
  <c r="Y43" i="4"/>
  <c r="R94" i="4"/>
  <c r="V44" i="4"/>
  <c r="S565" i="4"/>
  <c r="S566" i="4" s="1"/>
  <c r="S567" i="4" s="1"/>
  <c r="S568" i="4" s="1"/>
  <c r="S569" i="4" s="1"/>
  <c r="S570" i="4" s="1"/>
  <c r="S571" i="4" s="1"/>
  <c r="S572" i="4" s="1"/>
  <c r="S573" i="4" s="1"/>
  <c r="J565" i="4"/>
  <c r="I825" i="4"/>
  <c r="S785" i="4"/>
  <c r="S786" i="4" s="1"/>
  <c r="S787" i="4" s="1"/>
  <c r="S788" i="4" s="1"/>
  <c r="S789" i="4" s="1"/>
  <c r="S790" i="4" s="1"/>
  <c r="S791" i="4" s="1"/>
  <c r="S792" i="4" s="1"/>
  <c r="S793" i="4" s="1"/>
  <c r="S794" i="4" s="1"/>
  <c r="J785" i="4"/>
  <c r="AF705" i="6"/>
  <c r="AD706" i="6"/>
  <c r="AJ193" i="6"/>
  <c r="AH193" i="6"/>
  <c r="AI193" i="6"/>
  <c r="AG193" i="6"/>
  <c r="AG493" i="6"/>
  <c r="AH493" i="6"/>
  <c r="AI493" i="6"/>
  <c r="AJ493" i="6"/>
  <c r="H1221" i="4"/>
  <c r="AJ763" i="6"/>
  <c r="AI763" i="6"/>
  <c r="AH763" i="6"/>
  <c r="AG763" i="6"/>
  <c r="Q95" i="4"/>
  <c r="V151" i="5"/>
  <c r="X150" i="5"/>
  <c r="AG373" i="6"/>
  <c r="AH373" i="6"/>
  <c r="AI373" i="6"/>
  <c r="AJ373" i="6"/>
  <c r="AD465" i="6"/>
  <c r="AF464" i="6"/>
  <c r="K843" i="4"/>
  <c r="AB33" i="3"/>
  <c r="AF33" i="3" s="1"/>
  <c r="AC33" i="3"/>
  <c r="K649" i="4"/>
  <c r="AD495" i="6"/>
  <c r="AF494" i="6"/>
  <c r="AF313" i="6"/>
  <c r="AD314" i="6"/>
  <c r="AJ522" i="6"/>
  <c r="AI522" i="6"/>
  <c r="AH522" i="6"/>
  <c r="AG522" i="6"/>
  <c r="I1089" i="4"/>
  <c r="S1049" i="4"/>
  <c r="S1050" i="4" s="1"/>
  <c r="S1051" i="4" s="1"/>
  <c r="S1052" i="4" s="1"/>
  <c r="S1053" i="4" s="1"/>
  <c r="S1054" i="4" s="1"/>
  <c r="S1055" i="4" s="1"/>
  <c r="S1056" i="4" s="1"/>
  <c r="S1057" i="4" s="1"/>
  <c r="S1058" i="4" s="1"/>
  <c r="J1049" i="4"/>
  <c r="R45" i="4"/>
  <c r="S45" i="4"/>
  <c r="AD226" i="6"/>
  <c r="AF225" i="6"/>
  <c r="AF284" i="6"/>
  <c r="AD285" i="6"/>
  <c r="AB210" i="5"/>
  <c r="AA210" i="5"/>
  <c r="Z210" i="5"/>
  <c r="Y210" i="5"/>
  <c r="I517" i="4"/>
  <c r="S477" i="4"/>
  <c r="S478" i="4" s="1"/>
  <c r="S479" i="4" s="1"/>
  <c r="S480" i="4" s="1"/>
  <c r="S481" i="4" s="1"/>
  <c r="S482" i="4" s="1"/>
  <c r="S483" i="4" s="1"/>
  <c r="S484" i="4" s="1"/>
  <c r="S485" i="4" s="1"/>
  <c r="S486" i="4" s="1"/>
  <c r="J477" i="4"/>
  <c r="X211" i="5"/>
  <c r="V212" i="5"/>
  <c r="AI402" i="6"/>
  <c r="AG402" i="6"/>
  <c r="AH402" i="6"/>
  <c r="AJ402" i="6"/>
  <c r="AD404" i="6"/>
  <c r="AF403" i="6"/>
  <c r="K341" i="4"/>
  <c r="AD344" i="6"/>
  <c r="AF343" i="6"/>
  <c r="AF103" i="6"/>
  <c r="AD104" i="6"/>
  <c r="AD32" i="3"/>
  <c r="AH32" i="3" s="1"/>
  <c r="K1323" i="4"/>
  <c r="AB149" i="5"/>
  <c r="AA149" i="5"/>
  <c r="Z149" i="5"/>
  <c r="Y149" i="5"/>
  <c r="AD375" i="6"/>
  <c r="AF374" i="6"/>
  <c r="AG32" i="3"/>
  <c r="S140" i="4"/>
  <c r="I1045" i="4"/>
  <c r="S1005" i="4"/>
  <c r="S1006" i="4" s="1"/>
  <c r="S1007" i="4" s="1"/>
  <c r="S1008" i="4" s="1"/>
  <c r="S1009" i="4" s="1"/>
  <c r="S1010" i="4" s="1"/>
  <c r="S1011" i="4" s="1"/>
  <c r="S1012" i="4" s="1"/>
  <c r="S1013" i="4" s="1"/>
  <c r="S1014" i="4" s="1"/>
  <c r="J1005" i="4"/>
  <c r="AG463" i="6"/>
  <c r="AJ463" i="6"/>
  <c r="AI463" i="6"/>
  <c r="AH463" i="6"/>
  <c r="H957" i="4"/>
  <c r="AH312" i="6"/>
  <c r="AJ312" i="6"/>
  <c r="AI312" i="6"/>
  <c r="AG312" i="6"/>
  <c r="AF523" i="6"/>
  <c r="AD524" i="6"/>
  <c r="I473" i="4"/>
  <c r="S433" i="4"/>
  <c r="S434" i="4" s="1"/>
  <c r="S435" i="4" s="1"/>
  <c r="S436" i="4" s="1"/>
  <c r="S437" i="4" s="1"/>
  <c r="S438" i="4" s="1"/>
  <c r="S439" i="4" s="1"/>
  <c r="S440" i="4" s="1"/>
  <c r="S441" i="4" s="1"/>
  <c r="S442" i="4" s="1"/>
  <c r="J433" i="4"/>
  <c r="I1001" i="4"/>
  <c r="S961" i="4"/>
  <c r="S962" i="4" s="1"/>
  <c r="S963" i="4" s="1"/>
  <c r="S964" i="4" s="1"/>
  <c r="S965" i="4" s="1"/>
  <c r="S966" i="4" s="1"/>
  <c r="S967" i="4" s="1"/>
  <c r="S968" i="4" s="1"/>
  <c r="S969" i="4" s="1"/>
  <c r="S970" i="4" s="1"/>
  <c r="J961" i="4"/>
  <c r="V241" i="5"/>
  <c r="X240" i="5"/>
  <c r="AH283" i="6"/>
  <c r="AG283" i="6"/>
  <c r="AJ283" i="6"/>
  <c r="AI283" i="6"/>
  <c r="I561" i="4"/>
  <c r="S521" i="4"/>
  <c r="S522" i="4" s="1"/>
  <c r="S523" i="4" s="1"/>
  <c r="S524" i="4" s="1"/>
  <c r="S525" i="4" s="1"/>
  <c r="S526" i="4" s="1"/>
  <c r="S527" i="4" s="1"/>
  <c r="S528" i="4" s="1"/>
  <c r="S529" i="4" s="1"/>
  <c r="S530" i="4" s="1"/>
  <c r="J521" i="4"/>
  <c r="I1309" i="4"/>
  <c r="S1269" i="4"/>
  <c r="S1270" i="4" s="1"/>
  <c r="S1271" i="4" s="1"/>
  <c r="S1272" i="4" s="1"/>
  <c r="S1273" i="4" s="1"/>
  <c r="S1274" i="4" s="1"/>
  <c r="S1275" i="4" s="1"/>
  <c r="S1276" i="4" s="1"/>
  <c r="S1277" i="4" s="1"/>
  <c r="S1278" i="4" s="1"/>
  <c r="J1269" i="4"/>
  <c r="AJ672" i="6"/>
  <c r="AI672" i="6"/>
  <c r="AH672" i="6"/>
  <c r="AG672" i="6"/>
  <c r="K1089" i="4"/>
  <c r="AI342" i="6"/>
  <c r="AG342" i="6"/>
  <c r="AH342" i="6"/>
  <c r="AJ342" i="6"/>
  <c r="K709" i="4"/>
  <c r="I957" i="4"/>
  <c r="S917" i="4"/>
  <c r="S918" i="4" s="1"/>
  <c r="S919" i="4" s="1"/>
  <c r="S920" i="4" s="1"/>
  <c r="S921" i="4" s="1"/>
  <c r="S922" i="4" s="1"/>
  <c r="S923" i="4" s="1"/>
  <c r="S924" i="4" s="1"/>
  <c r="S925" i="4" s="1"/>
  <c r="S926" i="4" s="1"/>
  <c r="J917" i="4"/>
  <c r="H1045" i="4"/>
  <c r="S609" i="4"/>
  <c r="S610" i="4" s="1"/>
  <c r="S611" i="4" s="1"/>
  <c r="S612" i="4" s="1"/>
  <c r="S613" i="4" s="1"/>
  <c r="S614" i="4" s="1"/>
  <c r="S615" i="4" s="1"/>
  <c r="S616" i="4" s="1"/>
  <c r="S617" i="4" s="1"/>
  <c r="J609" i="4"/>
  <c r="AJ102" i="6"/>
  <c r="AI102" i="6"/>
  <c r="AH102" i="6"/>
  <c r="AG102" i="6"/>
  <c r="AD553" i="6"/>
  <c r="AF552" i="6"/>
  <c r="H473" i="4"/>
  <c r="K957" i="4"/>
  <c r="AD134" i="6"/>
  <c r="AF133" i="6"/>
  <c r="I297" i="4"/>
  <c r="S257" i="4"/>
  <c r="S258" i="4" s="1"/>
  <c r="S259" i="4" s="1"/>
  <c r="S260" i="4" s="1"/>
  <c r="S261" i="4" s="1"/>
  <c r="S262" i="4" s="1"/>
  <c r="S263" i="4" s="1"/>
  <c r="S264" i="4" s="1"/>
  <c r="S265" i="4" s="1"/>
  <c r="S266" i="4" s="1"/>
  <c r="J257" i="4"/>
  <c r="T140" i="4"/>
  <c r="X140" i="4" s="1"/>
  <c r="I781" i="4"/>
  <c r="S741" i="4"/>
  <c r="S742" i="4" s="1"/>
  <c r="S743" i="4" s="1"/>
  <c r="S744" i="4" s="1"/>
  <c r="S745" i="4" s="1"/>
  <c r="S746" i="4" s="1"/>
  <c r="S747" i="4" s="1"/>
  <c r="S748" i="4" s="1"/>
  <c r="S749" i="4" s="1"/>
  <c r="S750" i="4" s="1"/>
  <c r="J741" i="4"/>
  <c r="AE33" i="3"/>
  <c r="AB239" i="5"/>
  <c r="AA239" i="5"/>
  <c r="Z239" i="5"/>
  <c r="Y239" i="5"/>
  <c r="U45" i="4"/>
  <c r="I869" i="4"/>
  <c r="S829" i="4"/>
  <c r="S830" i="4" s="1"/>
  <c r="S831" i="4" s="1"/>
  <c r="S832" i="4" s="1"/>
  <c r="S833" i="4" s="1"/>
  <c r="S834" i="4" s="1"/>
  <c r="S835" i="4" s="1"/>
  <c r="S836" i="4" s="1"/>
  <c r="S837" i="4" s="1"/>
  <c r="S838" i="4" s="1"/>
  <c r="J829" i="4"/>
  <c r="AD674" i="6"/>
  <c r="AF673" i="6"/>
  <c r="AG551" i="6"/>
  <c r="AJ551" i="6"/>
  <c r="AI551" i="6"/>
  <c r="AH551" i="6"/>
  <c r="I385" i="4"/>
  <c r="S345" i="4"/>
  <c r="S346" i="4" s="1"/>
  <c r="S347" i="4" s="1"/>
  <c r="S348" i="4" s="1"/>
  <c r="S349" i="4" s="1"/>
  <c r="S350" i="4" s="1"/>
  <c r="S351" i="4" s="1"/>
  <c r="S352" i="4" s="1"/>
  <c r="S353" i="4" s="1"/>
  <c r="S354" i="4" s="1"/>
  <c r="J345" i="4"/>
  <c r="H1133" i="4"/>
  <c r="K693" i="4"/>
  <c r="AI132" i="6"/>
  <c r="AG132" i="6"/>
  <c r="AJ132" i="6"/>
  <c r="AH132" i="6"/>
  <c r="I913" i="4"/>
  <c r="S873" i="4"/>
  <c r="S874" i="4" s="1"/>
  <c r="S875" i="4" s="1"/>
  <c r="S876" i="4" s="1"/>
  <c r="S877" i="4" s="1"/>
  <c r="S878" i="4" s="1"/>
  <c r="S879" i="4" s="1"/>
  <c r="S880" i="4" s="1"/>
  <c r="S881" i="4" s="1"/>
  <c r="S882" i="4" s="1"/>
  <c r="J873" i="4"/>
  <c r="K1133" i="4"/>
  <c r="P91" i="4"/>
  <c r="I1265" i="4"/>
  <c r="S1225" i="4"/>
  <c r="S1226" i="4" s="1"/>
  <c r="S1227" i="4" s="1"/>
  <c r="S1228" i="4" s="1"/>
  <c r="S1229" i="4" s="1"/>
  <c r="S1230" i="4" s="1"/>
  <c r="S1231" i="4" s="1"/>
  <c r="S1232" i="4" s="1"/>
  <c r="S1233" i="4" s="1"/>
  <c r="S1234" i="4" s="1"/>
  <c r="J1225" i="4"/>
  <c r="V61" i="5"/>
  <c r="X60" i="5"/>
  <c r="K869" i="4"/>
  <c r="H1001" i="4"/>
  <c r="I1133" i="4"/>
  <c r="S1093" i="4"/>
  <c r="S1094" i="4" s="1"/>
  <c r="S1095" i="4" s="1"/>
  <c r="S1096" i="4" s="1"/>
  <c r="S1097" i="4" s="1"/>
  <c r="S1098" i="4" s="1"/>
  <c r="S1099" i="4" s="1"/>
  <c r="S1100" i="4" s="1"/>
  <c r="S1101" i="4" s="1"/>
  <c r="S1102" i="4" s="1"/>
  <c r="J1093" i="4"/>
  <c r="AB59" i="5"/>
  <c r="AA59" i="5"/>
  <c r="Z59" i="5"/>
  <c r="Y59" i="5"/>
  <c r="I429" i="4"/>
  <c r="S389" i="4"/>
  <c r="S390" i="4" s="1"/>
  <c r="S391" i="4" s="1"/>
  <c r="S392" i="4" s="1"/>
  <c r="S393" i="4" s="1"/>
  <c r="S394" i="4" s="1"/>
  <c r="S395" i="4" s="1"/>
  <c r="S396" i="4" s="1"/>
  <c r="S397" i="4" s="1"/>
  <c r="S398" i="4" s="1"/>
  <c r="J389" i="4"/>
  <c r="I1177" i="4"/>
  <c r="S1137" i="4"/>
  <c r="S1138" i="4" s="1"/>
  <c r="S1139" i="4" s="1"/>
  <c r="S1140" i="4" s="1"/>
  <c r="S1141" i="4" s="1"/>
  <c r="S1142" i="4" s="1"/>
  <c r="S1143" i="4" s="1"/>
  <c r="S1144" i="4" s="1"/>
  <c r="S1145" i="4" s="1"/>
  <c r="S1146" i="4" s="1"/>
  <c r="J1137" i="4"/>
  <c r="AA180" i="5"/>
  <c r="AB180" i="5"/>
  <c r="Z180" i="5"/>
  <c r="Y180" i="5"/>
  <c r="AI583" i="6"/>
  <c r="AJ583" i="6"/>
  <c r="AH583" i="6"/>
  <c r="AG583" i="6"/>
  <c r="Q141" i="4"/>
  <c r="U141" i="4" s="1"/>
  <c r="AI434" i="6"/>
  <c r="AH434" i="6"/>
  <c r="AG434" i="6"/>
  <c r="AJ434" i="6"/>
  <c r="X181" i="5"/>
  <c r="V182" i="5"/>
  <c r="AD585" i="6"/>
  <c r="AF584" i="6"/>
  <c r="I693" i="4"/>
  <c r="S653" i="4"/>
  <c r="S654" i="4" s="1"/>
  <c r="S655" i="4" s="1"/>
  <c r="S656" i="4" s="1"/>
  <c r="S657" i="4" s="1"/>
  <c r="S658" i="4" s="1"/>
  <c r="S659" i="4" s="1"/>
  <c r="S660" i="4" s="1"/>
  <c r="S661" i="4" s="1"/>
  <c r="S662" i="4" s="1"/>
  <c r="J653" i="4"/>
  <c r="AJ733" i="6"/>
  <c r="AI733" i="6"/>
  <c r="AH733" i="6"/>
  <c r="AG733" i="6"/>
  <c r="AH163" i="6"/>
  <c r="AJ163" i="6"/>
  <c r="AI163" i="6"/>
  <c r="AG163" i="6"/>
  <c r="AF255" i="6"/>
  <c r="AD256" i="6"/>
  <c r="W92" i="4"/>
  <c r="S93" i="4" s="1"/>
  <c r="AF435" i="6"/>
  <c r="AD436" i="6"/>
  <c r="K385" i="4"/>
  <c r="Y139" i="4"/>
  <c r="S618" i="4" l="1"/>
  <c r="T44" i="4"/>
  <c r="P92" i="4"/>
  <c r="S574" i="4"/>
  <c r="I605" i="4"/>
  <c r="P140" i="4"/>
  <c r="X270" i="5"/>
  <c r="V271" i="5"/>
  <c r="AB269" i="5"/>
  <c r="Z269" i="5"/>
  <c r="Y269" i="5"/>
  <c r="AA269" i="5"/>
  <c r="I649" i="4"/>
  <c r="T93" i="4"/>
  <c r="X93" i="4"/>
  <c r="N140" i="4"/>
  <c r="Z140" i="4"/>
  <c r="N139" i="4"/>
  <c r="Z139" i="4"/>
  <c r="AA90" i="5"/>
  <c r="AB90" i="5"/>
  <c r="Z90" i="5"/>
  <c r="Y90" i="5"/>
  <c r="N184" i="4"/>
  <c r="AG139" i="4"/>
  <c r="V1137" i="4"/>
  <c r="Q1137" i="4"/>
  <c r="V1269" i="4"/>
  <c r="Q1269" i="4"/>
  <c r="AH255" i="6"/>
  <c r="AG255" i="6"/>
  <c r="AJ255" i="6"/>
  <c r="AI255" i="6"/>
  <c r="AI584" i="6"/>
  <c r="AG584" i="6"/>
  <c r="AJ584" i="6"/>
  <c r="AH584" i="6"/>
  <c r="AH103" i="6"/>
  <c r="AG103" i="6"/>
  <c r="AJ103" i="6"/>
  <c r="AI103" i="6"/>
  <c r="V1093" i="4"/>
  <c r="Q1093" i="4"/>
  <c r="V1005" i="4"/>
  <c r="Q1005" i="4"/>
  <c r="AD496" i="6"/>
  <c r="AF495" i="6"/>
  <c r="AD33" i="3"/>
  <c r="Z33" i="3" s="1"/>
  <c r="X91" i="5"/>
  <c r="V92" i="5"/>
  <c r="X122" i="5"/>
  <c r="V123" i="5"/>
  <c r="Q609" i="4"/>
  <c r="V609" i="4"/>
  <c r="AG403" i="6"/>
  <c r="AJ403" i="6"/>
  <c r="AI403" i="6"/>
  <c r="AH403" i="6"/>
  <c r="AB150" i="5"/>
  <c r="AA150" i="5"/>
  <c r="Z150" i="5"/>
  <c r="Y150" i="5"/>
  <c r="K429" i="4"/>
  <c r="Q697" i="4"/>
  <c r="V697" i="4"/>
  <c r="Y121" i="5"/>
  <c r="AB121" i="5"/>
  <c r="AA121" i="5"/>
  <c r="Z121" i="5"/>
  <c r="AF256" i="6"/>
  <c r="AD257" i="6"/>
  <c r="V961" i="4"/>
  <c r="Q961" i="4"/>
  <c r="AG33" i="3"/>
  <c r="AI32" i="3"/>
  <c r="AF285" i="6"/>
  <c r="AD286" i="6"/>
  <c r="X151" i="5"/>
  <c r="V152" i="5"/>
  <c r="Q565" i="4"/>
  <c r="V565" i="4"/>
  <c r="V301" i="4"/>
  <c r="Q301" i="4"/>
  <c r="M184" i="4"/>
  <c r="AG91" i="4"/>
  <c r="P44" i="4"/>
  <c r="V1225" i="4"/>
  <c r="Q1225" i="4"/>
  <c r="AD586" i="6"/>
  <c r="AF585" i="6"/>
  <c r="V829" i="4"/>
  <c r="Q829" i="4"/>
  <c r="AA34" i="3"/>
  <c r="AE34" i="3" s="1"/>
  <c r="AJ552" i="6"/>
  <c r="AI552" i="6"/>
  <c r="AH552" i="6"/>
  <c r="AG552" i="6"/>
  <c r="V917" i="4"/>
  <c r="Q917" i="4"/>
  <c r="AA240" i="5"/>
  <c r="AB240" i="5"/>
  <c r="Z240" i="5"/>
  <c r="Y240" i="5"/>
  <c r="AI374" i="6"/>
  <c r="AJ374" i="6"/>
  <c r="AH374" i="6"/>
  <c r="AG374" i="6"/>
  <c r="AD345" i="6"/>
  <c r="AF344" i="6"/>
  <c r="AJ284" i="6"/>
  <c r="AI284" i="6"/>
  <c r="AH284" i="6"/>
  <c r="AG284" i="6"/>
  <c r="R95" i="4"/>
  <c r="V95" i="4" s="1"/>
  <c r="AD707" i="6"/>
  <c r="AF706" i="6"/>
  <c r="AD766" i="6"/>
  <c r="AF765" i="6"/>
  <c r="AJ613" i="6"/>
  <c r="AI613" i="6"/>
  <c r="AH613" i="6"/>
  <c r="AG613" i="6"/>
  <c r="AF165" i="6"/>
  <c r="AD166" i="6"/>
  <c r="V345" i="4"/>
  <c r="Q345" i="4"/>
  <c r="X61" i="5"/>
  <c r="V62" i="5"/>
  <c r="V741" i="4"/>
  <c r="Q741" i="4"/>
  <c r="AF553" i="6"/>
  <c r="AD554" i="6"/>
  <c r="X241" i="5"/>
  <c r="V242" i="5"/>
  <c r="AD376" i="6"/>
  <c r="AF375" i="6"/>
  <c r="Z32" i="3"/>
  <c r="AH705" i="6"/>
  <c r="AG705" i="6"/>
  <c r="AJ705" i="6"/>
  <c r="AI705" i="6"/>
  <c r="AJ764" i="6"/>
  <c r="AI764" i="6"/>
  <c r="AH764" i="6"/>
  <c r="AG764" i="6"/>
  <c r="V1181" i="4"/>
  <c r="Q1181" i="4"/>
  <c r="AD646" i="6"/>
  <c r="AF645" i="6"/>
  <c r="AF614" i="6"/>
  <c r="AD615" i="6"/>
  <c r="AJ164" i="6"/>
  <c r="AI164" i="6"/>
  <c r="AH164" i="6"/>
  <c r="AG164" i="6"/>
  <c r="AF465" i="6"/>
  <c r="AD466" i="6"/>
  <c r="AI494" i="6"/>
  <c r="AH494" i="6"/>
  <c r="AG494" i="6"/>
  <c r="AJ494" i="6"/>
  <c r="V257" i="4"/>
  <c r="Q257" i="4"/>
  <c r="AD405" i="6"/>
  <c r="AF404" i="6"/>
  <c r="AD437" i="6"/>
  <c r="AF436" i="6"/>
  <c r="W93" i="4"/>
  <c r="Y92" i="4"/>
  <c r="AA60" i="5"/>
  <c r="AB60" i="5"/>
  <c r="Z60" i="5"/>
  <c r="Y60" i="5"/>
  <c r="V873" i="4"/>
  <c r="Q873" i="4"/>
  <c r="AJ435" i="6"/>
  <c r="AI435" i="6"/>
  <c r="AH435" i="6"/>
  <c r="AG435" i="6"/>
  <c r="R141" i="4"/>
  <c r="V141" i="4" s="1"/>
  <c r="AJ673" i="6"/>
  <c r="AI673" i="6"/>
  <c r="AH673" i="6"/>
  <c r="AG673" i="6"/>
  <c r="AH133" i="6"/>
  <c r="AI133" i="6"/>
  <c r="AJ133" i="6"/>
  <c r="AG133" i="6"/>
  <c r="V521" i="4"/>
  <c r="Q521" i="4"/>
  <c r="AD525" i="6"/>
  <c r="AF524" i="6"/>
  <c r="X212" i="5"/>
  <c r="V213" i="5"/>
  <c r="V477" i="4"/>
  <c r="Q477" i="4"/>
  <c r="U95" i="4"/>
  <c r="V45" i="4"/>
  <c r="L184" i="4"/>
  <c r="AG43" i="4"/>
  <c r="AF195" i="6"/>
  <c r="AD196" i="6"/>
  <c r="V1313" i="4"/>
  <c r="Q1313" i="4"/>
  <c r="AH644" i="6"/>
  <c r="AG644" i="6"/>
  <c r="AJ644" i="6"/>
  <c r="AI644" i="6"/>
  <c r="N91" i="4"/>
  <c r="Z91" i="4"/>
  <c r="AD105" i="6"/>
  <c r="AF104" i="6"/>
  <c r="AJ313" i="6"/>
  <c r="AI313" i="6"/>
  <c r="AH313" i="6"/>
  <c r="AG313" i="6"/>
  <c r="X182" i="5"/>
  <c r="V183" i="5"/>
  <c r="V389" i="4"/>
  <c r="Q389" i="4"/>
  <c r="AB181" i="5"/>
  <c r="Z181" i="5"/>
  <c r="Y181" i="5"/>
  <c r="AA181" i="5"/>
  <c r="V433" i="4"/>
  <c r="Q433" i="4"/>
  <c r="K1353" i="4"/>
  <c r="AH343" i="6"/>
  <c r="AG343" i="6"/>
  <c r="AI343" i="6"/>
  <c r="AJ343" i="6"/>
  <c r="Q653" i="4"/>
  <c r="V653" i="4"/>
  <c r="AF674" i="6"/>
  <c r="AD675" i="6"/>
  <c r="Q46" i="4"/>
  <c r="U46" i="4" s="1"/>
  <c r="AF134" i="6"/>
  <c r="AD135" i="6"/>
  <c r="AG523" i="6"/>
  <c r="AJ523" i="6"/>
  <c r="AI523" i="6"/>
  <c r="AH523" i="6"/>
  <c r="AA211" i="5"/>
  <c r="AB211" i="5"/>
  <c r="Y211" i="5"/>
  <c r="Z211" i="5"/>
  <c r="AH225" i="6"/>
  <c r="AJ225" i="6"/>
  <c r="AI225" i="6"/>
  <c r="AG225" i="6"/>
  <c r="V1049" i="4"/>
  <c r="Q1049" i="4"/>
  <c r="K737" i="4"/>
  <c r="X44" i="4"/>
  <c r="AH194" i="6"/>
  <c r="AG194" i="6"/>
  <c r="AJ194" i="6"/>
  <c r="AI194" i="6"/>
  <c r="X301" i="5"/>
  <c r="V302" i="5"/>
  <c r="N92" i="4"/>
  <c r="Z92" i="4"/>
  <c r="K1309" i="4"/>
  <c r="K561" i="4"/>
  <c r="Q142" i="4"/>
  <c r="AD227" i="6"/>
  <c r="AF226" i="6"/>
  <c r="AD315" i="6"/>
  <c r="AF314" i="6"/>
  <c r="AJ464" i="6"/>
  <c r="AI464" i="6"/>
  <c r="AH464" i="6"/>
  <c r="AG464" i="6"/>
  <c r="V785" i="4"/>
  <c r="Q785" i="4"/>
  <c r="AD75" i="6"/>
  <c r="AF74" i="6"/>
  <c r="Y300" i="5"/>
  <c r="AB300" i="5"/>
  <c r="AA300" i="5"/>
  <c r="Z300" i="5"/>
  <c r="W140" i="4"/>
  <c r="S141" i="4" s="1"/>
  <c r="AD736" i="6"/>
  <c r="AF735" i="6"/>
  <c r="W45" i="4"/>
  <c r="AH73" i="6"/>
  <c r="AG73" i="6"/>
  <c r="AJ73" i="6"/>
  <c r="AI73" i="6"/>
  <c r="K517" i="4"/>
  <c r="AJ734" i="6"/>
  <c r="AH734" i="6"/>
  <c r="AG734" i="6"/>
  <c r="AI734" i="6"/>
  <c r="AH33" i="3" l="1"/>
  <c r="X271" i="5"/>
  <c r="V272" i="5"/>
  <c r="AA270" i="5"/>
  <c r="AB270" i="5"/>
  <c r="Y270" i="5"/>
  <c r="Z270" i="5"/>
  <c r="Q47" i="4"/>
  <c r="AA35" i="3"/>
  <c r="Q566" i="4"/>
  <c r="U565" i="4"/>
  <c r="AA565" i="4" s="1"/>
  <c r="V566" i="4"/>
  <c r="Q698" i="4"/>
  <c r="U697" i="4"/>
  <c r="AA697" i="4" s="1"/>
  <c r="V698" i="4"/>
  <c r="U1137" i="4"/>
  <c r="AA1137" i="4" s="1"/>
  <c r="Q1138" i="4"/>
  <c r="V1138" i="4"/>
  <c r="AJ195" i="6"/>
  <c r="AH195" i="6"/>
  <c r="AG195" i="6"/>
  <c r="AI195" i="6"/>
  <c r="AJ74" i="6"/>
  <c r="AI74" i="6"/>
  <c r="AH74" i="6"/>
  <c r="AG74" i="6"/>
  <c r="U257" i="4"/>
  <c r="AA257" i="4" s="1"/>
  <c r="Q258" i="4"/>
  <c r="V258" i="4"/>
  <c r="Q918" i="4"/>
  <c r="U917" i="4"/>
  <c r="AA917" i="4" s="1"/>
  <c r="V918" i="4"/>
  <c r="AI33" i="3"/>
  <c r="N44" i="4"/>
  <c r="Z44" i="4"/>
  <c r="AG495" i="6"/>
  <c r="AJ495" i="6"/>
  <c r="AH495" i="6"/>
  <c r="AI495" i="6"/>
  <c r="W141" i="4"/>
  <c r="S142" i="4" s="1"/>
  <c r="Y140" i="4"/>
  <c r="AF75" i="6"/>
  <c r="AD76" i="6"/>
  <c r="Q1050" i="4"/>
  <c r="U1049" i="4"/>
  <c r="AA1049" i="4" s="1"/>
  <c r="V1050" i="4"/>
  <c r="T141" i="4"/>
  <c r="X141" i="4" s="1"/>
  <c r="AJ375" i="6"/>
  <c r="AH375" i="6"/>
  <c r="AI375" i="6"/>
  <c r="AG375" i="6"/>
  <c r="Q830" i="4"/>
  <c r="U829" i="4"/>
  <c r="AA829" i="4" s="1"/>
  <c r="V830" i="4"/>
  <c r="X152" i="5"/>
  <c r="V153" i="5"/>
  <c r="U609" i="4"/>
  <c r="AA609" i="4" s="1"/>
  <c r="Q610" i="4"/>
  <c r="V610" i="4"/>
  <c r="AD497" i="6"/>
  <c r="AF496" i="6"/>
  <c r="Q1094" i="4"/>
  <c r="U1093" i="4"/>
  <c r="AA1093" i="4" s="1"/>
  <c r="V1094" i="4"/>
  <c r="AA151" i="5"/>
  <c r="Z151" i="5"/>
  <c r="Y151" i="5"/>
  <c r="AB151" i="5"/>
  <c r="AF257" i="6"/>
  <c r="AD258" i="6"/>
  <c r="Q1006" i="4"/>
  <c r="U1005" i="4"/>
  <c r="AA1005" i="4" s="1"/>
  <c r="V1006" i="4"/>
  <c r="AJ735" i="6"/>
  <c r="AI735" i="6"/>
  <c r="AH735" i="6"/>
  <c r="AG735" i="6"/>
  <c r="AA182" i="5"/>
  <c r="Z182" i="5"/>
  <c r="Y182" i="5"/>
  <c r="AB182" i="5"/>
  <c r="U477" i="4"/>
  <c r="AA477" i="4" s="1"/>
  <c r="Q478" i="4"/>
  <c r="V478" i="4"/>
  <c r="AF405" i="6"/>
  <c r="AD406" i="6"/>
  <c r="AJ465" i="6"/>
  <c r="AI465" i="6"/>
  <c r="AH465" i="6"/>
  <c r="AG465" i="6"/>
  <c r="AF707" i="6"/>
  <c r="AD708" i="6"/>
  <c r="V214" i="5"/>
  <c r="X213" i="5"/>
  <c r="AD377" i="6"/>
  <c r="AF376" i="6"/>
  <c r="AF227" i="6"/>
  <c r="AD228" i="6"/>
  <c r="X242" i="5"/>
  <c r="V243" i="5"/>
  <c r="AF286" i="6"/>
  <c r="AD287" i="6"/>
  <c r="AG256" i="6"/>
  <c r="AJ256" i="6"/>
  <c r="AI256" i="6"/>
  <c r="AH256" i="6"/>
  <c r="T45" i="4"/>
  <c r="P45" i="4" s="1"/>
  <c r="AJ104" i="6"/>
  <c r="AI104" i="6"/>
  <c r="AH104" i="6"/>
  <c r="AG104" i="6"/>
  <c r="U1313" i="4"/>
  <c r="AA1313" i="4" s="1"/>
  <c r="Q1314" i="4"/>
  <c r="V1314" i="4"/>
  <c r="AJ524" i="6"/>
  <c r="AH524" i="6"/>
  <c r="AI524" i="6"/>
  <c r="AG524" i="6"/>
  <c r="M185" i="4"/>
  <c r="AG92" i="4"/>
  <c r="AD616" i="6"/>
  <c r="AF615" i="6"/>
  <c r="AB241" i="5"/>
  <c r="AA241" i="5"/>
  <c r="Z241" i="5"/>
  <c r="Y241" i="5"/>
  <c r="AB61" i="5"/>
  <c r="AA61" i="5"/>
  <c r="Z61" i="5"/>
  <c r="Y61" i="5"/>
  <c r="AH285" i="6"/>
  <c r="AG285" i="6"/>
  <c r="AI285" i="6"/>
  <c r="AJ285" i="6"/>
  <c r="V124" i="5"/>
  <c r="X123" i="5"/>
  <c r="AD737" i="6"/>
  <c r="AF736" i="6"/>
  <c r="AA212" i="5"/>
  <c r="Z212" i="5"/>
  <c r="Y212" i="5"/>
  <c r="AB212" i="5"/>
  <c r="X62" i="5"/>
  <c r="V63" i="5"/>
  <c r="R142" i="4"/>
  <c r="V142" i="4" s="1"/>
  <c r="V303" i="5"/>
  <c r="X302" i="5"/>
  <c r="AI674" i="6"/>
  <c r="AH674" i="6"/>
  <c r="AG674" i="6"/>
  <c r="AJ674" i="6"/>
  <c r="U142" i="4"/>
  <c r="AB301" i="5"/>
  <c r="AA301" i="5"/>
  <c r="Z301" i="5"/>
  <c r="Y301" i="5"/>
  <c r="Q390" i="4"/>
  <c r="U389" i="4"/>
  <c r="AA389" i="4" s="1"/>
  <c r="V390" i="4"/>
  <c r="AF105" i="6"/>
  <c r="AD106" i="6"/>
  <c r="AF525" i="6"/>
  <c r="AD526" i="6"/>
  <c r="Y93" i="4"/>
  <c r="S94" i="4"/>
  <c r="AJ614" i="6"/>
  <c r="AI614" i="6"/>
  <c r="AH614" i="6"/>
  <c r="AG614" i="6"/>
  <c r="Q346" i="4"/>
  <c r="U345" i="4"/>
  <c r="AA345" i="4" s="1"/>
  <c r="V346" i="4"/>
  <c r="AJ765" i="6"/>
  <c r="AI765" i="6"/>
  <c r="AH765" i="6"/>
  <c r="AG765" i="6"/>
  <c r="AI585" i="6"/>
  <c r="AG585" i="6"/>
  <c r="AH585" i="6"/>
  <c r="AJ585" i="6"/>
  <c r="Q302" i="4"/>
  <c r="U301" i="4"/>
  <c r="AA301" i="4" s="1"/>
  <c r="V302" i="4"/>
  <c r="AA122" i="5"/>
  <c r="Z122" i="5"/>
  <c r="Y122" i="5"/>
  <c r="AB122" i="5"/>
  <c r="AH314" i="6"/>
  <c r="AJ314" i="6"/>
  <c r="AI314" i="6"/>
  <c r="AG314" i="6"/>
  <c r="AJ134" i="6"/>
  <c r="AI134" i="6"/>
  <c r="AH134" i="6"/>
  <c r="AG134" i="6"/>
  <c r="AH165" i="6"/>
  <c r="AG165" i="6"/>
  <c r="AJ165" i="6"/>
  <c r="AI165" i="6"/>
  <c r="AD346" i="6"/>
  <c r="AF345" i="6"/>
  <c r="Q786" i="4"/>
  <c r="U785" i="4"/>
  <c r="AA785" i="4" s="1"/>
  <c r="V786" i="4"/>
  <c r="AJ226" i="6"/>
  <c r="AH226" i="6"/>
  <c r="AI226" i="6"/>
  <c r="AG226" i="6"/>
  <c r="Q654" i="4"/>
  <c r="U653" i="4"/>
  <c r="AA653" i="4" s="1"/>
  <c r="V654" i="4"/>
  <c r="Y44" i="4"/>
  <c r="Q522" i="4"/>
  <c r="U521" i="4"/>
  <c r="AA521" i="4" s="1"/>
  <c r="V522" i="4"/>
  <c r="AI436" i="6"/>
  <c r="AH436" i="6"/>
  <c r="AG436" i="6"/>
  <c r="AJ436" i="6"/>
  <c r="AJ645" i="6"/>
  <c r="AI645" i="6"/>
  <c r="AH645" i="6"/>
  <c r="AG645" i="6"/>
  <c r="AD555" i="6"/>
  <c r="AF554" i="6"/>
  <c r="AF766" i="6"/>
  <c r="AD767" i="6"/>
  <c r="AD587" i="6"/>
  <c r="AF586" i="6"/>
  <c r="X92" i="5"/>
  <c r="V93" i="5"/>
  <c r="Q1270" i="4"/>
  <c r="U1269" i="4"/>
  <c r="AA1269" i="4" s="1"/>
  <c r="V1270" i="4"/>
  <c r="AD316" i="6"/>
  <c r="AF315" i="6"/>
  <c r="S46" i="4"/>
  <c r="W46" i="4" s="1"/>
  <c r="R46" i="4"/>
  <c r="AF675" i="6"/>
  <c r="AD676" i="6"/>
  <c r="Q434" i="4"/>
  <c r="U433" i="4"/>
  <c r="AA433" i="4" s="1"/>
  <c r="V434" i="4"/>
  <c r="U873" i="4"/>
  <c r="AA873" i="4" s="1"/>
  <c r="Q874" i="4"/>
  <c r="V874" i="4"/>
  <c r="AF437" i="6"/>
  <c r="AD438" i="6"/>
  <c r="AF646" i="6"/>
  <c r="AD647" i="6"/>
  <c r="AG553" i="6"/>
  <c r="AJ553" i="6"/>
  <c r="AI553" i="6"/>
  <c r="AH553" i="6"/>
  <c r="U1225" i="4"/>
  <c r="AA1225" i="4" s="1"/>
  <c r="Q1226" i="4"/>
  <c r="V1226" i="4"/>
  <c r="U961" i="4"/>
  <c r="AA961" i="4" s="1"/>
  <c r="Q962" i="4"/>
  <c r="V962" i="4"/>
  <c r="AB91" i="5"/>
  <c r="Z91" i="5"/>
  <c r="Y91" i="5"/>
  <c r="AA91" i="5"/>
  <c r="AF135" i="6"/>
  <c r="AD136" i="6"/>
  <c r="V184" i="5"/>
  <c r="X183" i="5"/>
  <c r="AD197" i="6"/>
  <c r="AF196" i="6"/>
  <c r="Q96" i="4"/>
  <c r="U96" i="4" s="1"/>
  <c r="AI404" i="6"/>
  <c r="AG404" i="6"/>
  <c r="AH404" i="6"/>
  <c r="AJ404" i="6"/>
  <c r="AD467" i="6"/>
  <c r="AF466" i="6"/>
  <c r="Q1182" i="4"/>
  <c r="U1181" i="4"/>
  <c r="AA1181" i="4" s="1"/>
  <c r="V1182" i="4"/>
  <c r="Q742" i="4"/>
  <c r="U741" i="4"/>
  <c r="AA741" i="4" s="1"/>
  <c r="V742" i="4"/>
  <c r="AF166" i="6"/>
  <c r="AD167" i="6"/>
  <c r="AI706" i="6"/>
  <c r="AH706" i="6"/>
  <c r="AG706" i="6"/>
  <c r="AJ706" i="6"/>
  <c r="AI344" i="6"/>
  <c r="AJ344" i="6"/>
  <c r="AH344" i="6"/>
  <c r="AG344" i="6"/>
  <c r="AB34" i="3"/>
  <c r="AF34" i="3" s="1"/>
  <c r="P93" i="4"/>
  <c r="X45" i="4" l="1"/>
  <c r="Y45" i="4" s="1"/>
  <c r="P141" i="4"/>
  <c r="Y141" i="4"/>
  <c r="V46" i="4"/>
  <c r="T142" i="4"/>
  <c r="P142" i="4" s="1"/>
  <c r="AC34" i="3"/>
  <c r="AG34" i="3" s="1"/>
  <c r="V273" i="5"/>
  <c r="X272" i="5"/>
  <c r="Z271" i="5"/>
  <c r="AA271" i="5"/>
  <c r="AB271" i="5"/>
  <c r="Y271" i="5"/>
  <c r="Q97" i="4"/>
  <c r="AG675" i="6"/>
  <c r="AJ675" i="6"/>
  <c r="AI675" i="6"/>
  <c r="AH675" i="6"/>
  <c r="Q1271" i="4"/>
  <c r="U1270" i="4"/>
  <c r="AA1270" i="4" s="1"/>
  <c r="V1271" i="4"/>
  <c r="Q655" i="4"/>
  <c r="U654" i="4"/>
  <c r="AA654" i="4" s="1"/>
  <c r="V655" i="4"/>
  <c r="Q787" i="4"/>
  <c r="U786" i="4"/>
  <c r="AA786" i="4" s="1"/>
  <c r="V787" i="4"/>
  <c r="V185" i="5"/>
  <c r="X185" i="5" s="1"/>
  <c r="X184" i="5"/>
  <c r="N186" i="4"/>
  <c r="AG141" i="4"/>
  <c r="Q391" i="4"/>
  <c r="U390" i="4"/>
  <c r="AA390" i="4" s="1"/>
  <c r="V391" i="4"/>
  <c r="AA92" i="5"/>
  <c r="Z92" i="5"/>
  <c r="Y92" i="5"/>
  <c r="AB92" i="5"/>
  <c r="AF555" i="6"/>
  <c r="AD556" i="6"/>
  <c r="AD527" i="6"/>
  <c r="AF526" i="6"/>
  <c r="AA302" i="5"/>
  <c r="AB302" i="5"/>
  <c r="Y302" i="5"/>
  <c r="Z302" i="5"/>
  <c r="AB123" i="5"/>
  <c r="AA123" i="5"/>
  <c r="Z123" i="5"/>
  <c r="Y123" i="5"/>
  <c r="AA242" i="5"/>
  <c r="Z242" i="5"/>
  <c r="Y242" i="5"/>
  <c r="AB242" i="5"/>
  <c r="V154" i="5"/>
  <c r="X153" i="5"/>
  <c r="AB183" i="5"/>
  <c r="Z183" i="5"/>
  <c r="AA183" i="5"/>
  <c r="Y183" i="5"/>
  <c r="M186" i="4"/>
  <c r="AG93" i="4"/>
  <c r="AG525" i="6"/>
  <c r="AJ525" i="6"/>
  <c r="AH525" i="6"/>
  <c r="AI525" i="6"/>
  <c r="X303" i="5"/>
  <c r="V304" i="5"/>
  <c r="V125" i="5"/>
  <c r="X125" i="5" s="1"/>
  <c r="X124" i="5"/>
  <c r="AD229" i="6"/>
  <c r="AF229" i="6" s="1"/>
  <c r="AF228" i="6"/>
  <c r="AA152" i="5"/>
  <c r="Z152" i="5"/>
  <c r="Y152" i="5"/>
  <c r="AB152" i="5"/>
  <c r="AD77" i="6"/>
  <c r="AF76" i="6"/>
  <c r="V94" i="5"/>
  <c r="X93" i="5"/>
  <c r="Q523" i="4"/>
  <c r="U522" i="4"/>
  <c r="AA522" i="4" s="1"/>
  <c r="V523" i="4"/>
  <c r="Q303" i="4"/>
  <c r="U302" i="4"/>
  <c r="AA302" i="4" s="1"/>
  <c r="V303" i="4"/>
  <c r="Z93" i="4"/>
  <c r="N93" i="4"/>
  <c r="Q1183" i="4"/>
  <c r="U1182" i="4"/>
  <c r="AA1182" i="4" s="1"/>
  <c r="V1183" i="4"/>
  <c r="Q347" i="4"/>
  <c r="U346" i="4"/>
  <c r="AA346" i="4" s="1"/>
  <c r="V347" i="4"/>
  <c r="AH227" i="6"/>
  <c r="AJ227" i="6"/>
  <c r="AG227" i="6"/>
  <c r="AI227" i="6"/>
  <c r="AH75" i="6"/>
  <c r="AG75" i="6"/>
  <c r="AJ75" i="6"/>
  <c r="AI75" i="6"/>
  <c r="U258" i="4"/>
  <c r="AA258" i="4" s="1"/>
  <c r="Q259" i="4"/>
  <c r="V259" i="4"/>
  <c r="Q567" i="4"/>
  <c r="U566" i="4"/>
  <c r="AA566" i="4" s="1"/>
  <c r="V567" i="4"/>
  <c r="AF197" i="6"/>
  <c r="AD198" i="6"/>
  <c r="Q435" i="4"/>
  <c r="U434" i="4"/>
  <c r="AA434" i="4" s="1"/>
  <c r="V435" i="4"/>
  <c r="AD768" i="6"/>
  <c r="AF767" i="6"/>
  <c r="AI166" i="6"/>
  <c r="AJ166" i="6"/>
  <c r="AH166" i="6"/>
  <c r="AG166" i="6"/>
  <c r="R96" i="4"/>
  <c r="V96" i="4" s="1"/>
  <c r="AD648" i="6"/>
  <c r="AF647" i="6"/>
  <c r="AH135" i="6"/>
  <c r="AG135" i="6"/>
  <c r="AJ135" i="6"/>
  <c r="AI135" i="6"/>
  <c r="U962" i="4"/>
  <c r="AA962" i="4" s="1"/>
  <c r="Q963" i="4"/>
  <c r="V963" i="4"/>
  <c r="AG646" i="6"/>
  <c r="AI646" i="6"/>
  <c r="AH646" i="6"/>
  <c r="AJ646" i="6"/>
  <c r="L185" i="4"/>
  <c r="AG44" i="4"/>
  <c r="AJ466" i="6"/>
  <c r="AH466" i="6"/>
  <c r="AG466" i="6"/>
  <c r="AI466" i="6"/>
  <c r="AD439" i="6"/>
  <c r="AF439" i="6" s="1"/>
  <c r="AF438" i="6"/>
  <c r="AI315" i="6"/>
  <c r="AH315" i="6"/>
  <c r="AG315" i="6"/>
  <c r="AJ315" i="6"/>
  <c r="AI586" i="6"/>
  <c r="AH586" i="6"/>
  <c r="AG586" i="6"/>
  <c r="AJ586" i="6"/>
  <c r="Q1315" i="4"/>
  <c r="U1314" i="4"/>
  <c r="AA1314" i="4" s="1"/>
  <c r="V1315" i="4"/>
  <c r="AI376" i="6"/>
  <c r="AJ376" i="6"/>
  <c r="AH376" i="6"/>
  <c r="AG376" i="6"/>
  <c r="Q1007" i="4"/>
  <c r="U1006" i="4"/>
  <c r="AA1006" i="4" s="1"/>
  <c r="V1007" i="4"/>
  <c r="N185" i="4"/>
  <c r="AG140" i="4"/>
  <c r="AB35" i="3"/>
  <c r="AF136" i="6"/>
  <c r="AD137" i="6"/>
  <c r="AF467" i="6"/>
  <c r="AD468" i="6"/>
  <c r="AI196" i="6"/>
  <c r="AH196" i="6"/>
  <c r="AG196" i="6"/>
  <c r="AJ196" i="6"/>
  <c r="AJ437" i="6"/>
  <c r="AH437" i="6"/>
  <c r="AI437" i="6"/>
  <c r="AG437" i="6"/>
  <c r="AD317" i="6"/>
  <c r="AF316" i="6"/>
  <c r="AD588" i="6"/>
  <c r="AF587" i="6"/>
  <c r="AF106" i="6"/>
  <c r="AD107" i="6"/>
  <c r="AJ615" i="6"/>
  <c r="AI615" i="6"/>
  <c r="AG615" i="6"/>
  <c r="AH615" i="6"/>
  <c r="AD378" i="6"/>
  <c r="AF377" i="6"/>
  <c r="AD259" i="6"/>
  <c r="AF259" i="6" s="1"/>
  <c r="AF258" i="6"/>
  <c r="Q1095" i="4"/>
  <c r="U1094" i="4"/>
  <c r="AA1094" i="4" s="1"/>
  <c r="V1095" i="4"/>
  <c r="Q831" i="4"/>
  <c r="U830" i="4"/>
  <c r="AA830" i="4" s="1"/>
  <c r="V831" i="4"/>
  <c r="W142" i="4"/>
  <c r="AF167" i="6"/>
  <c r="AD168" i="6"/>
  <c r="U1226" i="4"/>
  <c r="AA1226" i="4" s="1"/>
  <c r="Q1227" i="4"/>
  <c r="V1227" i="4"/>
  <c r="AH105" i="6"/>
  <c r="AG105" i="6"/>
  <c r="AJ105" i="6"/>
  <c r="AI105" i="6"/>
  <c r="Q143" i="4"/>
  <c r="AF616" i="6"/>
  <c r="AD617" i="6"/>
  <c r="N141" i="4"/>
  <c r="Z141" i="4"/>
  <c r="AH257" i="6"/>
  <c r="AG257" i="6"/>
  <c r="AI257" i="6"/>
  <c r="AJ257" i="6"/>
  <c r="AH496" i="6"/>
  <c r="AJ496" i="6"/>
  <c r="AI496" i="6"/>
  <c r="AG496" i="6"/>
  <c r="Q1139" i="4"/>
  <c r="U1138" i="4"/>
  <c r="AA1138" i="4" s="1"/>
  <c r="V1139" i="4"/>
  <c r="AE35" i="3"/>
  <c r="Q875" i="4"/>
  <c r="U874" i="4"/>
  <c r="AA874" i="4" s="1"/>
  <c r="V875" i="4"/>
  <c r="AF676" i="6"/>
  <c r="AD677" i="6"/>
  <c r="AJ766" i="6"/>
  <c r="AI766" i="6"/>
  <c r="AH766" i="6"/>
  <c r="AG766" i="6"/>
  <c r="V64" i="5"/>
  <c r="X63" i="5"/>
  <c r="Z213" i="5"/>
  <c r="AB213" i="5"/>
  <c r="AA213" i="5"/>
  <c r="Y213" i="5"/>
  <c r="AD407" i="6"/>
  <c r="AF406" i="6"/>
  <c r="AD498" i="6"/>
  <c r="AF497" i="6"/>
  <c r="Q1051" i="4"/>
  <c r="U1050" i="4"/>
  <c r="AA1050" i="4" s="1"/>
  <c r="V1051" i="4"/>
  <c r="T94" i="4"/>
  <c r="X94" i="4" s="1"/>
  <c r="AA62" i="5"/>
  <c r="Z62" i="5"/>
  <c r="Y62" i="5"/>
  <c r="AB62" i="5"/>
  <c r="AF287" i="6"/>
  <c r="AD288" i="6"/>
  <c r="V215" i="5"/>
  <c r="X215" i="5" s="1"/>
  <c r="X214" i="5"/>
  <c r="AJ405" i="6"/>
  <c r="AI405" i="6"/>
  <c r="AH405" i="6"/>
  <c r="AG405" i="6"/>
  <c r="R47" i="4"/>
  <c r="AH736" i="6"/>
  <c r="AG736" i="6"/>
  <c r="AJ736" i="6"/>
  <c r="AI736" i="6"/>
  <c r="AG286" i="6"/>
  <c r="AH286" i="6"/>
  <c r="AJ286" i="6"/>
  <c r="AI286" i="6"/>
  <c r="AD709" i="6"/>
  <c r="AF709" i="6" s="1"/>
  <c r="AF708" i="6"/>
  <c r="U610" i="4"/>
  <c r="AA610" i="4" s="1"/>
  <c r="Q611" i="4"/>
  <c r="V611" i="4"/>
  <c r="AG345" i="6"/>
  <c r="AJ345" i="6"/>
  <c r="AI345" i="6"/>
  <c r="AH345" i="6"/>
  <c r="U742" i="4"/>
  <c r="AA742" i="4" s="1"/>
  <c r="Q743" i="4"/>
  <c r="V743" i="4"/>
  <c r="AJ554" i="6"/>
  <c r="AI554" i="6"/>
  <c r="AG554" i="6"/>
  <c r="AH554" i="6"/>
  <c r="AD347" i="6"/>
  <c r="AF346" i="6"/>
  <c r="W94" i="4"/>
  <c r="AD738" i="6"/>
  <c r="AF737" i="6"/>
  <c r="N45" i="4"/>
  <c r="Z45" i="4"/>
  <c r="V244" i="5"/>
  <c r="X243" i="5"/>
  <c r="AI707" i="6"/>
  <c r="AH707" i="6"/>
  <c r="AG707" i="6"/>
  <c r="AJ707" i="6"/>
  <c r="Q479" i="4"/>
  <c r="U478" i="4"/>
  <c r="AA478" i="4" s="1"/>
  <c r="V479" i="4"/>
  <c r="Q919" i="4"/>
  <c r="U918" i="4"/>
  <c r="AA918" i="4" s="1"/>
  <c r="V919" i="4"/>
  <c r="Q699" i="4"/>
  <c r="U698" i="4"/>
  <c r="AA698" i="4" s="1"/>
  <c r="V699" i="4"/>
  <c r="U47" i="4"/>
  <c r="P94" i="4" l="1"/>
  <c r="T46" i="4"/>
  <c r="X142" i="4"/>
  <c r="N142" i="4"/>
  <c r="Z142" i="4"/>
  <c r="AA272" i="5"/>
  <c r="Z272" i="5"/>
  <c r="Y272" i="5"/>
  <c r="AB272" i="5"/>
  <c r="V274" i="5"/>
  <c r="X273" i="5"/>
  <c r="Y142" i="4"/>
  <c r="AD34" i="3"/>
  <c r="AC35" i="3"/>
  <c r="AG35" i="3" s="1"/>
  <c r="AG142" i="4"/>
  <c r="N187" i="4"/>
  <c r="U919" i="4"/>
  <c r="AA919" i="4" s="1"/>
  <c r="Q920" i="4"/>
  <c r="V920" i="4"/>
  <c r="AF738" i="6"/>
  <c r="AD739" i="6"/>
  <c r="AF739" i="6" s="1"/>
  <c r="R143" i="4"/>
  <c r="V143" i="4" s="1"/>
  <c r="S143" i="4"/>
  <c r="W143" i="4" s="1"/>
  <c r="AI346" i="6"/>
  <c r="AG346" i="6"/>
  <c r="AJ346" i="6"/>
  <c r="AH346" i="6"/>
  <c r="AJ709" i="6"/>
  <c r="AI709" i="6"/>
  <c r="AH709" i="6"/>
  <c r="AG709" i="6"/>
  <c r="S47" i="4"/>
  <c r="W47" i="4" s="1"/>
  <c r="AH287" i="6"/>
  <c r="AG287" i="6"/>
  <c r="AI287" i="6"/>
  <c r="AJ287" i="6"/>
  <c r="AG497" i="6"/>
  <c r="AJ497" i="6"/>
  <c r="AI497" i="6"/>
  <c r="AH497" i="6"/>
  <c r="V65" i="5"/>
  <c r="X65" i="5" s="1"/>
  <c r="X64" i="5"/>
  <c r="AA36" i="3"/>
  <c r="AJ258" i="6"/>
  <c r="AI258" i="6"/>
  <c r="AH258" i="6"/>
  <c r="AG258" i="6"/>
  <c r="AI587" i="6"/>
  <c r="AJ587" i="6"/>
  <c r="AH587" i="6"/>
  <c r="AG587" i="6"/>
  <c r="V95" i="5"/>
  <c r="X95" i="5" s="1"/>
  <c r="X94" i="5"/>
  <c r="AB124" i="5"/>
  <c r="Z124" i="5"/>
  <c r="AA124" i="5"/>
  <c r="Y124" i="5"/>
  <c r="AD557" i="6"/>
  <c r="AF556" i="6"/>
  <c r="Q392" i="4"/>
  <c r="U391" i="4"/>
  <c r="AA391" i="4" s="1"/>
  <c r="V392" i="4"/>
  <c r="Q656" i="4"/>
  <c r="U655" i="4"/>
  <c r="AA655" i="4" s="1"/>
  <c r="V656" i="4"/>
  <c r="AD499" i="6"/>
  <c r="AF499" i="6" s="1"/>
  <c r="AF498" i="6"/>
  <c r="AH259" i="6"/>
  <c r="AG259" i="6"/>
  <c r="AJ259" i="6"/>
  <c r="AI259" i="6"/>
  <c r="AD589" i="6"/>
  <c r="AF589" i="6" s="1"/>
  <c r="AF588" i="6"/>
  <c r="Q568" i="4"/>
  <c r="U567" i="4"/>
  <c r="AA567" i="4" s="1"/>
  <c r="V568" i="4"/>
  <c r="Z125" i="5"/>
  <c r="Y125" i="5"/>
  <c r="AA125" i="5"/>
  <c r="AB125" i="5"/>
  <c r="AG555" i="6"/>
  <c r="AJ555" i="6"/>
  <c r="AI555" i="6"/>
  <c r="AH555" i="6"/>
  <c r="U611" i="4"/>
  <c r="AA611" i="4" s="1"/>
  <c r="Q612" i="4"/>
  <c r="V612" i="4"/>
  <c r="Z215" i="5"/>
  <c r="Y215" i="5"/>
  <c r="AA215" i="5"/>
  <c r="AB215" i="5"/>
  <c r="AD348" i="6"/>
  <c r="AF347" i="6"/>
  <c r="U699" i="4"/>
  <c r="AA699" i="4" s="1"/>
  <c r="Q700" i="4"/>
  <c r="V700" i="4"/>
  <c r="AI406" i="6"/>
  <c r="AG406" i="6"/>
  <c r="AJ406" i="6"/>
  <c r="AH406" i="6"/>
  <c r="AG377" i="6"/>
  <c r="AH377" i="6"/>
  <c r="AJ377" i="6"/>
  <c r="AI377" i="6"/>
  <c r="AH316" i="6"/>
  <c r="AI316" i="6"/>
  <c r="AJ316" i="6"/>
  <c r="AG316" i="6"/>
  <c r="AD469" i="6"/>
  <c r="AF469" i="6" s="1"/>
  <c r="AF468" i="6"/>
  <c r="Q1316" i="4"/>
  <c r="U1315" i="4"/>
  <c r="AA1315" i="4" s="1"/>
  <c r="V1316" i="4"/>
  <c r="AI438" i="6"/>
  <c r="AH438" i="6"/>
  <c r="AG438" i="6"/>
  <c r="AJ438" i="6"/>
  <c r="AJ647" i="6"/>
  <c r="AI647" i="6"/>
  <c r="AH647" i="6"/>
  <c r="AG647" i="6"/>
  <c r="AJ767" i="6"/>
  <c r="AI767" i="6"/>
  <c r="AH767" i="6"/>
  <c r="AG767" i="6"/>
  <c r="AJ76" i="6"/>
  <c r="AI76" i="6"/>
  <c r="AH76" i="6"/>
  <c r="AG76" i="6"/>
  <c r="V305" i="5"/>
  <c r="X305" i="5" s="1"/>
  <c r="X304" i="5"/>
  <c r="V47" i="4"/>
  <c r="AD379" i="6"/>
  <c r="AF379" i="6" s="1"/>
  <c r="AF378" i="6"/>
  <c r="AF317" i="6"/>
  <c r="AD318" i="6"/>
  <c r="AG467" i="6"/>
  <c r="AJ467" i="6"/>
  <c r="AI467" i="6"/>
  <c r="AH467" i="6"/>
  <c r="AJ439" i="6"/>
  <c r="AI439" i="6"/>
  <c r="AH439" i="6"/>
  <c r="AG439" i="6"/>
  <c r="AD769" i="6"/>
  <c r="AF769" i="6" s="1"/>
  <c r="AF768" i="6"/>
  <c r="Q260" i="4"/>
  <c r="U259" i="4"/>
  <c r="AA259" i="4" s="1"/>
  <c r="V260" i="4"/>
  <c r="AD78" i="6"/>
  <c r="AF77" i="6"/>
  <c r="AB303" i="5"/>
  <c r="AA303" i="5"/>
  <c r="Z303" i="5"/>
  <c r="Y303" i="5"/>
  <c r="L186" i="4"/>
  <c r="AG45" i="4"/>
  <c r="Z184" i="5"/>
  <c r="Y184" i="5"/>
  <c r="AB184" i="5"/>
  <c r="AA184" i="5"/>
  <c r="U1271" i="4"/>
  <c r="AA1271" i="4" s="1"/>
  <c r="Q1272" i="4"/>
  <c r="V1272" i="4"/>
  <c r="Z243" i="5"/>
  <c r="AB243" i="5"/>
  <c r="AA243" i="5"/>
  <c r="Y243" i="5"/>
  <c r="AD408" i="6"/>
  <c r="AF407" i="6"/>
  <c r="U1139" i="4"/>
  <c r="AA1139" i="4" s="1"/>
  <c r="Q1140" i="4"/>
  <c r="V1140" i="4"/>
  <c r="AF648" i="6"/>
  <c r="AD649" i="6"/>
  <c r="AF649" i="6" s="1"/>
  <c r="V245" i="5"/>
  <c r="X245" i="5" s="1"/>
  <c r="X244" i="5"/>
  <c r="AD618" i="6"/>
  <c r="AF617" i="6"/>
  <c r="AD138" i="6"/>
  <c r="AF137" i="6"/>
  <c r="AJ526" i="6"/>
  <c r="AG526" i="6"/>
  <c r="AI526" i="6"/>
  <c r="AH526" i="6"/>
  <c r="Z185" i="5"/>
  <c r="Y185" i="5"/>
  <c r="AB185" i="5"/>
  <c r="AA185" i="5"/>
  <c r="N94" i="4"/>
  <c r="Z94" i="4"/>
  <c r="AD678" i="6"/>
  <c r="AF677" i="6"/>
  <c r="AG616" i="6"/>
  <c r="AH616" i="6"/>
  <c r="AI616" i="6"/>
  <c r="AJ616" i="6"/>
  <c r="AH136" i="6"/>
  <c r="AJ136" i="6"/>
  <c r="AI136" i="6"/>
  <c r="AG136" i="6"/>
  <c r="U1007" i="4"/>
  <c r="AA1007" i="4" s="1"/>
  <c r="Q1008" i="4"/>
  <c r="V1008" i="4"/>
  <c r="Q304" i="4"/>
  <c r="U303" i="4"/>
  <c r="AA303" i="4" s="1"/>
  <c r="V304" i="4"/>
  <c r="AB153" i="5"/>
  <c r="AA153" i="5"/>
  <c r="Z153" i="5"/>
  <c r="Y153" i="5"/>
  <c r="AF527" i="6"/>
  <c r="AD528" i="6"/>
  <c r="AG676" i="6"/>
  <c r="AI676" i="6"/>
  <c r="AH676" i="6"/>
  <c r="AJ676" i="6"/>
  <c r="U1227" i="4"/>
  <c r="AA1227" i="4" s="1"/>
  <c r="Q1228" i="4"/>
  <c r="V1228" i="4"/>
  <c r="U831" i="4"/>
  <c r="AA831" i="4" s="1"/>
  <c r="Q832" i="4"/>
  <c r="V832" i="4"/>
  <c r="U963" i="4"/>
  <c r="AA963" i="4" s="1"/>
  <c r="Q964" i="4"/>
  <c r="V964" i="4"/>
  <c r="U435" i="4"/>
  <c r="AA435" i="4" s="1"/>
  <c r="Q436" i="4"/>
  <c r="V436" i="4"/>
  <c r="U347" i="4"/>
  <c r="AA347" i="4" s="1"/>
  <c r="Q348" i="4"/>
  <c r="V348" i="4"/>
  <c r="V155" i="5"/>
  <c r="X155" i="5" s="1"/>
  <c r="X154" i="5"/>
  <c r="R97" i="4"/>
  <c r="V97" i="4" s="1"/>
  <c r="AF198" i="6"/>
  <c r="AD199" i="6"/>
  <c r="AF199" i="6" s="1"/>
  <c r="Q788" i="4"/>
  <c r="U787" i="4"/>
  <c r="AA787" i="4" s="1"/>
  <c r="V788" i="4"/>
  <c r="U97" i="4"/>
  <c r="AF35" i="3"/>
  <c r="AJ197" i="6"/>
  <c r="AH197" i="6"/>
  <c r="AI197" i="6"/>
  <c r="AG197" i="6"/>
  <c r="Q524" i="4"/>
  <c r="U523" i="4"/>
  <c r="AA523" i="4" s="1"/>
  <c r="V524" i="4"/>
  <c r="AJ228" i="6"/>
  <c r="AI228" i="6"/>
  <c r="AG228" i="6"/>
  <c r="AH228" i="6"/>
  <c r="AJ737" i="6"/>
  <c r="AI737" i="6"/>
  <c r="AH737" i="6"/>
  <c r="AG737" i="6"/>
  <c r="AB214" i="5"/>
  <c r="AA214" i="5"/>
  <c r="Z214" i="5"/>
  <c r="Y214" i="5"/>
  <c r="Q480" i="4"/>
  <c r="U479" i="4"/>
  <c r="AA479" i="4" s="1"/>
  <c r="V480" i="4"/>
  <c r="AF168" i="6"/>
  <c r="AD169" i="6"/>
  <c r="AF169" i="6" s="1"/>
  <c r="AF107" i="6"/>
  <c r="AD108" i="6"/>
  <c r="Q48" i="4"/>
  <c r="Y94" i="4"/>
  <c r="S95" i="4"/>
  <c r="Q744" i="4"/>
  <c r="U743" i="4"/>
  <c r="AA743" i="4" s="1"/>
  <c r="V744" i="4"/>
  <c r="AI708" i="6"/>
  <c r="AH708" i="6"/>
  <c r="AJ708" i="6"/>
  <c r="AG708" i="6"/>
  <c r="AD289" i="6"/>
  <c r="AF289" i="6" s="1"/>
  <c r="AF288" i="6"/>
  <c r="U1051" i="4"/>
  <c r="AA1051" i="4" s="1"/>
  <c r="Q1052" i="4"/>
  <c r="V1052" i="4"/>
  <c r="Z63" i="5"/>
  <c r="AB63" i="5"/>
  <c r="AA63" i="5"/>
  <c r="Y63" i="5"/>
  <c r="Q876" i="4"/>
  <c r="U875" i="4"/>
  <c r="AA875" i="4" s="1"/>
  <c r="V876" i="4"/>
  <c r="U143" i="4"/>
  <c r="AH167" i="6"/>
  <c r="AG167" i="6"/>
  <c r="AJ167" i="6"/>
  <c r="AI167" i="6"/>
  <c r="U1095" i="4"/>
  <c r="AA1095" i="4" s="1"/>
  <c r="Q1096" i="4"/>
  <c r="V1096" i="4"/>
  <c r="AJ106" i="6"/>
  <c r="AI106" i="6"/>
  <c r="AH106" i="6"/>
  <c r="AG106" i="6"/>
  <c r="Q1184" i="4"/>
  <c r="U1183" i="4"/>
  <c r="AA1183" i="4" s="1"/>
  <c r="V1184" i="4"/>
  <c r="AB93" i="5"/>
  <c r="AA93" i="5"/>
  <c r="Z93" i="5"/>
  <c r="Y93" i="5"/>
  <c r="AH229" i="6"/>
  <c r="AJ229" i="6"/>
  <c r="AI229" i="6"/>
  <c r="AG229" i="6"/>
  <c r="P46" i="4" l="1"/>
  <c r="X46" i="4"/>
  <c r="AB273" i="5"/>
  <c r="Y273" i="5"/>
  <c r="Z273" i="5"/>
  <c r="AA273" i="5"/>
  <c r="V275" i="5"/>
  <c r="X275" i="5" s="1"/>
  <c r="X274" i="5"/>
  <c r="Z34" i="3"/>
  <c r="AH34" i="3"/>
  <c r="AF78" i="6"/>
  <c r="AD79" i="6"/>
  <c r="AF79" i="6" s="1"/>
  <c r="R48" i="4"/>
  <c r="V48" i="4" s="1"/>
  <c r="U964" i="4"/>
  <c r="AA964" i="4" s="1"/>
  <c r="Q965" i="4"/>
  <c r="V965" i="4"/>
  <c r="U1184" i="4"/>
  <c r="AA1184" i="4" s="1"/>
  <c r="Q1185" i="4"/>
  <c r="V1185" i="4"/>
  <c r="AF108" i="6"/>
  <c r="AD109" i="6"/>
  <c r="AF109" i="6" s="1"/>
  <c r="Q349" i="4"/>
  <c r="U348" i="4"/>
  <c r="AA348" i="4" s="1"/>
  <c r="V349" i="4"/>
  <c r="Q833" i="4"/>
  <c r="U832" i="4"/>
  <c r="AA832" i="4" s="1"/>
  <c r="V833" i="4"/>
  <c r="AF528" i="6"/>
  <c r="AD529" i="6"/>
  <c r="AF529" i="6" s="1"/>
  <c r="AB244" i="5"/>
  <c r="AA244" i="5"/>
  <c r="Z244" i="5"/>
  <c r="Y244" i="5"/>
  <c r="AI378" i="6"/>
  <c r="AJ378" i="6"/>
  <c r="AH378" i="6"/>
  <c r="AG378" i="6"/>
  <c r="AI589" i="6"/>
  <c r="AG589" i="6"/>
  <c r="AH589" i="6"/>
  <c r="AJ589" i="6"/>
  <c r="AH107" i="6"/>
  <c r="AI107" i="6"/>
  <c r="AG107" i="6"/>
  <c r="AJ107" i="6"/>
  <c r="AG527" i="6"/>
  <c r="AH527" i="6"/>
  <c r="AJ527" i="6"/>
  <c r="AI527" i="6"/>
  <c r="Z245" i="5"/>
  <c r="Y245" i="5"/>
  <c r="AB245" i="5"/>
  <c r="AA245" i="5"/>
  <c r="AH77" i="6"/>
  <c r="AG77" i="6"/>
  <c r="AJ77" i="6"/>
  <c r="AI77" i="6"/>
  <c r="AJ379" i="6"/>
  <c r="AI379" i="6"/>
  <c r="AH379" i="6"/>
  <c r="AG379" i="6"/>
  <c r="Q657" i="4"/>
  <c r="U656" i="4"/>
  <c r="AA656" i="4" s="1"/>
  <c r="V657" i="4"/>
  <c r="AB94" i="5"/>
  <c r="AA94" i="5"/>
  <c r="Z94" i="5"/>
  <c r="Y94" i="5"/>
  <c r="AJ739" i="6"/>
  <c r="AI739" i="6"/>
  <c r="AH739" i="6"/>
  <c r="AG739" i="6"/>
  <c r="AH648" i="6"/>
  <c r="AG648" i="6"/>
  <c r="AJ648" i="6"/>
  <c r="AI648" i="6"/>
  <c r="AB36" i="3"/>
  <c r="AJ738" i="6"/>
  <c r="AI738" i="6"/>
  <c r="AH738" i="6"/>
  <c r="AG738" i="6"/>
  <c r="Q98" i="4"/>
  <c r="U98" i="4" s="1"/>
  <c r="Q144" i="4"/>
  <c r="T95" i="4"/>
  <c r="X95" i="4" s="1"/>
  <c r="U524" i="4"/>
  <c r="AA524" i="4" s="1"/>
  <c r="Q525" i="4"/>
  <c r="V525" i="4"/>
  <c r="AJ468" i="6"/>
  <c r="AI468" i="6"/>
  <c r="AH468" i="6"/>
  <c r="AG468" i="6"/>
  <c r="U612" i="4"/>
  <c r="AA612" i="4" s="1"/>
  <c r="Q613" i="4"/>
  <c r="V613" i="4"/>
  <c r="AE36" i="3"/>
  <c r="AJ677" i="6"/>
  <c r="AI677" i="6"/>
  <c r="AH677" i="6"/>
  <c r="AG677" i="6"/>
  <c r="AJ469" i="6"/>
  <c r="AI469" i="6"/>
  <c r="AG469" i="6"/>
  <c r="AH469" i="6"/>
  <c r="Q701" i="4"/>
  <c r="U700" i="4"/>
  <c r="AA700" i="4" s="1"/>
  <c r="V701" i="4"/>
  <c r="Q393" i="4"/>
  <c r="U392" i="4"/>
  <c r="AA392" i="4" s="1"/>
  <c r="V393" i="4"/>
  <c r="AH169" i="6"/>
  <c r="AJ169" i="6"/>
  <c r="AI169" i="6"/>
  <c r="AG169" i="6"/>
  <c r="AB154" i="5"/>
  <c r="AA154" i="5"/>
  <c r="Y154" i="5"/>
  <c r="Z154" i="5"/>
  <c r="AH137" i="6"/>
  <c r="AJ137" i="6"/>
  <c r="AI137" i="6"/>
  <c r="AG137" i="6"/>
  <c r="Q1141" i="4"/>
  <c r="U1140" i="4"/>
  <c r="AA1140" i="4" s="1"/>
  <c r="V1141" i="4"/>
  <c r="AH289" i="6"/>
  <c r="AG289" i="6"/>
  <c r="AJ289" i="6"/>
  <c r="AI289" i="6"/>
  <c r="W95" i="4"/>
  <c r="Q481" i="4"/>
  <c r="U480" i="4"/>
  <c r="AA480" i="4" s="1"/>
  <c r="V481" i="4"/>
  <c r="U788" i="4"/>
  <c r="AA788" i="4" s="1"/>
  <c r="Q789" i="4"/>
  <c r="V789" i="4"/>
  <c r="Z155" i="5"/>
  <c r="Y155" i="5"/>
  <c r="AA155" i="5"/>
  <c r="AB155" i="5"/>
  <c r="AF678" i="6"/>
  <c r="AD679" i="6"/>
  <c r="AF679" i="6" s="1"/>
  <c r="AD139" i="6"/>
  <c r="AF139" i="6" s="1"/>
  <c r="AF138" i="6"/>
  <c r="Q261" i="4"/>
  <c r="U260" i="4"/>
  <c r="AA260" i="4" s="1"/>
  <c r="V261" i="4"/>
  <c r="AG556" i="6"/>
  <c r="AJ556" i="6"/>
  <c r="AH556" i="6"/>
  <c r="AI556" i="6"/>
  <c r="AB64" i="5"/>
  <c r="AA64" i="5"/>
  <c r="Z64" i="5"/>
  <c r="Y64" i="5"/>
  <c r="Q745" i="4"/>
  <c r="U744" i="4"/>
  <c r="AA744" i="4" s="1"/>
  <c r="V745" i="4"/>
  <c r="Z95" i="5"/>
  <c r="Y95" i="5"/>
  <c r="AB95" i="5"/>
  <c r="AA95" i="5"/>
  <c r="AJ288" i="6"/>
  <c r="AI288" i="6"/>
  <c r="AH288" i="6"/>
  <c r="AG288" i="6"/>
  <c r="M187" i="4"/>
  <c r="AG94" i="4"/>
  <c r="AG407" i="6"/>
  <c r="AI407" i="6"/>
  <c r="AJ407" i="6"/>
  <c r="AH407" i="6"/>
  <c r="AJ768" i="6"/>
  <c r="AI768" i="6"/>
  <c r="AH768" i="6"/>
  <c r="AG768" i="6"/>
  <c r="AH347" i="6"/>
  <c r="AG347" i="6"/>
  <c r="AI347" i="6"/>
  <c r="AJ347" i="6"/>
  <c r="AG498" i="6"/>
  <c r="AJ498" i="6"/>
  <c r="AI498" i="6"/>
  <c r="AH498" i="6"/>
  <c r="AD558" i="6"/>
  <c r="AF557" i="6"/>
  <c r="Z65" i="5"/>
  <c r="Y65" i="5"/>
  <c r="AB65" i="5"/>
  <c r="AA65" i="5"/>
  <c r="AJ649" i="6"/>
  <c r="AI649" i="6"/>
  <c r="AH649" i="6"/>
  <c r="AG649" i="6"/>
  <c r="U1052" i="4"/>
  <c r="AA1052" i="4" s="1"/>
  <c r="Q1053" i="4"/>
  <c r="V1053" i="4"/>
  <c r="Q1229" i="4"/>
  <c r="U1228" i="4"/>
  <c r="AA1228" i="4" s="1"/>
  <c r="V1229" i="4"/>
  <c r="Q1097" i="4"/>
  <c r="U1096" i="4"/>
  <c r="AA1096" i="4" s="1"/>
  <c r="V1097" i="4"/>
  <c r="AJ199" i="6"/>
  <c r="AH199" i="6"/>
  <c r="AI199" i="6"/>
  <c r="AG199" i="6"/>
  <c r="U304" i="4"/>
  <c r="AA304" i="4" s="1"/>
  <c r="Q305" i="4"/>
  <c r="V305" i="4"/>
  <c r="AJ617" i="6"/>
  <c r="AG617" i="6"/>
  <c r="AH617" i="6"/>
  <c r="AI617" i="6"/>
  <c r="AD409" i="6"/>
  <c r="AF409" i="6" s="1"/>
  <c r="AF408" i="6"/>
  <c r="U1272" i="4"/>
  <c r="AA1272" i="4" s="1"/>
  <c r="Q1273" i="4"/>
  <c r="V1273" i="4"/>
  <c r="AJ769" i="6"/>
  <c r="AI769" i="6"/>
  <c r="AH769" i="6"/>
  <c r="AG769" i="6"/>
  <c r="AD319" i="6"/>
  <c r="AF319" i="6" s="1"/>
  <c r="AF318" i="6"/>
  <c r="AA304" i="5"/>
  <c r="Z304" i="5"/>
  <c r="Y304" i="5"/>
  <c r="AB304" i="5"/>
  <c r="AD349" i="6"/>
  <c r="AF349" i="6" s="1"/>
  <c r="AF348" i="6"/>
  <c r="U568" i="4"/>
  <c r="AA568" i="4" s="1"/>
  <c r="Q569" i="4"/>
  <c r="V569" i="4"/>
  <c r="AG499" i="6"/>
  <c r="AJ499" i="6"/>
  <c r="AI499" i="6"/>
  <c r="AH499" i="6"/>
  <c r="U920" i="4"/>
  <c r="AA920" i="4" s="1"/>
  <c r="Q921" i="4"/>
  <c r="V921" i="4"/>
  <c r="Q1317" i="4"/>
  <c r="U1316" i="4"/>
  <c r="AA1316" i="4" s="1"/>
  <c r="V1317" i="4"/>
  <c r="AJ168" i="6"/>
  <c r="AI168" i="6"/>
  <c r="AH168" i="6"/>
  <c r="AG168" i="6"/>
  <c r="Q437" i="4"/>
  <c r="U436" i="4"/>
  <c r="AA436" i="4" s="1"/>
  <c r="V437" i="4"/>
  <c r="U1008" i="4"/>
  <c r="AA1008" i="4" s="1"/>
  <c r="Q1009" i="4"/>
  <c r="V1009" i="4"/>
  <c r="Q877" i="4"/>
  <c r="U876" i="4"/>
  <c r="AA876" i="4" s="1"/>
  <c r="V877" i="4"/>
  <c r="U48" i="4"/>
  <c r="AF36" i="3"/>
  <c r="AJ198" i="6"/>
  <c r="AI198" i="6"/>
  <c r="AH198" i="6"/>
  <c r="AG198" i="6"/>
  <c r="AF618" i="6"/>
  <c r="AD619" i="6"/>
  <c r="AF619" i="6" s="1"/>
  <c r="AG317" i="6"/>
  <c r="AJ317" i="6"/>
  <c r="AH317" i="6"/>
  <c r="AI317" i="6"/>
  <c r="AB305" i="5"/>
  <c r="Z305" i="5"/>
  <c r="AA305" i="5"/>
  <c r="Y305" i="5"/>
  <c r="AI588" i="6"/>
  <c r="AG588" i="6"/>
  <c r="AJ588" i="6"/>
  <c r="AH588" i="6"/>
  <c r="T143" i="4"/>
  <c r="Y46" i="4" l="1"/>
  <c r="T47" i="4"/>
  <c r="N46" i="4"/>
  <c r="Z46" i="4"/>
  <c r="AI34" i="3"/>
  <c r="AD35" i="3"/>
  <c r="Z35" i="3" s="1"/>
  <c r="P95" i="4"/>
  <c r="Z95" i="4" s="1"/>
  <c r="Y274" i="5"/>
  <c r="K29" i="5" s="1"/>
  <c r="AB274" i="5"/>
  <c r="N29" i="5" s="1"/>
  <c r="Z274" i="5"/>
  <c r="L29" i="5" s="1"/>
  <c r="AA274" i="5"/>
  <c r="M29" i="5" s="1"/>
  <c r="Z275" i="5"/>
  <c r="AA275" i="5"/>
  <c r="AB275" i="5"/>
  <c r="Y275" i="5"/>
  <c r="U1317" i="4"/>
  <c r="AA1317" i="4" s="1"/>
  <c r="Q1318" i="4"/>
  <c r="V1318" i="4"/>
  <c r="Q25" i="6"/>
  <c r="Q43" i="6"/>
  <c r="Q36" i="6"/>
  <c r="Q28" i="6"/>
  <c r="Q34" i="6"/>
  <c r="Q41" i="6"/>
  <c r="Q27" i="6"/>
  <c r="Q29" i="6"/>
  <c r="Q32" i="6"/>
  <c r="Q45" i="6"/>
  <c r="Q26" i="6"/>
  <c r="Q35" i="6"/>
  <c r="Q39" i="6"/>
  <c r="Q44" i="6"/>
  <c r="Q834" i="4"/>
  <c r="U833" i="4"/>
  <c r="AA833" i="4" s="1"/>
  <c r="V834" i="4"/>
  <c r="R144" i="4"/>
  <c r="V144" i="4" s="1"/>
  <c r="S144" i="4"/>
  <c r="W144" i="4" s="1"/>
  <c r="Q966" i="4"/>
  <c r="U965" i="4"/>
  <c r="AA965" i="4" s="1"/>
  <c r="V966" i="4"/>
  <c r="Q570" i="4"/>
  <c r="U569" i="4"/>
  <c r="AA569" i="4" s="1"/>
  <c r="V570" i="4"/>
  <c r="R28" i="6"/>
  <c r="R43" i="6"/>
  <c r="R27" i="6"/>
  <c r="R35" i="6"/>
  <c r="R26" i="6"/>
  <c r="R45" i="6"/>
  <c r="R44" i="6"/>
  <c r="R41" i="6"/>
  <c r="R25" i="6"/>
  <c r="R34" i="6"/>
  <c r="R36" i="6"/>
  <c r="R32" i="6"/>
  <c r="R39" i="6"/>
  <c r="R29" i="6"/>
  <c r="AJ619" i="6"/>
  <c r="AI619" i="6"/>
  <c r="AH619" i="6"/>
  <c r="AG619" i="6"/>
  <c r="Q49" i="4"/>
  <c r="Q922" i="4"/>
  <c r="U921" i="4"/>
  <c r="AA921" i="4" s="1"/>
  <c r="V922" i="4"/>
  <c r="AI348" i="6"/>
  <c r="S31" i="6" s="1"/>
  <c r="AJ348" i="6"/>
  <c r="T31" i="6" s="1"/>
  <c r="AH348" i="6"/>
  <c r="AG348" i="6"/>
  <c r="S27" i="6"/>
  <c r="S45" i="6"/>
  <c r="S25" i="6"/>
  <c r="S34" i="6"/>
  <c r="S41" i="6"/>
  <c r="S29" i="6"/>
  <c r="S43" i="6"/>
  <c r="S36" i="6"/>
  <c r="S28" i="6"/>
  <c r="S26" i="6"/>
  <c r="S44" i="6"/>
  <c r="S35" i="6"/>
  <c r="S39" i="6"/>
  <c r="S32" i="6"/>
  <c r="Q262" i="4"/>
  <c r="U261" i="4"/>
  <c r="AA261" i="4" s="1"/>
  <c r="V262" i="4"/>
  <c r="U393" i="4"/>
  <c r="AA393" i="4" s="1"/>
  <c r="Q394" i="4"/>
  <c r="V394" i="4"/>
  <c r="AC36" i="3"/>
  <c r="AG36" i="3" s="1"/>
  <c r="U144" i="4"/>
  <c r="Q350" i="4"/>
  <c r="U349" i="4"/>
  <c r="AA349" i="4" s="1"/>
  <c r="V350" i="4"/>
  <c r="AI138" i="6"/>
  <c r="AJ138" i="6"/>
  <c r="AH138" i="6"/>
  <c r="AG138" i="6"/>
  <c r="R98" i="4"/>
  <c r="V98" i="4" s="1"/>
  <c r="K27" i="5"/>
  <c r="K24" i="5"/>
  <c r="K26" i="5"/>
  <c r="K28" i="5"/>
  <c r="K25" i="5"/>
  <c r="K23" i="5"/>
  <c r="K30" i="5"/>
  <c r="K22" i="5"/>
  <c r="U1273" i="4"/>
  <c r="AA1273" i="4" s="1"/>
  <c r="Q1274" i="4"/>
  <c r="V1274" i="4"/>
  <c r="U305" i="4"/>
  <c r="AA305" i="4" s="1"/>
  <c r="Q306" i="4"/>
  <c r="V306" i="4"/>
  <c r="AH139" i="6"/>
  <c r="AJ139" i="6"/>
  <c r="AI139" i="6"/>
  <c r="AG139" i="6"/>
  <c r="Q99" i="4"/>
  <c r="U99" i="4" s="1"/>
  <c r="AH109" i="6"/>
  <c r="AJ109" i="6"/>
  <c r="AI109" i="6"/>
  <c r="AG109" i="6"/>
  <c r="AG679" i="6"/>
  <c r="AJ679" i="6"/>
  <c r="AI679" i="6"/>
  <c r="AH679" i="6"/>
  <c r="Q1142" i="4"/>
  <c r="U1141" i="4"/>
  <c r="AA1141" i="4" s="1"/>
  <c r="V1142" i="4"/>
  <c r="Q702" i="4"/>
  <c r="U701" i="4"/>
  <c r="AA701" i="4" s="1"/>
  <c r="V702" i="4"/>
  <c r="AG529" i="6"/>
  <c r="AJ529" i="6"/>
  <c r="AH529" i="6"/>
  <c r="AI529" i="6"/>
  <c r="AJ108" i="6"/>
  <c r="AI108" i="6"/>
  <c r="AH108" i="6"/>
  <c r="R23" i="6" s="1"/>
  <c r="AG108" i="6"/>
  <c r="S48" i="4"/>
  <c r="U437" i="4"/>
  <c r="AA437" i="4" s="1"/>
  <c r="Q438" i="4"/>
  <c r="V438" i="4"/>
  <c r="AG349" i="6"/>
  <c r="AH349" i="6"/>
  <c r="AJ349" i="6"/>
  <c r="AI349" i="6"/>
  <c r="M26" i="5"/>
  <c r="M27" i="5"/>
  <c r="M28" i="5"/>
  <c r="M24" i="5"/>
  <c r="M22" i="5"/>
  <c r="M30" i="5"/>
  <c r="M23" i="5"/>
  <c r="M25" i="5"/>
  <c r="Q878" i="4"/>
  <c r="U877" i="4"/>
  <c r="AA877" i="4" s="1"/>
  <c r="V878" i="4"/>
  <c r="L26" i="5"/>
  <c r="L24" i="5"/>
  <c r="L28" i="5"/>
  <c r="L27" i="5"/>
  <c r="L23" i="5"/>
  <c r="L22" i="5"/>
  <c r="L25" i="5"/>
  <c r="L30" i="5"/>
  <c r="AI678" i="6"/>
  <c r="AH678" i="6"/>
  <c r="AG678" i="6"/>
  <c r="AJ678" i="6"/>
  <c r="Q482" i="4"/>
  <c r="U481" i="4"/>
  <c r="AA481" i="4" s="1"/>
  <c r="V482" i="4"/>
  <c r="AA37" i="3"/>
  <c r="AE37" i="3" s="1"/>
  <c r="Q526" i="4"/>
  <c r="U525" i="4"/>
  <c r="AA525" i="4" s="1"/>
  <c r="V526" i="4"/>
  <c r="AJ528" i="6"/>
  <c r="AH528" i="6"/>
  <c r="AG528" i="6"/>
  <c r="AI528" i="6"/>
  <c r="U1097" i="4"/>
  <c r="AA1097" i="4" s="1"/>
  <c r="Q1098" i="4"/>
  <c r="V1098" i="4"/>
  <c r="U789" i="4"/>
  <c r="AA789" i="4" s="1"/>
  <c r="Q790" i="4"/>
  <c r="V790" i="4"/>
  <c r="U1229" i="4"/>
  <c r="AA1229" i="4" s="1"/>
  <c r="Q1230" i="4"/>
  <c r="V1230" i="4"/>
  <c r="N26" i="5"/>
  <c r="N27" i="5"/>
  <c r="N30" i="5"/>
  <c r="N23" i="5"/>
  <c r="N24" i="5"/>
  <c r="N28" i="5"/>
  <c r="N22" i="5"/>
  <c r="N25" i="5"/>
  <c r="AI408" i="6"/>
  <c r="AG408" i="6"/>
  <c r="AH408" i="6"/>
  <c r="AJ408" i="6"/>
  <c r="X143" i="4"/>
  <c r="P143" i="4"/>
  <c r="Q1054" i="4"/>
  <c r="U1053" i="4"/>
  <c r="AA1053" i="4" s="1"/>
  <c r="V1054" i="4"/>
  <c r="AJ557" i="6"/>
  <c r="AH557" i="6"/>
  <c r="AG557" i="6"/>
  <c r="AI557" i="6"/>
  <c r="Y95" i="4"/>
  <c r="S96" i="4"/>
  <c r="W96" i="4" s="1"/>
  <c r="Q1186" i="4"/>
  <c r="U1185" i="4"/>
  <c r="AA1185" i="4" s="1"/>
  <c r="V1186" i="4"/>
  <c r="AJ79" i="6"/>
  <c r="AI79" i="6"/>
  <c r="AH79" i="6"/>
  <c r="AG79" i="6"/>
  <c r="AJ618" i="6"/>
  <c r="AI618" i="6"/>
  <c r="S40" i="6" s="1"/>
  <c r="AH618" i="6"/>
  <c r="R40" i="6" s="1"/>
  <c r="AG618" i="6"/>
  <c r="Q40" i="6" s="1"/>
  <c r="T27" i="6"/>
  <c r="T29" i="6"/>
  <c r="T41" i="6"/>
  <c r="T25" i="6"/>
  <c r="T34" i="6"/>
  <c r="T43" i="6"/>
  <c r="T28" i="6"/>
  <c r="T45" i="6"/>
  <c r="T32" i="6"/>
  <c r="T39" i="6"/>
  <c r="T44" i="6"/>
  <c r="T36" i="6"/>
  <c r="T35" i="6"/>
  <c r="T26" i="6"/>
  <c r="AI318" i="6"/>
  <c r="AG318" i="6"/>
  <c r="AJ318" i="6"/>
  <c r="T30" i="6" s="1"/>
  <c r="AH318" i="6"/>
  <c r="AJ409" i="6"/>
  <c r="T33" i="6" s="1"/>
  <c r="AI409" i="6"/>
  <c r="AG409" i="6"/>
  <c r="AH409" i="6"/>
  <c r="Q1010" i="4"/>
  <c r="U1009" i="4"/>
  <c r="AA1009" i="4" s="1"/>
  <c r="V1010" i="4"/>
  <c r="AJ319" i="6"/>
  <c r="AG319" i="6"/>
  <c r="AI319" i="6"/>
  <c r="AH319" i="6"/>
  <c r="AF558" i="6"/>
  <c r="AD559" i="6"/>
  <c r="AF559" i="6" s="1"/>
  <c r="Q746" i="4"/>
  <c r="U745" i="4"/>
  <c r="AA745" i="4" s="1"/>
  <c r="V746" i="4"/>
  <c r="Q614" i="4"/>
  <c r="U613" i="4"/>
  <c r="AA613" i="4" s="1"/>
  <c r="V614" i="4"/>
  <c r="U657" i="4"/>
  <c r="AA657" i="4" s="1"/>
  <c r="Q658" i="4"/>
  <c r="V658" i="4"/>
  <c r="AJ78" i="6"/>
  <c r="AI78" i="6"/>
  <c r="AH78" i="6"/>
  <c r="AG78" i="6"/>
  <c r="T40" i="6" l="1"/>
  <c r="T24" i="6"/>
  <c r="S24" i="6"/>
  <c r="R37" i="6"/>
  <c r="Q42" i="6"/>
  <c r="T37" i="6"/>
  <c r="R42" i="6"/>
  <c r="R22" i="6"/>
  <c r="S42" i="6"/>
  <c r="R30" i="6"/>
  <c r="R33" i="6"/>
  <c r="X47" i="4"/>
  <c r="Y47" i="4" s="1"/>
  <c r="P47" i="4"/>
  <c r="S37" i="6"/>
  <c r="T42" i="6"/>
  <c r="Q22" i="6"/>
  <c r="AG46" i="4"/>
  <c r="L187" i="4"/>
  <c r="R24" i="6"/>
  <c r="R31" i="6"/>
  <c r="N95" i="4"/>
  <c r="Q30" i="6"/>
  <c r="Q23" i="6"/>
  <c r="T23" i="6"/>
  <c r="AH35" i="3"/>
  <c r="S30" i="6"/>
  <c r="S22" i="6"/>
  <c r="S23" i="6"/>
  <c r="T22" i="6"/>
  <c r="Q33" i="6"/>
  <c r="S33" i="6"/>
  <c r="Q37" i="6"/>
  <c r="Q24" i="6"/>
  <c r="Q31" i="6"/>
  <c r="S97" i="4"/>
  <c r="W97" i="4" s="1"/>
  <c r="Q835" i="4"/>
  <c r="U834" i="4"/>
  <c r="AA834" i="4" s="1"/>
  <c r="V835" i="4"/>
  <c r="U1230" i="4"/>
  <c r="AA1230" i="4" s="1"/>
  <c r="Q1231" i="4"/>
  <c r="V1231" i="4"/>
  <c r="U482" i="4"/>
  <c r="AA482" i="4" s="1"/>
  <c r="Q483" i="4"/>
  <c r="V483" i="4"/>
  <c r="U394" i="4"/>
  <c r="AA394" i="4" s="1"/>
  <c r="Q395" i="4"/>
  <c r="V395" i="4"/>
  <c r="M188" i="4"/>
  <c r="AG95" i="4"/>
  <c r="N143" i="4"/>
  <c r="Z143" i="4"/>
  <c r="Q791" i="4"/>
  <c r="U790" i="4"/>
  <c r="AA790" i="4" s="1"/>
  <c r="V791" i="4"/>
  <c r="Q439" i="4"/>
  <c r="U438" i="4"/>
  <c r="AA438" i="4" s="1"/>
  <c r="V439" i="4"/>
  <c r="R99" i="4"/>
  <c r="V99" i="4" s="1"/>
  <c r="Q747" i="4"/>
  <c r="U746" i="4"/>
  <c r="AA746" i="4" s="1"/>
  <c r="V747" i="4"/>
  <c r="Y143" i="4"/>
  <c r="Q527" i="4"/>
  <c r="U526" i="4"/>
  <c r="AA526" i="4" s="1"/>
  <c r="V527" i="4"/>
  <c r="Q100" i="4"/>
  <c r="U100" i="4" s="1"/>
  <c r="Q1275" i="4"/>
  <c r="U1274" i="4"/>
  <c r="AA1274" i="4" s="1"/>
  <c r="V1275" i="4"/>
  <c r="Q571" i="4"/>
  <c r="U570" i="4"/>
  <c r="AA570" i="4" s="1"/>
  <c r="V571" i="4"/>
  <c r="T144" i="4"/>
  <c r="X144" i="4" s="1"/>
  <c r="Q703" i="4"/>
  <c r="U702" i="4"/>
  <c r="AA702" i="4" s="1"/>
  <c r="V703" i="4"/>
  <c r="U614" i="4"/>
  <c r="AA614" i="4" s="1"/>
  <c r="Q615" i="4"/>
  <c r="V615" i="4"/>
  <c r="Q307" i="4"/>
  <c r="U306" i="4"/>
  <c r="AA306" i="4" s="1"/>
  <c r="V307" i="4"/>
  <c r="AG559" i="6"/>
  <c r="AJ559" i="6"/>
  <c r="AI559" i="6"/>
  <c r="AH559" i="6"/>
  <c r="U1010" i="4"/>
  <c r="AA1010" i="4" s="1"/>
  <c r="Q1011" i="4"/>
  <c r="V1011" i="4"/>
  <c r="AB37" i="3"/>
  <c r="AF37" i="3" s="1"/>
  <c r="Q351" i="4"/>
  <c r="U350" i="4"/>
  <c r="AA350" i="4" s="1"/>
  <c r="V351" i="4"/>
  <c r="U262" i="4"/>
  <c r="AA262" i="4" s="1"/>
  <c r="Q263" i="4"/>
  <c r="V263" i="4"/>
  <c r="Q1055" i="4"/>
  <c r="U1054" i="4"/>
  <c r="AA1054" i="4" s="1"/>
  <c r="V1055" i="4"/>
  <c r="Q659" i="4"/>
  <c r="U658" i="4"/>
  <c r="AA658" i="4" s="1"/>
  <c r="V659" i="4"/>
  <c r="AG558" i="6"/>
  <c r="Q38" i="6" s="1"/>
  <c r="AI558" i="6"/>
  <c r="AH558" i="6"/>
  <c r="R38" i="6" s="1"/>
  <c r="AJ558" i="6"/>
  <c r="T38" i="6" s="1"/>
  <c r="Q1099" i="4"/>
  <c r="U1098" i="4"/>
  <c r="AA1098" i="4" s="1"/>
  <c r="V1099" i="4"/>
  <c r="AA38" i="3"/>
  <c r="AE38" i="3" s="1"/>
  <c r="Q145" i="4"/>
  <c r="U145" i="4" s="1"/>
  <c r="Q923" i="4"/>
  <c r="U922" i="4"/>
  <c r="AA922" i="4" s="1"/>
  <c r="V923" i="4"/>
  <c r="Q1187" i="4"/>
  <c r="U1186" i="4"/>
  <c r="AA1186" i="4" s="1"/>
  <c r="V1187" i="4"/>
  <c r="T96" i="4"/>
  <c r="X96" i="4" s="1"/>
  <c r="P96" i="4"/>
  <c r="U1142" i="4"/>
  <c r="AA1142" i="4" s="1"/>
  <c r="Q1143" i="4"/>
  <c r="V1143" i="4"/>
  <c r="U878" i="4"/>
  <c r="AA878" i="4" s="1"/>
  <c r="Q879" i="4"/>
  <c r="V879" i="4"/>
  <c r="T48" i="4"/>
  <c r="X48" i="4" s="1"/>
  <c r="W48" i="4"/>
  <c r="R49" i="4"/>
  <c r="V49" i="4" s="1"/>
  <c r="U49" i="4"/>
  <c r="Q967" i="4"/>
  <c r="U966" i="4"/>
  <c r="AA966" i="4" s="1"/>
  <c r="V967" i="4"/>
  <c r="U1318" i="4"/>
  <c r="AA1318" i="4" s="1"/>
  <c r="Q1319" i="4"/>
  <c r="V1319" i="4"/>
  <c r="N47" i="4" l="1"/>
  <c r="Z47" i="4"/>
  <c r="L188" i="4"/>
  <c r="AG47" i="4"/>
  <c r="S38" i="6"/>
  <c r="AI35" i="3"/>
  <c r="AD36" i="3"/>
  <c r="AC37" i="3"/>
  <c r="AG37" i="3" s="1"/>
  <c r="Y144" i="4"/>
  <c r="AA39" i="3"/>
  <c r="S98" i="4"/>
  <c r="W98" i="4" s="1"/>
  <c r="Q880" i="4"/>
  <c r="U879" i="4"/>
  <c r="AA879" i="4" s="1"/>
  <c r="V880" i="4"/>
  <c r="U1231" i="4"/>
  <c r="AA1231" i="4" s="1"/>
  <c r="Q1232" i="4"/>
  <c r="V1232" i="4"/>
  <c r="N96" i="4"/>
  <c r="Z96" i="4"/>
  <c r="Q1056" i="4"/>
  <c r="U1055" i="4"/>
  <c r="AA1055" i="4" s="1"/>
  <c r="V1056" i="4"/>
  <c r="Q704" i="4"/>
  <c r="U703" i="4"/>
  <c r="AA703" i="4" s="1"/>
  <c r="V704" i="4"/>
  <c r="U791" i="4"/>
  <c r="AA791" i="4" s="1"/>
  <c r="Q792" i="4"/>
  <c r="V792" i="4"/>
  <c r="P144" i="4"/>
  <c r="Y96" i="4"/>
  <c r="Q50" i="4"/>
  <c r="U263" i="4"/>
  <c r="AA263" i="4" s="1"/>
  <c r="Q264" i="4"/>
  <c r="V264" i="4"/>
  <c r="AG143" i="4"/>
  <c r="N188" i="4"/>
  <c r="Q660" i="4"/>
  <c r="U659" i="4"/>
  <c r="AA659" i="4" s="1"/>
  <c r="V660" i="4"/>
  <c r="Q146" i="4"/>
  <c r="Q1188" i="4"/>
  <c r="U1187" i="4"/>
  <c r="AA1187" i="4" s="1"/>
  <c r="V1188" i="4"/>
  <c r="Q572" i="4"/>
  <c r="U571" i="4"/>
  <c r="AA571" i="4" s="1"/>
  <c r="V572" i="4"/>
  <c r="U615" i="4"/>
  <c r="AA615" i="4" s="1"/>
  <c r="Q616" i="4"/>
  <c r="V616" i="4"/>
  <c r="Q528" i="4"/>
  <c r="U527" i="4"/>
  <c r="AA527" i="4" s="1"/>
  <c r="V528" i="4"/>
  <c r="P48" i="4"/>
  <c r="Q308" i="4"/>
  <c r="U307" i="4"/>
  <c r="AA307" i="4" s="1"/>
  <c r="V308" i="4"/>
  <c r="S49" i="4"/>
  <c r="T49" i="4" s="1"/>
  <c r="X49" i="4" s="1"/>
  <c r="Q1276" i="4"/>
  <c r="U1275" i="4"/>
  <c r="AA1275" i="4" s="1"/>
  <c r="V1276" i="4"/>
  <c r="Q440" i="4"/>
  <c r="U439" i="4"/>
  <c r="AA439" i="4" s="1"/>
  <c r="V440" i="4"/>
  <c r="U395" i="4"/>
  <c r="AA395" i="4" s="1"/>
  <c r="Q396" i="4"/>
  <c r="V396" i="4"/>
  <c r="Q101" i="4"/>
  <c r="Q968" i="4"/>
  <c r="U967" i="4"/>
  <c r="AA967" i="4" s="1"/>
  <c r="V968" i="4"/>
  <c r="Q484" i="4"/>
  <c r="U483" i="4"/>
  <c r="AA483" i="4" s="1"/>
  <c r="V484" i="4"/>
  <c r="Q1320" i="4"/>
  <c r="U1319" i="4"/>
  <c r="AA1319" i="4" s="1"/>
  <c r="V1320" i="4"/>
  <c r="Q352" i="4"/>
  <c r="U351" i="4"/>
  <c r="AA351" i="4" s="1"/>
  <c r="V352" i="4"/>
  <c r="P49" i="4"/>
  <c r="Q1144" i="4"/>
  <c r="U1143" i="4"/>
  <c r="AA1143" i="4" s="1"/>
  <c r="V1144" i="4"/>
  <c r="Q924" i="4"/>
  <c r="U923" i="4"/>
  <c r="AA923" i="4" s="1"/>
  <c r="V924" i="4"/>
  <c r="Q1100" i="4"/>
  <c r="U1099" i="4"/>
  <c r="AA1099" i="4" s="1"/>
  <c r="V1100" i="4"/>
  <c r="R100" i="4"/>
  <c r="U747" i="4"/>
  <c r="AA747" i="4" s="1"/>
  <c r="Q748" i="4"/>
  <c r="V748" i="4"/>
  <c r="Q836" i="4"/>
  <c r="U835" i="4"/>
  <c r="AA835" i="4" s="1"/>
  <c r="V836" i="4"/>
  <c r="T97" i="4"/>
  <c r="X97" i="4" s="1"/>
  <c r="W49" i="4"/>
  <c r="Y48" i="4"/>
  <c r="AB38" i="3"/>
  <c r="AC38" i="3" s="1"/>
  <c r="Q1012" i="4"/>
  <c r="U1011" i="4"/>
  <c r="AA1011" i="4" s="1"/>
  <c r="V1012" i="4"/>
  <c r="R145" i="4"/>
  <c r="V145" i="4" s="1"/>
  <c r="AH36" i="3" l="1"/>
  <c r="Z36" i="3"/>
  <c r="Y97" i="4"/>
  <c r="Q397" i="4"/>
  <c r="U396" i="4"/>
  <c r="AA396" i="4" s="1"/>
  <c r="V397" i="4"/>
  <c r="Q265" i="4"/>
  <c r="U264" i="4"/>
  <c r="AA264" i="4" s="1"/>
  <c r="V265" i="4"/>
  <c r="Q793" i="4"/>
  <c r="U792" i="4"/>
  <c r="AA792" i="4" s="1"/>
  <c r="V793" i="4"/>
  <c r="Q485" i="4"/>
  <c r="U484" i="4"/>
  <c r="AA484" i="4" s="1"/>
  <c r="V485" i="4"/>
  <c r="R146" i="4"/>
  <c r="V146" i="4" s="1"/>
  <c r="R50" i="4"/>
  <c r="V50" i="4" s="1"/>
  <c r="V100" i="4"/>
  <c r="R101" i="4" s="1"/>
  <c r="Q309" i="4"/>
  <c r="U308" i="4"/>
  <c r="AA308" i="4" s="1"/>
  <c r="V309" i="4"/>
  <c r="U50" i="4"/>
  <c r="P97" i="4"/>
  <c r="Q1013" i="4"/>
  <c r="U1012" i="4"/>
  <c r="AA1012" i="4" s="1"/>
  <c r="V1013" i="4"/>
  <c r="U146" i="4"/>
  <c r="U968" i="4"/>
  <c r="AA968" i="4" s="1"/>
  <c r="Q969" i="4"/>
  <c r="V969" i="4"/>
  <c r="U440" i="4"/>
  <c r="AA440" i="4" s="1"/>
  <c r="Q441" i="4"/>
  <c r="V441" i="4"/>
  <c r="N48" i="4"/>
  <c r="Z48" i="4"/>
  <c r="Y49" i="4"/>
  <c r="U704" i="4"/>
  <c r="AA704" i="4" s="1"/>
  <c r="Q705" i="4"/>
  <c r="V705" i="4"/>
  <c r="AG38" i="3"/>
  <c r="AF38" i="3"/>
  <c r="U836" i="4"/>
  <c r="AA836" i="4" s="1"/>
  <c r="Q837" i="4"/>
  <c r="V837" i="4"/>
  <c r="U352" i="4"/>
  <c r="AA352" i="4" s="1"/>
  <c r="Q353" i="4"/>
  <c r="V353" i="4"/>
  <c r="S99" i="4"/>
  <c r="W99" i="4" s="1"/>
  <c r="Q881" i="4"/>
  <c r="U880" i="4"/>
  <c r="AA880" i="4" s="1"/>
  <c r="V881" i="4"/>
  <c r="S145" i="4"/>
  <c r="W145" i="4" s="1"/>
  <c r="Q573" i="4"/>
  <c r="U572" i="4"/>
  <c r="AA572" i="4" s="1"/>
  <c r="V573" i="4"/>
  <c r="Q661" i="4"/>
  <c r="U660" i="4"/>
  <c r="AA660" i="4" s="1"/>
  <c r="V661" i="4"/>
  <c r="M189" i="4"/>
  <c r="AG96" i="4"/>
  <c r="AE39" i="3"/>
  <c r="Q1145" i="4"/>
  <c r="U1144" i="4"/>
  <c r="AA1144" i="4" s="1"/>
  <c r="V1145" i="4"/>
  <c r="N49" i="4"/>
  <c r="Z49" i="4"/>
  <c r="U1100" i="4"/>
  <c r="AA1100" i="4" s="1"/>
  <c r="Q1101" i="4"/>
  <c r="V1101" i="4"/>
  <c r="U101" i="4"/>
  <c r="U1276" i="4"/>
  <c r="AA1276" i="4" s="1"/>
  <c r="Q1277" i="4"/>
  <c r="V1277" i="4"/>
  <c r="Q529" i="4"/>
  <c r="U528" i="4"/>
  <c r="AA528" i="4" s="1"/>
  <c r="V529" i="4"/>
  <c r="N144" i="4"/>
  <c r="Z144" i="4"/>
  <c r="U1056" i="4"/>
  <c r="AA1056" i="4" s="1"/>
  <c r="Q1057" i="4"/>
  <c r="V1057" i="4"/>
  <c r="T98" i="4"/>
  <c r="X98" i="4" s="1"/>
  <c r="P98" i="4"/>
  <c r="N189" i="4"/>
  <c r="AG144" i="4"/>
  <c r="U1232" i="4"/>
  <c r="AA1232" i="4" s="1"/>
  <c r="Q1233" i="4"/>
  <c r="V1233" i="4"/>
  <c r="U616" i="4"/>
  <c r="AA616" i="4" s="1"/>
  <c r="Q617" i="4"/>
  <c r="V617" i="4"/>
  <c r="Q749" i="4"/>
  <c r="U748" i="4"/>
  <c r="AA748" i="4" s="1"/>
  <c r="V749" i="4"/>
  <c r="U924" i="4"/>
  <c r="AA924" i="4" s="1"/>
  <c r="Q925" i="4"/>
  <c r="V925" i="4"/>
  <c r="Q1321" i="4"/>
  <c r="U1320" i="4"/>
  <c r="AA1320" i="4" s="1"/>
  <c r="V1321" i="4"/>
  <c r="L189" i="4"/>
  <c r="AG48" i="4"/>
  <c r="Q1189" i="4"/>
  <c r="U1188" i="4"/>
  <c r="AA1188" i="4" s="1"/>
  <c r="V1189" i="4"/>
  <c r="AI36" i="3" l="1"/>
  <c r="AD37" i="3"/>
  <c r="S50" i="4"/>
  <c r="W50" i="4" s="1"/>
  <c r="Y98" i="4"/>
  <c r="N97" i="4"/>
  <c r="Z97" i="4"/>
  <c r="Q442" i="4"/>
  <c r="U441" i="4"/>
  <c r="AA441" i="4" s="1"/>
  <c r="V442" i="4"/>
  <c r="N98" i="4"/>
  <c r="Z98" i="4"/>
  <c r="S100" i="4"/>
  <c r="W100" i="4" s="1"/>
  <c r="Q1102" i="4"/>
  <c r="U1101" i="4"/>
  <c r="AA1101" i="4" s="1"/>
  <c r="V1102" i="4"/>
  <c r="Q970" i="4"/>
  <c r="U969" i="4"/>
  <c r="AA969" i="4" s="1"/>
  <c r="V970" i="4"/>
  <c r="S146" i="4"/>
  <c r="W146" i="4" s="1"/>
  <c r="Q486" i="4"/>
  <c r="U485" i="4"/>
  <c r="AA485" i="4" s="1"/>
  <c r="V486" i="4"/>
  <c r="Q398" i="4"/>
  <c r="U397" i="4"/>
  <c r="AA397" i="4" s="1"/>
  <c r="V398" i="4"/>
  <c r="Q706" i="4"/>
  <c r="U705" i="4"/>
  <c r="AA705" i="4" s="1"/>
  <c r="V706" i="4"/>
  <c r="Q51" i="4"/>
  <c r="Q794" i="4"/>
  <c r="U793" i="4"/>
  <c r="AA793" i="4" s="1"/>
  <c r="V794" i="4"/>
  <c r="M190" i="4"/>
  <c r="AG97" i="4"/>
  <c r="AB39" i="3"/>
  <c r="AF39" i="3" s="1"/>
  <c r="T50" i="4"/>
  <c r="X50" i="4" s="1"/>
  <c r="Q882" i="4"/>
  <c r="U881" i="4"/>
  <c r="AA881" i="4" s="1"/>
  <c r="V882" i="4"/>
  <c r="Q1322" i="4"/>
  <c r="U1321" i="4"/>
  <c r="AA1321" i="4" s="1"/>
  <c r="V1322" i="4"/>
  <c r="Q662" i="4"/>
  <c r="U661" i="4"/>
  <c r="AA661" i="4" s="1"/>
  <c r="V662" i="4"/>
  <c r="Q354" i="4"/>
  <c r="U353" i="4"/>
  <c r="AA353" i="4" s="1"/>
  <c r="V354" i="4"/>
  <c r="AG49" i="4"/>
  <c r="L190" i="4"/>
  <c r="Q147" i="4"/>
  <c r="Q750" i="4"/>
  <c r="U749" i="4"/>
  <c r="AA749" i="4" s="1"/>
  <c r="V750" i="4"/>
  <c r="T145" i="4"/>
  <c r="X145" i="4" s="1"/>
  <c r="Y145" i="4" s="1"/>
  <c r="U529" i="4"/>
  <c r="AA529" i="4" s="1"/>
  <c r="Q530" i="4"/>
  <c r="V530" i="4"/>
  <c r="U617" i="4"/>
  <c r="AA617" i="4" s="1"/>
  <c r="Q618" i="4"/>
  <c r="V618" i="4"/>
  <c r="AA40" i="3"/>
  <c r="AE40" i="3" s="1"/>
  <c r="Q1278" i="4"/>
  <c r="U1277" i="4"/>
  <c r="AA1277" i="4" s="1"/>
  <c r="V1278" i="4"/>
  <c r="Q926" i="4"/>
  <c r="U925" i="4"/>
  <c r="AA925" i="4" s="1"/>
  <c r="V926" i="4"/>
  <c r="T99" i="4"/>
  <c r="X99" i="4" s="1"/>
  <c r="Q1058" i="4"/>
  <c r="U1057" i="4"/>
  <c r="AA1057" i="4" s="1"/>
  <c r="V1058" i="4"/>
  <c r="Q102" i="4"/>
  <c r="Q1234" i="4"/>
  <c r="U1233" i="4"/>
  <c r="AA1233" i="4" s="1"/>
  <c r="V1234" i="4"/>
  <c r="U309" i="4"/>
  <c r="AA309" i="4" s="1"/>
  <c r="Q310" i="4"/>
  <c r="V310" i="4"/>
  <c r="Q266" i="4"/>
  <c r="U265" i="4"/>
  <c r="AA265" i="4" s="1"/>
  <c r="V266" i="4"/>
  <c r="U1189" i="4"/>
  <c r="AA1189" i="4" s="1"/>
  <c r="Q1190" i="4"/>
  <c r="V1190" i="4"/>
  <c r="Q1146" i="4"/>
  <c r="U1145" i="4"/>
  <c r="AA1145" i="4" s="1"/>
  <c r="V1146" i="4"/>
  <c r="U573" i="4"/>
  <c r="AA573" i="4" s="1"/>
  <c r="Q574" i="4"/>
  <c r="V574" i="4"/>
  <c r="Q838" i="4"/>
  <c r="U837" i="4"/>
  <c r="AA837" i="4" s="1"/>
  <c r="V838" i="4"/>
  <c r="Q1014" i="4"/>
  <c r="U1013" i="4"/>
  <c r="AA1013" i="4" s="1"/>
  <c r="V1014" i="4"/>
  <c r="V101" i="4"/>
  <c r="P99" i="4" l="1"/>
  <c r="T146" i="4"/>
  <c r="P146" i="4"/>
  <c r="P145" i="4"/>
  <c r="AH37" i="3"/>
  <c r="Z37" i="3"/>
  <c r="N146" i="4"/>
  <c r="Z146" i="4"/>
  <c r="Y99" i="4"/>
  <c r="S101" i="4"/>
  <c r="U1102" i="4"/>
  <c r="AA1102" i="4" s="1"/>
  <c r="M1103" i="4"/>
  <c r="U1190" i="4"/>
  <c r="AA1190" i="4" s="1"/>
  <c r="M1191" i="4"/>
  <c r="R102" i="4"/>
  <c r="U882" i="4"/>
  <c r="AA882" i="4" s="1"/>
  <c r="M883" i="4"/>
  <c r="U486" i="4"/>
  <c r="AA486" i="4" s="1"/>
  <c r="M487" i="4"/>
  <c r="U750" i="4"/>
  <c r="AA750" i="4" s="1"/>
  <c r="Q751" i="4"/>
  <c r="M751" i="4"/>
  <c r="U838" i="4"/>
  <c r="AA838" i="4" s="1"/>
  <c r="M839" i="4"/>
  <c r="AA41" i="3"/>
  <c r="R51" i="4"/>
  <c r="V51" i="4" s="1"/>
  <c r="U51" i="4"/>
  <c r="P50" i="4"/>
  <c r="U618" i="4"/>
  <c r="AA618" i="4" s="1"/>
  <c r="M619" i="4"/>
  <c r="R147" i="4"/>
  <c r="V147" i="4" s="1"/>
  <c r="U147" i="4"/>
  <c r="U706" i="4"/>
  <c r="AA706" i="4" s="1"/>
  <c r="M707" i="4"/>
  <c r="Q707" i="4" s="1"/>
  <c r="N145" i="4"/>
  <c r="Z145" i="4"/>
  <c r="N99" i="4"/>
  <c r="Z99" i="4"/>
  <c r="T100" i="4"/>
  <c r="P100" i="4" s="1"/>
  <c r="Y50" i="4"/>
  <c r="U1234" i="4"/>
  <c r="AA1234" i="4" s="1"/>
  <c r="M1235" i="4"/>
  <c r="U926" i="4"/>
  <c r="AA926" i="4" s="1"/>
  <c r="M927" i="4"/>
  <c r="U662" i="4"/>
  <c r="AA662" i="4" s="1"/>
  <c r="M663" i="4"/>
  <c r="Q663" i="4" s="1"/>
  <c r="U530" i="4"/>
  <c r="AA530" i="4" s="1"/>
  <c r="M531" i="4"/>
  <c r="Y146" i="4"/>
  <c r="U970" i="4"/>
  <c r="AA970" i="4" s="1"/>
  <c r="M971" i="4"/>
  <c r="U1014" i="4"/>
  <c r="AA1014" i="4" s="1"/>
  <c r="M1015" i="4"/>
  <c r="W838" i="4"/>
  <c r="AC39" i="3"/>
  <c r="AG39" i="3" s="1"/>
  <c r="U102" i="4"/>
  <c r="U1278" i="4"/>
  <c r="AA1278" i="4" s="1"/>
  <c r="M1279" i="4"/>
  <c r="U1322" i="4"/>
  <c r="AA1322" i="4" s="1"/>
  <c r="M1323" i="4"/>
  <c r="M191" i="4"/>
  <c r="AG98" i="4"/>
  <c r="U1146" i="4"/>
  <c r="AA1146" i="4" s="1"/>
  <c r="M1147" i="4"/>
  <c r="U354" i="4"/>
  <c r="AA354" i="4" s="1"/>
  <c r="M355" i="4"/>
  <c r="N190" i="4"/>
  <c r="AG145" i="4"/>
  <c r="U574" i="4"/>
  <c r="AA574" i="4" s="1"/>
  <c r="M575" i="4"/>
  <c r="U266" i="4"/>
  <c r="AA266" i="4" s="1"/>
  <c r="M267" i="4"/>
  <c r="Q267" i="4" s="1"/>
  <c r="U310" i="4"/>
  <c r="AA310" i="4" s="1"/>
  <c r="M311" i="4"/>
  <c r="U1058" i="4"/>
  <c r="AA1058" i="4" s="1"/>
  <c r="M1059" i="4"/>
  <c r="AB40" i="3"/>
  <c r="X146" i="4"/>
  <c r="U794" i="4"/>
  <c r="AA794" i="4" s="1"/>
  <c r="M795" i="4"/>
  <c r="U398" i="4"/>
  <c r="AA398" i="4" s="1"/>
  <c r="M399" i="4"/>
  <c r="U442" i="4"/>
  <c r="AA442" i="4" s="1"/>
  <c r="M443" i="4"/>
  <c r="Q443" i="4" s="1"/>
  <c r="W442" i="4" l="1"/>
  <c r="W1146" i="4"/>
  <c r="AC40" i="3"/>
  <c r="W794" i="4"/>
  <c r="W266" i="4"/>
  <c r="W1322" i="4"/>
  <c r="W926" i="4"/>
  <c r="W662" i="4"/>
  <c r="W530" i="4"/>
  <c r="AI37" i="3"/>
  <c r="AD38" i="3"/>
  <c r="Z38" i="3" s="1"/>
  <c r="AH38" i="3"/>
  <c r="W882" i="4"/>
  <c r="W1058" i="4"/>
  <c r="W1278" i="4"/>
  <c r="W310" i="4"/>
  <c r="W618" i="4"/>
  <c r="M268" i="4"/>
  <c r="Z100" i="4"/>
  <c r="N100" i="4"/>
  <c r="M664" i="4"/>
  <c r="M444" i="4"/>
  <c r="Q444" i="4" s="1"/>
  <c r="N971" i="4"/>
  <c r="N619" i="4"/>
  <c r="N487" i="4"/>
  <c r="O487" i="4" s="1"/>
  <c r="N1323" i="4"/>
  <c r="O1323" i="4" s="1"/>
  <c r="N927" i="4"/>
  <c r="O927" i="4" s="1"/>
  <c r="N1191" i="4"/>
  <c r="M192" i="4"/>
  <c r="AG99" i="4"/>
  <c r="V102" i="4"/>
  <c r="N399" i="4"/>
  <c r="W1102" i="4"/>
  <c r="Q971" i="4"/>
  <c r="N355" i="4"/>
  <c r="O355" i="4"/>
  <c r="W486" i="4"/>
  <c r="N795" i="4"/>
  <c r="O795" i="4"/>
  <c r="Q1323" i="4"/>
  <c r="N1015" i="4"/>
  <c r="O1015" i="4" s="1"/>
  <c r="Q927" i="4"/>
  <c r="N50" i="4"/>
  <c r="Z50" i="4"/>
  <c r="W970" i="4"/>
  <c r="N883" i="4"/>
  <c r="X100" i="4"/>
  <c r="AG40" i="3"/>
  <c r="N267" i="4"/>
  <c r="O267" i="4" s="1"/>
  <c r="Q619" i="4"/>
  <c r="N1059" i="4"/>
  <c r="O1059" i="4" s="1"/>
  <c r="Q487" i="4"/>
  <c r="Q355" i="4"/>
  <c r="Q1059" i="4"/>
  <c r="N1147" i="4"/>
  <c r="O1147" i="4" s="1"/>
  <c r="N1279" i="4"/>
  <c r="N191" i="4"/>
  <c r="AG146" i="4"/>
  <c r="W1190" i="4"/>
  <c r="N839" i="4"/>
  <c r="Q883" i="4"/>
  <c r="Q1191" i="4"/>
  <c r="L191" i="4"/>
  <c r="AG50" i="4"/>
  <c r="M708" i="4"/>
  <c r="M752" i="4"/>
  <c r="N663" i="4"/>
  <c r="O663" i="4"/>
  <c r="P663" i="4" s="1"/>
  <c r="W101" i="4"/>
  <c r="W398" i="4"/>
  <c r="AE41" i="3"/>
  <c r="N531" i="4"/>
  <c r="Q52" i="4"/>
  <c r="AF40" i="3"/>
  <c r="AB41" i="3" s="1"/>
  <c r="N1235" i="4"/>
  <c r="Q399" i="4"/>
  <c r="Q148" i="4"/>
  <c r="Q795" i="4"/>
  <c r="N575" i="4"/>
  <c r="N311" i="4"/>
  <c r="Q1279" i="4"/>
  <c r="Q1015" i="4"/>
  <c r="Q311" i="4"/>
  <c r="Q575" i="4"/>
  <c r="Q1147" i="4"/>
  <c r="W750" i="4"/>
  <c r="S147" i="4"/>
  <c r="W147" i="4" s="1"/>
  <c r="S51" i="4"/>
  <c r="Q839" i="4"/>
  <c r="W1234" i="4"/>
  <c r="N1103" i="4"/>
  <c r="O1103" i="4" s="1"/>
  <c r="N443" i="4"/>
  <c r="O443" i="4"/>
  <c r="P443" i="4" s="1"/>
  <c r="W574" i="4"/>
  <c r="W1014" i="4"/>
  <c r="Q103" i="4"/>
  <c r="W354" i="4"/>
  <c r="Q531" i="4"/>
  <c r="Q1235" i="4"/>
  <c r="N707" i="4"/>
  <c r="N751" i="4"/>
  <c r="W706" i="4"/>
  <c r="Q1103" i="4"/>
  <c r="AI38" i="3" l="1"/>
  <c r="AD39" i="3"/>
  <c r="O399" i="4"/>
  <c r="P399" i="4" s="1"/>
  <c r="S1015" i="4"/>
  <c r="T663" i="4"/>
  <c r="S267" i="4"/>
  <c r="T443" i="4"/>
  <c r="AC41" i="3"/>
  <c r="AG41" i="3" s="1"/>
  <c r="S1147" i="4"/>
  <c r="P1147" i="4"/>
  <c r="S927" i="4"/>
  <c r="S1103" i="4"/>
  <c r="S1323" i="4"/>
  <c r="R1235" i="4"/>
  <c r="R1279" i="4"/>
  <c r="S487" i="4"/>
  <c r="P267" i="4"/>
  <c r="O971" i="4"/>
  <c r="P971" i="4" s="1"/>
  <c r="M796" i="4"/>
  <c r="Q796" i="4" s="1"/>
  <c r="Y100" i="4"/>
  <c r="M445" i="4"/>
  <c r="Q445" i="4" s="1"/>
  <c r="O531" i="4"/>
  <c r="P531" i="4" s="1"/>
  <c r="R1015" i="4"/>
  <c r="M840" i="4"/>
  <c r="Q840" i="4" s="1"/>
  <c r="P1015" i="4"/>
  <c r="S399" i="4"/>
  <c r="Q664" i="4"/>
  <c r="R531" i="4"/>
  <c r="R267" i="4"/>
  <c r="R883" i="4"/>
  <c r="W51" i="4"/>
  <c r="R355" i="4"/>
  <c r="R1191" i="4"/>
  <c r="R619" i="4"/>
  <c r="M928" i="4"/>
  <c r="Q928" i="4" s="1"/>
  <c r="R971" i="4"/>
  <c r="S443" i="4"/>
  <c r="O1279" i="4"/>
  <c r="P1279" i="4" s="1"/>
  <c r="M972" i="4"/>
  <c r="P487" i="4"/>
  <c r="L487" i="4" s="1"/>
  <c r="O751" i="4"/>
  <c r="R311" i="4"/>
  <c r="Q708" i="4"/>
  <c r="O883" i="4"/>
  <c r="R443" i="4"/>
  <c r="S1059" i="4"/>
  <c r="R148" i="4"/>
  <c r="V148" i="4" s="1"/>
  <c r="R663" i="4"/>
  <c r="N664" i="4" s="1"/>
  <c r="R1059" i="4"/>
  <c r="S355" i="4"/>
  <c r="R399" i="4"/>
  <c r="R1323" i="4"/>
  <c r="R103" i="4"/>
  <c r="L443" i="4"/>
  <c r="U148" i="4"/>
  <c r="M1148" i="4"/>
  <c r="Q1148" i="4" s="1"/>
  <c r="L663" i="4"/>
  <c r="T147" i="4"/>
  <c r="X147" i="4" s="1"/>
  <c r="Y147" i="4" s="1"/>
  <c r="M1324" i="4"/>
  <c r="P355" i="4"/>
  <c r="O1191" i="4"/>
  <c r="P1323" i="4"/>
  <c r="O619" i="4"/>
  <c r="P619" i="4" s="1"/>
  <c r="AA42" i="3"/>
  <c r="P1059" i="4"/>
  <c r="L1059" i="4" s="1"/>
  <c r="R707" i="4"/>
  <c r="N708" i="4" s="1"/>
  <c r="P1103" i="4"/>
  <c r="L1103" i="4" s="1"/>
  <c r="M576" i="4"/>
  <c r="M400" i="4"/>
  <c r="Q400" i="4" s="1"/>
  <c r="S795" i="4"/>
  <c r="Q268" i="4"/>
  <c r="M1016" i="4"/>
  <c r="Q1016" i="4" s="1"/>
  <c r="M356" i="4"/>
  <c r="Q356" i="4" s="1"/>
  <c r="R751" i="4"/>
  <c r="M488" i="4"/>
  <c r="M1236" i="4"/>
  <c r="Q1236" i="4" s="1"/>
  <c r="S663" i="4"/>
  <c r="AF41" i="3"/>
  <c r="R1147" i="4"/>
  <c r="U103" i="4"/>
  <c r="R52" i="4"/>
  <c r="V52" i="4" s="1"/>
  <c r="P707" i="4"/>
  <c r="O1235" i="4"/>
  <c r="Q752" i="4"/>
  <c r="L1147" i="4"/>
  <c r="P795" i="4"/>
  <c r="L355" i="4"/>
  <c r="R839" i="4"/>
  <c r="R927" i="4"/>
  <c r="M1280" i="4"/>
  <c r="O839" i="4"/>
  <c r="P839" i="4" s="1"/>
  <c r="M532" i="4"/>
  <c r="O311" i="4"/>
  <c r="T51" i="4"/>
  <c r="X51" i="4" s="1"/>
  <c r="R1103" i="4"/>
  <c r="M1104" i="4"/>
  <c r="Q1104" i="4" s="1"/>
  <c r="M312" i="4"/>
  <c r="R575" i="4"/>
  <c r="U52" i="4"/>
  <c r="M1192" i="4"/>
  <c r="O707" i="4"/>
  <c r="O575" i="4"/>
  <c r="M884" i="4"/>
  <c r="M1060" i="4"/>
  <c r="Q1060" i="4" s="1"/>
  <c r="M620" i="4"/>
  <c r="R795" i="4"/>
  <c r="T101" i="4"/>
  <c r="P101" i="4" s="1"/>
  <c r="V103" i="4"/>
  <c r="P927" i="4"/>
  <c r="L927" i="4" s="1"/>
  <c r="R487" i="4"/>
  <c r="S102" i="4"/>
  <c r="W102" i="4" s="1"/>
  <c r="S103" i="4" l="1"/>
  <c r="L399" i="4"/>
  <c r="V399" i="4" s="1"/>
  <c r="T399" i="4"/>
  <c r="U399" i="4" s="1"/>
  <c r="AA399" i="4" s="1"/>
  <c r="AH39" i="3"/>
  <c r="Z39" i="3"/>
  <c r="P51" i="4"/>
  <c r="N51" i="4" s="1"/>
  <c r="M1105" i="4"/>
  <c r="Q1105" i="4" s="1"/>
  <c r="M401" i="4"/>
  <c r="Q401" i="4" s="1"/>
  <c r="J487" i="4"/>
  <c r="V487" i="4"/>
  <c r="N192" i="4"/>
  <c r="AG147" i="4"/>
  <c r="M357" i="4"/>
  <c r="M1149" i="4"/>
  <c r="Q1149" i="4" s="1"/>
  <c r="T839" i="4"/>
  <c r="T619" i="4"/>
  <c r="M1237" i="4"/>
  <c r="O708" i="4"/>
  <c r="J927" i="4"/>
  <c r="V927" i="4"/>
  <c r="J1059" i="4"/>
  <c r="V1059" i="4"/>
  <c r="J355" i="4"/>
  <c r="V355" i="4"/>
  <c r="M665" i="4"/>
  <c r="Q665" i="4" s="1"/>
  <c r="S311" i="4"/>
  <c r="O312" i="4" s="1"/>
  <c r="M269" i="4"/>
  <c r="Q269" i="4" s="1"/>
  <c r="N972" i="4"/>
  <c r="T531" i="4"/>
  <c r="Q972" i="4"/>
  <c r="M753" i="4"/>
  <c r="P147" i="4"/>
  <c r="Q104" i="4"/>
  <c r="R708" i="4"/>
  <c r="T487" i="4"/>
  <c r="M841" i="4"/>
  <c r="N1192" i="4"/>
  <c r="Y51" i="4"/>
  <c r="M193" i="4"/>
  <c r="AG100" i="4"/>
  <c r="J1147" i="4"/>
  <c r="V1147" i="4"/>
  <c r="U443" i="4"/>
  <c r="AA443" i="4" s="1"/>
  <c r="T267" i="4"/>
  <c r="N884" i="4"/>
  <c r="Q53" i="4"/>
  <c r="U53" i="4" s="1"/>
  <c r="S1191" i="4"/>
  <c r="O1192" i="4" s="1"/>
  <c r="P1191" i="4"/>
  <c r="L1191" i="4" s="1"/>
  <c r="S1279" i="4"/>
  <c r="N444" i="4"/>
  <c r="T1015" i="4"/>
  <c r="T927" i="4"/>
  <c r="U927" i="4" s="1"/>
  <c r="AA927" i="4" s="1"/>
  <c r="N488" i="4"/>
  <c r="R488" i="4" s="1"/>
  <c r="M797" i="4"/>
  <c r="T795" i="4"/>
  <c r="U795" i="4" s="1"/>
  <c r="AA795" i="4" s="1"/>
  <c r="L795" i="4"/>
  <c r="M929" i="4"/>
  <c r="O532" i="4"/>
  <c r="N532" i="4"/>
  <c r="W103" i="4"/>
  <c r="X101" i="4"/>
  <c r="R664" i="4"/>
  <c r="U663" i="4"/>
  <c r="AA663" i="4" s="1"/>
  <c r="S1235" i="4"/>
  <c r="S883" i="4"/>
  <c r="T707" i="4"/>
  <c r="U707" i="4" s="1"/>
  <c r="AA707" i="4" s="1"/>
  <c r="T355" i="4"/>
  <c r="N620" i="4"/>
  <c r="R620" i="4" s="1"/>
  <c r="S52" i="4"/>
  <c r="T52" i="4" s="1"/>
  <c r="N576" i="4"/>
  <c r="N1324" i="4"/>
  <c r="O1324" i="4" s="1"/>
  <c r="S148" i="4"/>
  <c r="U267" i="4"/>
  <c r="AA267" i="4" s="1"/>
  <c r="L1279" i="4"/>
  <c r="M1017" i="4"/>
  <c r="T971" i="4"/>
  <c r="N1104" i="4"/>
  <c r="R1104" i="4" s="1"/>
  <c r="Q488" i="4"/>
  <c r="J663" i="4"/>
  <c r="V663" i="4"/>
  <c r="S971" i="4"/>
  <c r="N101" i="4"/>
  <c r="Z101" i="4"/>
  <c r="O664" i="4"/>
  <c r="Q1192" i="4"/>
  <c r="N400" i="4"/>
  <c r="O400" i="4"/>
  <c r="P400" i="4"/>
  <c r="Q884" i="4"/>
  <c r="Q532" i="4"/>
  <c r="T1059" i="4"/>
  <c r="AB42" i="3"/>
  <c r="AF42" i="3" s="1"/>
  <c r="S575" i="4"/>
  <c r="P575" i="4"/>
  <c r="AE42" i="3"/>
  <c r="Q1324" i="4"/>
  <c r="R312" i="4"/>
  <c r="R972" i="4"/>
  <c r="S531" i="4"/>
  <c r="T1279" i="4"/>
  <c r="N1148" i="4"/>
  <c r="O1148" i="4"/>
  <c r="L971" i="4"/>
  <c r="M709" i="4"/>
  <c r="P1235" i="4"/>
  <c r="S839" i="4"/>
  <c r="X52" i="4"/>
  <c r="U149" i="4"/>
  <c r="Q149" i="4"/>
  <c r="N752" i="4"/>
  <c r="R752" i="4" s="1"/>
  <c r="L1015" i="4"/>
  <c r="R532" i="4"/>
  <c r="N840" i="4"/>
  <c r="R840" i="4" s="1"/>
  <c r="N796" i="4"/>
  <c r="R796" i="4" s="1"/>
  <c r="P883" i="4"/>
  <c r="L883" i="4" s="1"/>
  <c r="P311" i="4"/>
  <c r="Q446" i="4"/>
  <c r="M446" i="4"/>
  <c r="M1061" i="4"/>
  <c r="S619" i="4"/>
  <c r="J1103" i="4"/>
  <c r="V1103" i="4"/>
  <c r="T1323" i="4"/>
  <c r="U1323" i="4" s="1"/>
  <c r="AA1323" i="4" s="1"/>
  <c r="N356" i="4"/>
  <c r="T102" i="4"/>
  <c r="P102" i="4" s="1"/>
  <c r="L619" i="4"/>
  <c r="N312" i="4"/>
  <c r="N1280" i="4"/>
  <c r="N1236" i="4"/>
  <c r="Q620" i="4"/>
  <c r="L267" i="4"/>
  <c r="L1323" i="4"/>
  <c r="N1016" i="4"/>
  <c r="O1016" i="4"/>
  <c r="S1016" i="4" s="1"/>
  <c r="Q576" i="4"/>
  <c r="N1060" i="4"/>
  <c r="S707" i="4"/>
  <c r="L707" i="4"/>
  <c r="Q312" i="4"/>
  <c r="L531" i="4"/>
  <c r="Q1280" i="4"/>
  <c r="P52" i="4"/>
  <c r="U1015" i="4"/>
  <c r="AA1015" i="4" s="1"/>
  <c r="T1103" i="4"/>
  <c r="N268" i="4"/>
  <c r="J443" i="4"/>
  <c r="V443" i="4"/>
  <c r="S751" i="4"/>
  <c r="P751" i="4"/>
  <c r="N928" i="4"/>
  <c r="O928" i="4" s="1"/>
  <c r="S928" i="4" s="1"/>
  <c r="T1147" i="4"/>
  <c r="L839" i="4"/>
  <c r="W663" i="4" l="1"/>
  <c r="W399" i="4"/>
  <c r="O796" i="4"/>
  <c r="O972" i="4"/>
  <c r="P972" i="4" s="1"/>
  <c r="O576" i="4"/>
  <c r="L400" i="4"/>
  <c r="J400" i="4" s="1"/>
  <c r="P796" i="4"/>
  <c r="L796" i="4" s="1"/>
  <c r="O1280" i="4"/>
  <c r="S1280" i="4" s="1"/>
  <c r="P1016" i="4"/>
  <c r="L1016" i="4" s="1"/>
  <c r="Z51" i="4"/>
  <c r="R1324" i="4"/>
  <c r="AC42" i="3"/>
  <c r="R1280" i="4"/>
  <c r="J399" i="4"/>
  <c r="AI39" i="3"/>
  <c r="AD40" i="3"/>
  <c r="S796" i="4"/>
  <c r="O620" i="4"/>
  <c r="P620" i="4" s="1"/>
  <c r="P532" i="4"/>
  <c r="L532" i="4" s="1"/>
  <c r="M1150" i="4"/>
  <c r="M270" i="4"/>
  <c r="N102" i="4"/>
  <c r="Z102" i="4"/>
  <c r="L1148" i="4"/>
  <c r="J883" i="4"/>
  <c r="V883" i="4"/>
  <c r="V400" i="4"/>
  <c r="J707" i="4"/>
  <c r="V707" i="4"/>
  <c r="W707" i="4" s="1"/>
  <c r="S708" i="4"/>
  <c r="R104" i="4"/>
  <c r="V104" i="4" s="1"/>
  <c r="T1235" i="4"/>
  <c r="U1235" i="4" s="1"/>
  <c r="AA1235" i="4" s="1"/>
  <c r="Q797" i="4"/>
  <c r="U104" i="4"/>
  <c r="M973" i="4"/>
  <c r="U1103" i="4"/>
  <c r="AA1103" i="4" s="1"/>
  <c r="S840" i="4"/>
  <c r="P708" i="4"/>
  <c r="T311" i="4"/>
  <c r="O356" i="4"/>
  <c r="P356" i="4" s="1"/>
  <c r="O752" i="4"/>
  <c r="N709" i="4"/>
  <c r="M1325" i="4"/>
  <c r="R1192" i="4"/>
  <c r="M1193" i="4"/>
  <c r="R356" i="4"/>
  <c r="U355" i="4"/>
  <c r="AA355" i="4" s="1"/>
  <c r="X102" i="4"/>
  <c r="Y101" i="4"/>
  <c r="R1016" i="4"/>
  <c r="T1191" i="4"/>
  <c r="P1192" i="4" s="1"/>
  <c r="L1192" i="4" s="1"/>
  <c r="O1236" i="4"/>
  <c r="S1236" i="4" s="1"/>
  <c r="S312" i="4"/>
  <c r="M402" i="4"/>
  <c r="O268" i="4"/>
  <c r="P268" i="4" s="1"/>
  <c r="O444" i="4"/>
  <c r="P444" i="4"/>
  <c r="W1103" i="4"/>
  <c r="P1148" i="4"/>
  <c r="T1148" i="4" s="1"/>
  <c r="O1060" i="4"/>
  <c r="N841" i="4"/>
  <c r="R841" i="4" s="1"/>
  <c r="U1279" i="4"/>
  <c r="AA1279" i="4" s="1"/>
  <c r="Q709" i="4"/>
  <c r="T575" i="4"/>
  <c r="T148" i="4"/>
  <c r="W148" i="4"/>
  <c r="Q929" i="4"/>
  <c r="O884" i="4"/>
  <c r="Q1237" i="4"/>
  <c r="N753" i="4"/>
  <c r="U1059" i="4"/>
  <c r="AA1059" i="4" s="1"/>
  <c r="L1235" i="4"/>
  <c r="U839" i="4"/>
  <c r="AA839" i="4" s="1"/>
  <c r="J1191" i="4"/>
  <c r="V1191" i="4"/>
  <c r="W443" i="4"/>
  <c r="M1281" i="4"/>
  <c r="J267" i="4"/>
  <c r="V267" i="4"/>
  <c r="W267" i="4" s="1"/>
  <c r="U619" i="4"/>
  <c r="AA619" i="4" s="1"/>
  <c r="R576" i="4"/>
  <c r="Q1061" i="4"/>
  <c r="R149" i="4"/>
  <c r="V149" i="4" s="1"/>
  <c r="S664" i="4"/>
  <c r="R1060" i="4"/>
  <c r="L575" i="4"/>
  <c r="M533" i="4"/>
  <c r="L311" i="4"/>
  <c r="O1104" i="4"/>
  <c r="P1104" i="4" s="1"/>
  <c r="Q1017" i="4"/>
  <c r="J795" i="4"/>
  <c r="V795" i="4"/>
  <c r="W795" i="4" s="1"/>
  <c r="R53" i="4"/>
  <c r="V53" i="4" s="1"/>
  <c r="L192" i="4"/>
  <c r="AG51" i="4"/>
  <c r="Q841" i="4"/>
  <c r="S1148" i="4"/>
  <c r="P664" i="4"/>
  <c r="W927" i="4"/>
  <c r="Q357" i="4"/>
  <c r="N1105" i="4"/>
  <c r="R1105" i="4" s="1"/>
  <c r="M447" i="4"/>
  <c r="Q447" i="4" s="1"/>
  <c r="S972" i="4"/>
  <c r="U971" i="4"/>
  <c r="AA971" i="4" s="1"/>
  <c r="J839" i="4"/>
  <c r="V839" i="4"/>
  <c r="J1279" i="4"/>
  <c r="V1279" i="4"/>
  <c r="N797" i="4"/>
  <c r="R797" i="4" s="1"/>
  <c r="R444" i="4"/>
  <c r="R753" i="4"/>
  <c r="J1015" i="4"/>
  <c r="V1015" i="4"/>
  <c r="W1015" i="4" s="1"/>
  <c r="W1147" i="4"/>
  <c r="T751" i="4"/>
  <c r="L751" i="4"/>
  <c r="R400" i="4"/>
  <c r="N401" i="4" s="1"/>
  <c r="R268" i="4"/>
  <c r="N269" i="4" s="1"/>
  <c r="S752" i="4"/>
  <c r="O753" i="4" s="1"/>
  <c r="J1323" i="4"/>
  <c r="V1323" i="4"/>
  <c r="W1323" i="4" s="1"/>
  <c r="T883" i="4"/>
  <c r="AA43" i="3"/>
  <c r="M489" i="4"/>
  <c r="S1192" i="4"/>
  <c r="J531" i="4"/>
  <c r="V531" i="4"/>
  <c r="J619" i="4"/>
  <c r="V619" i="4"/>
  <c r="O840" i="4"/>
  <c r="J971" i="4"/>
  <c r="V971" i="4"/>
  <c r="R1236" i="4"/>
  <c r="N1237" i="4" s="1"/>
  <c r="S576" i="4"/>
  <c r="M885" i="4"/>
  <c r="R928" i="4"/>
  <c r="N929" i="4" s="1"/>
  <c r="S884" i="4"/>
  <c r="O488" i="4"/>
  <c r="P488" i="4" s="1"/>
  <c r="U1147" i="4"/>
  <c r="AA1147" i="4" s="1"/>
  <c r="W52" i="4"/>
  <c r="U487" i="4"/>
  <c r="AA487" i="4" s="1"/>
  <c r="N665" i="4"/>
  <c r="R665" i="4" s="1"/>
  <c r="S400" i="4"/>
  <c r="L664" i="4"/>
  <c r="M666" i="4"/>
  <c r="Q753" i="4"/>
  <c r="S1324" i="4"/>
  <c r="N52" i="4"/>
  <c r="Z52" i="4"/>
  <c r="P928" i="4"/>
  <c r="T928" i="4" s="1"/>
  <c r="M313" i="4"/>
  <c r="M577" i="4"/>
  <c r="M621" i="4"/>
  <c r="Q150" i="4"/>
  <c r="U150" i="4" s="1"/>
  <c r="S532" i="4"/>
  <c r="U531" i="4"/>
  <c r="AA531" i="4" s="1"/>
  <c r="T400" i="4"/>
  <c r="P1324" i="4"/>
  <c r="Q54" i="4"/>
  <c r="U54" i="4" s="1"/>
  <c r="R1148" i="4"/>
  <c r="N1149" i="4" s="1"/>
  <c r="N147" i="4"/>
  <c r="Z147" i="4"/>
  <c r="R884" i="4"/>
  <c r="M1106" i="4"/>
  <c r="Q1106" i="4" s="1"/>
  <c r="T1016" i="4" l="1"/>
  <c r="S620" i="4"/>
  <c r="T532" i="4"/>
  <c r="J532" i="4"/>
  <c r="V532" i="4"/>
  <c r="J796" i="4"/>
  <c r="V796" i="4"/>
  <c r="O1237" i="4"/>
  <c r="S1237" i="4" s="1"/>
  <c r="AH40" i="3"/>
  <c r="Z40" i="3"/>
  <c r="P1280" i="4"/>
  <c r="U1191" i="4"/>
  <c r="AA1191" i="4" s="1"/>
  <c r="O665" i="4"/>
  <c r="S665" i="4" s="1"/>
  <c r="W839" i="4"/>
  <c r="W1059" i="4"/>
  <c r="W355" i="4"/>
  <c r="AG42" i="3"/>
  <c r="P752" i="4"/>
  <c r="T752" i="4" s="1"/>
  <c r="P753" i="4" s="1"/>
  <c r="U532" i="4"/>
  <c r="AA532" i="4" s="1"/>
  <c r="L620" i="4"/>
  <c r="J620" i="4" s="1"/>
  <c r="T796" i="4"/>
  <c r="S149" i="4"/>
  <c r="W149" i="4" s="1"/>
  <c r="L884" i="4"/>
  <c r="O1149" i="4"/>
  <c r="M1107" i="4"/>
  <c r="Q151" i="4"/>
  <c r="T488" i="4"/>
  <c r="L488" i="4"/>
  <c r="Q55" i="4"/>
  <c r="U55" i="4" s="1"/>
  <c r="U1016" i="4"/>
  <c r="AA1016" i="4" s="1"/>
  <c r="N1017" i="4"/>
  <c r="R1017" i="4" s="1"/>
  <c r="T312" i="4"/>
  <c r="N577" i="4"/>
  <c r="J1016" i="4"/>
  <c r="V1016" i="4"/>
  <c r="R929" i="4"/>
  <c r="U928" i="4"/>
  <c r="AA928" i="4" s="1"/>
  <c r="S1193" i="4"/>
  <c r="N445" i="4"/>
  <c r="R445" i="4" s="1"/>
  <c r="M710" i="4"/>
  <c r="P312" i="4"/>
  <c r="L356" i="4"/>
  <c r="N621" i="4"/>
  <c r="R621" i="4" s="1"/>
  <c r="O621" i="4"/>
  <c r="S621" i="4" s="1"/>
  <c r="N666" i="4"/>
  <c r="R666" i="4" s="1"/>
  <c r="U575" i="4"/>
  <c r="AA575" i="4" s="1"/>
  <c r="P840" i="4"/>
  <c r="L840" i="4"/>
  <c r="O929" i="4"/>
  <c r="M1018" i="4"/>
  <c r="Q1018" i="4" s="1"/>
  <c r="T444" i="4"/>
  <c r="J664" i="4"/>
  <c r="V664" i="4"/>
  <c r="L1104" i="4"/>
  <c r="S1104" i="4"/>
  <c r="L928" i="4"/>
  <c r="M930" i="4"/>
  <c r="Q930" i="4" s="1"/>
  <c r="L444" i="4"/>
  <c r="J1192" i="4"/>
  <c r="V1192" i="4"/>
  <c r="M194" i="4"/>
  <c r="AG101" i="4"/>
  <c r="R1193" i="4"/>
  <c r="M798" i="4"/>
  <c r="J1148" i="4"/>
  <c r="V1148" i="4"/>
  <c r="Q105" i="4"/>
  <c r="U105" i="4" s="1"/>
  <c r="P884" i="4"/>
  <c r="N1193" i="4"/>
  <c r="O1193" i="4"/>
  <c r="N489" i="4"/>
  <c r="R489" i="4" s="1"/>
  <c r="S1060" i="4"/>
  <c r="Q1193" i="4"/>
  <c r="P1060" i="4"/>
  <c r="N313" i="4"/>
  <c r="R313" i="4" s="1"/>
  <c r="Y52" i="4"/>
  <c r="Q489" i="4"/>
  <c r="R269" i="4"/>
  <c r="O797" i="4"/>
  <c r="M358" i="4"/>
  <c r="Q358" i="4" s="1"/>
  <c r="S53" i="4"/>
  <c r="T53" i="4" s="1"/>
  <c r="X53" i="4" s="1"/>
  <c r="J311" i="4"/>
  <c r="V311" i="4"/>
  <c r="N1281" i="4"/>
  <c r="W487" i="4"/>
  <c r="T708" i="4"/>
  <c r="S444" i="4"/>
  <c r="T103" i="4"/>
  <c r="P103" i="4" s="1"/>
  <c r="Y102" i="4"/>
  <c r="N1325" i="4"/>
  <c r="R1325" i="4" s="1"/>
  <c r="O1325" i="4"/>
  <c r="L708" i="4"/>
  <c r="T884" i="4"/>
  <c r="U884" i="4" s="1"/>
  <c r="AA884" i="4" s="1"/>
  <c r="U883" i="4"/>
  <c r="AA883" i="4" s="1"/>
  <c r="M448" i="4"/>
  <c r="W883" i="4"/>
  <c r="N1106" i="4"/>
  <c r="R1106" i="4" s="1"/>
  <c r="Q621" i="4"/>
  <c r="Q666" i="4"/>
  <c r="N885" i="4"/>
  <c r="Q270" i="4"/>
  <c r="Q577" i="4"/>
  <c r="P576" i="4"/>
  <c r="O841" i="4"/>
  <c r="S841" i="4" s="1"/>
  <c r="P1236" i="4"/>
  <c r="R709" i="4"/>
  <c r="Q1150" i="4"/>
  <c r="R54" i="4"/>
  <c r="V54" i="4" s="1"/>
  <c r="U796" i="4"/>
  <c r="AA796" i="4" s="1"/>
  <c r="U751" i="4"/>
  <c r="AA751" i="4" s="1"/>
  <c r="M842" i="4"/>
  <c r="J575" i="4"/>
  <c r="V575" i="4"/>
  <c r="J1235" i="4"/>
  <c r="V1235" i="4"/>
  <c r="W1235" i="4" s="1"/>
  <c r="R150" i="4"/>
  <c r="V150" i="4" s="1"/>
  <c r="O709" i="4"/>
  <c r="S709" i="4" s="1"/>
  <c r="Q402" i="4"/>
  <c r="W619" i="4"/>
  <c r="Q885" i="4"/>
  <c r="R401" i="4"/>
  <c r="N402" i="4" s="1"/>
  <c r="U400" i="4"/>
  <c r="AA400" i="4" s="1"/>
  <c r="T1324" i="4"/>
  <c r="U1324" i="4" s="1"/>
  <c r="AA1324" i="4" s="1"/>
  <c r="Q313" i="4"/>
  <c r="R1237" i="4"/>
  <c r="U311" i="4"/>
  <c r="AA311" i="4" s="1"/>
  <c r="W1279" i="4"/>
  <c r="T664" i="4"/>
  <c r="U664" i="4" s="1"/>
  <c r="AA664" i="4" s="1"/>
  <c r="Q1281" i="4"/>
  <c r="M1238" i="4"/>
  <c r="N1061" i="4"/>
  <c r="R1061" i="4" s="1"/>
  <c r="L268" i="4"/>
  <c r="O401" i="4"/>
  <c r="S401" i="4" s="1"/>
  <c r="T1192" i="4"/>
  <c r="T356" i="4"/>
  <c r="Q1325" i="4"/>
  <c r="L1324" i="4"/>
  <c r="N973" i="4"/>
  <c r="R973" i="4" s="1"/>
  <c r="T1104" i="4"/>
  <c r="N357" i="4"/>
  <c r="S753" i="4"/>
  <c r="T620" i="4"/>
  <c r="M754" i="4"/>
  <c r="Q754" i="4" s="1"/>
  <c r="T268" i="4"/>
  <c r="AB43" i="3"/>
  <c r="AF43" i="3" s="1"/>
  <c r="N533" i="4"/>
  <c r="R533" i="4" s="1"/>
  <c r="R1149" i="4"/>
  <c r="N1150" i="4" s="1"/>
  <c r="U1148" i="4"/>
  <c r="AA1148" i="4" s="1"/>
  <c r="S488" i="4"/>
  <c r="W971" i="4"/>
  <c r="W531" i="4"/>
  <c r="AE43" i="3"/>
  <c r="J751" i="4"/>
  <c r="V751" i="4"/>
  <c r="Q533" i="4"/>
  <c r="M1062" i="4"/>
  <c r="P148" i="4"/>
  <c r="X148" i="4"/>
  <c r="S268" i="4"/>
  <c r="S356" i="4"/>
  <c r="T972" i="4"/>
  <c r="Q973" i="4"/>
  <c r="S104" i="4"/>
  <c r="L972" i="4"/>
  <c r="P401" i="4" l="1"/>
  <c r="T401" i="4" s="1"/>
  <c r="P1325" i="4"/>
  <c r="W532" i="4"/>
  <c r="S150" i="4"/>
  <c r="W751" i="4"/>
  <c r="V620" i="4"/>
  <c r="S1149" i="4"/>
  <c r="O1150" i="4" s="1"/>
  <c r="O533" i="4"/>
  <c r="P533" i="4" s="1"/>
  <c r="T533" i="4" s="1"/>
  <c r="P1149" i="4"/>
  <c r="T1149" i="4" s="1"/>
  <c r="U1149" i="4" s="1"/>
  <c r="AA1149" i="4" s="1"/>
  <c r="L1280" i="4"/>
  <c r="T1280" i="4"/>
  <c r="U1280" i="4" s="1"/>
  <c r="AA1280" i="4" s="1"/>
  <c r="W575" i="4"/>
  <c r="AI40" i="3"/>
  <c r="AD41" i="3"/>
  <c r="W1191" i="4"/>
  <c r="P621" i="4"/>
  <c r="L621" i="4" s="1"/>
  <c r="J621" i="4" s="1"/>
  <c r="L752" i="4"/>
  <c r="J752" i="4" s="1"/>
  <c r="O666" i="4"/>
  <c r="L753" i="4"/>
  <c r="M931" i="4"/>
  <c r="Q106" i="4"/>
  <c r="O402" i="4"/>
  <c r="M359" i="4"/>
  <c r="Q359" i="4" s="1"/>
  <c r="Q56" i="4"/>
  <c r="M755" i="4"/>
  <c r="Q755" i="4" s="1"/>
  <c r="U752" i="4"/>
  <c r="AA752" i="4" s="1"/>
  <c r="M403" i="4"/>
  <c r="M667" i="4"/>
  <c r="L1325" i="4"/>
  <c r="R1281" i="4"/>
  <c r="O313" i="4"/>
  <c r="S313" i="4" s="1"/>
  <c r="J928" i="4"/>
  <c r="V928" i="4"/>
  <c r="W928" i="4" s="1"/>
  <c r="J840" i="4"/>
  <c r="V840" i="4"/>
  <c r="J1324" i="4"/>
  <c r="V1324" i="4"/>
  <c r="W1324" i="4" s="1"/>
  <c r="T1060" i="4"/>
  <c r="O269" i="4"/>
  <c r="S269" i="4" s="1"/>
  <c r="N1238" i="4"/>
  <c r="O1238" i="4"/>
  <c r="M1194" i="4"/>
  <c r="Q1194" i="4" s="1"/>
  <c r="U620" i="4"/>
  <c r="AA620" i="4" s="1"/>
  <c r="T1325" i="4"/>
  <c r="L576" i="4"/>
  <c r="S929" i="4"/>
  <c r="N1107" i="4"/>
  <c r="N148" i="4"/>
  <c r="Z148" i="4"/>
  <c r="P1193" i="4"/>
  <c r="T1193" i="4" s="1"/>
  <c r="U1193" i="4" s="1"/>
  <c r="AA1193" i="4" s="1"/>
  <c r="L401" i="4"/>
  <c r="R885" i="4"/>
  <c r="W1016" i="4"/>
  <c r="T149" i="4"/>
  <c r="P149" i="4" s="1"/>
  <c r="Q1107" i="4"/>
  <c r="W150" i="4"/>
  <c r="S666" i="4"/>
  <c r="M1326" i="4"/>
  <c r="Q1326" i="4" s="1"/>
  <c r="J356" i="4"/>
  <c r="V356" i="4"/>
  <c r="J884" i="4"/>
  <c r="V884" i="4"/>
  <c r="W884" i="4" s="1"/>
  <c r="W664" i="4"/>
  <c r="M195" i="4"/>
  <c r="AG102" i="4"/>
  <c r="W104" i="4"/>
  <c r="J268" i="4"/>
  <c r="V268" i="4"/>
  <c r="S1325" i="4"/>
  <c r="N842" i="4"/>
  <c r="R842" i="4" s="1"/>
  <c r="O842" i="4"/>
  <c r="S842" i="4" s="1"/>
  <c r="P53" i="4"/>
  <c r="O885" i="4"/>
  <c r="P885" i="4" s="1"/>
  <c r="T885" i="4" s="1"/>
  <c r="M622" i="4"/>
  <c r="Q448" i="4"/>
  <c r="N103" i="4"/>
  <c r="Z103" i="4"/>
  <c r="O1281" i="4"/>
  <c r="P797" i="4"/>
  <c r="T797" i="4" s="1"/>
  <c r="S797" i="4"/>
  <c r="O489" i="4"/>
  <c r="S489" i="4" s="1"/>
  <c r="U1104" i="4"/>
  <c r="AA1104" i="4" s="1"/>
  <c r="T840" i="4"/>
  <c r="U1192" i="4"/>
  <c r="AA1192" i="4" s="1"/>
  <c r="O1105" i="4"/>
  <c r="S1105" i="4" s="1"/>
  <c r="O1017" i="4"/>
  <c r="S1017" i="4" s="1"/>
  <c r="J488" i="4"/>
  <c r="V488" i="4"/>
  <c r="L1060" i="4"/>
  <c r="U708" i="4"/>
  <c r="AA708" i="4" s="1"/>
  <c r="N798" i="4"/>
  <c r="R798" i="4" s="1"/>
  <c r="R151" i="4"/>
  <c r="L1236" i="4"/>
  <c r="L193" i="4"/>
  <c r="AG52" i="4"/>
  <c r="N710" i="4"/>
  <c r="W53" i="4"/>
  <c r="R402" i="4"/>
  <c r="U401" i="4"/>
  <c r="AA401" i="4" s="1"/>
  <c r="O357" i="4"/>
  <c r="W400" i="4"/>
  <c r="Q842" i="4"/>
  <c r="M1151" i="4"/>
  <c r="T1236" i="4"/>
  <c r="X103" i="4"/>
  <c r="U268" i="4"/>
  <c r="AA268" i="4" s="1"/>
  <c r="J1104" i="4"/>
  <c r="V1104" i="4"/>
  <c r="P929" i="4"/>
  <c r="T929" i="4" s="1"/>
  <c r="M271" i="4"/>
  <c r="N446" i="4"/>
  <c r="W796" i="4"/>
  <c r="N930" i="4"/>
  <c r="R930" i="4" s="1"/>
  <c r="U488" i="4"/>
  <c r="AA488" i="4" s="1"/>
  <c r="Q1238" i="4"/>
  <c r="Q798" i="4"/>
  <c r="Q710" i="4"/>
  <c r="U151" i="4"/>
  <c r="AC43" i="3"/>
  <c r="AG43" i="3" s="1"/>
  <c r="M1282" i="4"/>
  <c r="M974" i="4"/>
  <c r="O1061" i="4"/>
  <c r="P1061" i="4" s="1"/>
  <c r="R1238" i="4"/>
  <c r="M886" i="4"/>
  <c r="Q886" i="4" s="1"/>
  <c r="U356" i="4"/>
  <c r="AA356" i="4" s="1"/>
  <c r="J708" i="4"/>
  <c r="V708" i="4"/>
  <c r="S445" i="4"/>
  <c r="R270" i="4"/>
  <c r="W620" i="4"/>
  <c r="W1148" i="4"/>
  <c r="T576" i="4"/>
  <c r="O445" i="4"/>
  <c r="P445" i="4" s="1"/>
  <c r="T445" i="4" s="1"/>
  <c r="O577" i="4"/>
  <c r="S577" i="4" s="1"/>
  <c r="T753" i="4"/>
  <c r="M534" i="4"/>
  <c r="M314" i="4"/>
  <c r="M1019" i="4"/>
  <c r="Q1019" i="4" s="1"/>
  <c r="R105" i="4"/>
  <c r="V105" i="4" s="1"/>
  <c r="U312" i="4"/>
  <c r="AA312" i="4" s="1"/>
  <c r="R577" i="4"/>
  <c r="J972" i="4"/>
  <c r="V972" i="4"/>
  <c r="R1150" i="4"/>
  <c r="U972" i="4"/>
  <c r="AA972" i="4" s="1"/>
  <c r="N1062" i="4"/>
  <c r="R1062" i="4" s="1"/>
  <c r="O973" i="4"/>
  <c r="P709" i="4"/>
  <c r="L709" i="4" s="1"/>
  <c r="Q1062" i="4"/>
  <c r="AA44" i="3"/>
  <c r="N754" i="4"/>
  <c r="R754" i="4" s="1"/>
  <c r="Y148" i="4"/>
  <c r="R357" i="4"/>
  <c r="M578" i="4"/>
  <c r="Q578" i="4" s="1"/>
  <c r="W311" i="4"/>
  <c r="M490" i="4"/>
  <c r="Q490" i="4" s="1"/>
  <c r="N270" i="4"/>
  <c r="J444" i="4"/>
  <c r="V444" i="4"/>
  <c r="N1018" i="4"/>
  <c r="R1018" i="4" s="1"/>
  <c r="P665" i="4"/>
  <c r="L312" i="4"/>
  <c r="U444" i="4"/>
  <c r="AA444" i="4" s="1"/>
  <c r="R55" i="4"/>
  <c r="V55" i="4" s="1"/>
  <c r="S151" i="4" l="1"/>
  <c r="V621" i="4"/>
  <c r="T709" i="4"/>
  <c r="U709" i="4" s="1"/>
  <c r="AA709" i="4" s="1"/>
  <c r="S533" i="4"/>
  <c r="U533" i="4" s="1"/>
  <c r="AA533" i="4" s="1"/>
  <c r="V752" i="4"/>
  <c r="W752" i="4" s="1"/>
  <c r="P489" i="4"/>
  <c r="T489" i="4" s="1"/>
  <c r="U489" i="4" s="1"/>
  <c r="AA489" i="4" s="1"/>
  <c r="P1150" i="4"/>
  <c r="T1150" i="4" s="1"/>
  <c r="L1150" i="4"/>
  <c r="V1150" i="4" s="1"/>
  <c r="S1150" i="4"/>
  <c r="J1280" i="4"/>
  <c r="V1280" i="4"/>
  <c r="W1280" i="4" s="1"/>
  <c r="O1018" i="4"/>
  <c r="S1018" i="4" s="1"/>
  <c r="O930" i="4"/>
  <c r="P930" i="4" s="1"/>
  <c r="T930" i="4" s="1"/>
  <c r="W708" i="4"/>
  <c r="W488" i="4"/>
  <c r="L1193" i="4"/>
  <c r="L797" i="4"/>
  <c r="J797" i="4" s="1"/>
  <c r="W268" i="4"/>
  <c r="AH41" i="3"/>
  <c r="Z41" i="3"/>
  <c r="V151" i="4"/>
  <c r="T621" i="4"/>
  <c r="U621" i="4" s="1"/>
  <c r="AA621" i="4" s="1"/>
  <c r="L1149" i="4"/>
  <c r="M1195" i="4"/>
  <c r="M579" i="4"/>
  <c r="M756" i="4"/>
  <c r="U840" i="4"/>
  <c r="AA840" i="4" s="1"/>
  <c r="M1327" i="4"/>
  <c r="Y103" i="4"/>
  <c r="N149" i="4"/>
  <c r="Z149" i="4"/>
  <c r="J1325" i="4"/>
  <c r="V1325" i="4"/>
  <c r="S105" i="4"/>
  <c r="N1282" i="4"/>
  <c r="R1282" i="4" s="1"/>
  <c r="L357" i="4"/>
  <c r="J1193" i="4"/>
  <c r="V1193" i="4"/>
  <c r="W1193" i="4" s="1"/>
  <c r="O446" i="4"/>
  <c r="P446" i="4" s="1"/>
  <c r="T446" i="4" s="1"/>
  <c r="W1104" i="4"/>
  <c r="N1151" i="4"/>
  <c r="O1106" i="4"/>
  <c r="N622" i="4"/>
  <c r="R622" i="4" s="1"/>
  <c r="W356" i="4"/>
  <c r="T1061" i="4"/>
  <c r="U1060" i="4"/>
  <c r="AA1060" i="4" s="1"/>
  <c r="N931" i="4"/>
  <c r="R931" i="4" s="1"/>
  <c r="N578" i="4"/>
  <c r="L885" i="4"/>
  <c r="P357" i="4"/>
  <c r="T357" i="4" s="1"/>
  <c r="U1325" i="4"/>
  <c r="AA1325" i="4" s="1"/>
  <c r="N403" i="4"/>
  <c r="R403" i="4" s="1"/>
  <c r="U1236" i="4"/>
  <c r="AA1236" i="4" s="1"/>
  <c r="P1237" i="4"/>
  <c r="O798" i="4"/>
  <c r="P798" i="4" s="1"/>
  <c r="L929" i="4"/>
  <c r="S446" i="4"/>
  <c r="T104" i="4"/>
  <c r="P104" i="4" s="1"/>
  <c r="R106" i="4"/>
  <c r="V106" i="4" s="1"/>
  <c r="W972" i="4"/>
  <c r="L445" i="4"/>
  <c r="U445" i="4"/>
  <c r="AA445" i="4" s="1"/>
  <c r="Y53" i="4"/>
  <c r="S54" i="4"/>
  <c r="J1236" i="4"/>
  <c r="V1236" i="4"/>
  <c r="P1017" i="4"/>
  <c r="L1017" i="4" s="1"/>
  <c r="W1192" i="4"/>
  <c r="Q622" i="4"/>
  <c r="R56" i="4"/>
  <c r="V56" i="4" s="1"/>
  <c r="P841" i="4"/>
  <c r="T841" i="4" s="1"/>
  <c r="P842" i="4" s="1"/>
  <c r="L842" i="4" s="1"/>
  <c r="U106" i="4"/>
  <c r="N314" i="4"/>
  <c r="R314" i="4" s="1"/>
  <c r="M711" i="4"/>
  <c r="Q711" i="4" s="1"/>
  <c r="P1281" i="4"/>
  <c r="S1281" i="4"/>
  <c r="O1282" i="4" s="1"/>
  <c r="M887" i="4"/>
  <c r="J312" i="4"/>
  <c r="V312" i="4"/>
  <c r="W312" i="4" s="1"/>
  <c r="P269" i="4"/>
  <c r="T269" i="4" s="1"/>
  <c r="AB44" i="3"/>
  <c r="AF44" i="3" s="1"/>
  <c r="AC44" i="3"/>
  <c r="AG44" i="3" s="1"/>
  <c r="N534" i="4"/>
  <c r="R534" i="4" s="1"/>
  <c r="Q1282" i="4"/>
  <c r="Q403" i="4"/>
  <c r="L665" i="4"/>
  <c r="AE44" i="3"/>
  <c r="L1061" i="4"/>
  <c r="N490" i="4"/>
  <c r="R490" i="4" s="1"/>
  <c r="M1063" i="4"/>
  <c r="Q1063" i="4" s="1"/>
  <c r="N1019" i="4"/>
  <c r="U753" i="4"/>
  <c r="AA753" i="4" s="1"/>
  <c r="U576" i="4"/>
  <c r="AA576" i="4" s="1"/>
  <c r="R446" i="4"/>
  <c r="Q1151" i="4"/>
  <c r="L533" i="4"/>
  <c r="T665" i="4"/>
  <c r="S1061" i="4"/>
  <c r="J401" i="4"/>
  <c r="V401" i="4"/>
  <c r="W401" i="4" s="1"/>
  <c r="U929" i="4"/>
  <c r="AA929" i="4" s="1"/>
  <c r="P402" i="4"/>
  <c r="T402" i="4" s="1"/>
  <c r="X149" i="4"/>
  <c r="U56" i="4"/>
  <c r="S402" i="4"/>
  <c r="Q931" i="4"/>
  <c r="M1108" i="4"/>
  <c r="Q1108" i="4" s="1"/>
  <c r="M799" i="4"/>
  <c r="W105" i="4"/>
  <c r="W444" i="4"/>
  <c r="R1107" i="4"/>
  <c r="Q314" i="4"/>
  <c r="J1150" i="4"/>
  <c r="N755" i="4"/>
  <c r="R755" i="4" s="1"/>
  <c r="M1239" i="4"/>
  <c r="M449" i="4"/>
  <c r="N1194" i="4"/>
  <c r="R1194" i="4" s="1"/>
  <c r="AG148" i="4"/>
  <c r="N193" i="4"/>
  <c r="O270" i="4"/>
  <c r="S270" i="4" s="1"/>
  <c r="O1062" i="4"/>
  <c r="Q534" i="4"/>
  <c r="S357" i="4"/>
  <c r="R578" i="4"/>
  <c r="N271" i="4"/>
  <c r="R271" i="4" s="1"/>
  <c r="M843" i="4"/>
  <c r="P1105" i="4"/>
  <c r="L1105" i="4"/>
  <c r="P313" i="4"/>
  <c r="S885" i="4"/>
  <c r="O886" i="4" s="1"/>
  <c r="P886" i="4" s="1"/>
  <c r="T886" i="4" s="1"/>
  <c r="J576" i="4"/>
  <c r="V576" i="4"/>
  <c r="N667" i="4"/>
  <c r="R667" i="4" s="1"/>
  <c r="J753" i="4"/>
  <c r="V753" i="4"/>
  <c r="S973" i="4"/>
  <c r="P973" i="4"/>
  <c r="T973" i="4" s="1"/>
  <c r="M491" i="4"/>
  <c r="O754" i="4"/>
  <c r="S754" i="4" s="1"/>
  <c r="R710" i="4"/>
  <c r="M1020" i="4"/>
  <c r="Q1020" i="4" s="1"/>
  <c r="N974" i="4"/>
  <c r="R974" i="4" s="1"/>
  <c r="O710" i="4"/>
  <c r="S710" i="4" s="1"/>
  <c r="U797" i="4"/>
  <c r="AA797" i="4" s="1"/>
  <c r="N53" i="4"/>
  <c r="Z53" i="4"/>
  <c r="W151" i="4"/>
  <c r="M360" i="4"/>
  <c r="Q360" i="4" s="1"/>
  <c r="J709" i="4"/>
  <c r="V709" i="4"/>
  <c r="W709" i="4" s="1"/>
  <c r="N886" i="4"/>
  <c r="R886" i="4" s="1"/>
  <c r="Q974" i="4"/>
  <c r="Q152" i="4"/>
  <c r="Q271" i="4"/>
  <c r="N358" i="4"/>
  <c r="J1060" i="4"/>
  <c r="V1060" i="4"/>
  <c r="W1060" i="4" s="1"/>
  <c r="N1326" i="4"/>
  <c r="R1326" i="4" s="1"/>
  <c r="S1238" i="4"/>
  <c r="Q667" i="4"/>
  <c r="P577" i="4"/>
  <c r="T577" i="4" s="1"/>
  <c r="P270" i="4" l="1"/>
  <c r="L270" i="4" s="1"/>
  <c r="S798" i="4"/>
  <c r="V797" i="4"/>
  <c r="W797" i="4" s="1"/>
  <c r="U1150" i="4"/>
  <c r="AA1150" i="4" s="1"/>
  <c r="O1194" i="4"/>
  <c r="S1194" i="4" s="1"/>
  <c r="L489" i="4"/>
  <c r="O1326" i="4"/>
  <c r="S1326" i="4" s="1"/>
  <c r="W1150" i="4"/>
  <c r="AI41" i="3"/>
  <c r="AD42" i="3"/>
  <c r="Z42" i="3" s="1"/>
  <c r="J1149" i="4"/>
  <c r="V1149" i="4"/>
  <c r="W1149" i="4" s="1"/>
  <c r="S930" i="4"/>
  <c r="U930" i="4" s="1"/>
  <c r="AA930" i="4" s="1"/>
  <c r="L930" i="4"/>
  <c r="V930" i="4" s="1"/>
  <c r="W930" i="4" s="1"/>
  <c r="P1062" i="4"/>
  <c r="L1062" i="4" s="1"/>
  <c r="W1236" i="4"/>
  <c r="O1019" i="4"/>
  <c r="S1019" i="4" s="1"/>
  <c r="R1019" i="4"/>
  <c r="L886" i="4"/>
  <c r="J886" i="4" s="1"/>
  <c r="W840" i="4"/>
  <c r="L269" i="4"/>
  <c r="J269" i="4" s="1"/>
  <c r="L446" i="4"/>
  <c r="U577" i="4"/>
  <c r="AA577" i="4" s="1"/>
  <c r="J270" i="4"/>
  <c r="V270" i="4"/>
  <c r="M1064" i="4"/>
  <c r="J842" i="4"/>
  <c r="V842" i="4"/>
  <c r="O271" i="4"/>
  <c r="T798" i="4"/>
  <c r="L798" i="4"/>
  <c r="J446" i="4"/>
  <c r="V446" i="4"/>
  <c r="M272" i="4"/>
  <c r="Q272" i="4" s="1"/>
  <c r="T270" i="4"/>
  <c r="U270" i="4" s="1"/>
  <c r="AA270" i="4" s="1"/>
  <c r="T54" i="4"/>
  <c r="X54" i="4" s="1"/>
  <c r="O622" i="4"/>
  <c r="S622" i="4" s="1"/>
  <c r="X104" i="4"/>
  <c r="T105" i="4" s="1"/>
  <c r="P105" i="4" s="1"/>
  <c r="N1195" i="4"/>
  <c r="R1195" i="4" s="1"/>
  <c r="N104" i="4"/>
  <c r="Z104" i="4"/>
  <c r="M712" i="4"/>
  <c r="J1105" i="4"/>
  <c r="V1105" i="4"/>
  <c r="J1061" i="4"/>
  <c r="V1061" i="4"/>
  <c r="O403" i="4"/>
  <c r="P403" i="4" s="1"/>
  <c r="T403" i="4" s="1"/>
  <c r="T1062" i="4"/>
  <c r="O1151" i="4"/>
  <c r="S1151" i="4" s="1"/>
  <c r="L973" i="4"/>
  <c r="Q1195" i="4"/>
  <c r="O755" i="4"/>
  <c r="S755" i="4" s="1"/>
  <c r="J885" i="4"/>
  <c r="V885" i="4"/>
  <c r="M196" i="4"/>
  <c r="AG103" i="4"/>
  <c r="T1105" i="4"/>
  <c r="P1106" i="4" s="1"/>
  <c r="L1106" i="4" s="1"/>
  <c r="N799" i="4"/>
  <c r="R799" i="4" s="1"/>
  <c r="S1062" i="4"/>
  <c r="U1061" i="4"/>
  <c r="AA1061" i="4" s="1"/>
  <c r="J665" i="4"/>
  <c r="V665" i="4"/>
  <c r="O314" i="4"/>
  <c r="S314" i="4" s="1"/>
  <c r="L194" i="4"/>
  <c r="AG53" i="4"/>
  <c r="M975" i="4"/>
  <c r="Q975" i="4" s="1"/>
  <c r="U973" i="4"/>
  <c r="AA973" i="4" s="1"/>
  <c r="N843" i="4"/>
  <c r="R843" i="4" s="1"/>
  <c r="O843" i="4"/>
  <c r="S843" i="4" s="1"/>
  <c r="N1239" i="4"/>
  <c r="R1239" i="4" s="1"/>
  <c r="U665" i="4"/>
  <c r="AA665" i="4" s="1"/>
  <c r="P666" i="4"/>
  <c r="L666" i="4" s="1"/>
  <c r="O534" i="4"/>
  <c r="W54" i="4"/>
  <c r="R1151" i="4"/>
  <c r="L402" i="4"/>
  <c r="O358" i="4"/>
  <c r="J533" i="4"/>
  <c r="V533" i="4"/>
  <c r="W533" i="4" s="1"/>
  <c r="N491" i="4"/>
  <c r="M1283" i="4"/>
  <c r="Q1283" i="4" s="1"/>
  <c r="U446" i="4"/>
  <c r="AA446" i="4" s="1"/>
  <c r="N447" i="4"/>
  <c r="N887" i="4"/>
  <c r="R887" i="4" s="1"/>
  <c r="O974" i="4"/>
  <c r="S974" i="4" s="1"/>
  <c r="Q57" i="4"/>
  <c r="Y149" i="4"/>
  <c r="T150" i="4"/>
  <c r="P150" i="4" s="1"/>
  <c r="N1020" i="4"/>
  <c r="Q843" i="4"/>
  <c r="Q799" i="4"/>
  <c r="S1282" i="4"/>
  <c r="L1237" i="4"/>
  <c r="O578" i="4"/>
  <c r="N1327" i="4"/>
  <c r="P710" i="4"/>
  <c r="T710" i="4" s="1"/>
  <c r="U269" i="4"/>
  <c r="AA269" i="4" s="1"/>
  <c r="J489" i="4"/>
  <c r="V489" i="4"/>
  <c r="W489" i="4" s="1"/>
  <c r="T313" i="4"/>
  <c r="L313" i="4"/>
  <c r="M1152" i="4"/>
  <c r="J357" i="4"/>
  <c r="V357" i="4"/>
  <c r="Q491" i="4"/>
  <c r="AA45" i="3"/>
  <c r="AE45" i="3" s="1"/>
  <c r="P754" i="4"/>
  <c r="T754" i="4" s="1"/>
  <c r="U754" i="4" s="1"/>
  <c r="AA754" i="4" s="1"/>
  <c r="Q449" i="4"/>
  <c r="N1063" i="4"/>
  <c r="R1063" i="4" s="1"/>
  <c r="Q887" i="4"/>
  <c r="J929" i="4"/>
  <c r="V929" i="4"/>
  <c r="W929" i="4" s="1"/>
  <c r="W576" i="4"/>
  <c r="M668" i="4"/>
  <c r="W621" i="4"/>
  <c r="Q1239" i="4"/>
  <c r="M932" i="4"/>
  <c r="T1281" i="4"/>
  <c r="L1281" i="4"/>
  <c r="M623" i="4"/>
  <c r="S106" i="4"/>
  <c r="W106" i="4" s="1"/>
  <c r="S1106" i="4"/>
  <c r="N756" i="4"/>
  <c r="M404" i="4"/>
  <c r="Q107" i="4"/>
  <c r="T1237" i="4"/>
  <c r="U357" i="4"/>
  <c r="AA357" i="4" s="1"/>
  <c r="W1325" i="4"/>
  <c r="Q1327" i="4"/>
  <c r="Q756" i="4"/>
  <c r="T842" i="4"/>
  <c r="U841" i="4"/>
  <c r="AA841" i="4" s="1"/>
  <c r="M1109" i="4"/>
  <c r="N579" i="4"/>
  <c r="R579" i="4" s="1"/>
  <c r="R152" i="4"/>
  <c r="V152" i="4" s="1"/>
  <c r="O667" i="4"/>
  <c r="S667" i="4" s="1"/>
  <c r="J445" i="4"/>
  <c r="V445" i="4"/>
  <c r="W445" i="4" s="1"/>
  <c r="Q579" i="4"/>
  <c r="U152" i="4"/>
  <c r="M361" i="4"/>
  <c r="M1021" i="4"/>
  <c r="M535" i="4"/>
  <c r="M315" i="4"/>
  <c r="U402" i="4"/>
  <c r="AA402" i="4" s="1"/>
  <c r="J1017" i="4"/>
  <c r="V1017" i="4"/>
  <c r="O490" i="4"/>
  <c r="S490" i="4" s="1"/>
  <c r="R711" i="4"/>
  <c r="W753" i="4"/>
  <c r="S886" i="4"/>
  <c r="U885" i="4"/>
  <c r="AA885" i="4" s="1"/>
  <c r="L577" i="4"/>
  <c r="P1194" i="4"/>
  <c r="T1194" i="4" s="1"/>
  <c r="U1194" i="4" s="1"/>
  <c r="AA1194" i="4" s="1"/>
  <c r="N1108" i="4"/>
  <c r="R1108" i="4" s="1"/>
  <c r="N711" i="4"/>
  <c r="L841" i="4"/>
  <c r="T1017" i="4"/>
  <c r="R358" i="4"/>
  <c r="P490" i="4" l="1"/>
  <c r="T490" i="4" s="1"/>
  <c r="W665" i="4"/>
  <c r="O756" i="4"/>
  <c r="P1326" i="4"/>
  <c r="T1326" i="4" s="1"/>
  <c r="U1326" i="4" s="1"/>
  <c r="AA1326" i="4" s="1"/>
  <c r="L754" i="4"/>
  <c r="J754" i="4" s="1"/>
  <c r="L710" i="4"/>
  <c r="V710" i="4" s="1"/>
  <c r="W1061" i="4"/>
  <c r="AH42" i="3"/>
  <c r="W357" i="4"/>
  <c r="L1194" i="4"/>
  <c r="J1194" i="4" s="1"/>
  <c r="P622" i="4"/>
  <c r="T622" i="4" s="1"/>
  <c r="U622" i="4" s="1"/>
  <c r="AA622" i="4" s="1"/>
  <c r="O887" i="4"/>
  <c r="P887" i="4" s="1"/>
  <c r="T887" i="4" s="1"/>
  <c r="P974" i="4"/>
  <c r="L974" i="4" s="1"/>
  <c r="J974" i="4" s="1"/>
  <c r="J930" i="4"/>
  <c r="O931" i="4"/>
  <c r="S931" i="4" s="1"/>
  <c r="L1326" i="4"/>
  <c r="V269" i="4"/>
  <c r="W269" i="4" s="1"/>
  <c r="V886" i="4"/>
  <c r="O1020" i="4"/>
  <c r="S1020" i="4" s="1"/>
  <c r="M1284" i="4"/>
  <c r="AA46" i="3"/>
  <c r="AE46" i="3" s="1"/>
  <c r="M976" i="4"/>
  <c r="J1106" i="4"/>
  <c r="V1106" i="4"/>
  <c r="N150" i="4"/>
  <c r="Z150" i="4"/>
  <c r="J1237" i="4"/>
  <c r="V1237" i="4"/>
  <c r="U1062" i="4"/>
  <c r="AA1062" i="4" s="1"/>
  <c r="O1195" i="4"/>
  <c r="S1195" i="4" s="1"/>
  <c r="W885" i="4"/>
  <c r="P667" i="4"/>
  <c r="L667" i="4" s="1"/>
  <c r="N1064" i="4"/>
  <c r="R1064" i="4" s="1"/>
  <c r="R756" i="4"/>
  <c r="N623" i="4"/>
  <c r="R623" i="4" s="1"/>
  <c r="S578" i="4"/>
  <c r="P578" i="4"/>
  <c r="T578" i="4" s="1"/>
  <c r="J710" i="4"/>
  <c r="AG149" i="4"/>
  <c r="N194" i="4"/>
  <c r="L490" i="4"/>
  <c r="U886" i="4"/>
  <c r="AA886" i="4" s="1"/>
  <c r="N1152" i="4"/>
  <c r="O1152" i="4" s="1"/>
  <c r="R107" i="4"/>
  <c r="V107" i="4" s="1"/>
  <c r="O1063" i="4"/>
  <c r="P1063" i="4" s="1"/>
  <c r="T1063" i="4" s="1"/>
  <c r="U710" i="4"/>
  <c r="AA710" i="4" s="1"/>
  <c r="U1281" i="4"/>
  <c r="AA1281" i="4" s="1"/>
  <c r="R57" i="4"/>
  <c r="V57" i="4" s="1"/>
  <c r="O447" i="4"/>
  <c r="S447" i="4" s="1"/>
  <c r="P358" i="4"/>
  <c r="T358" i="4" s="1"/>
  <c r="S534" i="4"/>
  <c r="P534" i="4"/>
  <c r="T534" i="4" s="1"/>
  <c r="S358" i="4"/>
  <c r="O799" i="4"/>
  <c r="S799" i="4" s="1"/>
  <c r="W446" i="4"/>
  <c r="J577" i="4"/>
  <c r="V577" i="4"/>
  <c r="W577" i="4" s="1"/>
  <c r="M1328" i="4"/>
  <c r="U313" i="4"/>
  <c r="AA313" i="4" s="1"/>
  <c r="J973" i="4"/>
  <c r="V973" i="4"/>
  <c r="W973" i="4" s="1"/>
  <c r="N315" i="4"/>
  <c r="R315" i="4" s="1"/>
  <c r="M888" i="4"/>
  <c r="Q888" i="4" s="1"/>
  <c r="N975" i="4"/>
  <c r="R975" i="4" s="1"/>
  <c r="Q315" i="4"/>
  <c r="N1109" i="4"/>
  <c r="R1109" i="4" s="1"/>
  <c r="U107" i="4"/>
  <c r="N105" i="4"/>
  <c r="Z105" i="4"/>
  <c r="N668" i="4"/>
  <c r="R668" i="4" s="1"/>
  <c r="O668" i="4"/>
  <c r="S668" i="4" s="1"/>
  <c r="Q1152" i="4"/>
  <c r="J402" i="4"/>
  <c r="V402" i="4"/>
  <c r="W402" i="4" s="1"/>
  <c r="J666" i="4"/>
  <c r="V666" i="4"/>
  <c r="R491" i="4"/>
  <c r="N712" i="4"/>
  <c r="X105" i="4"/>
  <c r="T106" i="4" s="1"/>
  <c r="P106" i="4" s="1"/>
  <c r="Y104" i="4"/>
  <c r="Q1064" i="4"/>
  <c r="J1062" i="4"/>
  <c r="V1062" i="4"/>
  <c r="U1017" i="4"/>
  <c r="AA1017" i="4" s="1"/>
  <c r="P1018" i="4"/>
  <c r="L1018" i="4" s="1"/>
  <c r="Q623" i="4"/>
  <c r="S756" i="4"/>
  <c r="S403" i="4"/>
  <c r="Y54" i="4"/>
  <c r="S55" i="4"/>
  <c r="J1281" i="4"/>
  <c r="V1281" i="4"/>
  <c r="N1283" i="4"/>
  <c r="R1283" i="4" s="1"/>
  <c r="O1283" i="4"/>
  <c r="S1283" i="4" s="1"/>
  <c r="O1239" i="4"/>
  <c r="S1239" i="4" s="1"/>
  <c r="U1237" i="4"/>
  <c r="AA1237" i="4" s="1"/>
  <c r="P1238" i="4"/>
  <c r="L1238" i="4" s="1"/>
  <c r="N359" i="4"/>
  <c r="R359" i="4" s="1"/>
  <c r="N535" i="4"/>
  <c r="R535" i="4" s="1"/>
  <c r="S152" i="4"/>
  <c r="O1107" i="4"/>
  <c r="S1107" i="4" s="1"/>
  <c r="N932" i="4"/>
  <c r="R932" i="4" s="1"/>
  <c r="O932" i="4"/>
  <c r="S932" i="4" s="1"/>
  <c r="Q668" i="4"/>
  <c r="M492" i="4"/>
  <c r="Q492" i="4" s="1"/>
  <c r="O1327" i="4"/>
  <c r="U57" i="4"/>
  <c r="R447" i="4"/>
  <c r="O491" i="4"/>
  <c r="R1152" i="4"/>
  <c r="P271" i="4"/>
  <c r="L271" i="4" s="1"/>
  <c r="P755" i="4"/>
  <c r="L755" i="4" s="1"/>
  <c r="L403" i="4"/>
  <c r="R1327" i="4"/>
  <c r="W270" i="4"/>
  <c r="M1240" i="4"/>
  <c r="J841" i="4"/>
  <c r="V841" i="4"/>
  <c r="W841" i="4" s="1"/>
  <c r="J1326" i="4"/>
  <c r="V1326" i="4"/>
  <c r="W1326" i="4" s="1"/>
  <c r="X150" i="4"/>
  <c r="P314" i="4"/>
  <c r="L314" i="4" s="1"/>
  <c r="AB45" i="3"/>
  <c r="AF45" i="3" s="1"/>
  <c r="Q361" i="4"/>
  <c r="Q1109" i="4"/>
  <c r="O711" i="4"/>
  <c r="S711" i="4" s="1"/>
  <c r="P711" i="4"/>
  <c r="T711" i="4" s="1"/>
  <c r="Q535" i="4"/>
  <c r="U842" i="4"/>
  <c r="AA842" i="4" s="1"/>
  <c r="R1020" i="4"/>
  <c r="N1021" i="4" s="1"/>
  <c r="M800" i="4"/>
  <c r="P1282" i="4"/>
  <c r="L1282" i="4" s="1"/>
  <c r="T666" i="4"/>
  <c r="P843" i="4"/>
  <c r="L843" i="4" s="1"/>
  <c r="T1106" i="4"/>
  <c r="U1106" i="4" s="1"/>
  <c r="AA1106" i="4" s="1"/>
  <c r="U1105" i="4"/>
  <c r="AA1105" i="4" s="1"/>
  <c r="Q712" i="4"/>
  <c r="J798" i="4"/>
  <c r="V798" i="4"/>
  <c r="W798" i="4" s="1"/>
  <c r="M580" i="4"/>
  <c r="Q580" i="4" s="1"/>
  <c r="M273" i="4"/>
  <c r="Q1021" i="4"/>
  <c r="U490" i="4"/>
  <c r="AA490" i="4" s="1"/>
  <c r="N404" i="4"/>
  <c r="R404" i="4" s="1"/>
  <c r="O404" i="4"/>
  <c r="P931" i="4"/>
  <c r="T931" i="4" s="1"/>
  <c r="U931" i="4" s="1"/>
  <c r="AA931" i="4" s="1"/>
  <c r="L931" i="4"/>
  <c r="Q153" i="4"/>
  <c r="M757" i="4"/>
  <c r="Q404" i="4"/>
  <c r="Q932" i="4"/>
  <c r="M450" i="4"/>
  <c r="Q450" i="4" s="1"/>
  <c r="J313" i="4"/>
  <c r="V313" i="4"/>
  <c r="M844" i="4"/>
  <c r="P1151" i="4"/>
  <c r="T1151" i="4" s="1"/>
  <c r="M1196" i="4"/>
  <c r="P54" i="4"/>
  <c r="N272" i="4"/>
  <c r="R272" i="4" s="1"/>
  <c r="U798" i="4"/>
  <c r="AA798" i="4" s="1"/>
  <c r="S271" i="4"/>
  <c r="O272" i="4" s="1"/>
  <c r="V754" i="4" l="1"/>
  <c r="W754" i="4" s="1"/>
  <c r="U358" i="4"/>
  <c r="AA358" i="4" s="1"/>
  <c r="P1195" i="4"/>
  <c r="T1195" i="4" s="1"/>
  <c r="L1063" i="4"/>
  <c r="J1063" i="4" s="1"/>
  <c r="L578" i="4"/>
  <c r="J578" i="4" s="1"/>
  <c r="V1194" i="4"/>
  <c r="W1194" i="4" s="1"/>
  <c r="W1105" i="4"/>
  <c r="O975" i="4"/>
  <c r="W842" i="4"/>
  <c r="AI42" i="3"/>
  <c r="AD43" i="3"/>
  <c r="T271" i="4"/>
  <c r="P272" i="4" s="1"/>
  <c r="T755" i="4"/>
  <c r="U755" i="4" s="1"/>
  <c r="AA755" i="4" s="1"/>
  <c r="V974" i="4"/>
  <c r="W313" i="4"/>
  <c r="W886" i="4"/>
  <c r="L622" i="4"/>
  <c r="L887" i="4"/>
  <c r="V887" i="4" s="1"/>
  <c r="W887" i="4" s="1"/>
  <c r="S887" i="4"/>
  <c r="U887" i="4" s="1"/>
  <c r="AA887" i="4" s="1"/>
  <c r="T974" i="4"/>
  <c r="U974" i="4" s="1"/>
  <c r="AA974" i="4" s="1"/>
  <c r="W1017" i="4"/>
  <c r="P799" i="4"/>
  <c r="S1063" i="4"/>
  <c r="M493" i="4"/>
  <c r="Q493" i="4" s="1"/>
  <c r="M889" i="4"/>
  <c r="U711" i="4"/>
  <c r="AA711" i="4" s="1"/>
  <c r="N106" i="4"/>
  <c r="Z106" i="4"/>
  <c r="J843" i="4"/>
  <c r="V843" i="4"/>
  <c r="S1152" i="4"/>
  <c r="P1152" i="4"/>
  <c r="T1152" i="4" s="1"/>
  <c r="O1108" i="4"/>
  <c r="J667" i="4"/>
  <c r="V667" i="4"/>
  <c r="M581" i="4"/>
  <c r="M933" i="4"/>
  <c r="N1284" i="4"/>
  <c r="O1284" i="4" s="1"/>
  <c r="S1284" i="4" s="1"/>
  <c r="T667" i="4"/>
  <c r="U666" i="4"/>
  <c r="AA666" i="4" s="1"/>
  <c r="N360" i="4"/>
  <c r="R360" i="4" s="1"/>
  <c r="U1151" i="4"/>
  <c r="AA1151" i="4" s="1"/>
  <c r="N54" i="4"/>
  <c r="Z54" i="4"/>
  <c r="N800" i="4"/>
  <c r="R800" i="4" s="1"/>
  <c r="M1110" i="4"/>
  <c r="S975" i="4"/>
  <c r="O976" i="4" s="1"/>
  <c r="Q58" i="4"/>
  <c r="M669" i="4"/>
  <c r="T1238" i="4"/>
  <c r="T1018" i="4"/>
  <c r="O712" i="4"/>
  <c r="P712" i="4" s="1"/>
  <c r="P447" i="4"/>
  <c r="T447" i="4" s="1"/>
  <c r="T1282" i="4"/>
  <c r="P1283" i="4" s="1"/>
  <c r="L1283" i="4" s="1"/>
  <c r="T843" i="4"/>
  <c r="N492" i="4"/>
  <c r="R492" i="4" s="1"/>
  <c r="M536" i="4"/>
  <c r="Q536" i="4" s="1"/>
  <c r="W1281" i="4"/>
  <c r="O1021" i="4"/>
  <c r="S1021" i="4" s="1"/>
  <c r="S491" i="4"/>
  <c r="P491" i="4"/>
  <c r="T491" i="4" s="1"/>
  <c r="J314" i="4"/>
  <c r="V314" i="4"/>
  <c r="N1240" i="4"/>
  <c r="R1240" i="4" s="1"/>
  <c r="L534" i="4"/>
  <c r="T55" i="4"/>
  <c r="X55" i="4" s="1"/>
  <c r="W1062" i="4"/>
  <c r="M1153" i="4"/>
  <c r="Q1153" i="4" s="1"/>
  <c r="L1195" i="4"/>
  <c r="R712" i="4"/>
  <c r="W1237" i="4"/>
  <c r="Q1284" i="4"/>
  <c r="N580" i="4"/>
  <c r="R580" i="4" s="1"/>
  <c r="P1107" i="4"/>
  <c r="L1107" i="4"/>
  <c r="M197" i="4"/>
  <c r="AG104" i="4"/>
  <c r="AC45" i="3"/>
  <c r="AG45" i="3" s="1"/>
  <c r="X106" i="4"/>
  <c r="Y105" i="4"/>
  <c r="N844" i="4"/>
  <c r="R844" i="4" s="1"/>
  <c r="J931" i="4"/>
  <c r="V931" i="4"/>
  <c r="W931" i="4" s="1"/>
  <c r="J1238" i="4"/>
  <c r="V1238" i="4"/>
  <c r="W152" i="4"/>
  <c r="N888" i="4"/>
  <c r="R888" i="4" s="1"/>
  <c r="N757" i="4"/>
  <c r="R757" i="4" s="1"/>
  <c r="Q757" i="4"/>
  <c r="M362" i="4"/>
  <c r="Q362" i="4" s="1"/>
  <c r="N1196" i="4"/>
  <c r="R1196" i="4" s="1"/>
  <c r="T151" i="4"/>
  <c r="P151" i="4" s="1"/>
  <c r="Y150" i="4"/>
  <c r="Q1240" i="4"/>
  <c r="J403" i="4"/>
  <c r="V403" i="4"/>
  <c r="W403" i="4" s="1"/>
  <c r="P1327" i="4"/>
  <c r="T1327" i="4" s="1"/>
  <c r="S1327" i="4"/>
  <c r="P932" i="4"/>
  <c r="L932" i="4" s="1"/>
  <c r="O535" i="4"/>
  <c r="P535" i="4" s="1"/>
  <c r="T535" i="4" s="1"/>
  <c r="L195" i="4"/>
  <c r="AG54" i="4"/>
  <c r="T314" i="4"/>
  <c r="O579" i="4"/>
  <c r="S579" i="4" s="1"/>
  <c r="O580" i="4" s="1"/>
  <c r="U578" i="4"/>
  <c r="AA578" i="4" s="1"/>
  <c r="O1064" i="4"/>
  <c r="S1064" i="4" s="1"/>
  <c r="J887" i="4"/>
  <c r="L711" i="4"/>
  <c r="J1018" i="4"/>
  <c r="V1018" i="4"/>
  <c r="Q108" i="4"/>
  <c r="U108" i="4" s="1"/>
  <c r="W1106" i="4"/>
  <c r="M405" i="4"/>
  <c r="Q405" i="4" s="1"/>
  <c r="N448" i="4"/>
  <c r="Q844" i="4"/>
  <c r="Q800" i="4"/>
  <c r="M1022" i="4"/>
  <c r="Q1022" i="4" s="1"/>
  <c r="N273" i="4"/>
  <c r="R273" i="4" s="1"/>
  <c r="J755" i="4"/>
  <c r="V755" i="4"/>
  <c r="W755" i="4" s="1"/>
  <c r="O315" i="4"/>
  <c r="S315" i="4" s="1"/>
  <c r="N1328" i="4"/>
  <c r="S107" i="4"/>
  <c r="J490" i="4"/>
  <c r="V490" i="4"/>
  <c r="W490" i="4" s="1"/>
  <c r="N976" i="4"/>
  <c r="L358" i="4"/>
  <c r="U1063" i="4"/>
  <c r="AA1063" i="4" s="1"/>
  <c r="M624" i="4"/>
  <c r="Q624" i="4" s="1"/>
  <c r="S535" i="4"/>
  <c r="U535" i="4" s="1"/>
  <c r="AA535" i="4" s="1"/>
  <c r="U534" i="4"/>
  <c r="AA534" i="4" s="1"/>
  <c r="W710" i="4"/>
  <c r="R153" i="4"/>
  <c r="V153" i="4" s="1"/>
  <c r="R1021" i="4"/>
  <c r="Q1196" i="4"/>
  <c r="U153" i="4"/>
  <c r="Q273" i="4"/>
  <c r="T1107" i="4"/>
  <c r="U1107" i="4" s="1"/>
  <c r="AA1107" i="4" s="1"/>
  <c r="J271" i="4"/>
  <c r="V271" i="4"/>
  <c r="S404" i="4"/>
  <c r="U404" i="4" s="1"/>
  <c r="AA404" i="4" s="1"/>
  <c r="U403" i="4"/>
  <c r="AA403" i="4" s="1"/>
  <c r="L1151" i="4"/>
  <c r="M316" i="4"/>
  <c r="Q1328" i="4"/>
  <c r="M451" i="4"/>
  <c r="AA47" i="3"/>
  <c r="J1282" i="4"/>
  <c r="V1282" i="4"/>
  <c r="S272" i="4"/>
  <c r="U271" i="4"/>
  <c r="AA271" i="4" s="1"/>
  <c r="M713" i="4"/>
  <c r="U1195" i="4"/>
  <c r="AA1195" i="4" s="1"/>
  <c r="L535" i="4"/>
  <c r="W55" i="4"/>
  <c r="P404" i="4"/>
  <c r="T404" i="4" s="1"/>
  <c r="L404" i="4"/>
  <c r="O359" i="4"/>
  <c r="P359" i="4" s="1"/>
  <c r="T359" i="4" s="1"/>
  <c r="M1065" i="4"/>
  <c r="Q1065" i="4" s="1"/>
  <c r="R976" i="4"/>
  <c r="O623" i="4"/>
  <c r="Q976" i="4"/>
  <c r="AB46" i="3"/>
  <c r="W974" i="4" l="1"/>
  <c r="V578" i="4"/>
  <c r="P1064" i="4"/>
  <c r="T1064" i="4" s="1"/>
  <c r="S153" i="4"/>
  <c r="V1063" i="4"/>
  <c r="T272" i="4"/>
  <c r="L272" i="4"/>
  <c r="J272" i="4" s="1"/>
  <c r="T932" i="4"/>
  <c r="U932" i="4" s="1"/>
  <c r="AA932" i="4" s="1"/>
  <c r="L799" i="4"/>
  <c r="T799" i="4"/>
  <c r="U799" i="4" s="1"/>
  <c r="AA799" i="4" s="1"/>
  <c r="S712" i="4"/>
  <c r="AH43" i="3"/>
  <c r="Z43" i="3"/>
  <c r="R1284" i="4"/>
  <c r="W1063" i="4"/>
  <c r="AC46" i="3"/>
  <c r="W666" i="4"/>
  <c r="P55" i="4"/>
  <c r="L1152" i="4"/>
  <c r="J1152" i="4" s="1"/>
  <c r="P756" i="4"/>
  <c r="L756" i="4" s="1"/>
  <c r="J756" i="4" s="1"/>
  <c r="L491" i="4"/>
  <c r="V491" i="4" s="1"/>
  <c r="P975" i="4"/>
  <c r="V622" i="4"/>
  <c r="W622" i="4" s="1"/>
  <c r="J622" i="4"/>
  <c r="M1154" i="4"/>
  <c r="M537" i="4"/>
  <c r="Q537" i="4" s="1"/>
  <c r="M363" i="4"/>
  <c r="Q363" i="4" s="1"/>
  <c r="T712" i="4"/>
  <c r="U712" i="4" s="1"/>
  <c r="AA712" i="4" s="1"/>
  <c r="L712" i="4"/>
  <c r="P580" i="4"/>
  <c r="L580" i="4" s="1"/>
  <c r="Q109" i="4"/>
  <c r="M625" i="4"/>
  <c r="M1066" i="4"/>
  <c r="U1064" i="4"/>
  <c r="AA1064" i="4" s="1"/>
  <c r="M1197" i="4"/>
  <c r="Q1197" i="4" s="1"/>
  <c r="N669" i="4"/>
  <c r="R669" i="4" s="1"/>
  <c r="T1283" i="4"/>
  <c r="U1282" i="4"/>
  <c r="AA1282" i="4" s="1"/>
  <c r="M1241" i="4"/>
  <c r="Q1241" i="4" s="1"/>
  <c r="J1107" i="4"/>
  <c r="V1107" i="4"/>
  <c r="W1107" i="4" s="1"/>
  <c r="R58" i="4"/>
  <c r="V58" i="4" s="1"/>
  <c r="U667" i="4"/>
  <c r="AA667" i="4" s="1"/>
  <c r="N933" i="4"/>
  <c r="R933" i="4" s="1"/>
  <c r="J491" i="4"/>
  <c r="N889" i="4"/>
  <c r="R889" i="4" s="1"/>
  <c r="AG46" i="3"/>
  <c r="P1108" i="4"/>
  <c r="L1108" i="4"/>
  <c r="N361" i="4"/>
  <c r="R361" i="4" s="1"/>
  <c r="N362" i="4" s="1"/>
  <c r="M845" i="4"/>
  <c r="Q845" i="4" s="1"/>
  <c r="N195" i="4"/>
  <c r="AG150" i="4"/>
  <c r="M758" i="4"/>
  <c r="Q758" i="4" s="1"/>
  <c r="W153" i="4"/>
  <c r="O844" i="4"/>
  <c r="S844" i="4" s="1"/>
  <c r="L447" i="4"/>
  <c r="Q889" i="4"/>
  <c r="S273" i="4"/>
  <c r="M801" i="4"/>
  <c r="Q801" i="4" s="1"/>
  <c r="O888" i="4"/>
  <c r="S888" i="4" s="1"/>
  <c r="J535" i="4"/>
  <c r="V535" i="4"/>
  <c r="W535" i="4" s="1"/>
  <c r="J711" i="4"/>
  <c r="V711" i="4"/>
  <c r="W711" i="4" s="1"/>
  <c r="U272" i="4"/>
  <c r="AA272" i="4" s="1"/>
  <c r="AE47" i="3"/>
  <c r="M1329" i="4"/>
  <c r="W271" i="4"/>
  <c r="P273" i="4"/>
  <c r="L273" i="4" s="1"/>
  <c r="O448" i="4"/>
  <c r="S448" i="4" s="1"/>
  <c r="N151" i="4"/>
  <c r="Z151" i="4"/>
  <c r="J1195" i="4"/>
  <c r="V1195" i="4"/>
  <c r="W1195" i="4" s="1"/>
  <c r="J534" i="4"/>
  <c r="V534" i="4"/>
  <c r="W534" i="4" s="1"/>
  <c r="U58" i="4"/>
  <c r="Q933" i="4"/>
  <c r="M1023" i="4"/>
  <c r="Q1023" i="4" s="1"/>
  <c r="O800" i="4"/>
  <c r="S800" i="4" s="1"/>
  <c r="N624" i="4"/>
  <c r="R624" i="4" s="1"/>
  <c r="R108" i="4"/>
  <c r="V108" i="4" s="1"/>
  <c r="J404" i="4"/>
  <c r="V404" i="4"/>
  <c r="W404" i="4" s="1"/>
  <c r="O1328" i="4"/>
  <c r="P1328" i="4" s="1"/>
  <c r="T1328" i="4" s="1"/>
  <c r="O273" i="4"/>
  <c r="U447" i="4"/>
  <c r="AA447" i="4" s="1"/>
  <c r="X151" i="4"/>
  <c r="O757" i="4"/>
  <c r="S757" i="4" s="1"/>
  <c r="U491" i="4"/>
  <c r="AA491" i="4" s="1"/>
  <c r="O492" i="4"/>
  <c r="P492" i="4" s="1"/>
  <c r="T492" i="4" s="1"/>
  <c r="U1018" i="4"/>
  <c r="AA1018" i="4" s="1"/>
  <c r="P1019" i="4"/>
  <c r="L1019" i="4" s="1"/>
  <c r="S976" i="4"/>
  <c r="AF46" i="3"/>
  <c r="AB47" i="3" s="1"/>
  <c r="N493" i="4"/>
  <c r="R493" i="4" s="1"/>
  <c r="J932" i="4"/>
  <c r="V932" i="4"/>
  <c r="W932" i="4" s="1"/>
  <c r="M406" i="4"/>
  <c r="U314" i="4"/>
  <c r="AA314" i="4" s="1"/>
  <c r="Y55" i="4"/>
  <c r="S56" i="4"/>
  <c r="W56" i="4" s="1"/>
  <c r="Z55" i="4"/>
  <c r="N55" i="4"/>
  <c r="P623" i="4"/>
  <c r="T623" i="4" s="1"/>
  <c r="L623" i="4"/>
  <c r="S623" i="4"/>
  <c r="P315" i="4"/>
  <c r="L315" i="4" s="1"/>
  <c r="J358" i="4"/>
  <c r="V358" i="4"/>
  <c r="W358" i="4" s="1"/>
  <c r="S359" i="4"/>
  <c r="N316" i="4"/>
  <c r="R316" i="4" s="1"/>
  <c r="W578" i="4"/>
  <c r="R1328" i="4"/>
  <c r="J1283" i="4"/>
  <c r="V1283" i="4"/>
  <c r="Q669" i="4"/>
  <c r="M977" i="4"/>
  <c r="W107" i="4"/>
  <c r="T107" i="4"/>
  <c r="P107" i="4" s="1"/>
  <c r="N713" i="4"/>
  <c r="O713" i="4" s="1"/>
  <c r="T1108" i="4"/>
  <c r="R448" i="4"/>
  <c r="N1110" i="4"/>
  <c r="R1110" i="4" s="1"/>
  <c r="L1327" i="4"/>
  <c r="M494" i="4"/>
  <c r="Q494" i="4" s="1"/>
  <c r="U1327" i="4"/>
  <c r="AA1327" i="4" s="1"/>
  <c r="L359" i="4"/>
  <c r="Q451" i="4"/>
  <c r="Q316" i="4"/>
  <c r="M274" i="4"/>
  <c r="N1022" i="4"/>
  <c r="R1022" i="4" s="1"/>
  <c r="P579" i="4"/>
  <c r="T579" i="4" s="1"/>
  <c r="U579" i="4" s="1"/>
  <c r="AA579" i="4" s="1"/>
  <c r="O1196" i="4"/>
  <c r="P1196" i="4" s="1"/>
  <c r="T1196" i="4" s="1"/>
  <c r="M198" i="4"/>
  <c r="AG105" i="4"/>
  <c r="O1240" i="4"/>
  <c r="V272" i="4"/>
  <c r="N581" i="4"/>
  <c r="L1064" i="4"/>
  <c r="J1151" i="4"/>
  <c r="V1151" i="4"/>
  <c r="W1151" i="4" s="1"/>
  <c r="N1065" i="4"/>
  <c r="R1065" i="4" s="1"/>
  <c r="P888" i="4"/>
  <c r="T888" i="4" s="1"/>
  <c r="N536" i="4"/>
  <c r="R536" i="4" s="1"/>
  <c r="S1108" i="4"/>
  <c r="N1153" i="4"/>
  <c r="R1153" i="4" s="1"/>
  <c r="Q713" i="4"/>
  <c r="Q154" i="4"/>
  <c r="N405" i="4"/>
  <c r="R405" i="4" s="1"/>
  <c r="S580" i="4"/>
  <c r="Y106" i="4"/>
  <c r="M1285" i="4"/>
  <c r="Q1285" i="4" s="1"/>
  <c r="U1152" i="4"/>
  <c r="AA1152" i="4" s="1"/>
  <c r="U843" i="4"/>
  <c r="AA843" i="4" s="1"/>
  <c r="U1238" i="4"/>
  <c r="AA1238" i="4" s="1"/>
  <c r="P1239" i="4"/>
  <c r="L1239" i="4" s="1"/>
  <c r="Q1110" i="4"/>
  <c r="Q581" i="4"/>
  <c r="P668" i="4"/>
  <c r="L668" i="4" s="1"/>
  <c r="W1282" i="4" l="1"/>
  <c r="T315" i="4"/>
  <c r="V1152" i="4"/>
  <c r="W1152" i="4" s="1"/>
  <c r="V756" i="4"/>
  <c r="O669" i="4"/>
  <c r="S669" i="4" s="1"/>
  <c r="T1019" i="4"/>
  <c r="U1019" i="4" s="1"/>
  <c r="AA1019" i="4" s="1"/>
  <c r="T975" i="4"/>
  <c r="L975" i="4"/>
  <c r="O1153" i="4"/>
  <c r="S1153" i="4" s="1"/>
  <c r="W272" i="4"/>
  <c r="O1022" i="4"/>
  <c r="S1022" i="4" s="1"/>
  <c r="T273" i="4"/>
  <c r="U273" i="4" s="1"/>
  <c r="AA273" i="4" s="1"/>
  <c r="V799" i="4"/>
  <c r="W799" i="4" s="1"/>
  <c r="J799" i="4"/>
  <c r="X107" i="4"/>
  <c r="T756" i="4"/>
  <c r="U756" i="4" s="1"/>
  <c r="AA756" i="4" s="1"/>
  <c r="P448" i="4"/>
  <c r="T448" i="4" s="1"/>
  <c r="U448" i="4" s="1"/>
  <c r="AA448" i="4" s="1"/>
  <c r="AI43" i="3"/>
  <c r="AD44" i="3"/>
  <c r="Z44" i="3" s="1"/>
  <c r="W1018" i="4"/>
  <c r="W314" i="4"/>
  <c r="W667" i="4"/>
  <c r="P713" i="4"/>
  <c r="S713" i="4"/>
  <c r="M846" i="4"/>
  <c r="M495" i="4"/>
  <c r="Q495" i="4" s="1"/>
  <c r="M1024" i="4"/>
  <c r="M538" i="4"/>
  <c r="J273" i="4"/>
  <c r="V273" i="4"/>
  <c r="AC47" i="3"/>
  <c r="AG47" i="3" s="1"/>
  <c r="M759" i="4"/>
  <c r="M199" i="4"/>
  <c r="AG106" i="4"/>
  <c r="J1327" i="4"/>
  <c r="V1327" i="4"/>
  <c r="W1327" i="4" s="1"/>
  <c r="L713" i="4"/>
  <c r="U315" i="4"/>
  <c r="AA315" i="4" s="1"/>
  <c r="S492" i="4"/>
  <c r="N1329" i="4"/>
  <c r="O933" i="4"/>
  <c r="S933" i="4" s="1"/>
  <c r="U1283" i="4"/>
  <c r="AA1283" i="4" s="1"/>
  <c r="M1198" i="4"/>
  <c r="W1238" i="4"/>
  <c r="N107" i="4"/>
  <c r="Z107" i="4"/>
  <c r="U888" i="4"/>
  <c r="AA888" i="4" s="1"/>
  <c r="P844" i="4"/>
  <c r="Q1329" i="4"/>
  <c r="N801" i="4"/>
  <c r="R801" i="4" s="1"/>
  <c r="R713" i="4"/>
  <c r="R109" i="4"/>
  <c r="J712" i="4"/>
  <c r="V712" i="4"/>
  <c r="W712" i="4" s="1"/>
  <c r="M364" i="4"/>
  <c r="J1064" i="4"/>
  <c r="V1064" i="4"/>
  <c r="W1064" i="4" s="1"/>
  <c r="N274" i="4"/>
  <c r="R274" i="4" s="1"/>
  <c r="N537" i="4"/>
  <c r="N449" i="4"/>
  <c r="O581" i="4"/>
  <c r="M317" i="4"/>
  <c r="Q317" i="4" s="1"/>
  <c r="U109" i="4"/>
  <c r="T713" i="4"/>
  <c r="L1328" i="4"/>
  <c r="N494" i="4"/>
  <c r="M1111" i="4"/>
  <c r="J1239" i="4"/>
  <c r="V1239" i="4"/>
  <c r="J668" i="4"/>
  <c r="V668" i="4"/>
  <c r="O889" i="4"/>
  <c r="T668" i="4"/>
  <c r="N1154" i="4"/>
  <c r="R1154" i="4" s="1"/>
  <c r="W1283" i="4"/>
  <c r="O624" i="4"/>
  <c r="P624" i="4" s="1"/>
  <c r="T624" i="4" s="1"/>
  <c r="J447" i="4"/>
  <c r="V447" i="4"/>
  <c r="W447" i="4" s="1"/>
  <c r="Q274" i="4"/>
  <c r="O316" i="4"/>
  <c r="O1065" i="4"/>
  <c r="S1196" i="4"/>
  <c r="L1196" i="4"/>
  <c r="Y107" i="4"/>
  <c r="U359" i="4"/>
  <c r="AA359" i="4" s="1"/>
  <c r="W843" i="4"/>
  <c r="M802" i="4"/>
  <c r="U1108" i="4"/>
  <c r="AA1108" i="4" s="1"/>
  <c r="O1109" i="4"/>
  <c r="S1109" i="4" s="1"/>
  <c r="P1284" i="4"/>
  <c r="L1284" i="4" s="1"/>
  <c r="M452" i="4"/>
  <c r="Q452" i="4" s="1"/>
  <c r="N977" i="4"/>
  <c r="R977" i="4" s="1"/>
  <c r="R1329" i="4"/>
  <c r="N406" i="4"/>
  <c r="R406" i="4" s="1"/>
  <c r="Y151" i="4"/>
  <c r="T152" i="4"/>
  <c r="P152" i="4" s="1"/>
  <c r="M934" i="4"/>
  <c r="Q934" i="4" s="1"/>
  <c r="L579" i="4"/>
  <c r="Q406" i="4"/>
  <c r="Q59" i="4"/>
  <c r="U59" i="4" s="1"/>
  <c r="N1066" i="4"/>
  <c r="J580" i="4"/>
  <c r="V580" i="4"/>
  <c r="Y56" i="4"/>
  <c r="S57" i="4"/>
  <c r="W57" i="4" s="1"/>
  <c r="M1242" i="4"/>
  <c r="R362" i="4"/>
  <c r="O405" i="4"/>
  <c r="S405" i="4" s="1"/>
  <c r="T1239" i="4"/>
  <c r="S1328" i="4"/>
  <c r="AA48" i="3"/>
  <c r="AE48" i="3" s="1"/>
  <c r="M582" i="4"/>
  <c r="Q582" i="4" s="1"/>
  <c r="O360" i="4"/>
  <c r="S360" i="4" s="1"/>
  <c r="R537" i="4"/>
  <c r="J359" i="4"/>
  <c r="V359" i="4"/>
  <c r="Q977" i="4"/>
  <c r="R581" i="4"/>
  <c r="J315" i="4"/>
  <c r="V315" i="4"/>
  <c r="T56" i="4"/>
  <c r="X56" i="4" s="1"/>
  <c r="P56" i="4"/>
  <c r="J1019" i="4"/>
  <c r="V1019" i="4"/>
  <c r="L888" i="4"/>
  <c r="Q1066" i="4"/>
  <c r="L492" i="4"/>
  <c r="Q1154" i="4"/>
  <c r="N625" i="4"/>
  <c r="M1286" i="4"/>
  <c r="U623" i="4"/>
  <c r="AA623" i="4" s="1"/>
  <c r="N1023" i="4"/>
  <c r="N845" i="4"/>
  <c r="R845" i="4" s="1"/>
  <c r="O845" i="4"/>
  <c r="S845" i="4" s="1"/>
  <c r="Q625" i="4"/>
  <c r="J623" i="4"/>
  <c r="V623" i="4"/>
  <c r="J1108" i="4"/>
  <c r="V1108" i="4"/>
  <c r="S108" i="4"/>
  <c r="W108" i="4" s="1"/>
  <c r="R154" i="4"/>
  <c r="V154" i="4" s="1"/>
  <c r="T580" i="4"/>
  <c r="U580" i="4" s="1"/>
  <c r="AA580" i="4" s="1"/>
  <c r="AF47" i="3"/>
  <c r="N758" i="4"/>
  <c r="R758" i="4" s="1"/>
  <c r="U154" i="4"/>
  <c r="N1285" i="4"/>
  <c r="R1285" i="4" s="1"/>
  <c r="O1285" i="4"/>
  <c r="S1285" i="4" s="1"/>
  <c r="M714" i="4"/>
  <c r="O536" i="4"/>
  <c r="P1240" i="4"/>
  <c r="L1240" i="4" s="1"/>
  <c r="S1240" i="4"/>
  <c r="M670" i="4"/>
  <c r="L196" i="4"/>
  <c r="AG55" i="4"/>
  <c r="P800" i="4"/>
  <c r="T800" i="4" s="1"/>
  <c r="M890" i="4"/>
  <c r="W491" i="4"/>
  <c r="N1241" i="4"/>
  <c r="R1241" i="4" s="1"/>
  <c r="N1197" i="4"/>
  <c r="R1197" i="4" s="1"/>
  <c r="O1197" i="4"/>
  <c r="W1019" i="4" l="1"/>
  <c r="S624" i="4"/>
  <c r="P757" i="4"/>
  <c r="L757" i="4" s="1"/>
  <c r="P1020" i="4"/>
  <c r="L1020" i="4" s="1"/>
  <c r="V1020" i="4" s="1"/>
  <c r="L448" i="4"/>
  <c r="W623" i="4"/>
  <c r="P581" i="4"/>
  <c r="T581" i="4" s="1"/>
  <c r="AH44" i="3"/>
  <c r="P1153" i="4"/>
  <c r="W359" i="4"/>
  <c r="P976" i="4"/>
  <c r="L976" i="4" s="1"/>
  <c r="U975" i="4"/>
  <c r="AA975" i="4" s="1"/>
  <c r="L800" i="4"/>
  <c r="J800" i="4" s="1"/>
  <c r="P405" i="4"/>
  <c r="T405" i="4" s="1"/>
  <c r="U405" i="4" s="1"/>
  <c r="AA405" i="4" s="1"/>
  <c r="T1284" i="4"/>
  <c r="P1285" i="4" s="1"/>
  <c r="L1285" i="4" s="1"/>
  <c r="J975" i="4"/>
  <c r="V975" i="4"/>
  <c r="O361" i="4"/>
  <c r="J757" i="4"/>
  <c r="V757" i="4"/>
  <c r="M583" i="4"/>
  <c r="M496" i="4"/>
  <c r="S58" i="4"/>
  <c r="M453" i="4"/>
  <c r="J1196" i="4"/>
  <c r="V1196" i="4"/>
  <c r="Q60" i="4"/>
  <c r="U60" i="4" s="1"/>
  <c r="R625" i="4"/>
  <c r="J713" i="4"/>
  <c r="V713" i="4"/>
  <c r="R494" i="4"/>
  <c r="N495" i="4" s="1"/>
  <c r="P1197" i="4"/>
  <c r="T1197" i="4" s="1"/>
  <c r="M626" i="4"/>
  <c r="AG151" i="4"/>
  <c r="N196" i="4"/>
  <c r="S316" i="4"/>
  <c r="P316" i="4"/>
  <c r="O449" i="4"/>
  <c r="S449" i="4" s="1"/>
  <c r="O274" i="4"/>
  <c r="S109" i="4"/>
  <c r="W109" i="4" s="1"/>
  <c r="R1066" i="4"/>
  <c r="S889" i="4"/>
  <c r="T1020" i="4"/>
  <c r="N802" i="4"/>
  <c r="M1155" i="4"/>
  <c r="N670" i="4"/>
  <c r="R670" i="4" s="1"/>
  <c r="M935" i="4"/>
  <c r="J1020" i="4"/>
  <c r="T108" i="4"/>
  <c r="X108" i="4" s="1"/>
  <c r="Q802" i="4"/>
  <c r="R1242" i="4"/>
  <c r="J492" i="4"/>
  <c r="V492" i="4"/>
  <c r="AG56" i="4"/>
  <c r="L197" i="4"/>
  <c r="R449" i="4"/>
  <c r="T844" i="4"/>
  <c r="P845" i="4" s="1"/>
  <c r="L845" i="4" s="1"/>
  <c r="L844" i="4"/>
  <c r="N1198" i="4"/>
  <c r="R1198" i="4" s="1"/>
  <c r="T757" i="4"/>
  <c r="W273" i="4"/>
  <c r="M978" i="4"/>
  <c r="Q978" i="4" s="1"/>
  <c r="R802" i="4"/>
  <c r="O801" i="4"/>
  <c r="N890" i="4"/>
  <c r="R890" i="4" s="1"/>
  <c r="Q110" i="4"/>
  <c r="O1329" i="4"/>
  <c r="S1329" i="4" s="1"/>
  <c r="N759" i="4"/>
  <c r="R759" i="4" s="1"/>
  <c r="N1242" i="4"/>
  <c r="U668" i="4"/>
  <c r="AA668" i="4" s="1"/>
  <c r="M318" i="4"/>
  <c r="U1328" i="4"/>
  <c r="AA1328" i="4" s="1"/>
  <c r="O977" i="4"/>
  <c r="S977" i="4" s="1"/>
  <c r="Q1024" i="4"/>
  <c r="L1197" i="4"/>
  <c r="Q155" i="4"/>
  <c r="X152" i="4"/>
  <c r="J1240" i="4"/>
  <c r="V1240" i="4"/>
  <c r="N1286" i="4"/>
  <c r="T1240" i="4"/>
  <c r="U1239" i="4"/>
  <c r="AA1239" i="4" s="1"/>
  <c r="M1067" i="4"/>
  <c r="Q1067" i="4" s="1"/>
  <c r="J448" i="4"/>
  <c r="V448" i="4"/>
  <c r="W448" i="4" s="1"/>
  <c r="J888" i="4"/>
  <c r="V888" i="4"/>
  <c r="W888" i="4" s="1"/>
  <c r="W315" i="4"/>
  <c r="R1023" i="4"/>
  <c r="W580" i="4"/>
  <c r="P889" i="4"/>
  <c r="T889" i="4" s="1"/>
  <c r="J579" i="4"/>
  <c r="V579" i="4"/>
  <c r="W579" i="4" s="1"/>
  <c r="O406" i="4"/>
  <c r="S406" i="4" s="1"/>
  <c r="O1154" i="4"/>
  <c r="S1154" i="4" s="1"/>
  <c r="N1111" i="4"/>
  <c r="R1111" i="4" s="1"/>
  <c r="P669" i="4"/>
  <c r="L669" i="4" s="1"/>
  <c r="Q1198" i="4"/>
  <c r="Q759" i="4"/>
  <c r="N538" i="4"/>
  <c r="R538" i="4" s="1"/>
  <c r="N846" i="4"/>
  <c r="R846" i="4" s="1"/>
  <c r="AA49" i="3"/>
  <c r="AE49" i="3" s="1"/>
  <c r="S1197" i="4"/>
  <c r="U1197" i="4" s="1"/>
  <c r="AA1197" i="4" s="1"/>
  <c r="U1196" i="4"/>
  <c r="AA1196" i="4" s="1"/>
  <c r="Q670" i="4"/>
  <c r="Z152" i="4"/>
  <c r="N152" i="4"/>
  <c r="M407" i="4"/>
  <c r="Q407" i="4" s="1"/>
  <c r="M275" i="4"/>
  <c r="M1330" i="4"/>
  <c r="L581" i="4"/>
  <c r="N56" i="4"/>
  <c r="Z56" i="4"/>
  <c r="O1241" i="4"/>
  <c r="Q890" i="4"/>
  <c r="U624" i="4"/>
  <c r="AA624" i="4" s="1"/>
  <c r="U713" i="4"/>
  <c r="AA713" i="4" s="1"/>
  <c r="O758" i="4"/>
  <c r="W1108" i="4"/>
  <c r="O1023" i="4"/>
  <c r="S1023" i="4" s="1"/>
  <c r="O625" i="4"/>
  <c r="S625" i="4" s="1"/>
  <c r="U800" i="4"/>
  <c r="AA800" i="4" s="1"/>
  <c r="J1284" i="4"/>
  <c r="V1284" i="4"/>
  <c r="M200" i="4"/>
  <c r="AG107" i="4"/>
  <c r="Q1111" i="4"/>
  <c r="V109" i="4"/>
  <c r="L624" i="4"/>
  <c r="Q1242" i="4"/>
  <c r="S1065" i="4"/>
  <c r="O1066" i="4" s="1"/>
  <c r="P1065" i="4"/>
  <c r="T1065" i="4" s="1"/>
  <c r="T57" i="4"/>
  <c r="X57" i="4" s="1"/>
  <c r="P57" i="4"/>
  <c r="J1328" i="4"/>
  <c r="V1328" i="4"/>
  <c r="W1328" i="4" s="1"/>
  <c r="P933" i="4"/>
  <c r="T933" i="4" s="1"/>
  <c r="N363" i="4"/>
  <c r="R363" i="4" s="1"/>
  <c r="P360" i="4"/>
  <c r="T360" i="4" s="1"/>
  <c r="U360" i="4" s="1"/>
  <c r="AA360" i="4" s="1"/>
  <c r="L360" i="4"/>
  <c r="S536" i="4"/>
  <c r="P536" i="4"/>
  <c r="T536" i="4" s="1"/>
  <c r="L536" i="4"/>
  <c r="S581" i="4"/>
  <c r="Q1286" i="4"/>
  <c r="N582" i="4"/>
  <c r="O1110" i="4"/>
  <c r="S1110" i="4" s="1"/>
  <c r="N714" i="4"/>
  <c r="Q714" i="4"/>
  <c r="S154" i="4"/>
  <c r="AB48" i="3"/>
  <c r="AC48" i="3" s="1"/>
  <c r="AG48" i="3" s="1"/>
  <c r="R59" i="4"/>
  <c r="V59" i="4" s="1"/>
  <c r="N934" i="4"/>
  <c r="R934" i="4" s="1"/>
  <c r="O934" i="4"/>
  <c r="S934" i="4" s="1"/>
  <c r="W756" i="4"/>
  <c r="P1109" i="4"/>
  <c r="T1109" i="4" s="1"/>
  <c r="N317" i="4"/>
  <c r="R317" i="4" s="1"/>
  <c r="O317" i="4"/>
  <c r="Q364" i="4"/>
  <c r="U492" i="4"/>
  <c r="AA492" i="4" s="1"/>
  <c r="O493" i="4"/>
  <c r="S493" i="4" s="1"/>
  <c r="Q538" i="4"/>
  <c r="Q846" i="4"/>
  <c r="AF48" i="3" l="1"/>
  <c r="O1198" i="4"/>
  <c r="U1284" i="4"/>
  <c r="AA1284" i="4" s="1"/>
  <c r="T976" i="4"/>
  <c r="U976" i="4" s="1"/>
  <c r="AA976" i="4" s="1"/>
  <c r="L889" i="4"/>
  <c r="V889" i="4" s="1"/>
  <c r="J976" i="4"/>
  <c r="V976" i="4"/>
  <c r="W976" i="4" s="1"/>
  <c r="L405" i="4"/>
  <c r="J405" i="4" s="1"/>
  <c r="W668" i="4"/>
  <c r="L1329" i="4"/>
  <c r="J1329" i="4" s="1"/>
  <c r="T109" i="4"/>
  <c r="P109" i="4" s="1"/>
  <c r="T1285" i="4"/>
  <c r="U1285" i="4" s="1"/>
  <c r="AA1285" i="4" s="1"/>
  <c r="P1241" i="4"/>
  <c r="L1241" i="4" s="1"/>
  <c r="P406" i="4"/>
  <c r="T406" i="4" s="1"/>
  <c r="U406" i="4" s="1"/>
  <c r="AA406" i="4" s="1"/>
  <c r="T1153" i="4"/>
  <c r="U1153" i="4" s="1"/>
  <c r="AA1153" i="4" s="1"/>
  <c r="L1153" i="4"/>
  <c r="S1241" i="4"/>
  <c r="O1242" i="4" s="1"/>
  <c r="W1284" i="4"/>
  <c r="V800" i="4"/>
  <c r="W800" i="4" s="1"/>
  <c r="P108" i="4"/>
  <c r="Z108" i="4" s="1"/>
  <c r="W975" i="4"/>
  <c r="AI44" i="3"/>
  <c r="AD45" i="3"/>
  <c r="P1329" i="4"/>
  <c r="T1329" i="4" s="1"/>
  <c r="O494" i="4"/>
  <c r="P1066" i="4"/>
  <c r="L1066" i="4" s="1"/>
  <c r="U1329" i="4"/>
  <c r="AA1329" i="4" s="1"/>
  <c r="Q61" i="4"/>
  <c r="J845" i="4"/>
  <c r="V845" i="4"/>
  <c r="Y57" i="4"/>
  <c r="N364" i="4"/>
  <c r="N109" i="4"/>
  <c r="Z109" i="4"/>
  <c r="U581" i="4"/>
  <c r="AA581" i="4" s="1"/>
  <c r="M847" i="4"/>
  <c r="Q847" i="4" s="1"/>
  <c r="J581" i="4"/>
  <c r="V581" i="4"/>
  <c r="U536" i="4"/>
  <c r="AA536" i="4" s="1"/>
  <c r="U757" i="4"/>
  <c r="AA757" i="4" s="1"/>
  <c r="P801" i="4"/>
  <c r="T801" i="4" s="1"/>
  <c r="S801" i="4"/>
  <c r="W1239" i="4"/>
  <c r="N1155" i="4"/>
  <c r="R1155" i="4" s="1"/>
  <c r="U889" i="4"/>
  <c r="AA889" i="4" s="1"/>
  <c r="S317" i="4"/>
  <c r="J1285" i="4"/>
  <c r="V1285" i="4"/>
  <c r="W757" i="4"/>
  <c r="M1068" i="4"/>
  <c r="U933" i="4"/>
  <c r="AA933" i="4" s="1"/>
  <c r="M803" i="4"/>
  <c r="Q803" i="4" s="1"/>
  <c r="L933" i="4"/>
  <c r="N1330" i="4"/>
  <c r="R1330" i="4" s="1"/>
  <c r="O1330" i="4"/>
  <c r="S1330" i="4" s="1"/>
  <c r="M1025" i="4"/>
  <c r="N450" i="4"/>
  <c r="R450" i="4" s="1"/>
  <c r="O846" i="4"/>
  <c r="S846" i="4" s="1"/>
  <c r="X109" i="4"/>
  <c r="Y109" i="4" s="1"/>
  <c r="N275" i="4"/>
  <c r="R275" i="4" s="1"/>
  <c r="M671" i="4"/>
  <c r="Q671" i="4" s="1"/>
  <c r="T669" i="4"/>
  <c r="Q1155" i="4"/>
  <c r="P977" i="4"/>
  <c r="T977" i="4" s="1"/>
  <c r="M979" i="4"/>
  <c r="N626" i="4"/>
  <c r="R626" i="4" s="1"/>
  <c r="O626" i="4"/>
  <c r="S626" i="4" s="1"/>
  <c r="O714" i="4"/>
  <c r="S714" i="4" s="1"/>
  <c r="M1199" i="4"/>
  <c r="N318" i="4"/>
  <c r="R318" i="4" s="1"/>
  <c r="L1109" i="4"/>
  <c r="O537" i="4"/>
  <c r="S537" i="4" s="1"/>
  <c r="Q496" i="4"/>
  <c r="T153" i="4"/>
  <c r="P153" i="4" s="1"/>
  <c r="Y152" i="4"/>
  <c r="R110" i="4"/>
  <c r="R1286" i="4"/>
  <c r="P1198" i="4"/>
  <c r="T1198" i="4" s="1"/>
  <c r="N935" i="4"/>
  <c r="R935" i="4" s="1"/>
  <c r="R495" i="4"/>
  <c r="Q453" i="4"/>
  <c r="P625" i="4"/>
  <c r="T625" i="4" s="1"/>
  <c r="U625" i="4" s="1"/>
  <c r="AA625" i="4" s="1"/>
  <c r="L406" i="4"/>
  <c r="P1154" i="4"/>
  <c r="T1154" i="4" s="1"/>
  <c r="V60" i="4"/>
  <c r="J624" i="4"/>
  <c r="V624" i="4"/>
  <c r="W624" i="4" s="1"/>
  <c r="M760" i="4"/>
  <c r="Q760" i="4" s="1"/>
  <c r="J889" i="4"/>
  <c r="J536" i="4"/>
  <c r="V536" i="4"/>
  <c r="AA50" i="3"/>
  <c r="AE50" i="3" s="1"/>
  <c r="J1197" i="4"/>
  <c r="V1197" i="4"/>
  <c r="W1197" i="4" s="1"/>
  <c r="O890" i="4"/>
  <c r="P890" i="4" s="1"/>
  <c r="O670" i="4"/>
  <c r="S670" i="4" s="1"/>
  <c r="Q626" i="4"/>
  <c r="R714" i="4"/>
  <c r="P493" i="4"/>
  <c r="T493" i="4" s="1"/>
  <c r="L493" i="4"/>
  <c r="R60" i="4"/>
  <c r="M1112" i="4"/>
  <c r="W154" i="4"/>
  <c r="O1286" i="4"/>
  <c r="S1286" i="4" s="1"/>
  <c r="W713" i="4"/>
  <c r="T58" i="4"/>
  <c r="P58" i="4" s="1"/>
  <c r="P361" i="4"/>
  <c r="T361" i="4" s="1"/>
  <c r="L361" i="4"/>
  <c r="M408" i="4"/>
  <c r="T845" i="4"/>
  <c r="U844" i="4"/>
  <c r="AA844" i="4" s="1"/>
  <c r="S1066" i="4"/>
  <c r="U1065" i="4"/>
  <c r="AA1065" i="4" s="1"/>
  <c r="M539" i="4"/>
  <c r="Q539" i="4" s="1"/>
  <c r="M1243" i="4"/>
  <c r="Q1243" i="4" s="1"/>
  <c r="P670" i="4"/>
  <c r="L670" i="4" s="1"/>
  <c r="Q583" i="4"/>
  <c r="Q1330" i="4"/>
  <c r="Q318" i="4"/>
  <c r="L316" i="4"/>
  <c r="T316" i="4"/>
  <c r="P317" i="4" s="1"/>
  <c r="L317" i="4" s="1"/>
  <c r="P1110" i="4"/>
  <c r="L1110" i="4" s="1"/>
  <c r="T1241" i="4"/>
  <c r="M365" i="4"/>
  <c r="R582" i="4"/>
  <c r="L625" i="4"/>
  <c r="O582" i="4"/>
  <c r="P582" i="4" s="1"/>
  <c r="T582" i="4" s="1"/>
  <c r="U1240" i="4"/>
  <c r="AA1240" i="4" s="1"/>
  <c r="M891" i="4"/>
  <c r="J669" i="4"/>
  <c r="V669" i="4"/>
  <c r="J360" i="4"/>
  <c r="V360" i="4"/>
  <c r="W360" i="4" s="1"/>
  <c r="N407" i="4"/>
  <c r="R407" i="4" s="1"/>
  <c r="S1198" i="4"/>
  <c r="R155" i="4"/>
  <c r="V155" i="4" s="1"/>
  <c r="N1024" i="4"/>
  <c r="R1024" i="4" s="1"/>
  <c r="U110" i="4"/>
  <c r="W492" i="4"/>
  <c r="Q935" i="4"/>
  <c r="P274" i="4"/>
  <c r="T274" i="4" s="1"/>
  <c r="S274" i="4"/>
  <c r="P1021" i="4"/>
  <c r="L1021" i="4" s="1"/>
  <c r="U1020" i="4"/>
  <c r="AA1020" i="4" s="1"/>
  <c r="Y108" i="4"/>
  <c r="U1109" i="4"/>
  <c r="AA1109" i="4" s="1"/>
  <c r="N57" i="4"/>
  <c r="Z57" i="4"/>
  <c r="P934" i="4"/>
  <c r="L934" i="4" s="1"/>
  <c r="P758" i="4"/>
  <c r="L758" i="4" s="1"/>
  <c r="S758" i="4"/>
  <c r="O759" i="4" s="1"/>
  <c r="Q275" i="4"/>
  <c r="M715" i="4"/>
  <c r="Q715" i="4" s="1"/>
  <c r="M1287" i="4"/>
  <c r="AB49" i="3"/>
  <c r="AF49" i="3" s="1"/>
  <c r="AC49" i="3"/>
  <c r="AG49" i="3" s="1"/>
  <c r="O1111" i="4"/>
  <c r="S1111" i="4" s="1"/>
  <c r="N1067" i="4"/>
  <c r="R1067" i="4" s="1"/>
  <c r="U155" i="4"/>
  <c r="N978" i="4"/>
  <c r="R978" i="4" s="1"/>
  <c r="J844" i="4"/>
  <c r="V844" i="4"/>
  <c r="P449" i="4"/>
  <c r="W1196" i="4"/>
  <c r="W58" i="4"/>
  <c r="S59" i="4" s="1"/>
  <c r="L1065" i="4"/>
  <c r="S361" i="4"/>
  <c r="W536" i="4" l="1"/>
  <c r="S890" i="4"/>
  <c r="P846" i="4"/>
  <c r="L846" i="4" s="1"/>
  <c r="J1241" i="4"/>
  <c r="V1241" i="4"/>
  <c r="S1242" i="4"/>
  <c r="N108" i="4"/>
  <c r="V405" i="4"/>
  <c r="W405" i="4" s="1"/>
  <c r="T1066" i="4"/>
  <c r="U1066" i="4" s="1"/>
  <c r="AA1066" i="4" s="1"/>
  <c r="AH45" i="3"/>
  <c r="Z45" i="3"/>
  <c r="V1153" i="4"/>
  <c r="W1153" i="4" s="1"/>
  <c r="J1153" i="4"/>
  <c r="V1329" i="4"/>
  <c r="W1329" i="4" s="1"/>
  <c r="O407" i="4"/>
  <c r="S407" i="4" s="1"/>
  <c r="P1242" i="4"/>
  <c r="L1242" i="4" s="1"/>
  <c r="J1242" i="4" s="1"/>
  <c r="P1330" i="4"/>
  <c r="T1330" i="4" s="1"/>
  <c r="U1330" i="4" s="1"/>
  <c r="AA1330" i="4" s="1"/>
  <c r="W1285" i="4"/>
  <c r="M1244" i="4"/>
  <c r="M540" i="4"/>
  <c r="T890" i="4"/>
  <c r="L890" i="4"/>
  <c r="U1198" i="4"/>
  <c r="AA1198" i="4" s="1"/>
  <c r="M848" i="4"/>
  <c r="Q848" i="4" s="1"/>
  <c r="J846" i="4"/>
  <c r="V846" i="4"/>
  <c r="J758" i="4"/>
  <c r="V758" i="4"/>
  <c r="O538" i="4"/>
  <c r="J1066" i="4"/>
  <c r="V1066" i="4"/>
  <c r="J1110" i="4"/>
  <c r="V1110" i="4"/>
  <c r="M716" i="4"/>
  <c r="AA51" i="3"/>
  <c r="AE51" i="3" s="1"/>
  <c r="J934" i="4"/>
  <c r="V934" i="4"/>
  <c r="J670" i="4"/>
  <c r="V670" i="4"/>
  <c r="N58" i="4"/>
  <c r="Z58" i="4"/>
  <c r="N451" i="4"/>
  <c r="W155" i="4"/>
  <c r="W1241" i="4"/>
  <c r="T934" i="4"/>
  <c r="L198" i="4"/>
  <c r="AG57" i="4"/>
  <c r="U1241" i="4"/>
  <c r="AA1241" i="4" s="1"/>
  <c r="N715" i="4"/>
  <c r="T1110" i="4"/>
  <c r="N847" i="4"/>
  <c r="R847" i="4" s="1"/>
  <c r="O935" i="4"/>
  <c r="S935" i="4" s="1"/>
  <c r="N153" i="4"/>
  <c r="Z153" i="4"/>
  <c r="O275" i="4"/>
  <c r="P275" i="4" s="1"/>
  <c r="T275" i="4" s="1"/>
  <c r="O1155" i="4"/>
  <c r="S1155" i="4" s="1"/>
  <c r="X58" i="4"/>
  <c r="T59" i="4" s="1"/>
  <c r="P59" i="4" s="1"/>
  <c r="R61" i="4"/>
  <c r="P494" i="4"/>
  <c r="T494" i="4" s="1"/>
  <c r="M761" i="4"/>
  <c r="Q761" i="4" s="1"/>
  <c r="U801" i="4"/>
  <c r="AA801" i="4" s="1"/>
  <c r="O450" i="4"/>
  <c r="S450" i="4" s="1"/>
  <c r="V110" i="4"/>
  <c r="N1112" i="4"/>
  <c r="R1112" i="4" s="1"/>
  <c r="N408" i="4"/>
  <c r="O408" i="4" s="1"/>
  <c r="S408" i="4" s="1"/>
  <c r="Q1112" i="4"/>
  <c r="X153" i="4"/>
  <c r="T670" i="4"/>
  <c r="U669" i="4"/>
  <c r="AA669" i="4" s="1"/>
  <c r="N1025" i="4"/>
  <c r="R1025" i="4" s="1"/>
  <c r="N496" i="4"/>
  <c r="T758" i="4"/>
  <c r="R364" i="4"/>
  <c r="U61" i="4"/>
  <c r="U493" i="4"/>
  <c r="AA493" i="4" s="1"/>
  <c r="M584" i="4"/>
  <c r="M804" i="4"/>
  <c r="Q804" i="4" s="1"/>
  <c r="J361" i="4"/>
  <c r="V361" i="4"/>
  <c r="S110" i="4"/>
  <c r="W110" i="4" s="1"/>
  <c r="U361" i="4"/>
  <c r="AA361" i="4" s="1"/>
  <c r="O362" i="4"/>
  <c r="AG152" i="4"/>
  <c r="N197" i="4"/>
  <c r="L274" i="4"/>
  <c r="J316" i="4"/>
  <c r="V316" i="4"/>
  <c r="M627" i="4"/>
  <c r="Q627" i="4" s="1"/>
  <c r="W889" i="4"/>
  <c r="J406" i="4"/>
  <c r="V406" i="4"/>
  <c r="W406" i="4" s="1"/>
  <c r="P714" i="4"/>
  <c r="T714" i="4" s="1"/>
  <c r="U714" i="4" s="1"/>
  <c r="AA714" i="4" s="1"/>
  <c r="N1199" i="4"/>
  <c r="R1199" i="4" s="1"/>
  <c r="N979" i="4"/>
  <c r="R979" i="4" s="1"/>
  <c r="L977" i="4"/>
  <c r="L1154" i="4"/>
  <c r="L1198" i="4"/>
  <c r="S494" i="4"/>
  <c r="N891" i="4"/>
  <c r="R891" i="4" s="1"/>
  <c r="U977" i="4"/>
  <c r="AA977" i="4" s="1"/>
  <c r="T317" i="4"/>
  <c r="U317" i="4" s="1"/>
  <c r="AA317" i="4" s="1"/>
  <c r="T449" i="4"/>
  <c r="L449" i="4"/>
  <c r="M201" i="4"/>
  <c r="AG108" i="4"/>
  <c r="M276" i="4"/>
  <c r="Q276" i="4" s="1"/>
  <c r="M319" i="4"/>
  <c r="Q408" i="4"/>
  <c r="J1109" i="4"/>
  <c r="V1109" i="4"/>
  <c r="W1109" i="4" s="1"/>
  <c r="P1286" i="4"/>
  <c r="T1286" i="4" s="1"/>
  <c r="Q1025" i="4"/>
  <c r="N1068" i="4"/>
  <c r="R1068" i="4" s="1"/>
  <c r="W1020" i="4"/>
  <c r="S582" i="4"/>
  <c r="L582" i="4"/>
  <c r="S759" i="4"/>
  <c r="J493" i="4"/>
  <c r="V493" i="4"/>
  <c r="M497" i="4"/>
  <c r="S318" i="4"/>
  <c r="O802" i="4"/>
  <c r="S802" i="4" s="1"/>
  <c r="S155" i="4"/>
  <c r="AB50" i="3"/>
  <c r="AF50" i="3" s="1"/>
  <c r="O978" i="4"/>
  <c r="U274" i="4"/>
  <c r="AA274" i="4" s="1"/>
  <c r="L801" i="4"/>
  <c r="M1156" i="4"/>
  <c r="J1065" i="4"/>
  <c r="V1065" i="4"/>
  <c r="W1065" i="4" s="1"/>
  <c r="P626" i="4"/>
  <c r="L626" i="4" s="1"/>
  <c r="T846" i="4"/>
  <c r="U845" i="4"/>
  <c r="AA845" i="4" s="1"/>
  <c r="J317" i="4"/>
  <c r="V317" i="4"/>
  <c r="M936" i="4"/>
  <c r="J625" i="4"/>
  <c r="V625" i="4"/>
  <c r="W625" i="4" s="1"/>
  <c r="M202" i="4"/>
  <c r="AG109" i="4"/>
  <c r="N1287" i="4"/>
  <c r="J1021" i="4"/>
  <c r="V1021" i="4"/>
  <c r="M1331" i="4"/>
  <c r="Q1331" i="4" s="1"/>
  <c r="M454" i="4"/>
  <c r="N583" i="4"/>
  <c r="R583" i="4" s="1"/>
  <c r="Q1199" i="4"/>
  <c r="Q979" i="4"/>
  <c r="N803" i="4"/>
  <c r="R803" i="4" s="1"/>
  <c r="U1154" i="4"/>
  <c r="AA1154" i="4" s="1"/>
  <c r="Q891" i="4"/>
  <c r="M672" i="4"/>
  <c r="Q672" i="4" s="1"/>
  <c r="O318" i="4"/>
  <c r="J933" i="4"/>
  <c r="V933" i="4"/>
  <c r="W933" i="4" s="1"/>
  <c r="N1243" i="4"/>
  <c r="R1243" i="4" s="1"/>
  <c r="P537" i="4"/>
  <c r="T537" i="4" s="1"/>
  <c r="U537" i="4" s="1"/>
  <c r="AA537" i="4" s="1"/>
  <c r="W59" i="4"/>
  <c r="S60" i="4" s="1"/>
  <c r="Q156" i="4"/>
  <c r="W1240" i="4"/>
  <c r="N539" i="4"/>
  <c r="R539" i="4" s="1"/>
  <c r="O1067" i="4"/>
  <c r="Q111" i="4"/>
  <c r="W844" i="4"/>
  <c r="Q1287" i="4"/>
  <c r="T1021" i="4"/>
  <c r="O1024" i="4"/>
  <c r="S1024" i="4" s="1"/>
  <c r="Q365" i="4"/>
  <c r="N760" i="4"/>
  <c r="R760" i="4" s="1"/>
  <c r="N671" i="4"/>
  <c r="R671" i="4" s="1"/>
  <c r="Q1068" i="4"/>
  <c r="U316" i="4"/>
  <c r="AA316" i="4" s="1"/>
  <c r="W581" i="4"/>
  <c r="L1286" i="4" l="1"/>
  <c r="T626" i="4"/>
  <c r="V1242" i="4"/>
  <c r="R408" i="4"/>
  <c r="T1242" i="4"/>
  <c r="U1242" i="4" s="1"/>
  <c r="AI45" i="3"/>
  <c r="AD46" i="3"/>
  <c r="Z46" i="3" s="1"/>
  <c r="Y58" i="4"/>
  <c r="L199" i="4" s="1"/>
  <c r="AC50" i="3"/>
  <c r="AG50" i="3" s="1"/>
  <c r="L714" i="4"/>
  <c r="J714" i="4" s="1"/>
  <c r="W316" i="4"/>
  <c r="P407" i="4"/>
  <c r="W361" i="4"/>
  <c r="P318" i="4"/>
  <c r="T318" i="4" s="1"/>
  <c r="L494" i="4"/>
  <c r="L1330" i="4"/>
  <c r="J626" i="4"/>
  <c r="V626" i="4"/>
  <c r="W626" i="4" s="1"/>
  <c r="M1332" i="4"/>
  <c r="N59" i="4"/>
  <c r="Z59" i="4"/>
  <c r="O495" i="4"/>
  <c r="U494" i="4"/>
  <c r="AA494" i="4" s="1"/>
  <c r="O1243" i="4"/>
  <c r="S1243" i="4" s="1"/>
  <c r="R156" i="4"/>
  <c r="V156" i="4" s="1"/>
  <c r="S156" i="4"/>
  <c r="W156" i="4" s="1"/>
  <c r="J494" i="4"/>
  <c r="V494" i="4"/>
  <c r="M762" i="4"/>
  <c r="M892" i="4"/>
  <c r="Q892" i="4" s="1"/>
  <c r="U582" i="4"/>
  <c r="AA582" i="4" s="1"/>
  <c r="U626" i="4"/>
  <c r="AA626" i="4" s="1"/>
  <c r="Q62" i="4"/>
  <c r="P978" i="4"/>
  <c r="T978" i="4" s="1"/>
  <c r="S978" i="4"/>
  <c r="M1069" i="4"/>
  <c r="Q1069" i="4" s="1"/>
  <c r="U1021" i="4"/>
  <c r="AA1021" i="4" s="1"/>
  <c r="P1022" i="4"/>
  <c r="L1022" i="4" s="1"/>
  <c r="P1067" i="4"/>
  <c r="T1067" i="4" s="1"/>
  <c r="U156" i="4"/>
  <c r="M1200" i="4"/>
  <c r="W669" i="4"/>
  <c r="Q497" i="4"/>
  <c r="M409" i="4"/>
  <c r="J1154" i="4"/>
  <c r="V1154" i="4"/>
  <c r="W1154" i="4" s="1"/>
  <c r="J274" i="4"/>
  <c r="V274" i="4"/>
  <c r="W274" i="4" s="1"/>
  <c r="N804" i="4"/>
  <c r="R804" i="4" s="1"/>
  <c r="R715" i="4"/>
  <c r="N716" i="4" s="1"/>
  <c r="S1067" i="4"/>
  <c r="T110" i="4"/>
  <c r="X110" i="4" s="1"/>
  <c r="Y110" i="4" s="1"/>
  <c r="AA52" i="3"/>
  <c r="O1199" i="4"/>
  <c r="S1199" i="4" s="1"/>
  <c r="L275" i="4"/>
  <c r="N540" i="4"/>
  <c r="R540" i="4" s="1"/>
  <c r="Q716" i="4"/>
  <c r="W845" i="4"/>
  <c r="O451" i="4"/>
  <c r="S451" i="4" s="1"/>
  <c r="P538" i="4"/>
  <c r="T538" i="4" s="1"/>
  <c r="L538" i="4"/>
  <c r="R111" i="4"/>
  <c r="S111" i="4" s="1"/>
  <c r="W111" i="4" s="1"/>
  <c r="U111" i="4"/>
  <c r="S275" i="4"/>
  <c r="J1198" i="4"/>
  <c r="V1198" i="4"/>
  <c r="W1198" i="4" s="1"/>
  <c r="J1286" i="4"/>
  <c r="V1286" i="4"/>
  <c r="M980" i="4"/>
  <c r="M1288" i="4"/>
  <c r="Q1288" i="4" s="1"/>
  <c r="O583" i="4"/>
  <c r="S583" i="4" s="1"/>
  <c r="P583" i="4"/>
  <c r="T583" i="4" s="1"/>
  <c r="W493" i="4"/>
  <c r="J449" i="4"/>
  <c r="V449" i="4"/>
  <c r="J977" i="4"/>
  <c r="V977" i="4"/>
  <c r="W977" i="4" s="1"/>
  <c r="N936" i="4"/>
  <c r="R936" i="4" s="1"/>
  <c r="P935" i="4"/>
  <c r="L935" i="4" s="1"/>
  <c r="R496" i="4"/>
  <c r="N497" i="4" s="1"/>
  <c r="V61" i="4"/>
  <c r="O715" i="4"/>
  <c r="S715" i="4" s="1"/>
  <c r="N1244" i="4"/>
  <c r="R1244" i="4" s="1"/>
  <c r="M673" i="4"/>
  <c r="U846" i="4"/>
  <c r="AA846" i="4" s="1"/>
  <c r="U1110" i="4"/>
  <c r="AA1110" i="4" s="1"/>
  <c r="P1111" i="4"/>
  <c r="L1111" i="4" s="1"/>
  <c r="U670" i="4"/>
  <c r="AA670" i="4" s="1"/>
  <c r="P450" i="4"/>
  <c r="L450" i="4" s="1"/>
  <c r="W1066" i="4"/>
  <c r="N319" i="4"/>
  <c r="R319" i="4" s="1"/>
  <c r="Y153" i="4"/>
  <c r="T154" i="4"/>
  <c r="P154" i="4" s="1"/>
  <c r="O760" i="4"/>
  <c r="W60" i="4"/>
  <c r="R1287" i="4"/>
  <c r="U1286" i="4"/>
  <c r="AA1286" i="4" s="1"/>
  <c r="N584" i="4"/>
  <c r="U934" i="4"/>
  <c r="AA934" i="4" s="1"/>
  <c r="R451" i="4"/>
  <c r="S538" i="4"/>
  <c r="O539" i="4" s="1"/>
  <c r="P759" i="4"/>
  <c r="L759" i="4" s="1"/>
  <c r="J801" i="4"/>
  <c r="V801" i="4"/>
  <c r="W801" i="4" s="1"/>
  <c r="M277" i="4"/>
  <c r="M628" i="4"/>
  <c r="Q628" i="4" s="1"/>
  <c r="N1331" i="4"/>
  <c r="R1331" i="4" s="1"/>
  <c r="O1331" i="4"/>
  <c r="S1331" i="4" s="1"/>
  <c r="J1330" i="4"/>
  <c r="V1330" i="4"/>
  <c r="W1330" i="4" s="1"/>
  <c r="M849" i="4"/>
  <c r="Q849" i="4" s="1"/>
  <c r="Q540" i="4"/>
  <c r="P1155" i="4"/>
  <c r="T1155" i="4" s="1"/>
  <c r="M1026" i="4"/>
  <c r="U449" i="4"/>
  <c r="AA449" i="4" s="1"/>
  <c r="N1156" i="4"/>
  <c r="R1156" i="4" s="1"/>
  <c r="U758" i="4"/>
  <c r="AA758" i="4" s="1"/>
  <c r="Q319" i="4"/>
  <c r="O891" i="4"/>
  <c r="S891" i="4" s="1"/>
  <c r="P362" i="4"/>
  <c r="T362" i="4" s="1"/>
  <c r="L537" i="4"/>
  <c r="N672" i="4"/>
  <c r="R672" i="4" s="1"/>
  <c r="O1287" i="4"/>
  <c r="S1287" i="4" s="1"/>
  <c r="U1155" i="4"/>
  <c r="AA1155" i="4" s="1"/>
  <c r="S760" i="4"/>
  <c r="N276" i="4"/>
  <c r="R276" i="4" s="1"/>
  <c r="Q584" i="4"/>
  <c r="O1025" i="4"/>
  <c r="M1113" i="4"/>
  <c r="O1112" i="4"/>
  <c r="S1112" i="4" s="1"/>
  <c r="AB51" i="3"/>
  <c r="AC51" i="3"/>
  <c r="AG51" i="3" s="1"/>
  <c r="J890" i="4"/>
  <c r="V890" i="4"/>
  <c r="Q1244" i="4"/>
  <c r="M805" i="4"/>
  <c r="Q805" i="4" s="1"/>
  <c r="Q936" i="4"/>
  <c r="O671" i="4"/>
  <c r="M366" i="4"/>
  <c r="N365" i="4"/>
  <c r="R365" i="4" s="1"/>
  <c r="P1243" i="4"/>
  <c r="T1243" i="4" s="1"/>
  <c r="O803" i="4"/>
  <c r="S803" i="4" s="1"/>
  <c r="Q454" i="4"/>
  <c r="W317" i="4"/>
  <c r="Q1156" i="4"/>
  <c r="P802" i="4"/>
  <c r="T802" i="4" s="1"/>
  <c r="U802" i="4" s="1"/>
  <c r="AA802" i="4" s="1"/>
  <c r="J582" i="4"/>
  <c r="V582" i="4"/>
  <c r="W582" i="4" s="1"/>
  <c r="N627" i="4"/>
  <c r="R627" i="4" s="1"/>
  <c r="S362" i="4"/>
  <c r="N761" i="4"/>
  <c r="X59" i="4"/>
  <c r="O847" i="4"/>
  <c r="N848" i="4"/>
  <c r="U890" i="4"/>
  <c r="AA890" i="4" s="1"/>
  <c r="AA1242" i="4" l="1"/>
  <c r="W1242" i="4"/>
  <c r="AG58" i="4"/>
  <c r="L978" i="4"/>
  <c r="O1244" i="4"/>
  <c r="P110" i="4"/>
  <c r="Z110" i="4" s="1"/>
  <c r="L318" i="4"/>
  <c r="J318" i="4" s="1"/>
  <c r="O627" i="4"/>
  <c r="S627" i="4" s="1"/>
  <c r="T1022" i="4"/>
  <c r="U1022" i="4" s="1"/>
  <c r="AA1022" i="4" s="1"/>
  <c r="W1110" i="4"/>
  <c r="T450" i="4"/>
  <c r="U450" i="4" s="1"/>
  <c r="AA450" i="4" s="1"/>
  <c r="X154" i="4"/>
  <c r="Y154" i="4" s="1"/>
  <c r="V714" i="4"/>
  <c r="W714" i="4" s="1"/>
  <c r="T759" i="4"/>
  <c r="U759" i="4" s="1"/>
  <c r="AA759" i="4" s="1"/>
  <c r="W1021" i="4"/>
  <c r="P715" i="4"/>
  <c r="O319" i="4"/>
  <c r="S319" i="4" s="1"/>
  <c r="AH46" i="3"/>
  <c r="W494" i="4"/>
  <c r="V111" i="4"/>
  <c r="T407" i="4"/>
  <c r="L407" i="4"/>
  <c r="T1111" i="4"/>
  <c r="P1112" i="4" s="1"/>
  <c r="L1112" i="4" s="1"/>
  <c r="W449" i="4"/>
  <c r="W934" i="4"/>
  <c r="U1243" i="4"/>
  <c r="AA1243" i="4" s="1"/>
  <c r="M1070" i="4"/>
  <c r="O804" i="4"/>
  <c r="S804" i="4" s="1"/>
  <c r="M893" i="4"/>
  <c r="Q893" i="4" s="1"/>
  <c r="U583" i="4"/>
  <c r="AA583" i="4" s="1"/>
  <c r="M1289" i="4"/>
  <c r="M455" i="4"/>
  <c r="Q455" i="4" s="1"/>
  <c r="N673" i="4"/>
  <c r="N452" i="4"/>
  <c r="R452" i="4" s="1"/>
  <c r="N1200" i="4"/>
  <c r="R1200" i="4" s="1"/>
  <c r="T111" i="4"/>
  <c r="P111" i="4" s="1"/>
  <c r="L362" i="4"/>
  <c r="P539" i="4"/>
  <c r="L539" i="4" s="1"/>
  <c r="T935" i="4"/>
  <c r="P319" i="4"/>
  <c r="L319" i="4" s="1"/>
  <c r="J275" i="4"/>
  <c r="V275" i="4"/>
  <c r="R716" i="4"/>
  <c r="R497" i="4"/>
  <c r="N277" i="4"/>
  <c r="N1069" i="4"/>
  <c r="R1069" i="4" s="1"/>
  <c r="W890" i="4"/>
  <c r="O761" i="4"/>
  <c r="N110" i="4"/>
  <c r="R761" i="4"/>
  <c r="N762" i="4" s="1"/>
  <c r="R62" i="4"/>
  <c r="S1244" i="4"/>
  <c r="W1286" i="4"/>
  <c r="J450" i="4"/>
  <c r="V450" i="4"/>
  <c r="Q1200" i="4"/>
  <c r="N366" i="4"/>
  <c r="R366" i="4" s="1"/>
  <c r="M585" i="4"/>
  <c r="Q585" i="4" s="1"/>
  <c r="M320" i="4"/>
  <c r="Q320" i="4" s="1"/>
  <c r="AG110" i="4"/>
  <c r="M203" i="4"/>
  <c r="P1331" i="4"/>
  <c r="T1331" i="4" s="1"/>
  <c r="U1331" i="4" s="1"/>
  <c r="AA1331" i="4" s="1"/>
  <c r="R848" i="4"/>
  <c r="Y59" i="4"/>
  <c r="S1025" i="4"/>
  <c r="P1244" i="4"/>
  <c r="L1244" i="4" s="1"/>
  <c r="W846" i="4"/>
  <c r="AF51" i="3"/>
  <c r="AB52" i="3" s="1"/>
  <c r="AC52" i="3" s="1"/>
  <c r="AG52" i="3" s="1"/>
  <c r="M717" i="4"/>
  <c r="N409" i="4"/>
  <c r="R409" i="4" s="1"/>
  <c r="O409" i="4"/>
  <c r="S409" i="4" s="1"/>
  <c r="Q157" i="4"/>
  <c r="U157" i="4" s="1"/>
  <c r="Q762" i="4"/>
  <c r="Q409" i="4"/>
  <c r="L1067" i="4"/>
  <c r="U978" i="4"/>
  <c r="AA978" i="4" s="1"/>
  <c r="O979" i="4"/>
  <c r="U62" i="4"/>
  <c r="P495" i="4"/>
  <c r="T495" i="4" s="1"/>
  <c r="L495" i="4"/>
  <c r="N1332" i="4"/>
  <c r="R1332" i="4" s="1"/>
  <c r="P803" i="4"/>
  <c r="T803" i="4" s="1"/>
  <c r="L803" i="4"/>
  <c r="N1113" i="4"/>
  <c r="R1113" i="4" s="1"/>
  <c r="O1113" i="4"/>
  <c r="S1113" i="4" s="1"/>
  <c r="U1067" i="4"/>
  <c r="AA1067" i="4" s="1"/>
  <c r="M1245" i="4"/>
  <c r="S495" i="4"/>
  <c r="P1287" i="4"/>
  <c r="T1287" i="4" s="1"/>
  <c r="U1287" i="4" s="1"/>
  <c r="AA1287" i="4" s="1"/>
  <c r="M806" i="4"/>
  <c r="M629" i="4"/>
  <c r="M850" i="4"/>
  <c r="Q673" i="4"/>
  <c r="Q1113" i="4"/>
  <c r="N1288" i="4"/>
  <c r="Q277" i="4"/>
  <c r="P891" i="4"/>
  <c r="M541" i="4"/>
  <c r="Q541" i="4" s="1"/>
  <c r="U275" i="4"/>
  <c r="AA275" i="4" s="1"/>
  <c r="W758" i="4"/>
  <c r="Q366" i="4"/>
  <c r="U318" i="4"/>
  <c r="AA318" i="4" s="1"/>
  <c r="N980" i="4"/>
  <c r="R980" i="4" s="1"/>
  <c r="U362" i="4"/>
  <c r="AA362" i="4" s="1"/>
  <c r="O363" i="4"/>
  <c r="M1157" i="4"/>
  <c r="Q1157" i="4" s="1"/>
  <c r="P671" i="4"/>
  <c r="T671" i="4" s="1"/>
  <c r="S671" i="4"/>
  <c r="L671" i="4"/>
  <c r="O276" i="4"/>
  <c r="P276" i="4" s="1"/>
  <c r="T276" i="4" s="1"/>
  <c r="O1156" i="4"/>
  <c r="P1156" i="4" s="1"/>
  <c r="T1156" i="4" s="1"/>
  <c r="N1026" i="4"/>
  <c r="R1026" i="4" s="1"/>
  <c r="R584" i="4"/>
  <c r="W670" i="4"/>
  <c r="J759" i="4"/>
  <c r="V759" i="4"/>
  <c r="O584" i="4"/>
  <c r="P584" i="4" s="1"/>
  <c r="T584" i="4" s="1"/>
  <c r="N154" i="4"/>
  <c r="Z154" i="4"/>
  <c r="O936" i="4"/>
  <c r="L583" i="4"/>
  <c r="Q980" i="4"/>
  <c r="L1243" i="4"/>
  <c r="AE52" i="3"/>
  <c r="O1068" i="4"/>
  <c r="S1068" i="4" s="1"/>
  <c r="J1022" i="4"/>
  <c r="V1022" i="4"/>
  <c r="O716" i="4"/>
  <c r="S716" i="4" s="1"/>
  <c r="Q1332" i="4"/>
  <c r="S847" i="4"/>
  <c r="O848" i="4" s="1"/>
  <c r="P848" i="4" s="1"/>
  <c r="N892" i="4"/>
  <c r="R892" i="4" s="1"/>
  <c r="T60" i="4"/>
  <c r="P60" i="4" s="1"/>
  <c r="J935" i="4"/>
  <c r="V935" i="4"/>
  <c r="S61" i="4"/>
  <c r="L1155" i="4"/>
  <c r="J538" i="4"/>
  <c r="V538" i="4"/>
  <c r="L802" i="4"/>
  <c r="R277" i="4"/>
  <c r="P1199" i="4"/>
  <c r="Q112" i="4"/>
  <c r="J978" i="4"/>
  <c r="V978" i="4"/>
  <c r="M937" i="4"/>
  <c r="Q937" i="4" s="1"/>
  <c r="N805" i="4"/>
  <c r="P847" i="4"/>
  <c r="T847" i="4" s="1"/>
  <c r="J537" i="4"/>
  <c r="V537" i="4"/>
  <c r="W537" i="4" s="1"/>
  <c r="Q1026" i="4"/>
  <c r="N628" i="4"/>
  <c r="S539" i="4"/>
  <c r="U538" i="4"/>
  <c r="AA538" i="4" s="1"/>
  <c r="AG153" i="4"/>
  <c r="N198" i="4"/>
  <c r="J1111" i="4"/>
  <c r="V1111" i="4"/>
  <c r="V62" i="4"/>
  <c r="X111" i="4"/>
  <c r="M498" i="4"/>
  <c r="Q498" i="4" s="1"/>
  <c r="P627" i="4" l="1"/>
  <c r="T627" i="4" s="1"/>
  <c r="P1023" i="4"/>
  <c r="L1023" i="4" s="1"/>
  <c r="W1022" i="4"/>
  <c r="V318" i="4"/>
  <c r="W318" i="4" s="1"/>
  <c r="P451" i="4"/>
  <c r="L451" i="4" s="1"/>
  <c r="J451" i="4" s="1"/>
  <c r="AD47" i="3"/>
  <c r="Z47" i="3" s="1"/>
  <c r="AI46" i="3"/>
  <c r="AH47" i="3"/>
  <c r="S584" i="4"/>
  <c r="U584" i="4" s="1"/>
  <c r="AA584" i="4" s="1"/>
  <c r="U1111" i="4"/>
  <c r="AA1111" i="4" s="1"/>
  <c r="X60" i="4"/>
  <c r="T61" i="4" s="1"/>
  <c r="V407" i="4"/>
  <c r="J407" i="4"/>
  <c r="U407" i="4"/>
  <c r="AA407" i="4" s="1"/>
  <c r="P408" i="4"/>
  <c r="T155" i="4"/>
  <c r="P155" i="4" s="1"/>
  <c r="N155" i="4" s="1"/>
  <c r="T1112" i="4"/>
  <c r="U1112" i="4" s="1"/>
  <c r="AA1112" i="4" s="1"/>
  <c r="L715" i="4"/>
  <c r="T715" i="4"/>
  <c r="W450" i="4"/>
  <c r="W759" i="4"/>
  <c r="W978" i="4"/>
  <c r="O1026" i="4"/>
  <c r="T319" i="4"/>
  <c r="P760" i="4"/>
  <c r="L760" i="4" s="1"/>
  <c r="J1244" i="4"/>
  <c r="V1244" i="4"/>
  <c r="J319" i="4"/>
  <c r="V319" i="4"/>
  <c r="N453" i="4"/>
  <c r="M542" i="4"/>
  <c r="Q542" i="4" s="1"/>
  <c r="M894" i="4"/>
  <c r="Q894" i="4" s="1"/>
  <c r="O805" i="4"/>
  <c r="S805" i="4" s="1"/>
  <c r="M938" i="4"/>
  <c r="M586" i="4"/>
  <c r="Q586" i="4" s="1"/>
  <c r="M499" i="4"/>
  <c r="T1199" i="4"/>
  <c r="L1199" i="4"/>
  <c r="M1158" i="4"/>
  <c r="U495" i="4"/>
  <c r="AA495" i="4" s="1"/>
  <c r="O496" i="4"/>
  <c r="J539" i="4"/>
  <c r="V539" i="4"/>
  <c r="M278" i="4"/>
  <c r="Q278" i="4" s="1"/>
  <c r="O628" i="4"/>
  <c r="S628" i="4" s="1"/>
  <c r="S1156" i="4"/>
  <c r="L1156" i="4"/>
  <c r="N1245" i="4"/>
  <c r="R1245" i="4" s="1"/>
  <c r="L200" i="4"/>
  <c r="AG59" i="4"/>
  <c r="S936" i="4"/>
  <c r="O1332" i="4"/>
  <c r="S1332" i="4" s="1"/>
  <c r="M456" i="4"/>
  <c r="Q456" i="4" s="1"/>
  <c r="M1114" i="4"/>
  <c r="Q1114" i="4" s="1"/>
  <c r="R628" i="4"/>
  <c r="N629" i="4" s="1"/>
  <c r="L276" i="4"/>
  <c r="M674" i="4"/>
  <c r="W275" i="4"/>
  <c r="N1070" i="4"/>
  <c r="R1070" i="4" s="1"/>
  <c r="M1027" i="4"/>
  <c r="W538" i="4"/>
  <c r="T1244" i="4"/>
  <c r="J1067" i="4"/>
  <c r="V1067" i="4"/>
  <c r="W1067" i="4" s="1"/>
  <c r="J1112" i="4"/>
  <c r="V1112" i="4"/>
  <c r="N585" i="4"/>
  <c r="T539" i="4"/>
  <c r="U539" i="4" s="1"/>
  <c r="AA539" i="4" s="1"/>
  <c r="N199" i="4"/>
  <c r="AG154" i="4"/>
  <c r="J495" i="4"/>
  <c r="V495" i="4"/>
  <c r="L584" i="4"/>
  <c r="Q1245" i="4"/>
  <c r="T848" i="4"/>
  <c r="J1155" i="4"/>
  <c r="V1155" i="4"/>
  <c r="W1155" i="4" s="1"/>
  <c r="S276" i="4"/>
  <c r="Z60" i="4"/>
  <c r="N60" i="4"/>
  <c r="O672" i="4"/>
  <c r="U671" i="4"/>
  <c r="AA671" i="4" s="1"/>
  <c r="Q629" i="4"/>
  <c r="Q63" i="4"/>
  <c r="N717" i="4"/>
  <c r="R717" i="4" s="1"/>
  <c r="S761" i="4"/>
  <c r="Q1070" i="4"/>
  <c r="N937" i="4"/>
  <c r="R937" i="4" s="1"/>
  <c r="M321" i="4"/>
  <c r="P363" i="4"/>
  <c r="T363" i="4" s="1"/>
  <c r="M1201" i="4"/>
  <c r="Q1201" i="4" s="1"/>
  <c r="R762" i="4"/>
  <c r="J802" i="4"/>
  <c r="V802" i="4"/>
  <c r="W802" i="4" s="1"/>
  <c r="N111" i="4"/>
  <c r="Z111" i="4"/>
  <c r="N893" i="4"/>
  <c r="R893" i="4" s="1"/>
  <c r="T1023" i="4"/>
  <c r="J671" i="4"/>
  <c r="V671" i="4"/>
  <c r="R112" i="4"/>
  <c r="V112" i="4" s="1"/>
  <c r="L847" i="4"/>
  <c r="Y111" i="4"/>
  <c r="S848" i="4"/>
  <c r="U847" i="4"/>
  <c r="AA847" i="4" s="1"/>
  <c r="T451" i="4"/>
  <c r="P979" i="4"/>
  <c r="T979" i="4" s="1"/>
  <c r="M763" i="4"/>
  <c r="R673" i="4"/>
  <c r="Q1289" i="4"/>
  <c r="U803" i="4"/>
  <c r="AA803" i="4" s="1"/>
  <c r="AA53" i="3"/>
  <c r="U627" i="4"/>
  <c r="AA627" i="4" s="1"/>
  <c r="N849" i="4"/>
  <c r="L1287" i="4"/>
  <c r="U112" i="4"/>
  <c r="Y60" i="4"/>
  <c r="O892" i="4"/>
  <c r="M1333" i="4"/>
  <c r="Q1333" i="4" s="1"/>
  <c r="M981" i="4"/>
  <c r="N1157" i="4"/>
  <c r="R1157" i="4" s="1"/>
  <c r="O1288" i="4"/>
  <c r="Q850" i="4"/>
  <c r="R805" i="4"/>
  <c r="N806" i="4" s="1"/>
  <c r="R157" i="4"/>
  <c r="V157" i="4" s="1"/>
  <c r="S157" i="4"/>
  <c r="W157" i="4" s="1"/>
  <c r="Q717" i="4"/>
  <c r="N320" i="4"/>
  <c r="R320" i="4" s="1"/>
  <c r="O1069" i="4"/>
  <c r="S1069" i="4" s="1"/>
  <c r="R1288" i="4"/>
  <c r="O1200" i="4"/>
  <c r="O540" i="4"/>
  <c r="S540" i="4" s="1"/>
  <c r="J1023" i="4"/>
  <c r="V1023" i="4"/>
  <c r="M410" i="4"/>
  <c r="Q410" i="4" s="1"/>
  <c r="O452" i="4"/>
  <c r="S452" i="4" s="1"/>
  <c r="M367" i="4"/>
  <c r="Q367" i="4" s="1"/>
  <c r="S1026" i="4"/>
  <c r="J362" i="4"/>
  <c r="V362" i="4"/>
  <c r="W362" i="4" s="1"/>
  <c r="P1068" i="4"/>
  <c r="T1068" i="4" s="1"/>
  <c r="U1068" i="4" s="1"/>
  <c r="AA1068" i="4" s="1"/>
  <c r="S363" i="4"/>
  <c r="L627" i="4"/>
  <c r="J803" i="4"/>
  <c r="V803" i="4"/>
  <c r="P936" i="4"/>
  <c r="L936" i="4" s="1"/>
  <c r="P804" i="4"/>
  <c r="L804" i="4" s="1"/>
  <c r="X155" i="4"/>
  <c r="J1243" i="4"/>
  <c r="V1243" i="4"/>
  <c r="W1243" i="4" s="1"/>
  <c r="N541" i="4"/>
  <c r="R541" i="4" s="1"/>
  <c r="N498" i="4"/>
  <c r="R498" i="4" s="1"/>
  <c r="W61" i="4"/>
  <c r="J583" i="4"/>
  <c r="V583" i="4"/>
  <c r="W583" i="4" s="1"/>
  <c r="L1331" i="4"/>
  <c r="T891" i="4"/>
  <c r="L891" i="4"/>
  <c r="Q806" i="4"/>
  <c r="S979" i="4"/>
  <c r="Q158" i="4"/>
  <c r="U158" i="4" s="1"/>
  <c r="AF52" i="3"/>
  <c r="U319" i="4"/>
  <c r="AA319" i="4" s="1"/>
  <c r="U935" i="4"/>
  <c r="AA935" i="4" s="1"/>
  <c r="L848" i="4"/>
  <c r="O1245" i="4" l="1"/>
  <c r="S1245" i="4" s="1"/>
  <c r="P1200" i="4"/>
  <c r="Z155" i="4"/>
  <c r="V451" i="4"/>
  <c r="W407" i="4"/>
  <c r="W1111" i="4"/>
  <c r="W495" i="4"/>
  <c r="W671" i="4"/>
  <c r="T1113" i="4"/>
  <c r="U1113" i="4" s="1"/>
  <c r="AA1113" i="4" s="1"/>
  <c r="P1113" i="4"/>
  <c r="L1113" i="4" s="1"/>
  <c r="W803" i="4"/>
  <c r="L979" i="4"/>
  <c r="J979" i="4" s="1"/>
  <c r="T804" i="4"/>
  <c r="P805" i="4" s="1"/>
  <c r="L805" i="4" s="1"/>
  <c r="X61" i="4"/>
  <c r="P61" i="4"/>
  <c r="W539" i="4"/>
  <c r="J715" i="4"/>
  <c r="V715" i="4"/>
  <c r="AI47" i="3"/>
  <c r="AD48" i="3"/>
  <c r="Z48" i="3" s="1"/>
  <c r="AH48" i="3"/>
  <c r="T936" i="4"/>
  <c r="U936" i="4" s="1"/>
  <c r="AA936" i="4" s="1"/>
  <c r="P628" i="4"/>
  <c r="T628" i="4" s="1"/>
  <c r="U628" i="4" s="1"/>
  <c r="AA628" i="4" s="1"/>
  <c r="W1112" i="4"/>
  <c r="V760" i="4"/>
  <c r="J760" i="4"/>
  <c r="T760" i="4"/>
  <c r="P716" i="4"/>
  <c r="L716" i="4" s="1"/>
  <c r="T716" i="4"/>
  <c r="U716" i="4" s="1"/>
  <c r="AA716" i="4" s="1"/>
  <c r="U715" i="4"/>
  <c r="AA715" i="4" s="1"/>
  <c r="T408" i="4"/>
  <c r="L408" i="4"/>
  <c r="M1334" i="4"/>
  <c r="M279" i="4"/>
  <c r="Q279" i="4" s="1"/>
  <c r="O806" i="4"/>
  <c r="S806" i="4" s="1"/>
  <c r="M587" i="4"/>
  <c r="M457" i="4"/>
  <c r="Q457" i="4" s="1"/>
  <c r="M368" i="4"/>
  <c r="J1113" i="4"/>
  <c r="V1113" i="4"/>
  <c r="J936" i="4"/>
  <c r="V936" i="4"/>
  <c r="M895" i="4"/>
  <c r="S1070" i="4"/>
  <c r="N61" i="4"/>
  <c r="Z61" i="4"/>
  <c r="N674" i="4"/>
  <c r="Y61" i="4"/>
  <c r="AG111" i="4"/>
  <c r="M204" i="4"/>
  <c r="O937" i="4"/>
  <c r="M1246" i="4"/>
  <c r="O1070" i="4"/>
  <c r="Q674" i="4"/>
  <c r="J1199" i="4"/>
  <c r="V1199" i="4"/>
  <c r="M1115" i="4"/>
  <c r="Q1115" i="4" s="1"/>
  <c r="M543" i="4"/>
  <c r="L363" i="4"/>
  <c r="S1288" i="4"/>
  <c r="U451" i="4"/>
  <c r="AA451" i="4" s="1"/>
  <c r="J847" i="4"/>
  <c r="V847" i="4"/>
  <c r="W847" i="4" s="1"/>
  <c r="P672" i="4"/>
  <c r="T672" i="4" s="1"/>
  <c r="J276" i="4"/>
  <c r="V276" i="4"/>
  <c r="P1245" i="4"/>
  <c r="L1245" i="4" s="1"/>
  <c r="T1200" i="4"/>
  <c r="U1199" i="4"/>
  <c r="AA1199" i="4" s="1"/>
  <c r="N938" i="4"/>
  <c r="O453" i="4"/>
  <c r="N981" i="4"/>
  <c r="R981" i="4" s="1"/>
  <c r="N278" i="4"/>
  <c r="R278" i="4" s="1"/>
  <c r="N894" i="4"/>
  <c r="R894" i="4" s="1"/>
  <c r="M851" i="4"/>
  <c r="J891" i="4"/>
  <c r="V891" i="4"/>
  <c r="J627" i="4"/>
  <c r="V627" i="4"/>
  <c r="W627" i="4" s="1"/>
  <c r="N321" i="4"/>
  <c r="M1071" i="4"/>
  <c r="R63" i="4"/>
  <c r="V63" i="4" s="1"/>
  <c r="S672" i="4"/>
  <c r="O629" i="4"/>
  <c r="P496" i="4"/>
  <c r="T496" i="4" s="1"/>
  <c r="L496" i="4"/>
  <c r="N499" i="4"/>
  <c r="R499" i="4" s="1"/>
  <c r="Q938" i="4"/>
  <c r="AB53" i="3"/>
  <c r="AF53" i="3" s="1"/>
  <c r="S112" i="4"/>
  <c r="W112" i="4" s="1"/>
  <c r="U1023" i="4"/>
  <c r="AA1023" i="4" s="1"/>
  <c r="P1024" i="4"/>
  <c r="L1024" i="4" s="1"/>
  <c r="Q321" i="4"/>
  <c r="U1244" i="4"/>
  <c r="AA1244" i="4" s="1"/>
  <c r="R629" i="4"/>
  <c r="J1156" i="4"/>
  <c r="V1156" i="4"/>
  <c r="R453" i="4"/>
  <c r="Q159" i="4"/>
  <c r="M411" i="4"/>
  <c r="Q411" i="4" s="1"/>
  <c r="J1287" i="4"/>
  <c r="V1287" i="4"/>
  <c r="W1287" i="4" s="1"/>
  <c r="M1202" i="4"/>
  <c r="W1244" i="4"/>
  <c r="Q981" i="4"/>
  <c r="V979" i="4"/>
  <c r="J1331" i="4"/>
  <c r="V1331" i="4"/>
  <c r="W1331" i="4" s="1"/>
  <c r="W451" i="4"/>
  <c r="Y155" i="4"/>
  <c r="T156" i="4"/>
  <c r="P156" i="4" s="1"/>
  <c r="L1068" i="4"/>
  <c r="P452" i="4"/>
  <c r="T452" i="4" s="1"/>
  <c r="O1157" i="4"/>
  <c r="P1157" i="4" s="1"/>
  <c r="T1157" i="4" s="1"/>
  <c r="L201" i="4"/>
  <c r="AG60" i="4"/>
  <c r="U63" i="4"/>
  <c r="U1156" i="4"/>
  <c r="AA1156" i="4" s="1"/>
  <c r="S496" i="4"/>
  <c r="Q499" i="4"/>
  <c r="W319" i="4"/>
  <c r="M1290" i="4"/>
  <c r="N1158" i="4"/>
  <c r="R1158" i="4" s="1"/>
  <c r="R806" i="4"/>
  <c r="O717" i="4"/>
  <c r="S717" i="4" s="1"/>
  <c r="N367" i="4"/>
  <c r="R367" i="4" s="1"/>
  <c r="N1333" i="4"/>
  <c r="R1333" i="4" s="1"/>
  <c r="M807" i="4"/>
  <c r="Q807" i="4" s="1"/>
  <c r="P540" i="4"/>
  <c r="L540" i="4" s="1"/>
  <c r="S453" i="4"/>
  <c r="S1200" i="4"/>
  <c r="L1200" i="4"/>
  <c r="L1157" i="4"/>
  <c r="Q113" i="4"/>
  <c r="N763" i="4"/>
  <c r="R763" i="4" s="1"/>
  <c r="N1201" i="4"/>
  <c r="R1201" i="4" s="1"/>
  <c r="S62" i="4"/>
  <c r="W62" i="4" s="1"/>
  <c r="M630" i="4"/>
  <c r="Q630" i="4" s="1"/>
  <c r="U276" i="4"/>
  <c r="AA276" i="4" s="1"/>
  <c r="J584" i="4"/>
  <c r="V584" i="4"/>
  <c r="W584" i="4" s="1"/>
  <c r="O585" i="4"/>
  <c r="S585" i="4" s="1"/>
  <c r="N1027" i="4"/>
  <c r="R1027" i="4" s="1"/>
  <c r="U848" i="4"/>
  <c r="AA848" i="4" s="1"/>
  <c r="N1114" i="4"/>
  <c r="R1114" i="4" s="1"/>
  <c r="O1114" i="4"/>
  <c r="S1114" i="4" s="1"/>
  <c r="U804" i="4"/>
  <c r="AA804" i="4" s="1"/>
  <c r="P1288" i="4"/>
  <c r="T1288" i="4" s="1"/>
  <c r="O541" i="4"/>
  <c r="S541" i="4" s="1"/>
  <c r="Q1158" i="4"/>
  <c r="U979" i="4"/>
  <c r="AA979" i="4" s="1"/>
  <c r="O980" i="4"/>
  <c r="W935" i="4"/>
  <c r="P1069" i="4"/>
  <c r="L1069" i="4" s="1"/>
  <c r="O320" i="4"/>
  <c r="O849" i="4"/>
  <c r="P849" i="4" s="1"/>
  <c r="T849" i="4" s="1"/>
  <c r="J848" i="4"/>
  <c r="V848" i="4"/>
  <c r="U891" i="4"/>
  <c r="AA891" i="4" s="1"/>
  <c r="U363" i="4"/>
  <c r="AA363" i="4" s="1"/>
  <c r="O364" i="4"/>
  <c r="S364" i="4" s="1"/>
  <c r="M718" i="4"/>
  <c r="Q718" i="4" s="1"/>
  <c r="P892" i="4"/>
  <c r="L892" i="4" s="1"/>
  <c r="S892" i="4"/>
  <c r="O893" i="4" s="1"/>
  <c r="AE53" i="3"/>
  <c r="R158" i="4"/>
  <c r="S158" i="4" s="1"/>
  <c r="J804" i="4"/>
  <c r="V804" i="4"/>
  <c r="N410" i="4"/>
  <c r="R410" i="4" s="1"/>
  <c r="R1289" i="4"/>
  <c r="V158" i="4"/>
  <c r="R585" i="4"/>
  <c r="N586" i="4" s="1"/>
  <c r="Q763" i="4"/>
  <c r="N1289" i="4"/>
  <c r="Q1027" i="4"/>
  <c r="R849" i="4"/>
  <c r="O277" i="4"/>
  <c r="O762" i="4"/>
  <c r="N542" i="4"/>
  <c r="P1332" i="4"/>
  <c r="L452" i="4" l="1"/>
  <c r="W1113" i="4"/>
  <c r="T1245" i="4"/>
  <c r="U1245" i="4" s="1"/>
  <c r="AA1245" i="4" s="1"/>
  <c r="L672" i="4"/>
  <c r="V672" i="4" s="1"/>
  <c r="X156" i="4"/>
  <c r="AI48" i="3"/>
  <c r="AD49" i="3"/>
  <c r="Z49" i="3" s="1"/>
  <c r="AH49" i="3"/>
  <c r="W804" i="4"/>
  <c r="T112" i="4"/>
  <c r="W891" i="4"/>
  <c r="L1288" i="4"/>
  <c r="J1288" i="4" s="1"/>
  <c r="J716" i="4"/>
  <c r="V716" i="4"/>
  <c r="W716" i="4" s="1"/>
  <c r="W715" i="4"/>
  <c r="J408" i="4"/>
  <c r="V408" i="4"/>
  <c r="W408" i="4" s="1"/>
  <c r="T892" i="4"/>
  <c r="U892" i="4" s="1"/>
  <c r="AA892" i="4" s="1"/>
  <c r="W979" i="4"/>
  <c r="L628" i="4"/>
  <c r="V628" i="4" s="1"/>
  <c r="W628" i="4" s="1"/>
  <c r="T540" i="4"/>
  <c r="U1288" i="4"/>
  <c r="AA1288" i="4" s="1"/>
  <c r="P761" i="4"/>
  <c r="L761" i="4" s="1"/>
  <c r="U760" i="4"/>
  <c r="AA760" i="4" s="1"/>
  <c r="U408" i="4"/>
  <c r="AA408" i="4" s="1"/>
  <c r="P409" i="4"/>
  <c r="W1156" i="4"/>
  <c r="W760" i="4"/>
  <c r="P937" i="4"/>
  <c r="T937" i="4" s="1"/>
  <c r="J1069" i="4"/>
  <c r="V1069" i="4"/>
  <c r="O365" i="4"/>
  <c r="M719" i="4"/>
  <c r="M1116" i="4"/>
  <c r="J892" i="4"/>
  <c r="V892" i="4"/>
  <c r="O321" i="4"/>
  <c r="M631" i="4"/>
  <c r="S63" i="4"/>
  <c r="U452" i="4"/>
  <c r="AA452" i="4" s="1"/>
  <c r="P453" i="4"/>
  <c r="L453" i="4" s="1"/>
  <c r="O586" i="4"/>
  <c r="S586" i="4" s="1"/>
  <c r="J540" i="4"/>
  <c r="V540" i="4"/>
  <c r="M280" i="4"/>
  <c r="M808" i="4"/>
  <c r="Q808" i="4" s="1"/>
  <c r="M322" i="4"/>
  <c r="P1114" i="4"/>
  <c r="T1114" i="4" s="1"/>
  <c r="N1290" i="4"/>
  <c r="P277" i="4"/>
  <c r="T277" i="4" s="1"/>
  <c r="L849" i="4"/>
  <c r="W158" i="4"/>
  <c r="N411" i="4"/>
  <c r="R411" i="4" s="1"/>
  <c r="J1024" i="4"/>
  <c r="V1024" i="4"/>
  <c r="U672" i="4"/>
  <c r="AA672" i="4" s="1"/>
  <c r="O673" i="4"/>
  <c r="J363" i="4"/>
  <c r="V363" i="4"/>
  <c r="W363" i="4" s="1"/>
  <c r="N718" i="4"/>
  <c r="R718" i="4" s="1"/>
  <c r="O718" i="4"/>
  <c r="N807" i="4"/>
  <c r="R807" i="4" s="1"/>
  <c r="O1201" i="4"/>
  <c r="S277" i="4"/>
  <c r="T1024" i="4"/>
  <c r="R674" i="4"/>
  <c r="W1199" i="4"/>
  <c r="R321" i="4"/>
  <c r="N895" i="4"/>
  <c r="N368" i="4"/>
  <c r="R368" i="4" s="1"/>
  <c r="N1334" i="4"/>
  <c r="R542" i="4"/>
  <c r="Q368" i="4"/>
  <c r="Q1334" i="4"/>
  <c r="R586" i="4"/>
  <c r="N587" i="4" s="1"/>
  <c r="M1159" i="4"/>
  <c r="M458" i="4"/>
  <c r="Q458" i="4" s="1"/>
  <c r="Y156" i="4"/>
  <c r="S320" i="4"/>
  <c r="P320" i="4"/>
  <c r="T320" i="4" s="1"/>
  <c r="M412" i="4"/>
  <c r="Q412" i="4" s="1"/>
  <c r="N850" i="4"/>
  <c r="R850" i="4" s="1"/>
  <c r="M1028" i="4"/>
  <c r="O1333" i="4"/>
  <c r="P717" i="4"/>
  <c r="T717" i="4" s="1"/>
  <c r="M675" i="4"/>
  <c r="L202" i="4"/>
  <c r="AG61" i="4"/>
  <c r="Q895" i="4"/>
  <c r="S718" i="4"/>
  <c r="U1200" i="4"/>
  <c r="AA1200" i="4" s="1"/>
  <c r="T1069" i="4"/>
  <c r="M500" i="4"/>
  <c r="M982" i="4"/>
  <c r="Q982" i="4" s="1"/>
  <c r="R159" i="4"/>
  <c r="S159" i="4"/>
  <c r="J496" i="4"/>
  <c r="V496" i="4"/>
  <c r="T1332" i="4"/>
  <c r="L1332" i="4"/>
  <c r="J1245" i="4"/>
  <c r="V1245" i="4"/>
  <c r="W1245" i="4" s="1"/>
  <c r="N1071" i="4"/>
  <c r="R1071" i="4" s="1"/>
  <c r="M939" i="4"/>
  <c r="S849" i="4"/>
  <c r="U849" i="4" s="1"/>
  <c r="AA849" i="4" s="1"/>
  <c r="N1115" i="4"/>
  <c r="R1115" i="4" s="1"/>
  <c r="Q1290" i="4"/>
  <c r="W1023" i="4"/>
  <c r="Q587" i="4"/>
  <c r="N630" i="4"/>
  <c r="O410" i="4"/>
  <c r="S410" i="4" s="1"/>
  <c r="O497" i="4"/>
  <c r="S497" i="4" s="1"/>
  <c r="U496" i="4"/>
  <c r="AA496" i="4" s="1"/>
  <c r="S762" i="4"/>
  <c r="P980" i="4"/>
  <c r="T980" i="4" s="1"/>
  <c r="L980" i="4"/>
  <c r="T62" i="4"/>
  <c r="X62" i="4" s="1"/>
  <c r="Y62" i="4" s="1"/>
  <c r="P62" i="4"/>
  <c r="N1202" i="4"/>
  <c r="U159" i="4"/>
  <c r="O542" i="4"/>
  <c r="W848" i="4"/>
  <c r="T805" i="4"/>
  <c r="R113" i="4"/>
  <c r="V113" i="4" s="1"/>
  <c r="S1157" i="4"/>
  <c r="J1068" i="4"/>
  <c r="V1068" i="4"/>
  <c r="W1068" i="4" s="1"/>
  <c r="Q1202" i="4"/>
  <c r="P585" i="4"/>
  <c r="AC53" i="3"/>
  <c r="Q851" i="4"/>
  <c r="R938" i="4"/>
  <c r="Q543" i="4"/>
  <c r="N1246" i="4"/>
  <c r="R1246" i="4" s="1"/>
  <c r="N200" i="4"/>
  <c r="AG155" i="4"/>
  <c r="N279" i="4"/>
  <c r="R279" i="4" s="1"/>
  <c r="J1157" i="4"/>
  <c r="V1157" i="4"/>
  <c r="P364" i="4"/>
  <c r="T364" i="4" s="1"/>
  <c r="U364" i="4" s="1"/>
  <c r="AA364" i="4" s="1"/>
  <c r="L364" i="4"/>
  <c r="J1200" i="4"/>
  <c r="V1200" i="4"/>
  <c r="J672" i="4"/>
  <c r="AA54" i="3"/>
  <c r="O1289" i="4"/>
  <c r="P1289" i="4" s="1"/>
  <c r="J452" i="4"/>
  <c r="V452" i="4"/>
  <c r="R895" i="4"/>
  <c r="S893" i="4"/>
  <c r="O1027" i="4"/>
  <c r="M764" i="4"/>
  <c r="Q764" i="4" s="1"/>
  <c r="J805" i="4"/>
  <c r="V805" i="4"/>
  <c r="S980" i="4"/>
  <c r="S629" i="4"/>
  <c r="U113" i="4"/>
  <c r="Q64" i="4"/>
  <c r="U64" i="4" s="1"/>
  <c r="N156" i="4"/>
  <c r="Z156" i="4"/>
  <c r="N454" i="4"/>
  <c r="R454" i="4" s="1"/>
  <c r="P629" i="4"/>
  <c r="T629" i="4" s="1"/>
  <c r="S937" i="4"/>
  <c r="O938" i="4" s="1"/>
  <c r="Q1071" i="4"/>
  <c r="W276" i="4"/>
  <c r="Q1246" i="4"/>
  <c r="W936" i="4"/>
  <c r="W452" i="4" l="1"/>
  <c r="P893" i="4"/>
  <c r="T893" i="4" s="1"/>
  <c r="O630" i="4"/>
  <c r="S630" i="4" s="1"/>
  <c r="R630" i="4"/>
  <c r="O1115" i="4"/>
  <c r="S1115" i="4" s="1"/>
  <c r="T157" i="4"/>
  <c r="P157" i="4" s="1"/>
  <c r="N157" i="4" s="1"/>
  <c r="O587" i="4"/>
  <c r="S587" i="4" s="1"/>
  <c r="W892" i="4"/>
  <c r="J628" i="4"/>
  <c r="AI49" i="3"/>
  <c r="AD50" i="3"/>
  <c r="Z50" i="3" s="1"/>
  <c r="AH50" i="3"/>
  <c r="O411" i="4"/>
  <c r="S411" i="4" s="1"/>
  <c r="V1288" i="4"/>
  <c r="W1288" i="4" s="1"/>
  <c r="T409" i="4"/>
  <c r="U409" i="4" s="1"/>
  <c r="AA409" i="4" s="1"/>
  <c r="L409" i="4"/>
  <c r="J761" i="4"/>
  <c r="V761" i="4"/>
  <c r="U540" i="4"/>
  <c r="AA540" i="4" s="1"/>
  <c r="P541" i="4"/>
  <c r="X112" i="4"/>
  <c r="Y112" i="4" s="1"/>
  <c r="P112" i="4"/>
  <c r="L937" i="4"/>
  <c r="V937" i="4" s="1"/>
  <c r="W937" i="4" s="1"/>
  <c r="U629" i="4"/>
  <c r="AA629" i="4" s="1"/>
  <c r="W540" i="4"/>
  <c r="S542" i="4"/>
  <c r="W672" i="4"/>
  <c r="L277" i="4"/>
  <c r="J277" i="4" s="1"/>
  <c r="T761" i="4"/>
  <c r="L1289" i="4"/>
  <c r="T1289" i="4"/>
  <c r="N455" i="4"/>
  <c r="P586" i="4"/>
  <c r="L586" i="4" s="1"/>
  <c r="M413" i="4"/>
  <c r="Q413" i="4" s="1"/>
  <c r="M459" i="4"/>
  <c r="M983" i="4"/>
  <c r="Q983" i="4" s="1"/>
  <c r="P938" i="4"/>
  <c r="T938" i="4" s="1"/>
  <c r="O498" i="4"/>
  <c r="S498" i="4" s="1"/>
  <c r="Q65" i="4"/>
  <c r="U1069" i="4"/>
  <c r="AA1069" i="4" s="1"/>
  <c r="M809" i="4"/>
  <c r="S1201" i="4"/>
  <c r="U717" i="4"/>
  <c r="AA717" i="4" s="1"/>
  <c r="L893" i="4"/>
  <c r="N631" i="4"/>
  <c r="R631" i="4" s="1"/>
  <c r="P365" i="4"/>
  <c r="L365" i="4" s="1"/>
  <c r="S938" i="4"/>
  <c r="U938" i="4" s="1"/>
  <c r="AA938" i="4" s="1"/>
  <c r="U937" i="4"/>
  <c r="AA937" i="4" s="1"/>
  <c r="V159" i="4"/>
  <c r="M896" i="4"/>
  <c r="W63" i="4"/>
  <c r="S64" i="4" s="1"/>
  <c r="O807" i="4"/>
  <c r="S807" i="4" s="1"/>
  <c r="N1159" i="4"/>
  <c r="R1159" i="4" s="1"/>
  <c r="J980" i="4"/>
  <c r="V980" i="4"/>
  <c r="M1291" i="4"/>
  <c r="Q1291" i="4" s="1"/>
  <c r="N939" i="4"/>
  <c r="S1289" i="4"/>
  <c r="N675" i="4"/>
  <c r="R675" i="4" s="1"/>
  <c r="S1333" i="4"/>
  <c r="O1334" i="4" s="1"/>
  <c r="P1333" i="4"/>
  <c r="L1333" i="4" s="1"/>
  <c r="U1024" i="4"/>
  <c r="AA1024" i="4" s="1"/>
  <c r="P1025" i="4"/>
  <c r="L1025" i="4" s="1"/>
  <c r="N322" i="4"/>
  <c r="N280" i="4"/>
  <c r="R280" i="4" s="1"/>
  <c r="Q631" i="4"/>
  <c r="T585" i="4"/>
  <c r="L585" i="4"/>
  <c r="L203" i="4"/>
  <c r="AG62" i="4"/>
  <c r="O454" i="4"/>
  <c r="S454" i="4" s="1"/>
  <c r="M1203" i="4"/>
  <c r="N851" i="4"/>
  <c r="R851" i="4" s="1"/>
  <c r="M1247" i="4"/>
  <c r="J364" i="4"/>
  <c r="V364" i="4"/>
  <c r="W364" i="4" s="1"/>
  <c r="R939" i="4"/>
  <c r="U1157" i="4"/>
  <c r="AA1157" i="4" s="1"/>
  <c r="O1158" i="4"/>
  <c r="S1158" i="4" s="1"/>
  <c r="Q160" i="4"/>
  <c r="J1332" i="4"/>
  <c r="V1332" i="4"/>
  <c r="Q675" i="4"/>
  <c r="N1028" i="4"/>
  <c r="R1028" i="4" s="1"/>
  <c r="Q1159" i="4"/>
  <c r="R1334" i="4"/>
  <c r="P321" i="4"/>
  <c r="L321" i="4" s="1"/>
  <c r="W159" i="4"/>
  <c r="S365" i="4"/>
  <c r="M765" i="4"/>
  <c r="N719" i="4"/>
  <c r="O719" i="4" s="1"/>
  <c r="S719" i="4" s="1"/>
  <c r="O1071" i="4"/>
  <c r="S1071" i="4" s="1"/>
  <c r="P806" i="4"/>
  <c r="L806" i="4" s="1"/>
  <c r="U805" i="4"/>
  <c r="AA805" i="4" s="1"/>
  <c r="Q719" i="4"/>
  <c r="P1201" i="4"/>
  <c r="T1201" i="4" s="1"/>
  <c r="N62" i="4"/>
  <c r="Z62" i="4"/>
  <c r="N412" i="4"/>
  <c r="R412" i="4" s="1"/>
  <c r="T63" i="4"/>
  <c r="X63" i="4" s="1"/>
  <c r="L629" i="4"/>
  <c r="M544" i="4"/>
  <c r="M852" i="4"/>
  <c r="Q852" i="4" s="1"/>
  <c r="Q939" i="4"/>
  <c r="U1332" i="4"/>
  <c r="AA1332" i="4" s="1"/>
  <c r="N500" i="4"/>
  <c r="R500" i="4" s="1"/>
  <c r="S321" i="4"/>
  <c r="U320" i="4"/>
  <c r="AA320" i="4" s="1"/>
  <c r="P718" i="4"/>
  <c r="T718" i="4" s="1"/>
  <c r="P673" i="4"/>
  <c r="T673" i="4" s="1"/>
  <c r="L673" i="4"/>
  <c r="Q322" i="4"/>
  <c r="Q280" i="4"/>
  <c r="J453" i="4"/>
  <c r="V453" i="4"/>
  <c r="N1116" i="4"/>
  <c r="M369" i="4"/>
  <c r="Q369" i="4" s="1"/>
  <c r="Q114" i="4"/>
  <c r="U114" i="4" s="1"/>
  <c r="O1246" i="4"/>
  <c r="S1246" i="4" s="1"/>
  <c r="U1114" i="4"/>
  <c r="AA1114" i="4" s="1"/>
  <c r="W1200" i="4"/>
  <c r="M588" i="4"/>
  <c r="Q588" i="4" s="1"/>
  <c r="N982" i="4"/>
  <c r="R982" i="4" s="1"/>
  <c r="L1114" i="4"/>
  <c r="U980" i="4"/>
  <c r="AA980" i="4" s="1"/>
  <c r="O981" i="4"/>
  <c r="U893" i="4"/>
  <c r="AA893" i="4" s="1"/>
  <c r="O894" i="4"/>
  <c r="S894" i="4" s="1"/>
  <c r="R1202" i="4"/>
  <c r="R587" i="4"/>
  <c r="P1070" i="4"/>
  <c r="L1070" i="4" s="1"/>
  <c r="Q1116" i="4"/>
  <c r="P497" i="4"/>
  <c r="T497" i="4" s="1"/>
  <c r="U497" i="4" s="1"/>
  <c r="AA497" i="4" s="1"/>
  <c r="L497" i="4"/>
  <c r="S1027" i="4"/>
  <c r="AB54" i="3"/>
  <c r="AF54" i="3" s="1"/>
  <c r="R64" i="4"/>
  <c r="V64" i="4" s="1"/>
  <c r="W1157" i="4"/>
  <c r="S113" i="4"/>
  <c r="W113" i="4" s="1"/>
  <c r="W496" i="4"/>
  <c r="N543" i="4"/>
  <c r="R543" i="4" s="1"/>
  <c r="Q1028" i="4"/>
  <c r="U277" i="4"/>
  <c r="AA277" i="4" s="1"/>
  <c r="O278" i="4"/>
  <c r="M1072" i="4"/>
  <c r="N764" i="4"/>
  <c r="R764" i="4" s="1"/>
  <c r="AE54" i="3"/>
  <c r="AG53" i="3"/>
  <c r="O763" i="4"/>
  <c r="S763" i="4" s="1"/>
  <c r="L320" i="4"/>
  <c r="Q500" i="4"/>
  <c r="O850" i="4"/>
  <c r="S850" i="4" s="1"/>
  <c r="P850" i="4"/>
  <c r="T850" i="4" s="1"/>
  <c r="N201" i="4"/>
  <c r="AG156" i="4"/>
  <c r="M1335" i="4"/>
  <c r="L717" i="4"/>
  <c r="R1290" i="4"/>
  <c r="S673" i="4"/>
  <c r="J849" i="4"/>
  <c r="V849" i="4"/>
  <c r="W849" i="4" s="1"/>
  <c r="N808" i="4"/>
  <c r="T453" i="4"/>
  <c r="V277" i="4" l="1"/>
  <c r="R719" i="4"/>
  <c r="P1115" i="4"/>
  <c r="T64" i="4"/>
  <c r="X64" i="4" s="1"/>
  <c r="P630" i="4"/>
  <c r="T630" i="4" s="1"/>
  <c r="L718" i="4"/>
  <c r="Z157" i="4"/>
  <c r="X157" i="4"/>
  <c r="P410" i="4"/>
  <c r="T410" i="4" s="1"/>
  <c r="U410" i="4" s="1"/>
  <c r="AA410" i="4" s="1"/>
  <c r="T1025" i="4"/>
  <c r="P1026" i="4" s="1"/>
  <c r="L1026" i="4" s="1"/>
  <c r="AD51" i="3"/>
  <c r="Z51" i="3" s="1"/>
  <c r="AI50" i="3"/>
  <c r="O939" i="4"/>
  <c r="S939" i="4" s="1"/>
  <c r="T365" i="4"/>
  <c r="U365" i="4" s="1"/>
  <c r="AA365" i="4" s="1"/>
  <c r="W1024" i="4"/>
  <c r="O631" i="4"/>
  <c r="S631" i="4" s="1"/>
  <c r="AG112" i="4"/>
  <c r="M205" i="4"/>
  <c r="J937" i="4"/>
  <c r="L541" i="4"/>
  <c r="T541" i="4"/>
  <c r="J409" i="4"/>
  <c r="V409" i="4"/>
  <c r="W409" i="4" s="1"/>
  <c r="N112" i="4"/>
  <c r="Z112" i="4"/>
  <c r="U761" i="4"/>
  <c r="AA761" i="4" s="1"/>
  <c r="P762" i="4"/>
  <c r="T321" i="4"/>
  <c r="O322" i="4"/>
  <c r="P939" i="4"/>
  <c r="L939" i="4"/>
  <c r="M984" i="4"/>
  <c r="M1292" i="4"/>
  <c r="Q1292" i="4" s="1"/>
  <c r="U850" i="4"/>
  <c r="AA850" i="4" s="1"/>
  <c r="M414" i="4"/>
  <c r="M370" i="4"/>
  <c r="Q370" i="4" s="1"/>
  <c r="U718" i="4"/>
  <c r="AA718" i="4" s="1"/>
  <c r="O499" i="4"/>
  <c r="S499" i="4" s="1"/>
  <c r="M589" i="4"/>
  <c r="J365" i="4"/>
  <c r="V365" i="4"/>
  <c r="O764" i="4"/>
  <c r="U630" i="4"/>
  <c r="AA630" i="4" s="1"/>
  <c r="J321" i="4"/>
  <c r="V321" i="4"/>
  <c r="O895" i="4"/>
  <c r="J586" i="4"/>
  <c r="V586" i="4"/>
  <c r="J629" i="4"/>
  <c r="V629" i="4"/>
  <c r="W629" i="4" s="1"/>
  <c r="U1025" i="4"/>
  <c r="AA1025" i="4" s="1"/>
  <c r="N413" i="4"/>
  <c r="R413" i="4" s="1"/>
  <c r="N1203" i="4"/>
  <c r="R1203" i="4" s="1"/>
  <c r="U673" i="4"/>
  <c r="AA673" i="4" s="1"/>
  <c r="O674" i="4"/>
  <c r="P981" i="4"/>
  <c r="T981" i="4" s="1"/>
  <c r="L981" i="4"/>
  <c r="M1029" i="4"/>
  <c r="Q1029" i="4" s="1"/>
  <c r="M323" i="4"/>
  <c r="Q1203" i="4"/>
  <c r="M501" i="4"/>
  <c r="Q501" i="4" s="1"/>
  <c r="N544" i="4"/>
  <c r="R544" i="4" s="1"/>
  <c r="T806" i="4"/>
  <c r="P719" i="4"/>
  <c r="L719" i="4" s="1"/>
  <c r="O366" i="4"/>
  <c r="S366" i="4" s="1"/>
  <c r="O1028" i="4"/>
  <c r="S1028" i="4" s="1"/>
  <c r="N1247" i="4"/>
  <c r="R1247" i="4" s="1"/>
  <c r="P322" i="4"/>
  <c r="T322" i="4" s="1"/>
  <c r="W64" i="4"/>
  <c r="Y63" i="4"/>
  <c r="L938" i="4"/>
  <c r="R1116" i="4"/>
  <c r="O455" i="4"/>
  <c r="P278" i="4"/>
  <c r="T278" i="4" s="1"/>
  <c r="L278" i="4"/>
  <c r="N765" i="4"/>
  <c r="R765" i="4" s="1"/>
  <c r="Q765" i="4"/>
  <c r="Q809" i="4"/>
  <c r="L850" i="4"/>
  <c r="W805" i="4"/>
  <c r="AC54" i="3"/>
  <c r="AG54" i="3" s="1"/>
  <c r="S981" i="4"/>
  <c r="J717" i="4"/>
  <c r="V717" i="4"/>
  <c r="W717" i="4" s="1"/>
  <c r="J1114" i="4"/>
  <c r="V1114" i="4"/>
  <c r="W1114" i="4" s="1"/>
  <c r="R160" i="4"/>
  <c r="V160" i="4" s="1"/>
  <c r="J585" i="4"/>
  <c r="V585" i="4"/>
  <c r="N896" i="4"/>
  <c r="R896" i="4" s="1"/>
  <c r="J893" i="4"/>
  <c r="V893" i="4"/>
  <c r="W893" i="4" s="1"/>
  <c r="T1070" i="4"/>
  <c r="P1071" i="4" s="1"/>
  <c r="L1071" i="4" s="1"/>
  <c r="P63" i="4"/>
  <c r="J1070" i="4"/>
  <c r="V1070" i="4"/>
  <c r="AA55" i="3"/>
  <c r="S278" i="4"/>
  <c r="N588" i="4"/>
  <c r="R588" i="4" s="1"/>
  <c r="N1291" i="4"/>
  <c r="R1291" i="4" s="1"/>
  <c r="J718" i="4"/>
  <c r="V718" i="4"/>
  <c r="W718" i="4" s="1"/>
  <c r="O412" i="4"/>
  <c r="S412" i="4" s="1"/>
  <c r="T939" i="4"/>
  <c r="J497" i="4"/>
  <c r="V497" i="4"/>
  <c r="W497" i="4" s="1"/>
  <c r="N1335" i="4"/>
  <c r="O1335" i="4" s="1"/>
  <c r="Q544" i="4"/>
  <c r="W277" i="4"/>
  <c r="U160" i="4"/>
  <c r="Q1247" i="4"/>
  <c r="S455" i="4"/>
  <c r="T586" i="4"/>
  <c r="U585" i="4"/>
  <c r="AA585" i="4" s="1"/>
  <c r="W980" i="4"/>
  <c r="R65" i="4"/>
  <c r="V65" i="4" s="1"/>
  <c r="Q459" i="4"/>
  <c r="R455" i="4"/>
  <c r="M853" i="4"/>
  <c r="O1159" i="4"/>
  <c r="N983" i="4"/>
  <c r="R983" i="4" s="1"/>
  <c r="N369" i="4"/>
  <c r="R369" i="4" s="1"/>
  <c r="S1334" i="4"/>
  <c r="J806" i="4"/>
  <c r="V806" i="4"/>
  <c r="U453" i="4"/>
  <c r="AA453" i="4" s="1"/>
  <c r="O543" i="4"/>
  <c r="S543" i="4" s="1"/>
  <c r="O1116" i="4"/>
  <c r="S1116" i="4" s="1"/>
  <c r="R322" i="4"/>
  <c r="M676" i="4"/>
  <c r="Q676" i="4" s="1"/>
  <c r="P454" i="4"/>
  <c r="L454" i="4" s="1"/>
  <c r="M632" i="4"/>
  <c r="Q632" i="4" s="1"/>
  <c r="O1290" i="4"/>
  <c r="S1290" i="4" s="1"/>
  <c r="U1289" i="4"/>
  <c r="AA1289" i="4" s="1"/>
  <c r="Q896" i="4"/>
  <c r="U65" i="4"/>
  <c r="P1334" i="4"/>
  <c r="L1334" i="4" s="1"/>
  <c r="Q115" i="4"/>
  <c r="M1160" i="4"/>
  <c r="O808" i="4"/>
  <c r="T1333" i="4"/>
  <c r="U1333" i="4" s="1"/>
  <c r="AA1333" i="4" s="1"/>
  <c r="Q1335" i="4"/>
  <c r="W1069" i="4"/>
  <c r="M940" i="4"/>
  <c r="P1246" i="4"/>
  <c r="P1158" i="4"/>
  <c r="T1158" i="4" s="1"/>
  <c r="O851" i="4"/>
  <c r="J1025" i="4"/>
  <c r="V1025" i="4"/>
  <c r="R808" i="4"/>
  <c r="N809" i="4" s="1"/>
  <c r="M720" i="4"/>
  <c r="P498" i="4"/>
  <c r="L498" i="4" s="1"/>
  <c r="J1333" i="4"/>
  <c r="V1333" i="4"/>
  <c r="M281" i="4"/>
  <c r="J673" i="4"/>
  <c r="V673" i="4"/>
  <c r="J320" i="4"/>
  <c r="V320" i="4"/>
  <c r="W320" i="4" s="1"/>
  <c r="N1072" i="4"/>
  <c r="R1072" i="4" s="1"/>
  <c r="O1072" i="4"/>
  <c r="T113" i="4"/>
  <c r="Q1072" i="4"/>
  <c r="M1117" i="4"/>
  <c r="P894" i="4"/>
  <c r="T894" i="4" s="1"/>
  <c r="L894" i="4"/>
  <c r="R114" i="4"/>
  <c r="V114" i="4" s="1"/>
  <c r="S322" i="4"/>
  <c r="N852" i="4"/>
  <c r="W1332" i="4"/>
  <c r="U1201" i="4"/>
  <c r="AA1201" i="4" s="1"/>
  <c r="O1202" i="4"/>
  <c r="L1201" i="4"/>
  <c r="U321" i="4"/>
  <c r="AA321" i="4" s="1"/>
  <c r="J1289" i="4"/>
  <c r="V1289" i="4"/>
  <c r="T1026" i="4" l="1"/>
  <c r="T158" i="4"/>
  <c r="P158" i="4" s="1"/>
  <c r="Y157" i="4"/>
  <c r="X158" i="4"/>
  <c r="T159" i="4" s="1"/>
  <c r="P159" i="4" s="1"/>
  <c r="O588" i="4"/>
  <c r="S588" i="4" s="1"/>
  <c r="U939" i="4"/>
  <c r="AA939" i="4" s="1"/>
  <c r="L630" i="4"/>
  <c r="J630" i="4" s="1"/>
  <c r="P64" i="4"/>
  <c r="Z64" i="4" s="1"/>
  <c r="Y64" i="4"/>
  <c r="L205" i="4" s="1"/>
  <c r="W1333" i="4"/>
  <c r="P411" i="4"/>
  <c r="L411" i="4" s="1"/>
  <c r="V411" i="4" s="1"/>
  <c r="W1289" i="4"/>
  <c r="W761" i="4"/>
  <c r="T1115" i="4"/>
  <c r="U1115" i="4" s="1"/>
  <c r="AA1115" i="4" s="1"/>
  <c r="L1115" i="4"/>
  <c r="S160" i="4"/>
  <c r="W160" i="4" s="1"/>
  <c r="W453" i="4"/>
  <c r="L410" i="4"/>
  <c r="W365" i="4"/>
  <c r="V630" i="4"/>
  <c r="W630" i="4" s="1"/>
  <c r="J411" i="4"/>
  <c r="T762" i="4"/>
  <c r="L762" i="4"/>
  <c r="U541" i="4"/>
  <c r="AA541" i="4" s="1"/>
  <c r="P542" i="4"/>
  <c r="L542" i="4" s="1"/>
  <c r="L322" i="4"/>
  <c r="J322" i="4" s="1"/>
  <c r="P631" i="4"/>
  <c r="T631" i="4" s="1"/>
  <c r="W673" i="4"/>
  <c r="J541" i="4"/>
  <c r="V541" i="4"/>
  <c r="R1335" i="4"/>
  <c r="T411" i="4"/>
  <c r="P412" i="4" s="1"/>
  <c r="L412" i="4" s="1"/>
  <c r="V412" i="4" s="1"/>
  <c r="W1025" i="4"/>
  <c r="AH51" i="3"/>
  <c r="M371" i="4"/>
  <c r="J1334" i="4"/>
  <c r="V1334" i="4"/>
  <c r="O500" i="4"/>
  <c r="J454" i="4"/>
  <c r="V454" i="4"/>
  <c r="M677" i="4"/>
  <c r="Q677" i="4" s="1"/>
  <c r="J719" i="4"/>
  <c r="V719" i="4"/>
  <c r="J498" i="4"/>
  <c r="V498" i="4"/>
  <c r="U631" i="4"/>
  <c r="AA631" i="4" s="1"/>
  <c r="Y158" i="4"/>
  <c r="N63" i="4"/>
  <c r="Z63" i="4"/>
  <c r="U278" i="4"/>
  <c r="AA278" i="4" s="1"/>
  <c r="O279" i="4"/>
  <c r="M766" i="4"/>
  <c r="Q766" i="4" s="1"/>
  <c r="S1072" i="4"/>
  <c r="M1204" i="4"/>
  <c r="Q1204" i="4" s="1"/>
  <c r="J981" i="4"/>
  <c r="V981" i="4"/>
  <c r="N414" i="4"/>
  <c r="R414" i="4" s="1"/>
  <c r="M1030" i="4"/>
  <c r="Q1030" i="4" s="1"/>
  <c r="N984" i="4"/>
  <c r="W585" i="4"/>
  <c r="T807" i="4"/>
  <c r="U806" i="4"/>
  <c r="AA806" i="4" s="1"/>
  <c r="Q984" i="4"/>
  <c r="N1160" i="4"/>
  <c r="R1160" i="4" s="1"/>
  <c r="N456" i="4"/>
  <c r="R456" i="4" s="1"/>
  <c r="J894" i="4"/>
  <c r="V894" i="4"/>
  <c r="S1335" i="4"/>
  <c r="AB55" i="3"/>
  <c r="AF55" i="3" s="1"/>
  <c r="J278" i="4"/>
  <c r="V278" i="4"/>
  <c r="J938" i="4"/>
  <c r="V938" i="4"/>
  <c r="W938" i="4" s="1"/>
  <c r="O413" i="4"/>
  <c r="S413" i="4" s="1"/>
  <c r="Q414" i="4"/>
  <c r="M810" i="4"/>
  <c r="P807" i="4"/>
  <c r="L807" i="4" s="1"/>
  <c r="M1336" i="4"/>
  <c r="Q1336" i="4" s="1"/>
  <c r="N940" i="4"/>
  <c r="R940" i="4" s="1"/>
  <c r="O940" i="4"/>
  <c r="S940" i="4" s="1"/>
  <c r="T498" i="4"/>
  <c r="P499" i="4" s="1"/>
  <c r="L499" i="4" s="1"/>
  <c r="O1247" i="4"/>
  <c r="O544" i="4"/>
  <c r="N323" i="4"/>
  <c r="O323" i="4" s="1"/>
  <c r="P674" i="4"/>
  <c r="T674" i="4" s="1"/>
  <c r="S808" i="4"/>
  <c r="O367" i="4"/>
  <c r="S367" i="4" s="1"/>
  <c r="N370" i="4"/>
  <c r="S114" i="4"/>
  <c r="W114" i="4" s="1"/>
  <c r="P587" i="4"/>
  <c r="L587" i="4" s="1"/>
  <c r="U586" i="4"/>
  <c r="AA586" i="4" s="1"/>
  <c r="X113" i="4"/>
  <c r="P113" i="4"/>
  <c r="T1246" i="4"/>
  <c r="L1246" i="4"/>
  <c r="T1071" i="4"/>
  <c r="P1072" i="4" s="1"/>
  <c r="L1072" i="4" s="1"/>
  <c r="U1070" i="4"/>
  <c r="AA1070" i="4" s="1"/>
  <c r="J1201" i="4"/>
  <c r="V1201" i="4"/>
  <c r="W1201" i="4" s="1"/>
  <c r="N720" i="4"/>
  <c r="R720" i="4" s="1"/>
  <c r="U322" i="4"/>
  <c r="AA322" i="4" s="1"/>
  <c r="P895" i="4"/>
  <c r="T895" i="4" s="1"/>
  <c r="L895" i="4"/>
  <c r="N589" i="4"/>
  <c r="T719" i="4"/>
  <c r="M633" i="4"/>
  <c r="Q633" i="4" s="1"/>
  <c r="S764" i="4"/>
  <c r="Q161" i="4"/>
  <c r="T1334" i="4"/>
  <c r="U1334" i="4" s="1"/>
  <c r="AA1334" i="4" s="1"/>
  <c r="N1117" i="4"/>
  <c r="O1117" i="4" s="1"/>
  <c r="Q720" i="4"/>
  <c r="R115" i="4"/>
  <c r="S115" i="4" s="1"/>
  <c r="P851" i="4"/>
  <c r="T851" i="4" s="1"/>
  <c r="U115" i="4"/>
  <c r="P1159" i="4"/>
  <c r="L1159" i="4" s="1"/>
  <c r="M545" i="4"/>
  <c r="Q323" i="4"/>
  <c r="S674" i="4"/>
  <c r="U894" i="4"/>
  <c r="AA894" i="4" s="1"/>
  <c r="W321" i="4"/>
  <c r="Q589" i="4"/>
  <c r="S851" i="4"/>
  <c r="J939" i="4"/>
  <c r="V939" i="4"/>
  <c r="T412" i="4"/>
  <c r="U412" i="4" s="1"/>
  <c r="AA412" i="4" s="1"/>
  <c r="M1073" i="4"/>
  <c r="J850" i="4"/>
  <c r="V850" i="4"/>
  <c r="W850" i="4" s="1"/>
  <c r="Q853" i="4"/>
  <c r="J1071" i="4"/>
  <c r="V1071" i="4"/>
  <c r="Q1160" i="4"/>
  <c r="M460" i="4"/>
  <c r="Q940" i="4"/>
  <c r="N676" i="4"/>
  <c r="R676" i="4" s="1"/>
  <c r="S65" i="4"/>
  <c r="W65" i="4" s="1"/>
  <c r="O1291" i="4"/>
  <c r="P1202" i="4"/>
  <c r="T1202" i="4" s="1"/>
  <c r="N281" i="4"/>
  <c r="R281" i="4" s="1"/>
  <c r="P1290" i="4"/>
  <c r="T1290" i="4" s="1"/>
  <c r="AE55" i="3"/>
  <c r="S1202" i="4"/>
  <c r="Q1117" i="4"/>
  <c r="Q281" i="4"/>
  <c r="T454" i="4"/>
  <c r="U1158" i="4"/>
  <c r="AA1158" i="4" s="1"/>
  <c r="R852" i="4"/>
  <c r="U981" i="4"/>
  <c r="AA981" i="4" s="1"/>
  <c r="O982" i="4"/>
  <c r="S982" i="4" s="1"/>
  <c r="P366" i="4"/>
  <c r="T366" i="4" s="1"/>
  <c r="N1029" i="4"/>
  <c r="R1029" i="4" s="1"/>
  <c r="J1026" i="4"/>
  <c r="V1026" i="4"/>
  <c r="S895" i="4"/>
  <c r="N1292" i="4"/>
  <c r="R1292" i="4" s="1"/>
  <c r="M502" i="4"/>
  <c r="Q502" i="4" s="1"/>
  <c r="Q66" i="4"/>
  <c r="U66" i="4" s="1"/>
  <c r="M1248" i="4"/>
  <c r="M897" i="4"/>
  <c r="Q897" i="4" s="1"/>
  <c r="R809" i="4"/>
  <c r="L1158" i="4"/>
  <c r="N632" i="4"/>
  <c r="R632" i="4" s="1"/>
  <c r="S1159" i="4"/>
  <c r="L204" i="4"/>
  <c r="AG63" i="4"/>
  <c r="N501" i="4"/>
  <c r="R501" i="4" s="1"/>
  <c r="U1026" i="4"/>
  <c r="AA1026" i="4" s="1"/>
  <c r="P1027" i="4"/>
  <c r="L1027" i="4" s="1"/>
  <c r="M1293" i="4"/>
  <c r="Q1293" i="4" s="1"/>
  <c r="R323" i="4" l="1"/>
  <c r="N64" i="4"/>
  <c r="T65" i="4"/>
  <c r="X65" i="4" s="1"/>
  <c r="Y65" i="4" s="1"/>
  <c r="W939" i="4"/>
  <c r="AG64" i="4"/>
  <c r="J412" i="4"/>
  <c r="L631" i="4"/>
  <c r="J631" i="4" s="1"/>
  <c r="Z158" i="4"/>
  <c r="N158" i="4"/>
  <c r="J410" i="4"/>
  <c r="V410" i="4"/>
  <c r="W410" i="4" s="1"/>
  <c r="J1115" i="4"/>
  <c r="V1115" i="4"/>
  <c r="W1115" i="4" s="1"/>
  <c r="N202" i="4"/>
  <c r="AG157" i="4"/>
  <c r="P1116" i="4"/>
  <c r="T542" i="4"/>
  <c r="W278" i="4"/>
  <c r="V631" i="4"/>
  <c r="W631" i="4" s="1"/>
  <c r="P65" i="4"/>
  <c r="N65" i="4" s="1"/>
  <c r="W541" i="4"/>
  <c r="AI51" i="3"/>
  <c r="AD52" i="3"/>
  <c r="Z52" i="3" s="1"/>
  <c r="J542" i="4"/>
  <c r="V542" i="4"/>
  <c r="P413" i="4"/>
  <c r="T413" i="4" s="1"/>
  <c r="L1202" i="4"/>
  <c r="J1202" i="4" s="1"/>
  <c r="R1117" i="4"/>
  <c r="V115" i="4"/>
  <c r="O1160" i="4"/>
  <c r="P1160" i="4" s="1"/>
  <c r="L1160" i="4" s="1"/>
  <c r="U762" i="4"/>
  <c r="AA762" i="4" s="1"/>
  <c r="P763" i="4"/>
  <c r="P1291" i="4"/>
  <c r="L1291" i="4" s="1"/>
  <c r="V322" i="4"/>
  <c r="W322" i="4" s="1"/>
  <c r="V762" i="4"/>
  <c r="J762" i="4"/>
  <c r="U411" i="4"/>
  <c r="AA411" i="4" s="1"/>
  <c r="W894" i="4"/>
  <c r="W1070" i="4"/>
  <c r="N457" i="4"/>
  <c r="R457" i="4" s="1"/>
  <c r="M1294" i="4"/>
  <c r="P323" i="4"/>
  <c r="T323" i="4" s="1"/>
  <c r="S323" i="4"/>
  <c r="M678" i="4"/>
  <c r="J1072" i="4"/>
  <c r="V1072" i="4"/>
  <c r="M1031" i="4"/>
  <c r="Q1031" i="4" s="1"/>
  <c r="S1117" i="4"/>
  <c r="J1159" i="4"/>
  <c r="V1159" i="4"/>
  <c r="M1337" i="4"/>
  <c r="U851" i="4"/>
  <c r="AA851" i="4" s="1"/>
  <c r="U1202" i="4"/>
  <c r="AA1202" i="4" s="1"/>
  <c r="O1203" i="4"/>
  <c r="J1246" i="4"/>
  <c r="V1246" i="4"/>
  <c r="W115" i="4"/>
  <c r="T1159" i="4"/>
  <c r="S1247" i="4"/>
  <c r="P1247" i="4"/>
  <c r="L1247" i="4" s="1"/>
  <c r="W806" i="4"/>
  <c r="N766" i="4"/>
  <c r="R766" i="4" s="1"/>
  <c r="L851" i="4"/>
  <c r="W412" i="4"/>
  <c r="M503" i="4"/>
  <c r="Q503" i="4" s="1"/>
  <c r="P940" i="4"/>
  <c r="T940" i="4" s="1"/>
  <c r="U940" i="4" s="1"/>
  <c r="AA940" i="4" s="1"/>
  <c r="N1248" i="4"/>
  <c r="R1248" i="4" s="1"/>
  <c r="U1246" i="4"/>
  <c r="AA1246" i="4" s="1"/>
  <c r="U807" i="4"/>
  <c r="AA807" i="4" s="1"/>
  <c r="O414" i="4"/>
  <c r="W1334" i="4"/>
  <c r="Q371" i="4"/>
  <c r="M1118" i="4"/>
  <c r="O368" i="4"/>
  <c r="M1205" i="4"/>
  <c r="Q1205" i="4" s="1"/>
  <c r="N545" i="4"/>
  <c r="R545" i="4" s="1"/>
  <c r="T1072" i="4"/>
  <c r="U1071" i="4"/>
  <c r="AA1071" i="4" s="1"/>
  <c r="M985" i="4"/>
  <c r="U674" i="4"/>
  <c r="AA674" i="4" s="1"/>
  <c r="O675" i="4"/>
  <c r="U719" i="4"/>
  <c r="AA719" i="4" s="1"/>
  <c r="J499" i="4"/>
  <c r="V499" i="4"/>
  <c r="T499" i="4"/>
  <c r="P500" i="4" s="1"/>
  <c r="L500" i="4" s="1"/>
  <c r="U498" i="4"/>
  <c r="AA498" i="4" s="1"/>
  <c r="P1335" i="4"/>
  <c r="L1335" i="4" s="1"/>
  <c r="M941" i="4"/>
  <c r="Q941" i="4" s="1"/>
  <c r="M634" i="4"/>
  <c r="Q67" i="4"/>
  <c r="O765" i="4"/>
  <c r="S765" i="4" s="1"/>
  <c r="O983" i="4"/>
  <c r="S983" i="4" s="1"/>
  <c r="O984" i="4" s="1"/>
  <c r="W981" i="4"/>
  <c r="P279" i="4"/>
  <c r="T279" i="4" s="1"/>
  <c r="N159" i="4"/>
  <c r="Z159" i="4"/>
  <c r="N1293" i="4"/>
  <c r="N677" i="4"/>
  <c r="M898" i="4"/>
  <c r="J587" i="4"/>
  <c r="V587" i="4"/>
  <c r="Q545" i="4"/>
  <c r="J1027" i="4"/>
  <c r="V1027" i="4"/>
  <c r="N1030" i="4"/>
  <c r="R66" i="4"/>
  <c r="V66" i="4" s="1"/>
  <c r="AA56" i="3"/>
  <c r="N1073" i="4"/>
  <c r="R1073" i="4" s="1"/>
  <c r="M324" i="4"/>
  <c r="O720" i="4"/>
  <c r="S720" i="4" s="1"/>
  <c r="T1291" i="4"/>
  <c r="Q1073" i="4"/>
  <c r="R370" i="4"/>
  <c r="T114" i="4"/>
  <c r="P114" i="4" s="1"/>
  <c r="O589" i="4"/>
  <c r="S589" i="4" s="1"/>
  <c r="L674" i="4"/>
  <c r="J807" i="4"/>
  <c r="V807" i="4"/>
  <c r="M415" i="4"/>
  <c r="Q415" i="4" s="1"/>
  <c r="AG158" i="4"/>
  <c r="N203" i="4"/>
  <c r="U1290" i="4"/>
  <c r="AA1290" i="4" s="1"/>
  <c r="R589" i="4"/>
  <c r="R984" i="4"/>
  <c r="J1158" i="4"/>
  <c r="V1158" i="4"/>
  <c r="W1158" i="4" s="1"/>
  <c r="M590" i="4"/>
  <c r="Q1248" i="4"/>
  <c r="O852" i="4"/>
  <c r="N1336" i="4"/>
  <c r="R1336" i="4" s="1"/>
  <c r="Q460" i="4"/>
  <c r="P808" i="4"/>
  <c r="L808" i="4" s="1"/>
  <c r="S544" i="4"/>
  <c r="L366" i="4"/>
  <c r="O632" i="4"/>
  <c r="W586" i="4"/>
  <c r="U895" i="4"/>
  <c r="AA895" i="4" s="1"/>
  <c r="O896" i="4"/>
  <c r="P982" i="4"/>
  <c r="T982" i="4" s="1"/>
  <c r="L1290" i="4"/>
  <c r="R677" i="4"/>
  <c r="Q116" i="4"/>
  <c r="O809" i="4"/>
  <c r="S809" i="4" s="1"/>
  <c r="N113" i="4"/>
  <c r="Z113" i="4"/>
  <c r="P367" i="4"/>
  <c r="T367" i="4" s="1"/>
  <c r="N810" i="4"/>
  <c r="AC55" i="3"/>
  <c r="N1204" i="4"/>
  <c r="R1204" i="4" s="1"/>
  <c r="S279" i="4"/>
  <c r="X159" i="4"/>
  <c r="S1291" i="4"/>
  <c r="J895" i="4"/>
  <c r="V895" i="4"/>
  <c r="O1029" i="4"/>
  <c r="S1029" i="4" s="1"/>
  <c r="R161" i="4"/>
  <c r="V161" i="4" s="1"/>
  <c r="S161" i="4"/>
  <c r="W161" i="4" s="1"/>
  <c r="T587" i="4"/>
  <c r="U161" i="4"/>
  <c r="O456" i="4"/>
  <c r="S456" i="4" s="1"/>
  <c r="M767" i="4"/>
  <c r="T1027" i="4"/>
  <c r="P455" i="4"/>
  <c r="L455" i="4" s="1"/>
  <c r="U454" i="4"/>
  <c r="AA454" i="4" s="1"/>
  <c r="M1161" i="4"/>
  <c r="M721" i="4"/>
  <c r="Q721" i="4" s="1"/>
  <c r="N897" i="4"/>
  <c r="R897" i="4" s="1"/>
  <c r="N502" i="4"/>
  <c r="R502" i="4" s="1"/>
  <c r="W1026" i="4"/>
  <c r="M282" i="4"/>
  <c r="M854" i="4"/>
  <c r="Q854" i="4" s="1"/>
  <c r="N633" i="4"/>
  <c r="R633" i="4" s="1"/>
  <c r="Y113" i="4"/>
  <c r="U366" i="4"/>
  <c r="AA366" i="4" s="1"/>
  <c r="Q810" i="4"/>
  <c r="N853" i="4"/>
  <c r="R853" i="4" s="1"/>
  <c r="S500" i="4"/>
  <c r="T1116" i="4" l="1"/>
  <c r="L1116" i="4"/>
  <c r="O766" i="4"/>
  <c r="Z65" i="4"/>
  <c r="V1202" i="4"/>
  <c r="W411" i="4"/>
  <c r="J1291" i="4"/>
  <c r="V1291" i="4"/>
  <c r="W1291" i="4" s="1"/>
  <c r="W1246" i="4"/>
  <c r="U323" i="4"/>
  <c r="AA323" i="4" s="1"/>
  <c r="O1248" i="4"/>
  <c r="L982" i="4"/>
  <c r="J982" i="4" s="1"/>
  <c r="L323" i="4"/>
  <c r="V323" i="4" s="1"/>
  <c r="L413" i="4"/>
  <c r="W498" i="4"/>
  <c r="W1202" i="4"/>
  <c r="X114" i="4"/>
  <c r="P720" i="4"/>
  <c r="T720" i="4" s="1"/>
  <c r="U720" i="4" s="1"/>
  <c r="AA720" i="4" s="1"/>
  <c r="T763" i="4"/>
  <c r="L763" i="4"/>
  <c r="W719" i="4"/>
  <c r="S66" i="4"/>
  <c r="W66" i="4" s="1"/>
  <c r="S1160" i="4"/>
  <c r="W762" i="4"/>
  <c r="AH52" i="3"/>
  <c r="U542" i="4"/>
  <c r="AA542" i="4" s="1"/>
  <c r="P543" i="4"/>
  <c r="L543" i="4" s="1"/>
  <c r="T543" i="4"/>
  <c r="M942" i="4"/>
  <c r="J1160" i="4"/>
  <c r="V1160" i="4"/>
  <c r="M1032" i="4"/>
  <c r="U367" i="4"/>
  <c r="AA367" i="4" s="1"/>
  <c r="M416" i="4"/>
  <c r="M1206" i="4"/>
  <c r="M722" i="4"/>
  <c r="N590" i="4"/>
  <c r="J1247" i="4"/>
  <c r="V1247" i="4"/>
  <c r="J366" i="4"/>
  <c r="V366" i="4"/>
  <c r="W366" i="4" s="1"/>
  <c r="R67" i="4"/>
  <c r="V67" i="4" s="1"/>
  <c r="T1160" i="4"/>
  <c r="P1203" i="4"/>
  <c r="T1203" i="4" s="1"/>
  <c r="R1293" i="4"/>
  <c r="U67" i="4"/>
  <c r="W454" i="4"/>
  <c r="P368" i="4"/>
  <c r="T368" i="4" s="1"/>
  <c r="U1291" i="4"/>
  <c r="AA1291" i="4" s="1"/>
  <c r="Q590" i="4"/>
  <c r="M206" i="4"/>
  <c r="AG113" i="4"/>
  <c r="Y159" i="4"/>
  <c r="T160" i="4"/>
  <c r="P160" i="4" s="1"/>
  <c r="N282" i="4"/>
  <c r="R282" i="4" s="1"/>
  <c r="R116" i="4"/>
  <c r="V116" i="4" s="1"/>
  <c r="N324" i="4"/>
  <c r="R324" i="4" s="1"/>
  <c r="N1337" i="4"/>
  <c r="R1337" i="4" s="1"/>
  <c r="Q324" i="4"/>
  <c r="L279" i="4"/>
  <c r="R810" i="4"/>
  <c r="J1335" i="4"/>
  <c r="V1335" i="4"/>
  <c r="T808" i="4"/>
  <c r="P809" i="4" s="1"/>
  <c r="L809" i="4" s="1"/>
  <c r="T1335" i="4"/>
  <c r="P1336" i="4" s="1"/>
  <c r="O1292" i="4"/>
  <c r="S1292" i="4" s="1"/>
  <c r="O1293" i="4" s="1"/>
  <c r="S1203" i="4"/>
  <c r="Q1337" i="4"/>
  <c r="O457" i="4"/>
  <c r="J674" i="4"/>
  <c r="V674" i="4"/>
  <c r="W674" i="4" s="1"/>
  <c r="N1161" i="4"/>
  <c r="R1161" i="4" s="1"/>
  <c r="P896" i="4"/>
  <c r="T896" i="4" s="1"/>
  <c r="O810" i="4"/>
  <c r="S810" i="4" s="1"/>
  <c r="N898" i="4"/>
  <c r="R898" i="4" s="1"/>
  <c r="Q1161" i="4"/>
  <c r="S896" i="4"/>
  <c r="M546" i="4"/>
  <c r="Q546" i="4" s="1"/>
  <c r="P675" i="4"/>
  <c r="T675" i="4" s="1"/>
  <c r="S368" i="4"/>
  <c r="N503" i="4"/>
  <c r="R503" i="4" s="1"/>
  <c r="J500" i="4"/>
  <c r="V500" i="4"/>
  <c r="R1030" i="4"/>
  <c r="N1031" i="4" s="1"/>
  <c r="L206" i="4"/>
  <c r="AG65" i="4"/>
  <c r="N985" i="4"/>
  <c r="M461" i="4"/>
  <c r="N634" i="4"/>
  <c r="O545" i="4"/>
  <c r="T1247" i="4"/>
  <c r="U1247" i="4" s="1"/>
  <c r="AA1247" i="4" s="1"/>
  <c r="M811" i="4"/>
  <c r="M372" i="4"/>
  <c r="Q372" i="4" s="1"/>
  <c r="M855" i="4"/>
  <c r="Q855" i="4" s="1"/>
  <c r="S766" i="4"/>
  <c r="S1248" i="4"/>
  <c r="Q898" i="4"/>
  <c r="Q985" i="4"/>
  <c r="Q162" i="4"/>
  <c r="U116" i="4"/>
  <c r="Q282" i="4"/>
  <c r="S632" i="4"/>
  <c r="P632" i="4"/>
  <c r="O1336" i="4"/>
  <c r="S1336" i="4" s="1"/>
  <c r="U413" i="4"/>
  <c r="AA413" i="4" s="1"/>
  <c r="U1159" i="4"/>
  <c r="AA1159" i="4" s="1"/>
  <c r="R985" i="4"/>
  <c r="S414" i="4"/>
  <c r="N1118" i="4"/>
  <c r="R1118" i="4" s="1"/>
  <c r="P414" i="4"/>
  <c r="L414" i="4" s="1"/>
  <c r="N1294" i="4"/>
  <c r="N767" i="4"/>
  <c r="R767" i="4" s="1"/>
  <c r="O767" i="4"/>
  <c r="W895" i="4"/>
  <c r="J1290" i="4"/>
  <c r="V1290" i="4"/>
  <c r="W1290" i="4" s="1"/>
  <c r="P852" i="4"/>
  <c r="T852" i="4" s="1"/>
  <c r="W807" i="4"/>
  <c r="M1074" i="4"/>
  <c r="O1073" i="4"/>
  <c r="P1073" i="4" s="1"/>
  <c r="T1073" i="4" s="1"/>
  <c r="O1030" i="4"/>
  <c r="S1030" i="4" s="1"/>
  <c r="P983" i="4"/>
  <c r="T983" i="4" s="1"/>
  <c r="U983" i="4" s="1"/>
  <c r="AA983" i="4" s="1"/>
  <c r="L983" i="4"/>
  <c r="S675" i="4"/>
  <c r="N371" i="4"/>
  <c r="S852" i="4"/>
  <c r="N678" i="4"/>
  <c r="R678" i="4" s="1"/>
  <c r="Q1294" i="4"/>
  <c r="N941" i="4"/>
  <c r="R941" i="4" s="1"/>
  <c r="S984" i="4"/>
  <c r="AB56" i="3"/>
  <c r="AF56" i="3" s="1"/>
  <c r="W499" i="4"/>
  <c r="N1205" i="4"/>
  <c r="R1205" i="4" s="1"/>
  <c r="J808" i="4"/>
  <c r="V808" i="4"/>
  <c r="AE56" i="3"/>
  <c r="J851" i="4"/>
  <c r="V851" i="4"/>
  <c r="W851" i="4" s="1"/>
  <c r="O280" i="4"/>
  <c r="U279" i="4"/>
  <c r="AA279" i="4" s="1"/>
  <c r="N114" i="4"/>
  <c r="Z114" i="4"/>
  <c r="O501" i="4"/>
  <c r="J455" i="4"/>
  <c r="V455" i="4"/>
  <c r="N415" i="4"/>
  <c r="R415" i="4" s="1"/>
  <c r="O415" i="4"/>
  <c r="T455" i="4"/>
  <c r="L367" i="4"/>
  <c r="O853" i="4"/>
  <c r="P853" i="4" s="1"/>
  <c r="U1027" i="4"/>
  <c r="AA1027" i="4" s="1"/>
  <c r="P1028" i="4"/>
  <c r="L1028" i="4" s="1"/>
  <c r="M504" i="4"/>
  <c r="N458" i="4"/>
  <c r="R458" i="4" s="1"/>
  <c r="N721" i="4"/>
  <c r="R721" i="4" s="1"/>
  <c r="O721" i="4"/>
  <c r="N854" i="4"/>
  <c r="Q767" i="4"/>
  <c r="U587" i="4"/>
  <c r="AA587" i="4" s="1"/>
  <c r="P588" i="4"/>
  <c r="L588" i="4" s="1"/>
  <c r="AG55" i="3"/>
  <c r="U1072" i="4"/>
  <c r="AA1072" i="4" s="1"/>
  <c r="M1249" i="4"/>
  <c r="W1071" i="4"/>
  <c r="Q634" i="4"/>
  <c r="T500" i="4"/>
  <c r="U499" i="4"/>
  <c r="AA499" i="4" s="1"/>
  <c r="Q1118" i="4"/>
  <c r="U982" i="4"/>
  <c r="AA982" i="4" s="1"/>
  <c r="L940" i="4"/>
  <c r="Q678" i="4"/>
  <c r="P721" i="4" l="1"/>
  <c r="T721" i="4" s="1"/>
  <c r="W323" i="4"/>
  <c r="L720" i="4"/>
  <c r="J720" i="4" s="1"/>
  <c r="O985" i="4"/>
  <c r="W542" i="4"/>
  <c r="J1116" i="4"/>
  <c r="V1116" i="4"/>
  <c r="O1161" i="4"/>
  <c r="S1161" i="4" s="1"/>
  <c r="U1116" i="4"/>
  <c r="AA1116" i="4" s="1"/>
  <c r="P1117" i="4"/>
  <c r="U543" i="4"/>
  <c r="AA543" i="4" s="1"/>
  <c r="P544" i="4"/>
  <c r="J413" i="4"/>
  <c r="V413" i="4"/>
  <c r="W413" i="4" s="1"/>
  <c r="T66" i="4"/>
  <c r="AC56" i="3"/>
  <c r="AG56" i="3" s="1"/>
  <c r="W1027" i="4"/>
  <c r="V982" i="4"/>
  <c r="W982" i="4" s="1"/>
  <c r="J543" i="4"/>
  <c r="V543" i="4"/>
  <c r="T115" i="4"/>
  <c r="Y114" i="4"/>
  <c r="W1247" i="4"/>
  <c r="J323" i="4"/>
  <c r="W1159" i="4"/>
  <c r="J763" i="4"/>
  <c r="V763" i="4"/>
  <c r="U763" i="4"/>
  <c r="AA763" i="4" s="1"/>
  <c r="P764" i="4"/>
  <c r="L764" i="4" s="1"/>
  <c r="T764" i="4"/>
  <c r="W1072" i="4"/>
  <c r="AI52" i="3"/>
  <c r="AD53" i="3"/>
  <c r="M373" i="4"/>
  <c r="P1293" i="4"/>
  <c r="O1031" i="4"/>
  <c r="J809" i="4"/>
  <c r="V809" i="4"/>
  <c r="J414" i="4"/>
  <c r="V414" i="4"/>
  <c r="T501" i="4"/>
  <c r="J983" i="4"/>
  <c r="V983" i="4"/>
  <c r="W983" i="4" s="1"/>
  <c r="N722" i="4"/>
  <c r="M635" i="4"/>
  <c r="M856" i="4"/>
  <c r="S457" i="4"/>
  <c r="Q68" i="4"/>
  <c r="U68" i="4" s="1"/>
  <c r="U1160" i="4"/>
  <c r="AA1160" i="4" s="1"/>
  <c r="R634" i="4"/>
  <c r="N459" i="4"/>
  <c r="R459" i="4" s="1"/>
  <c r="M283" i="4"/>
  <c r="Q283" i="4" s="1"/>
  <c r="N504" i="4"/>
  <c r="R504" i="4" s="1"/>
  <c r="O324" i="4"/>
  <c r="S324" i="4" s="1"/>
  <c r="M1162" i="4"/>
  <c r="S721" i="4"/>
  <c r="Q504" i="4"/>
  <c r="U1203" i="4"/>
  <c r="AA1203" i="4" s="1"/>
  <c r="O1204" i="4"/>
  <c r="S1204" i="4" s="1"/>
  <c r="U455" i="4"/>
  <c r="AA455" i="4" s="1"/>
  <c r="N1074" i="4"/>
  <c r="R1074" i="4" s="1"/>
  <c r="T414" i="4"/>
  <c r="W587" i="4"/>
  <c r="P1292" i="4"/>
  <c r="T1292" i="4" s="1"/>
  <c r="AG159" i="4"/>
  <c r="N204" i="4"/>
  <c r="M899" i="4"/>
  <c r="S545" i="4"/>
  <c r="O546" i="4" s="1"/>
  <c r="L853" i="4"/>
  <c r="L1293" i="4"/>
  <c r="U896" i="4"/>
  <c r="AA896" i="4" s="1"/>
  <c r="O897" i="4"/>
  <c r="Q722" i="4"/>
  <c r="M679" i="4"/>
  <c r="P280" i="4"/>
  <c r="T280" i="4" s="1"/>
  <c r="L280" i="4"/>
  <c r="J940" i="4"/>
  <c r="V940" i="4"/>
  <c r="W940" i="4" s="1"/>
  <c r="S280" i="4"/>
  <c r="T588" i="4"/>
  <c r="Q1074" i="4"/>
  <c r="N811" i="4"/>
  <c r="L1336" i="4"/>
  <c r="P456" i="4"/>
  <c r="L456" i="4" s="1"/>
  <c r="L675" i="4"/>
  <c r="M325" i="4"/>
  <c r="X160" i="4"/>
  <c r="R371" i="4"/>
  <c r="S67" i="4"/>
  <c r="W67" i="4" s="1"/>
  <c r="N1206" i="4"/>
  <c r="R1206" i="4" s="1"/>
  <c r="R854" i="4"/>
  <c r="N855" i="4" s="1"/>
  <c r="N942" i="4"/>
  <c r="R942" i="4" s="1"/>
  <c r="T853" i="4"/>
  <c r="Q117" i="4"/>
  <c r="U117" i="4" s="1"/>
  <c r="M547" i="4"/>
  <c r="M591" i="4"/>
  <c r="L368" i="4"/>
  <c r="M1338" i="4"/>
  <c r="P501" i="4"/>
  <c r="L501" i="4" s="1"/>
  <c r="S1073" i="4"/>
  <c r="L1073" i="4"/>
  <c r="Q461" i="4"/>
  <c r="U368" i="4"/>
  <c r="AA368" i="4" s="1"/>
  <c r="O369" i="4"/>
  <c r="R722" i="4"/>
  <c r="U500" i="4"/>
  <c r="AA500" i="4" s="1"/>
  <c r="O941" i="4"/>
  <c r="S941" i="4" s="1"/>
  <c r="O942" i="4" s="1"/>
  <c r="M768" i="4"/>
  <c r="J1028" i="4"/>
  <c r="V1028" i="4"/>
  <c r="T1336" i="4"/>
  <c r="U1335" i="4"/>
  <c r="AA1335" i="4" s="1"/>
  <c r="O1337" i="4"/>
  <c r="S1337" i="4" s="1"/>
  <c r="S116" i="4"/>
  <c r="W116" i="4" s="1"/>
  <c r="U1336" i="4"/>
  <c r="AA1336" i="4" s="1"/>
  <c r="R1294" i="4"/>
  <c r="O590" i="4"/>
  <c r="S590" i="4" s="1"/>
  <c r="N416" i="4"/>
  <c r="R416" i="4" s="1"/>
  <c r="R1031" i="4"/>
  <c r="N1032" i="4" s="1"/>
  <c r="Q416" i="4"/>
  <c r="S1293" i="4"/>
  <c r="O1294" i="4" s="1"/>
  <c r="U1292" i="4"/>
  <c r="AA1292" i="4" s="1"/>
  <c r="J367" i="4"/>
  <c r="V367" i="4"/>
  <c r="W367" i="4" s="1"/>
  <c r="M1119" i="4"/>
  <c r="O1118" i="4"/>
  <c r="T632" i="4"/>
  <c r="L632" i="4"/>
  <c r="S767" i="4"/>
  <c r="Q811" i="4"/>
  <c r="T809" i="4"/>
  <c r="P810" i="4" s="1"/>
  <c r="L810" i="4" s="1"/>
  <c r="U808" i="4"/>
  <c r="AA808" i="4" s="1"/>
  <c r="Q1206" i="4"/>
  <c r="P984" i="4"/>
  <c r="L984" i="4" s="1"/>
  <c r="Q1032" i="4"/>
  <c r="Q942" i="4"/>
  <c r="L852" i="4"/>
  <c r="L1203" i="4"/>
  <c r="R162" i="4"/>
  <c r="V162" i="4" s="1"/>
  <c r="S162" i="4"/>
  <c r="W162" i="4" s="1"/>
  <c r="L896" i="4"/>
  <c r="S985" i="4"/>
  <c r="U162" i="4"/>
  <c r="J279" i="4"/>
  <c r="V279" i="4"/>
  <c r="W279" i="4" s="1"/>
  <c r="J588" i="4"/>
  <c r="V588" i="4"/>
  <c r="S853" i="4"/>
  <c r="O854" i="4" s="1"/>
  <c r="U852" i="4"/>
  <c r="AA852" i="4" s="1"/>
  <c r="N160" i="4"/>
  <c r="Z160" i="4"/>
  <c r="N1249" i="4"/>
  <c r="R1249" i="4" s="1"/>
  <c r="L721" i="4"/>
  <c r="S501" i="4"/>
  <c r="Q1249" i="4"/>
  <c r="AA57" i="3"/>
  <c r="AE57" i="3" s="1"/>
  <c r="T1028" i="4"/>
  <c r="M1295" i="4"/>
  <c r="Q1295" i="4" s="1"/>
  <c r="U675" i="4"/>
  <c r="AA675" i="4" s="1"/>
  <c r="O676" i="4"/>
  <c r="R590" i="4"/>
  <c r="S415" i="4"/>
  <c r="U632" i="4"/>
  <c r="AA632" i="4" s="1"/>
  <c r="O633" i="4"/>
  <c r="S633" i="4" s="1"/>
  <c r="M986" i="4"/>
  <c r="P1248" i="4"/>
  <c r="L1248" i="4" s="1"/>
  <c r="N546" i="4"/>
  <c r="R546" i="4" s="1"/>
  <c r="T1117" i="4" l="1"/>
  <c r="U1117" i="4" s="1"/>
  <c r="AA1117" i="4" s="1"/>
  <c r="L1117" i="4"/>
  <c r="W1160" i="4"/>
  <c r="P1161" i="4"/>
  <c r="T1161" i="4" s="1"/>
  <c r="U1161" i="4" s="1"/>
  <c r="AA1161" i="4" s="1"/>
  <c r="W763" i="4"/>
  <c r="W1116" i="4"/>
  <c r="V720" i="4"/>
  <c r="W720" i="4" s="1"/>
  <c r="L1292" i="4"/>
  <c r="J1292" i="4" s="1"/>
  <c r="P324" i="4"/>
  <c r="T324" i="4" s="1"/>
  <c r="U324" i="4" s="1"/>
  <c r="AA324" i="4" s="1"/>
  <c r="T544" i="4"/>
  <c r="L544" i="4"/>
  <c r="P115" i="4"/>
  <c r="X115" i="4"/>
  <c r="Y115" i="4" s="1"/>
  <c r="Z53" i="3"/>
  <c r="AH53" i="3"/>
  <c r="AG114" i="4"/>
  <c r="M207" i="4"/>
  <c r="W455" i="4"/>
  <c r="U764" i="4"/>
  <c r="AA764" i="4" s="1"/>
  <c r="P765" i="4"/>
  <c r="W543" i="4"/>
  <c r="P941" i="4"/>
  <c r="J764" i="4"/>
  <c r="V764" i="4"/>
  <c r="X66" i="4"/>
  <c r="P66" i="4"/>
  <c r="T984" i="4"/>
  <c r="U984" i="4" s="1"/>
  <c r="AA984" i="4" s="1"/>
  <c r="O416" i="4"/>
  <c r="S416" i="4" s="1"/>
  <c r="J810" i="4"/>
  <c r="V810" i="4"/>
  <c r="J501" i="4"/>
  <c r="V501" i="4"/>
  <c r="M1296" i="4"/>
  <c r="N460" i="4"/>
  <c r="O634" i="4"/>
  <c r="S634" i="4" s="1"/>
  <c r="AA58" i="3"/>
  <c r="P854" i="4"/>
  <c r="T854" i="4" s="1"/>
  <c r="L854" i="4"/>
  <c r="N899" i="4"/>
  <c r="R899" i="4" s="1"/>
  <c r="Q69" i="4"/>
  <c r="M812" i="4"/>
  <c r="Q812" i="4" s="1"/>
  <c r="J280" i="4"/>
  <c r="V280" i="4"/>
  <c r="W280" i="4" s="1"/>
  <c r="J1293" i="4"/>
  <c r="V1293" i="4"/>
  <c r="O1074" i="4"/>
  <c r="U721" i="4"/>
  <c r="AA721" i="4" s="1"/>
  <c r="N635" i="4"/>
  <c r="R635" i="4" s="1"/>
  <c r="N1338" i="4"/>
  <c r="R1338" i="4" s="1"/>
  <c r="P369" i="4"/>
  <c r="T369" i="4" s="1"/>
  <c r="S1118" i="4"/>
  <c r="P1118" i="4"/>
  <c r="T1118" i="4" s="1"/>
  <c r="N1119" i="4"/>
  <c r="R1119" i="4" s="1"/>
  <c r="M462" i="4"/>
  <c r="Q462" i="4" s="1"/>
  <c r="N547" i="4"/>
  <c r="Y160" i="4"/>
  <c r="T161" i="4"/>
  <c r="P161" i="4" s="1"/>
  <c r="J456" i="4"/>
  <c r="V456" i="4"/>
  <c r="U588" i="4"/>
  <c r="AA588" i="4" s="1"/>
  <c r="P589" i="4"/>
  <c r="L589" i="4" s="1"/>
  <c r="N1162" i="4"/>
  <c r="R1162" i="4" s="1"/>
  <c r="Q635" i="4"/>
  <c r="S1031" i="4"/>
  <c r="P897" i="4"/>
  <c r="T897" i="4" s="1"/>
  <c r="L897" i="4"/>
  <c r="S1294" i="4"/>
  <c r="U414" i="4"/>
  <c r="AA414" i="4" s="1"/>
  <c r="M1075" i="4"/>
  <c r="Q1075" i="4" s="1"/>
  <c r="S897" i="4"/>
  <c r="M505" i="4"/>
  <c r="W808" i="4"/>
  <c r="S369" i="4"/>
  <c r="J1203" i="4"/>
  <c r="V1203" i="4"/>
  <c r="W1203" i="4" s="1"/>
  <c r="J632" i="4"/>
  <c r="V632" i="4"/>
  <c r="W632" i="4" s="1"/>
  <c r="P1337" i="4"/>
  <c r="L1337" i="4" s="1"/>
  <c r="N768" i="4"/>
  <c r="R768" i="4" s="1"/>
  <c r="J1073" i="4"/>
  <c r="V1073" i="4"/>
  <c r="J1336" i="4"/>
  <c r="V1336" i="4"/>
  <c r="W1336" i="4" s="1"/>
  <c r="N679" i="4"/>
  <c r="R679" i="4" s="1"/>
  <c r="J853" i="4"/>
  <c r="V853" i="4"/>
  <c r="R811" i="4"/>
  <c r="N1295" i="4"/>
  <c r="M284" i="4"/>
  <c r="O1205" i="4"/>
  <c r="N591" i="4"/>
  <c r="J675" i="4"/>
  <c r="V675" i="4"/>
  <c r="W675" i="4" s="1"/>
  <c r="M417" i="4"/>
  <c r="U1073" i="4"/>
  <c r="AA1073" i="4" s="1"/>
  <c r="Q1162" i="4"/>
  <c r="O722" i="4"/>
  <c r="S722" i="4" s="1"/>
  <c r="P633" i="4"/>
  <c r="T633" i="4" s="1"/>
  <c r="L633" i="4"/>
  <c r="Q118" i="4"/>
  <c r="J1248" i="4"/>
  <c r="V1248" i="4"/>
  <c r="Q1338" i="4"/>
  <c r="Q899" i="4"/>
  <c r="T1248" i="4"/>
  <c r="T810" i="4"/>
  <c r="U809" i="4"/>
  <c r="AA809" i="4" s="1"/>
  <c r="Q591" i="4"/>
  <c r="Q856" i="4"/>
  <c r="P985" i="4"/>
  <c r="L985" i="4" s="1"/>
  <c r="P415" i="4"/>
  <c r="L415" i="4" s="1"/>
  <c r="M1250" i="4"/>
  <c r="Q1250" i="4" s="1"/>
  <c r="M943" i="4"/>
  <c r="Q943" i="4" s="1"/>
  <c r="Q163" i="4"/>
  <c r="M1033" i="4"/>
  <c r="W500" i="4"/>
  <c r="N986" i="4"/>
  <c r="R986" i="4" s="1"/>
  <c r="O986" i="4"/>
  <c r="S986" i="4" s="1"/>
  <c r="P676" i="4"/>
  <c r="T676" i="4" s="1"/>
  <c r="U501" i="4"/>
  <c r="AA501" i="4" s="1"/>
  <c r="O502" i="4"/>
  <c r="J984" i="4"/>
  <c r="V984" i="4"/>
  <c r="J368" i="4"/>
  <c r="V368" i="4"/>
  <c r="W368" i="4" s="1"/>
  <c r="Q547" i="4"/>
  <c r="N325" i="4"/>
  <c r="R325" i="4" s="1"/>
  <c r="O325" i="4"/>
  <c r="S325" i="4" s="1"/>
  <c r="U1028" i="4"/>
  <c r="AA1028" i="4" s="1"/>
  <c r="P1029" i="4"/>
  <c r="L1029" i="4" s="1"/>
  <c r="J721" i="4"/>
  <c r="V721" i="4"/>
  <c r="J852" i="4"/>
  <c r="V852" i="4"/>
  <c r="W852" i="4" s="1"/>
  <c r="M1207" i="4"/>
  <c r="Q1207" i="4" s="1"/>
  <c r="Q768" i="4"/>
  <c r="N372" i="4"/>
  <c r="R117" i="4"/>
  <c r="V117" i="4" s="1"/>
  <c r="R855" i="4"/>
  <c r="N856" i="4" s="1"/>
  <c r="O811" i="4"/>
  <c r="P811" i="4" s="1"/>
  <c r="Q679" i="4"/>
  <c r="T1293" i="4"/>
  <c r="P1294" i="4" s="1"/>
  <c r="L1294" i="4" s="1"/>
  <c r="T456" i="4"/>
  <c r="W1335" i="4"/>
  <c r="Q373" i="4"/>
  <c r="AB57" i="3"/>
  <c r="AF57" i="3" s="1"/>
  <c r="Q1119" i="4"/>
  <c r="R547" i="4"/>
  <c r="Q986" i="4"/>
  <c r="S676" i="4"/>
  <c r="O1249" i="4"/>
  <c r="S1249" i="4" s="1"/>
  <c r="S854" i="4"/>
  <c r="U853" i="4"/>
  <c r="AA853" i="4" s="1"/>
  <c r="J896" i="4"/>
  <c r="V896" i="4"/>
  <c r="W896" i="4" s="1"/>
  <c r="O458" i="4"/>
  <c r="R1032" i="4"/>
  <c r="S942" i="4"/>
  <c r="Q325" i="4"/>
  <c r="U280" i="4"/>
  <c r="AA280" i="4" s="1"/>
  <c r="O281" i="4"/>
  <c r="S281" i="4" s="1"/>
  <c r="M723" i="4"/>
  <c r="S546" i="4"/>
  <c r="P1204" i="4"/>
  <c r="T1204" i="4" s="1"/>
  <c r="N283" i="4"/>
  <c r="R283" i="4" s="1"/>
  <c r="R68" i="4"/>
  <c r="V68" i="4" s="1"/>
  <c r="S68" i="4"/>
  <c r="W68" i="4" s="1"/>
  <c r="W764" i="4" l="1"/>
  <c r="J1117" i="4"/>
  <c r="V1117" i="4"/>
  <c r="W1117" i="4" s="1"/>
  <c r="V1292" i="4"/>
  <c r="W1292" i="4" s="1"/>
  <c r="L1161" i="4"/>
  <c r="L324" i="4"/>
  <c r="L1118" i="4"/>
  <c r="W1028" i="4"/>
  <c r="T67" i="4"/>
  <c r="Y66" i="4"/>
  <c r="AG115" i="4"/>
  <c r="M208" i="4"/>
  <c r="N115" i="4"/>
  <c r="Z115" i="4"/>
  <c r="W721" i="4"/>
  <c r="Z66" i="4"/>
  <c r="N66" i="4"/>
  <c r="AI53" i="3"/>
  <c r="AD54" i="3"/>
  <c r="T941" i="4"/>
  <c r="L941" i="4"/>
  <c r="T985" i="4"/>
  <c r="P986" i="4" s="1"/>
  <c r="L986" i="4" s="1"/>
  <c r="T765" i="4"/>
  <c r="L765" i="4"/>
  <c r="W588" i="4"/>
  <c r="T116" i="4"/>
  <c r="P116" i="4" s="1"/>
  <c r="V544" i="4"/>
  <c r="J544" i="4"/>
  <c r="S117" i="4"/>
  <c r="W117" i="4" s="1"/>
  <c r="U544" i="4"/>
  <c r="AA544" i="4" s="1"/>
  <c r="P545" i="4"/>
  <c r="T1337" i="4"/>
  <c r="U1337" i="4" s="1"/>
  <c r="AA1337" i="4" s="1"/>
  <c r="U633" i="4"/>
  <c r="AA633" i="4" s="1"/>
  <c r="M1251" i="4"/>
  <c r="Q1251" i="4" s="1"/>
  <c r="J1294" i="4"/>
  <c r="V1294" i="4"/>
  <c r="M813" i="4"/>
  <c r="Q813" i="4" s="1"/>
  <c r="T1249" i="4"/>
  <c r="U1248" i="4"/>
  <c r="AA1248" i="4" s="1"/>
  <c r="U1293" i="4"/>
  <c r="AA1293" i="4" s="1"/>
  <c r="J897" i="4"/>
  <c r="V897" i="4"/>
  <c r="O635" i="4"/>
  <c r="S635" i="4" s="1"/>
  <c r="W501" i="4"/>
  <c r="M326" i="4"/>
  <c r="Q326" i="4" s="1"/>
  <c r="N1033" i="4"/>
  <c r="R1033" i="4" s="1"/>
  <c r="M463" i="4"/>
  <c r="AC57" i="3"/>
  <c r="AG57" i="3" s="1"/>
  <c r="R118" i="4"/>
  <c r="V118" i="4" s="1"/>
  <c r="N161" i="4"/>
  <c r="Z161" i="4"/>
  <c r="U676" i="4"/>
  <c r="AA676" i="4" s="1"/>
  <c r="O677" i="4"/>
  <c r="R69" i="4"/>
  <c r="S69" i="4"/>
  <c r="W69" i="4" s="1"/>
  <c r="R163" i="4"/>
  <c r="V163" i="4" s="1"/>
  <c r="P1205" i="4"/>
  <c r="T1205" i="4" s="1"/>
  <c r="L1205" i="4"/>
  <c r="X161" i="4"/>
  <c r="M1208" i="4"/>
  <c r="Q1208" i="4" s="1"/>
  <c r="M944" i="4"/>
  <c r="W853" i="4"/>
  <c r="P634" i="4"/>
  <c r="T634" i="4" s="1"/>
  <c r="L634" i="4"/>
  <c r="U456" i="4"/>
  <c r="AA456" i="4" s="1"/>
  <c r="P457" i="4"/>
  <c r="L457" i="4" s="1"/>
  <c r="P325" i="4"/>
  <c r="T325" i="4" s="1"/>
  <c r="U325" i="4" s="1"/>
  <c r="AA325" i="4" s="1"/>
  <c r="T811" i="4"/>
  <c r="U810" i="4"/>
  <c r="AA810" i="4" s="1"/>
  <c r="M1163" i="4"/>
  <c r="N723" i="4"/>
  <c r="R723" i="4" s="1"/>
  <c r="J415" i="4"/>
  <c r="V415" i="4"/>
  <c r="J633" i="4"/>
  <c r="V633" i="4"/>
  <c r="S1074" i="4"/>
  <c r="U1204" i="4"/>
  <c r="AA1204" i="4" s="1"/>
  <c r="W414" i="4"/>
  <c r="J1337" i="4"/>
  <c r="V1337" i="4"/>
  <c r="N505" i="4"/>
  <c r="R505" i="4" s="1"/>
  <c r="P1074" i="4"/>
  <c r="T1074" i="4" s="1"/>
  <c r="O1119" i="4"/>
  <c r="U69" i="4"/>
  <c r="J854" i="4"/>
  <c r="V854" i="4"/>
  <c r="O282" i="4"/>
  <c r="S282" i="4" s="1"/>
  <c r="N812" i="4"/>
  <c r="R812" i="4" s="1"/>
  <c r="S1250" i="4"/>
  <c r="O855" i="4"/>
  <c r="O768" i="4"/>
  <c r="S768" i="4" s="1"/>
  <c r="M680" i="4"/>
  <c r="M987" i="4"/>
  <c r="J1029" i="4"/>
  <c r="V1029" i="4"/>
  <c r="J985" i="4"/>
  <c r="V985" i="4"/>
  <c r="S1205" i="4"/>
  <c r="O547" i="4"/>
  <c r="S547" i="4" s="1"/>
  <c r="P502" i="4"/>
  <c r="T502" i="4" s="1"/>
  <c r="N1250" i="4"/>
  <c r="R1250" i="4" s="1"/>
  <c r="O1250" i="4"/>
  <c r="M1076" i="4"/>
  <c r="Q1076" i="4" s="1"/>
  <c r="V69" i="4"/>
  <c r="O1162" i="4"/>
  <c r="S1162" i="4" s="1"/>
  <c r="M769" i="4"/>
  <c r="Q769" i="4" s="1"/>
  <c r="U118" i="4"/>
  <c r="U369" i="4"/>
  <c r="AA369" i="4" s="1"/>
  <c r="O370" i="4"/>
  <c r="S811" i="4"/>
  <c r="L811" i="4"/>
  <c r="M548" i="4"/>
  <c r="Q548" i="4" s="1"/>
  <c r="R856" i="4"/>
  <c r="R591" i="4"/>
  <c r="N417" i="4"/>
  <c r="R417" i="4" s="1"/>
  <c r="J589" i="4"/>
  <c r="V589" i="4"/>
  <c r="U1118" i="4"/>
  <c r="AA1118" i="4" s="1"/>
  <c r="O1338" i="4"/>
  <c r="S1338" i="4" s="1"/>
  <c r="S458" i="4"/>
  <c r="AB58" i="3"/>
  <c r="AB59" i="3" s="1"/>
  <c r="AA59" i="3"/>
  <c r="P722" i="4"/>
  <c r="T722" i="4" s="1"/>
  <c r="S502" i="4"/>
  <c r="L676" i="4"/>
  <c r="J324" i="4"/>
  <c r="V324" i="4"/>
  <c r="W324" i="4" s="1"/>
  <c r="M857" i="4"/>
  <c r="R1295" i="4"/>
  <c r="P281" i="4"/>
  <c r="T281" i="4" s="1"/>
  <c r="U281" i="4" s="1"/>
  <c r="AA281" i="4" s="1"/>
  <c r="W809" i="4"/>
  <c r="N1207" i="4"/>
  <c r="R1207" i="4" s="1"/>
  <c r="T1029" i="4"/>
  <c r="O1032" i="4"/>
  <c r="S1032" i="4" s="1"/>
  <c r="N943" i="4"/>
  <c r="R943" i="4" s="1"/>
  <c r="M1339" i="4"/>
  <c r="O591" i="4"/>
  <c r="S591" i="4" s="1"/>
  <c r="N284" i="4"/>
  <c r="R284" i="4" s="1"/>
  <c r="O898" i="4"/>
  <c r="S898" i="4" s="1"/>
  <c r="U897" i="4"/>
  <c r="AA897" i="4" s="1"/>
  <c r="T415" i="4"/>
  <c r="R372" i="4"/>
  <c r="AE58" i="3"/>
  <c r="Q1296" i="4"/>
  <c r="T1294" i="4"/>
  <c r="Q1033" i="4"/>
  <c r="O1295" i="4"/>
  <c r="N205" i="4"/>
  <c r="AG160" i="4"/>
  <c r="U163" i="4"/>
  <c r="M1120" i="4"/>
  <c r="U854" i="4"/>
  <c r="AA854" i="4" s="1"/>
  <c r="Q723" i="4"/>
  <c r="M374" i="4"/>
  <c r="Q374" i="4" s="1"/>
  <c r="J1118" i="4"/>
  <c r="V1118" i="4"/>
  <c r="M900" i="4"/>
  <c r="Q505" i="4"/>
  <c r="L1204" i="4"/>
  <c r="W984" i="4"/>
  <c r="M592" i="4"/>
  <c r="Q592" i="4" s="1"/>
  <c r="P1249" i="4"/>
  <c r="L1249" i="4" s="1"/>
  <c r="Q417" i="4"/>
  <c r="Q284" i="4"/>
  <c r="W1073" i="4"/>
  <c r="N1075" i="4"/>
  <c r="R1075" i="4" s="1"/>
  <c r="O1075" i="4"/>
  <c r="M636" i="4"/>
  <c r="T589" i="4"/>
  <c r="L369" i="4"/>
  <c r="R460" i="4"/>
  <c r="J1161" i="4" l="1"/>
  <c r="V1161" i="4"/>
  <c r="W1161" i="4" s="1"/>
  <c r="P1075" i="4"/>
  <c r="X116" i="4"/>
  <c r="T117" i="4" s="1"/>
  <c r="P117" i="4" s="1"/>
  <c r="Z117" i="4" s="1"/>
  <c r="P766" i="4"/>
  <c r="L766" i="4" s="1"/>
  <c r="U765" i="4"/>
  <c r="AA765" i="4" s="1"/>
  <c r="T766" i="4"/>
  <c r="P1338" i="4"/>
  <c r="T1338" i="4" s="1"/>
  <c r="U1338" i="4" s="1"/>
  <c r="AA1338" i="4" s="1"/>
  <c r="T545" i="4"/>
  <c r="L545" i="4"/>
  <c r="AF58" i="3"/>
  <c r="AF59" i="3" s="1"/>
  <c r="W1248" i="4"/>
  <c r="AG66" i="4"/>
  <c r="L207" i="4"/>
  <c r="W1293" i="4"/>
  <c r="L325" i="4"/>
  <c r="J325" i="4" s="1"/>
  <c r="W456" i="4"/>
  <c r="Z54" i="3"/>
  <c r="AH54" i="3"/>
  <c r="X67" i="4"/>
  <c r="P67" i="4"/>
  <c r="V765" i="4"/>
  <c r="J765" i="4"/>
  <c r="V941" i="4"/>
  <c r="J941" i="4"/>
  <c r="U985" i="4"/>
  <c r="AA985" i="4" s="1"/>
  <c r="P1162" i="4"/>
  <c r="T1162" i="4" s="1"/>
  <c r="P942" i="4"/>
  <c r="L942" i="4" s="1"/>
  <c r="U941" i="4"/>
  <c r="AA941" i="4" s="1"/>
  <c r="T986" i="4"/>
  <c r="U986" i="4" s="1"/>
  <c r="AA986" i="4" s="1"/>
  <c r="W633" i="4"/>
  <c r="W1118" i="4"/>
  <c r="P1295" i="4"/>
  <c r="L281" i="4"/>
  <c r="J281" i="4" s="1"/>
  <c r="W544" i="4"/>
  <c r="O283" i="4"/>
  <c r="O899" i="4"/>
  <c r="S899" i="4" s="1"/>
  <c r="M770" i="4"/>
  <c r="M814" i="4"/>
  <c r="N117" i="4"/>
  <c r="M375" i="4"/>
  <c r="M549" i="4"/>
  <c r="Q549" i="4" s="1"/>
  <c r="U634" i="4"/>
  <c r="AA634" i="4" s="1"/>
  <c r="M1252" i="4"/>
  <c r="Q1252" i="4" s="1"/>
  <c r="M1077" i="4"/>
  <c r="Q1077" i="4" s="1"/>
  <c r="Q119" i="4"/>
  <c r="Q70" i="4"/>
  <c r="U70" i="4" s="1"/>
  <c r="N1120" i="4"/>
  <c r="R1120" i="4" s="1"/>
  <c r="P677" i="4"/>
  <c r="T677" i="4" s="1"/>
  <c r="N987" i="4"/>
  <c r="R987" i="4" s="1"/>
  <c r="O987" i="4"/>
  <c r="S987" i="4" s="1"/>
  <c r="J1205" i="4"/>
  <c r="V1205" i="4"/>
  <c r="M327" i="4"/>
  <c r="N1251" i="4"/>
  <c r="N900" i="4"/>
  <c r="R900" i="4" s="1"/>
  <c r="N857" i="4"/>
  <c r="R857" i="4" s="1"/>
  <c r="N548" i="4"/>
  <c r="R548" i="4" s="1"/>
  <c r="O723" i="4"/>
  <c r="S723" i="4" s="1"/>
  <c r="J634" i="4"/>
  <c r="V634" i="4"/>
  <c r="W634" i="4" s="1"/>
  <c r="Q857" i="4"/>
  <c r="O417" i="4"/>
  <c r="S417" i="4" s="1"/>
  <c r="Q900" i="4"/>
  <c r="M1034" i="4"/>
  <c r="N1339" i="4"/>
  <c r="R1339" i="4" s="1"/>
  <c r="T1075" i="4"/>
  <c r="Q1120" i="4"/>
  <c r="S163" i="4"/>
  <c r="W163" i="4" s="1"/>
  <c r="S1119" i="4"/>
  <c r="N944" i="4"/>
  <c r="R944" i="4" s="1"/>
  <c r="U589" i="4"/>
  <c r="AA589" i="4" s="1"/>
  <c r="P590" i="4"/>
  <c r="L590" i="4" s="1"/>
  <c r="Q164" i="4"/>
  <c r="U164" i="4" s="1"/>
  <c r="L722" i="4"/>
  <c r="N636" i="4"/>
  <c r="R636" i="4" s="1"/>
  <c r="S1295" i="4"/>
  <c r="J676" i="4"/>
  <c r="V676" i="4"/>
  <c r="W676" i="4" s="1"/>
  <c r="P370" i="4"/>
  <c r="T370" i="4" s="1"/>
  <c r="W985" i="4"/>
  <c r="N680" i="4"/>
  <c r="R680" i="4" s="1"/>
  <c r="O812" i="4"/>
  <c r="S812" i="4" s="1"/>
  <c r="W810" i="4"/>
  <c r="N1163" i="4"/>
  <c r="R1163" i="4" s="1"/>
  <c r="J457" i="4"/>
  <c r="V457" i="4"/>
  <c r="Q944" i="4"/>
  <c r="S118" i="4"/>
  <c r="O1033" i="4"/>
  <c r="U1249" i="4"/>
  <c r="AA1249" i="4" s="1"/>
  <c r="O459" i="4"/>
  <c r="N769" i="4"/>
  <c r="R769" i="4" s="1"/>
  <c r="L502" i="4"/>
  <c r="L1295" i="4"/>
  <c r="J986" i="4"/>
  <c r="V986" i="4"/>
  <c r="P898" i="4"/>
  <c r="T898" i="4" s="1"/>
  <c r="U898" i="4" s="1"/>
  <c r="AA898" i="4" s="1"/>
  <c r="L898" i="4"/>
  <c r="N1076" i="4"/>
  <c r="R1076" i="4" s="1"/>
  <c r="P855" i="4"/>
  <c r="T855" i="4" s="1"/>
  <c r="S1075" i="4"/>
  <c r="O1076" i="4" s="1"/>
  <c r="P1076" i="4" s="1"/>
  <c r="U1074" i="4"/>
  <c r="AA1074" i="4" s="1"/>
  <c r="L1075" i="4"/>
  <c r="T1295" i="4"/>
  <c r="Q1339" i="4"/>
  <c r="J811" i="4"/>
  <c r="V811" i="4"/>
  <c r="N1296" i="4"/>
  <c r="S677" i="4"/>
  <c r="S855" i="4"/>
  <c r="U722" i="4"/>
  <c r="AA722" i="4" s="1"/>
  <c r="N116" i="4"/>
  <c r="Z116" i="4"/>
  <c r="Q987" i="4"/>
  <c r="X117" i="4"/>
  <c r="Y116" i="4"/>
  <c r="W897" i="4"/>
  <c r="N461" i="4"/>
  <c r="R461" i="4" s="1"/>
  <c r="AE59" i="3"/>
  <c r="B56" i="1"/>
  <c r="A9" i="1"/>
  <c r="O943" i="4"/>
  <c r="W854" i="4"/>
  <c r="W1337" i="4"/>
  <c r="Q1163" i="4"/>
  <c r="N1208" i="4"/>
  <c r="R1208" i="4" s="1"/>
  <c r="L1074" i="4"/>
  <c r="M1209" i="4"/>
  <c r="N813" i="4"/>
  <c r="R813" i="4" s="1"/>
  <c r="J369" i="4"/>
  <c r="V369" i="4"/>
  <c r="W369" i="4" s="1"/>
  <c r="M593" i="4"/>
  <c r="P416" i="4"/>
  <c r="L416" i="4" s="1"/>
  <c r="U415" i="4"/>
  <c r="AA415" i="4" s="1"/>
  <c r="U502" i="4"/>
  <c r="AA502" i="4" s="1"/>
  <c r="O503" i="4"/>
  <c r="U1029" i="4"/>
  <c r="AA1029" i="4" s="1"/>
  <c r="P1030" i="4"/>
  <c r="L1030" i="4" s="1"/>
  <c r="P1119" i="4"/>
  <c r="T1119" i="4" s="1"/>
  <c r="J1249" i="4"/>
  <c r="V1249" i="4"/>
  <c r="P282" i="4"/>
  <c r="L282" i="4"/>
  <c r="Y161" i="4"/>
  <c r="T162" i="4"/>
  <c r="P162" i="4" s="1"/>
  <c r="Q463" i="4"/>
  <c r="M1297" i="4"/>
  <c r="U811" i="4"/>
  <c r="AA811" i="4" s="1"/>
  <c r="O1206" i="4"/>
  <c r="U1205" i="4"/>
  <c r="AA1205" i="4" s="1"/>
  <c r="P635" i="4"/>
  <c r="L635" i="4" s="1"/>
  <c r="M285" i="4"/>
  <c r="U1294" i="4"/>
  <c r="AA1294" i="4" s="1"/>
  <c r="M418" i="4"/>
  <c r="Q636" i="4"/>
  <c r="J1204" i="4"/>
  <c r="V1204" i="4"/>
  <c r="W1204" i="4" s="1"/>
  <c r="N592" i="4"/>
  <c r="R592" i="4" s="1"/>
  <c r="M506" i="4"/>
  <c r="Q506" i="4" s="1"/>
  <c r="M724" i="4"/>
  <c r="N373" i="4"/>
  <c r="T282" i="4"/>
  <c r="AC58" i="3"/>
  <c r="AG58" i="3" s="1"/>
  <c r="S370" i="4"/>
  <c r="P1250" i="4"/>
  <c r="L1250" i="4" s="1"/>
  <c r="Q680" i="4"/>
  <c r="U1162" i="4"/>
  <c r="AA1162" i="4" s="1"/>
  <c r="T457" i="4"/>
  <c r="N326" i="4"/>
  <c r="R326" i="4" s="1"/>
  <c r="V281" i="4" l="1"/>
  <c r="W281" i="4" s="1"/>
  <c r="L1162" i="4"/>
  <c r="U1075" i="4"/>
  <c r="AA1075" i="4" s="1"/>
  <c r="W765" i="4"/>
  <c r="W589" i="4"/>
  <c r="V325" i="4"/>
  <c r="W325" i="4" s="1"/>
  <c r="V545" i="4"/>
  <c r="J545" i="4"/>
  <c r="P812" i="4"/>
  <c r="T812" i="4" s="1"/>
  <c r="W1294" i="4"/>
  <c r="P767" i="4"/>
  <c r="U766" i="4"/>
  <c r="AA766" i="4" s="1"/>
  <c r="L1119" i="4"/>
  <c r="V1119" i="4" s="1"/>
  <c r="Y67" i="4"/>
  <c r="T68" i="4"/>
  <c r="D9" i="1"/>
  <c r="J942" i="4"/>
  <c r="V942" i="4"/>
  <c r="P546" i="4"/>
  <c r="L546" i="4" s="1"/>
  <c r="U545" i="4"/>
  <c r="AA545" i="4" s="1"/>
  <c r="W1205" i="4"/>
  <c r="L1338" i="4"/>
  <c r="P723" i="4"/>
  <c r="T723" i="4" s="1"/>
  <c r="U723" i="4" s="1"/>
  <c r="AA723" i="4" s="1"/>
  <c r="Z67" i="4"/>
  <c r="N67" i="4"/>
  <c r="B57" i="1"/>
  <c r="AI54" i="3"/>
  <c r="AD55" i="3"/>
  <c r="X162" i="4"/>
  <c r="W986" i="4"/>
  <c r="T942" i="4"/>
  <c r="U942" i="4" s="1"/>
  <c r="AA942" i="4" s="1"/>
  <c r="O769" i="4"/>
  <c r="S769" i="4" s="1"/>
  <c r="O548" i="4"/>
  <c r="S548" i="4" s="1"/>
  <c r="W941" i="4"/>
  <c r="V766" i="4"/>
  <c r="W766" i="4" s="1"/>
  <c r="J766" i="4"/>
  <c r="M1253" i="4"/>
  <c r="M507" i="4"/>
  <c r="Q71" i="4"/>
  <c r="M550" i="4"/>
  <c r="Q550" i="4" s="1"/>
  <c r="U370" i="4"/>
  <c r="AA370" i="4" s="1"/>
  <c r="O371" i="4"/>
  <c r="M637" i="4"/>
  <c r="Y162" i="4"/>
  <c r="O1296" i="4"/>
  <c r="P1296" i="4" s="1"/>
  <c r="T1296" i="4" s="1"/>
  <c r="AG59" i="3"/>
  <c r="G9" i="1"/>
  <c r="B58" i="1"/>
  <c r="U1119" i="4"/>
  <c r="AA1119" i="4" s="1"/>
  <c r="N327" i="4"/>
  <c r="R327" i="4" s="1"/>
  <c r="N814" i="4"/>
  <c r="R814" i="4" s="1"/>
  <c r="O326" i="4"/>
  <c r="S326" i="4" s="1"/>
  <c r="AC59" i="3"/>
  <c r="W811" i="4"/>
  <c r="J502" i="4"/>
  <c r="V502" i="4"/>
  <c r="W502" i="4" s="1"/>
  <c r="R1209" i="4"/>
  <c r="M1078" i="4"/>
  <c r="Q1078" i="4" s="1"/>
  <c r="J1030" i="4"/>
  <c r="V1030" i="4"/>
  <c r="J590" i="4"/>
  <c r="V590" i="4"/>
  <c r="Q327" i="4"/>
  <c r="Q1297" i="4"/>
  <c r="J416" i="4"/>
  <c r="V416" i="4"/>
  <c r="W415" i="4"/>
  <c r="O900" i="4"/>
  <c r="S900" i="4" s="1"/>
  <c r="W1249" i="4"/>
  <c r="T1030" i="4"/>
  <c r="T416" i="4"/>
  <c r="P417" i="4" s="1"/>
  <c r="L417" i="4" s="1"/>
  <c r="L370" i="4"/>
  <c r="T590" i="4"/>
  <c r="N1034" i="4"/>
  <c r="R1034" i="4" s="1"/>
  <c r="O1120" i="4"/>
  <c r="P1120" i="4" s="1"/>
  <c r="T1120" i="4" s="1"/>
  <c r="R119" i="4"/>
  <c r="Q120" i="4"/>
  <c r="N770" i="4"/>
  <c r="R770" i="4" s="1"/>
  <c r="O592" i="4"/>
  <c r="N506" i="4"/>
  <c r="R506" i="4" s="1"/>
  <c r="J1074" i="4"/>
  <c r="V1074" i="4"/>
  <c r="W1074" i="4" s="1"/>
  <c r="J1295" i="4"/>
  <c r="V1295" i="4"/>
  <c r="P899" i="4"/>
  <c r="T899" i="4" s="1"/>
  <c r="L899" i="4"/>
  <c r="J282" i="4"/>
  <c r="V282" i="4"/>
  <c r="N462" i="4"/>
  <c r="M988" i="4"/>
  <c r="Q988" i="4" s="1"/>
  <c r="L855" i="4"/>
  <c r="Q165" i="4"/>
  <c r="U165" i="4" s="1"/>
  <c r="O1339" i="4"/>
  <c r="S1339" i="4" s="1"/>
  <c r="R70" i="4"/>
  <c r="V70" i="4" s="1"/>
  <c r="N549" i="4"/>
  <c r="N418" i="4"/>
  <c r="R418" i="4" s="1"/>
  <c r="O813" i="4"/>
  <c r="Q814" i="4"/>
  <c r="N285" i="4"/>
  <c r="R285" i="4" s="1"/>
  <c r="P943" i="4"/>
  <c r="S943" i="4"/>
  <c r="O944" i="4" s="1"/>
  <c r="M1340" i="4"/>
  <c r="Q1340" i="4" s="1"/>
  <c r="P987" i="4"/>
  <c r="T987" i="4" s="1"/>
  <c r="U987" i="4" s="1"/>
  <c r="AA987" i="4" s="1"/>
  <c r="J1119" i="4"/>
  <c r="U457" i="4"/>
  <c r="AA457" i="4" s="1"/>
  <c r="P458" i="4"/>
  <c r="L458" i="4" s="1"/>
  <c r="Q418" i="4"/>
  <c r="N1209" i="4"/>
  <c r="O636" i="4"/>
  <c r="Q285" i="4"/>
  <c r="N593" i="4"/>
  <c r="R593" i="4" s="1"/>
  <c r="M209" i="4"/>
  <c r="AG116" i="4"/>
  <c r="J1075" i="4"/>
  <c r="V1075" i="4"/>
  <c r="W1075" i="4" s="1"/>
  <c r="L1076" i="4"/>
  <c r="M858" i="4"/>
  <c r="Q770" i="4"/>
  <c r="U119" i="4"/>
  <c r="N724" i="4"/>
  <c r="R724" i="4" s="1"/>
  <c r="M464" i="4"/>
  <c r="P503" i="4"/>
  <c r="T503" i="4" s="1"/>
  <c r="T163" i="4"/>
  <c r="P163" i="4" s="1"/>
  <c r="U1295" i="4"/>
  <c r="AA1295" i="4" s="1"/>
  <c r="R373" i="4"/>
  <c r="J635" i="4"/>
  <c r="V635" i="4"/>
  <c r="Q593" i="4"/>
  <c r="Q1209" i="4"/>
  <c r="M1164" i="4"/>
  <c r="J898" i="4"/>
  <c r="V898" i="4"/>
  <c r="W898" i="4" s="1"/>
  <c r="M945" i="4"/>
  <c r="J722" i="4"/>
  <c r="V722" i="4"/>
  <c r="W722" i="4" s="1"/>
  <c r="M1121" i="4"/>
  <c r="Q1034" i="4"/>
  <c r="M681" i="4"/>
  <c r="Y117" i="4"/>
  <c r="M901" i="4"/>
  <c r="Q901" i="4" s="1"/>
  <c r="T118" i="4"/>
  <c r="P118" i="4" s="1"/>
  <c r="Q375" i="4"/>
  <c r="P283" i="4"/>
  <c r="T283" i="4" s="1"/>
  <c r="W1029" i="4"/>
  <c r="P1206" i="4"/>
  <c r="T1206" i="4" s="1"/>
  <c r="N162" i="4"/>
  <c r="Z162" i="4"/>
  <c r="U855" i="4"/>
  <c r="AA855" i="4" s="1"/>
  <c r="O856" i="4"/>
  <c r="S459" i="4"/>
  <c r="W118" i="4"/>
  <c r="T1076" i="4"/>
  <c r="O1251" i="4"/>
  <c r="R1296" i="4"/>
  <c r="L677" i="4"/>
  <c r="U282" i="4"/>
  <c r="AA282" i="4" s="1"/>
  <c r="P326" i="4"/>
  <c r="T326" i="4" s="1"/>
  <c r="U326" i="4" s="1"/>
  <c r="AA326" i="4" s="1"/>
  <c r="J1250" i="4"/>
  <c r="V1250" i="4"/>
  <c r="Q724" i="4"/>
  <c r="S1206" i="4"/>
  <c r="AG161" i="4"/>
  <c r="N206" i="4"/>
  <c r="S503" i="4"/>
  <c r="S1033" i="4"/>
  <c r="R1251" i="4"/>
  <c r="N1252" i="4" s="1"/>
  <c r="J1162" i="4"/>
  <c r="V1162" i="4"/>
  <c r="W1162" i="4" s="1"/>
  <c r="U677" i="4"/>
  <c r="AA677" i="4" s="1"/>
  <c r="O678" i="4"/>
  <c r="S678" i="4" s="1"/>
  <c r="S1076" i="4"/>
  <c r="U812" i="4"/>
  <c r="AA812" i="4" s="1"/>
  <c r="O1163" i="4"/>
  <c r="R164" i="4"/>
  <c r="V164" i="4" s="1"/>
  <c r="T1250" i="4"/>
  <c r="N1077" i="4"/>
  <c r="T635" i="4"/>
  <c r="S283" i="4"/>
  <c r="U1076" i="4" l="1"/>
  <c r="AA1076" i="4" s="1"/>
  <c r="X163" i="4"/>
  <c r="S119" i="4"/>
  <c r="S120" i="4" s="1"/>
  <c r="X118" i="4"/>
  <c r="Y118" i="4" s="1"/>
  <c r="L1120" i="4"/>
  <c r="J1120" i="4" s="1"/>
  <c r="T546" i="4"/>
  <c r="U546" i="4" s="1"/>
  <c r="AA546" i="4" s="1"/>
  <c r="L1206" i="4"/>
  <c r="J1206" i="4" s="1"/>
  <c r="X68" i="4"/>
  <c r="P68" i="4"/>
  <c r="AG67" i="4"/>
  <c r="L208" i="4"/>
  <c r="J1338" i="4"/>
  <c r="V1338" i="4"/>
  <c r="W1338" i="4" s="1"/>
  <c r="O1077" i="4"/>
  <c r="P1077" i="4" s="1"/>
  <c r="T1077" i="4" s="1"/>
  <c r="Z55" i="3"/>
  <c r="AH55" i="3"/>
  <c r="J546" i="4"/>
  <c r="V546" i="4"/>
  <c r="L723" i="4"/>
  <c r="L812" i="4"/>
  <c r="V812" i="4" s="1"/>
  <c r="W812" i="4" s="1"/>
  <c r="W942" i="4"/>
  <c r="L1296" i="4"/>
  <c r="V1296" i="4" s="1"/>
  <c r="L503" i="4"/>
  <c r="J503" i="4" s="1"/>
  <c r="O327" i="4"/>
  <c r="S327" i="4" s="1"/>
  <c r="L767" i="4"/>
  <c r="T767" i="4"/>
  <c r="W1295" i="4"/>
  <c r="S1296" i="4"/>
  <c r="U1296" i="4" s="1"/>
  <c r="AA1296" i="4" s="1"/>
  <c r="R1077" i="4"/>
  <c r="P813" i="4"/>
  <c r="L813" i="4" s="1"/>
  <c r="L987" i="4"/>
  <c r="W545" i="4"/>
  <c r="M902" i="4"/>
  <c r="M1341" i="4"/>
  <c r="Q1341" i="4" s="1"/>
  <c r="Q166" i="4"/>
  <c r="U166" i="4" s="1"/>
  <c r="J1296" i="4"/>
  <c r="O679" i="4"/>
  <c r="U899" i="4"/>
  <c r="AA899" i="4" s="1"/>
  <c r="V503" i="4"/>
  <c r="O460" i="4"/>
  <c r="AG162" i="4"/>
  <c r="N207" i="4"/>
  <c r="P856" i="4"/>
  <c r="T856" i="4" s="1"/>
  <c r="R71" i="4"/>
  <c r="R72" i="4" s="1"/>
  <c r="Q72" i="4"/>
  <c r="N374" i="4"/>
  <c r="R374" i="4" s="1"/>
  <c r="N637" i="4"/>
  <c r="R637" i="4" s="1"/>
  <c r="M1035" i="4"/>
  <c r="Q1035" i="4" s="1"/>
  <c r="T943" i="4"/>
  <c r="P944" i="4" s="1"/>
  <c r="L944" i="4" s="1"/>
  <c r="L943" i="4"/>
  <c r="J987" i="4"/>
  <c r="V987" i="4"/>
  <c r="W987" i="4" s="1"/>
  <c r="N945" i="4"/>
  <c r="R945" i="4" s="1"/>
  <c r="Q945" i="4"/>
  <c r="J723" i="4"/>
  <c r="V723" i="4"/>
  <c r="W723" i="4" s="1"/>
  <c r="S944" i="4"/>
  <c r="S856" i="4"/>
  <c r="M1298" i="4"/>
  <c r="Q1298" i="4" s="1"/>
  <c r="Q637" i="4"/>
  <c r="L283" i="4"/>
  <c r="N1121" i="4"/>
  <c r="R1121" i="4" s="1"/>
  <c r="O724" i="4"/>
  <c r="S724" i="4" s="1"/>
  <c r="N858" i="4"/>
  <c r="R858" i="4" s="1"/>
  <c r="Z118" i="4"/>
  <c r="N118" i="4"/>
  <c r="W1119" i="4"/>
  <c r="P1339" i="4"/>
  <c r="T1339" i="4" s="1"/>
  <c r="O549" i="4"/>
  <c r="S549" i="4" s="1"/>
  <c r="O770" i="4"/>
  <c r="S770" i="4" s="1"/>
  <c r="P900" i="4"/>
  <c r="L900" i="4" s="1"/>
  <c r="T417" i="4"/>
  <c r="U416" i="4"/>
  <c r="AA416" i="4" s="1"/>
  <c r="M328" i="4"/>
  <c r="Q328" i="4" s="1"/>
  <c r="J899" i="4"/>
  <c r="V899" i="4"/>
  <c r="R1252" i="4"/>
  <c r="N1253" i="4" s="1"/>
  <c r="U1250" i="4"/>
  <c r="AA1250" i="4" s="1"/>
  <c r="M286" i="4"/>
  <c r="J417" i="4"/>
  <c r="V417" i="4"/>
  <c r="N163" i="4"/>
  <c r="Z163" i="4"/>
  <c r="M210" i="4"/>
  <c r="AG117" i="4"/>
  <c r="Q1121" i="4"/>
  <c r="W457" i="4"/>
  <c r="P724" i="4"/>
  <c r="T724" i="4" s="1"/>
  <c r="U724" i="4" s="1"/>
  <c r="AA724" i="4" s="1"/>
  <c r="R549" i="4"/>
  <c r="U1030" i="4"/>
  <c r="AA1030" i="4" s="1"/>
  <c r="P1031" i="4"/>
  <c r="L1031" i="4" s="1"/>
  <c r="P371" i="4"/>
  <c r="T371" i="4" s="1"/>
  <c r="P1163" i="4"/>
  <c r="T1163" i="4" s="1"/>
  <c r="S1163" i="4"/>
  <c r="V1120" i="4"/>
  <c r="S1077" i="4"/>
  <c r="Y163" i="4"/>
  <c r="Q464" i="4"/>
  <c r="S592" i="4"/>
  <c r="P1251" i="4"/>
  <c r="T1251" i="4" s="1"/>
  <c r="S1251" i="4"/>
  <c r="R165" i="4"/>
  <c r="V165" i="4" s="1"/>
  <c r="U283" i="4"/>
  <c r="AA283" i="4" s="1"/>
  <c r="O284" i="4"/>
  <c r="S284" i="4" s="1"/>
  <c r="T164" i="4"/>
  <c r="P164" i="4" s="1"/>
  <c r="U1206" i="4"/>
  <c r="AA1206" i="4" s="1"/>
  <c r="O1207" i="4"/>
  <c r="M376" i="4"/>
  <c r="Q376" i="4" s="1"/>
  <c r="N1164" i="4"/>
  <c r="R1164" i="4" s="1"/>
  <c r="M771" i="4"/>
  <c r="U635" i="4"/>
  <c r="AA635" i="4" s="1"/>
  <c r="S164" i="4"/>
  <c r="W164" i="4" s="1"/>
  <c r="M725" i="4"/>
  <c r="Q858" i="4"/>
  <c r="N507" i="4"/>
  <c r="L1251" i="4"/>
  <c r="M594" i="4"/>
  <c r="Q594" i="4" s="1"/>
  <c r="N681" i="4"/>
  <c r="R681" i="4" s="1"/>
  <c r="J1076" i="4"/>
  <c r="V1076" i="4"/>
  <c r="O418" i="4"/>
  <c r="S418" i="4" s="1"/>
  <c r="U590" i="4"/>
  <c r="AA590" i="4" s="1"/>
  <c r="P591" i="4"/>
  <c r="L591" i="4" s="1"/>
  <c r="J813" i="4"/>
  <c r="V813" i="4"/>
  <c r="M1079" i="4"/>
  <c r="J677" i="4"/>
  <c r="V677" i="4"/>
  <c r="W677" i="4" s="1"/>
  <c r="J458" i="4"/>
  <c r="V458" i="4"/>
  <c r="J370" i="4"/>
  <c r="V370" i="4"/>
  <c r="W370" i="4" s="1"/>
  <c r="U503" i="4"/>
  <c r="AA503" i="4" s="1"/>
  <c r="O504" i="4"/>
  <c r="S504" i="4" s="1"/>
  <c r="Q681" i="4"/>
  <c r="L326" i="4"/>
  <c r="U71" i="4"/>
  <c r="P636" i="4"/>
  <c r="T636" i="4" s="1"/>
  <c r="S636" i="4"/>
  <c r="Q1164" i="4"/>
  <c r="S70" i="4"/>
  <c r="J855" i="4"/>
  <c r="V855" i="4"/>
  <c r="W855" i="4" s="1"/>
  <c r="W282" i="4"/>
  <c r="O1034" i="4"/>
  <c r="S1034" i="4" s="1"/>
  <c r="W590" i="4"/>
  <c r="S371" i="4"/>
  <c r="N901" i="4"/>
  <c r="R901" i="4" s="1"/>
  <c r="O901" i="4"/>
  <c r="S901" i="4" s="1"/>
  <c r="N1340" i="4"/>
  <c r="R1340" i="4" s="1"/>
  <c r="M551" i="4"/>
  <c r="Q551" i="4" s="1"/>
  <c r="W635" i="4"/>
  <c r="M419" i="4"/>
  <c r="Q419" i="4" s="1"/>
  <c r="M989" i="4"/>
  <c r="Q989" i="4" s="1"/>
  <c r="P678" i="4"/>
  <c r="T678" i="4" s="1"/>
  <c r="S1120" i="4"/>
  <c r="T458" i="4"/>
  <c r="R462" i="4"/>
  <c r="N1297" i="4"/>
  <c r="R1297" i="4" s="1"/>
  <c r="M1210" i="4"/>
  <c r="U120" i="4"/>
  <c r="M815" i="4"/>
  <c r="V71" i="4"/>
  <c r="V72" i="4" s="1"/>
  <c r="N988" i="4"/>
  <c r="R988" i="4" s="1"/>
  <c r="R120" i="4"/>
  <c r="V119" i="4"/>
  <c r="V120" i="4" s="1"/>
  <c r="N1078" i="4"/>
  <c r="R1078" i="4" s="1"/>
  <c r="S813" i="4"/>
  <c r="Q507" i="4"/>
  <c r="Q1253" i="4"/>
  <c r="V1206" i="4" l="1"/>
  <c r="U943" i="4"/>
  <c r="AA943" i="4" s="1"/>
  <c r="P547" i="4"/>
  <c r="T547" i="4" s="1"/>
  <c r="W119" i="4"/>
  <c r="W120" i="4" s="1"/>
  <c r="T591" i="4"/>
  <c r="W1250" i="4"/>
  <c r="W1076" i="4"/>
  <c r="T119" i="4"/>
  <c r="T120" i="4" s="1"/>
  <c r="W546" i="4"/>
  <c r="P119" i="4"/>
  <c r="Z119" i="4" s="1"/>
  <c r="L1339" i="4"/>
  <c r="V1339" i="4" s="1"/>
  <c r="P768" i="4"/>
  <c r="L768" i="4" s="1"/>
  <c r="U767" i="4"/>
  <c r="AA767" i="4" s="1"/>
  <c r="T768" i="4"/>
  <c r="P418" i="4"/>
  <c r="L418" i="4" s="1"/>
  <c r="V418" i="4" s="1"/>
  <c r="J812" i="4"/>
  <c r="P327" i="4"/>
  <c r="T69" i="4"/>
  <c r="Y68" i="4"/>
  <c r="T900" i="4"/>
  <c r="U900" i="4" s="1"/>
  <c r="AA900" i="4" s="1"/>
  <c r="X164" i="4"/>
  <c r="Y164" i="4" s="1"/>
  <c r="N209" i="4" s="1"/>
  <c r="V767" i="4"/>
  <c r="W767" i="4" s="1"/>
  <c r="J767" i="4"/>
  <c r="L636" i="4"/>
  <c r="V636" i="4" s="1"/>
  <c r="L856" i="4"/>
  <c r="J856" i="4" s="1"/>
  <c r="AD56" i="3"/>
  <c r="AI55" i="3"/>
  <c r="N68" i="4"/>
  <c r="Z68" i="4"/>
  <c r="W1296" i="4"/>
  <c r="T813" i="4"/>
  <c r="U813" i="4" s="1"/>
  <c r="AA813" i="4" s="1"/>
  <c r="M990" i="4"/>
  <c r="Q990" i="4" s="1"/>
  <c r="N164" i="4"/>
  <c r="Z164" i="4"/>
  <c r="O285" i="4"/>
  <c r="S285" i="4" s="1"/>
  <c r="AG164" i="4"/>
  <c r="U1251" i="4"/>
  <c r="AA1251" i="4" s="1"/>
  <c r="M552" i="4"/>
  <c r="Q552" i="4" s="1"/>
  <c r="M1342" i="4"/>
  <c r="Q1342" i="4" s="1"/>
  <c r="O505" i="4"/>
  <c r="S505" i="4" s="1"/>
  <c r="J944" i="4"/>
  <c r="V944" i="4"/>
  <c r="T1078" i="4"/>
  <c r="S1121" i="4"/>
  <c r="U1120" i="4"/>
  <c r="AA1120" i="4" s="1"/>
  <c r="J326" i="4"/>
  <c r="V326" i="4"/>
  <c r="W326" i="4" s="1"/>
  <c r="P1207" i="4"/>
  <c r="T1207" i="4" s="1"/>
  <c r="M946" i="4"/>
  <c r="Q946" i="4" s="1"/>
  <c r="M682" i="4"/>
  <c r="Q682" i="4" s="1"/>
  <c r="O945" i="4"/>
  <c r="N815" i="4"/>
  <c r="R815" i="4" s="1"/>
  <c r="M1122" i="4"/>
  <c r="Q1122" i="4" s="1"/>
  <c r="U417" i="4"/>
  <c r="AA417" i="4" s="1"/>
  <c r="S814" i="4"/>
  <c r="N463" i="4"/>
  <c r="R463" i="4" s="1"/>
  <c r="M420" i="4"/>
  <c r="U72" i="4"/>
  <c r="U591" i="4"/>
  <c r="AA591" i="4" s="1"/>
  <c r="M595" i="4"/>
  <c r="Q595" i="4" s="1"/>
  <c r="M377" i="4"/>
  <c r="Q377" i="4" s="1"/>
  <c r="N328" i="4"/>
  <c r="R328" i="4" s="1"/>
  <c r="O328" i="4"/>
  <c r="U1339" i="4"/>
  <c r="AA1339" i="4" s="1"/>
  <c r="M638" i="4"/>
  <c r="Q638" i="4" s="1"/>
  <c r="W416" i="4"/>
  <c r="T944" i="4"/>
  <c r="O1078" i="4"/>
  <c r="P1078" i="4" s="1"/>
  <c r="R989" i="4"/>
  <c r="U458" i="4"/>
  <c r="AA458" i="4" s="1"/>
  <c r="P459" i="4"/>
  <c r="L459" i="4" s="1"/>
  <c r="S165" i="4"/>
  <c r="W165" i="4" s="1"/>
  <c r="M465" i="4"/>
  <c r="Q465" i="4" s="1"/>
  <c r="N1298" i="4"/>
  <c r="N1035" i="4"/>
  <c r="R1035" i="4" s="1"/>
  <c r="N771" i="4"/>
  <c r="R771" i="4" s="1"/>
  <c r="M1036" i="4"/>
  <c r="N1079" i="4"/>
  <c r="M859" i="4"/>
  <c r="L678" i="4"/>
  <c r="Q1079" i="4"/>
  <c r="N119" i="4"/>
  <c r="N120" i="4" s="1"/>
  <c r="U856" i="4"/>
  <c r="AA856" i="4" s="1"/>
  <c r="O857" i="4"/>
  <c r="S857" i="4" s="1"/>
  <c r="O858" i="4" s="1"/>
  <c r="M508" i="4"/>
  <c r="Q508" i="4" s="1"/>
  <c r="W503" i="4"/>
  <c r="P679" i="4"/>
  <c r="L679" i="4" s="1"/>
  <c r="N1210" i="4"/>
  <c r="R1210" i="4" s="1"/>
  <c r="Q1210" i="4"/>
  <c r="U371" i="4"/>
  <c r="AA371" i="4" s="1"/>
  <c r="O372" i="4"/>
  <c r="S372" i="4" s="1"/>
  <c r="Q771" i="4"/>
  <c r="J1339" i="4"/>
  <c r="L1077" i="4"/>
  <c r="R1253" i="4"/>
  <c r="N725" i="4"/>
  <c r="R725" i="4" s="1"/>
  <c r="O637" i="4"/>
  <c r="S637" i="4" s="1"/>
  <c r="J1031" i="4"/>
  <c r="V1031" i="4"/>
  <c r="O593" i="4"/>
  <c r="J591" i="4"/>
  <c r="V591" i="4"/>
  <c r="R507" i="4"/>
  <c r="S1078" i="4"/>
  <c r="U1077" i="4"/>
  <c r="AA1077" i="4" s="1"/>
  <c r="W1030" i="4"/>
  <c r="U678" i="4"/>
  <c r="AA678" i="4" s="1"/>
  <c r="R166" i="4"/>
  <c r="N902" i="4"/>
  <c r="R902" i="4" s="1"/>
  <c r="O902" i="4"/>
  <c r="S902" i="4" s="1"/>
  <c r="J1251" i="4"/>
  <c r="V1251" i="4"/>
  <c r="AG163" i="4"/>
  <c r="N208" i="4"/>
  <c r="U1163" i="4"/>
  <c r="AA1163" i="4" s="1"/>
  <c r="M329" i="4"/>
  <c r="M1299" i="4"/>
  <c r="R1298" i="4"/>
  <c r="N1341" i="4"/>
  <c r="R1341" i="4" s="1"/>
  <c r="M1165" i="4"/>
  <c r="Q1165" i="4" s="1"/>
  <c r="M1254" i="4"/>
  <c r="P504" i="4"/>
  <c r="T504" i="4" s="1"/>
  <c r="U504" i="4" s="1"/>
  <c r="AA504" i="4" s="1"/>
  <c r="L504" i="4"/>
  <c r="L724" i="4"/>
  <c r="S1207" i="4"/>
  <c r="W1206" i="4"/>
  <c r="L371" i="4"/>
  <c r="O1121" i="4"/>
  <c r="P1121" i="4" s="1"/>
  <c r="P637" i="4"/>
  <c r="T637" i="4" s="1"/>
  <c r="Q815" i="4"/>
  <c r="N989" i="4"/>
  <c r="P284" i="4"/>
  <c r="T284" i="4" s="1"/>
  <c r="U284" i="4" s="1"/>
  <c r="AA284" i="4" s="1"/>
  <c r="W899" i="4"/>
  <c r="J900" i="4"/>
  <c r="V900" i="4"/>
  <c r="O1252" i="4"/>
  <c r="S460" i="4"/>
  <c r="N550" i="4"/>
  <c r="AG118" i="4"/>
  <c r="M211" i="4"/>
  <c r="O1340" i="4"/>
  <c r="S1340" i="4" s="1"/>
  <c r="Q725" i="4"/>
  <c r="O1164" i="4"/>
  <c r="S1164" i="4" s="1"/>
  <c r="N286" i="4"/>
  <c r="R286" i="4" s="1"/>
  <c r="P1340" i="4"/>
  <c r="T1340" i="4" s="1"/>
  <c r="U636" i="4"/>
  <c r="AA636" i="4" s="1"/>
  <c r="O988" i="4"/>
  <c r="O1297" i="4"/>
  <c r="S1297" i="4" s="1"/>
  <c r="N419" i="4"/>
  <c r="R419" i="4" s="1"/>
  <c r="N594" i="4"/>
  <c r="R594" i="4" s="1"/>
  <c r="L1163" i="4"/>
  <c r="P592" i="4"/>
  <c r="L592" i="4" s="1"/>
  <c r="T1031" i="4"/>
  <c r="Q286" i="4"/>
  <c r="O814" i="4"/>
  <c r="J283" i="4"/>
  <c r="V283" i="4"/>
  <c r="W283" i="4" s="1"/>
  <c r="J943" i="4"/>
  <c r="V943" i="4"/>
  <c r="W943" i="4" s="1"/>
  <c r="S679" i="4"/>
  <c r="W70" i="4"/>
  <c r="S71" i="4" s="1"/>
  <c r="N375" i="4"/>
  <c r="R375" i="4" s="1"/>
  <c r="Q167" i="4"/>
  <c r="U167" i="4" s="1"/>
  <c r="Q902" i="4"/>
  <c r="L637" i="4" l="1"/>
  <c r="W636" i="4"/>
  <c r="P901" i="4"/>
  <c r="W591" i="4"/>
  <c r="P120" i="4"/>
  <c r="J418" i="4"/>
  <c r="X119" i="4"/>
  <c r="X120" i="4" s="1"/>
  <c r="L547" i="4"/>
  <c r="V547" i="4" s="1"/>
  <c r="W547" i="4" s="1"/>
  <c r="O1298" i="4"/>
  <c r="S1298" i="4" s="1"/>
  <c r="W900" i="4"/>
  <c r="P945" i="4"/>
  <c r="L945" i="4" s="1"/>
  <c r="W1251" i="4"/>
  <c r="P1297" i="4"/>
  <c r="T1297" i="4" s="1"/>
  <c r="U1297" i="4" s="1"/>
  <c r="AA1297" i="4" s="1"/>
  <c r="Z56" i="3"/>
  <c r="AH56" i="3"/>
  <c r="J636" i="4"/>
  <c r="X69" i="4"/>
  <c r="P69" i="4"/>
  <c r="L327" i="4"/>
  <c r="T327" i="4"/>
  <c r="U327" i="4" s="1"/>
  <c r="AA327" i="4" s="1"/>
  <c r="U944" i="4"/>
  <c r="AA944" i="4" s="1"/>
  <c r="S945" i="4"/>
  <c r="P769" i="4"/>
  <c r="L769" i="4" s="1"/>
  <c r="U768" i="4"/>
  <c r="AA768" i="4" s="1"/>
  <c r="O771" i="4"/>
  <c r="S771" i="4" s="1"/>
  <c r="O815" i="4"/>
  <c r="P815" i="4" s="1"/>
  <c r="L815" i="4" s="1"/>
  <c r="J547" i="4"/>
  <c r="V768" i="4"/>
  <c r="J768" i="4"/>
  <c r="S166" i="4"/>
  <c r="U547" i="4"/>
  <c r="AA547" i="4" s="1"/>
  <c r="P548" i="4"/>
  <c r="L548" i="4" s="1"/>
  <c r="T548" i="4"/>
  <c r="P1164" i="4"/>
  <c r="T1164" i="4" s="1"/>
  <c r="U1164" i="4" s="1"/>
  <c r="AA1164" i="4" s="1"/>
  <c r="V856" i="4"/>
  <c r="W856" i="4" s="1"/>
  <c r="P1298" i="4"/>
  <c r="L1298" i="4" s="1"/>
  <c r="T418" i="4"/>
  <c r="L209" i="4"/>
  <c r="AG68" i="4"/>
  <c r="U168" i="4"/>
  <c r="J679" i="4"/>
  <c r="V679" i="4"/>
  <c r="M1123" i="4"/>
  <c r="M509" i="4"/>
  <c r="Q509" i="4" s="1"/>
  <c r="M947" i="4"/>
  <c r="Q947" i="4" s="1"/>
  <c r="M596" i="4"/>
  <c r="S72" i="4"/>
  <c r="U637" i="4"/>
  <c r="AA637" i="4" s="1"/>
  <c r="M466" i="4"/>
  <c r="Q466" i="4" s="1"/>
  <c r="M378" i="4"/>
  <c r="Q378" i="4" s="1"/>
  <c r="T1121" i="4"/>
  <c r="L1121" i="4"/>
  <c r="M553" i="4"/>
  <c r="N329" i="4"/>
  <c r="R329" i="4" s="1"/>
  <c r="J678" i="4"/>
  <c r="V678" i="4"/>
  <c r="W678" i="4" s="1"/>
  <c r="N1036" i="4"/>
  <c r="R1079" i="4"/>
  <c r="W1120" i="4"/>
  <c r="O286" i="4"/>
  <c r="S286" i="4" s="1"/>
  <c r="O461" i="4"/>
  <c r="Q329" i="4"/>
  <c r="P857" i="4"/>
  <c r="T857" i="4" s="1"/>
  <c r="U857" i="4" s="1"/>
  <c r="AA857" i="4" s="1"/>
  <c r="O1035" i="4"/>
  <c r="S1035" i="4" s="1"/>
  <c r="L1207" i="4"/>
  <c r="P505" i="4"/>
  <c r="L505" i="4" s="1"/>
  <c r="N990" i="4"/>
  <c r="R990" i="4" s="1"/>
  <c r="M726" i="4"/>
  <c r="J459" i="4"/>
  <c r="V459" i="4"/>
  <c r="J637" i="4"/>
  <c r="V637" i="4"/>
  <c r="W637" i="4" s="1"/>
  <c r="U1207" i="4"/>
  <c r="AA1207" i="4" s="1"/>
  <c r="O1208" i="4"/>
  <c r="N1299" i="4"/>
  <c r="M1343" i="4"/>
  <c r="U1340" i="4"/>
  <c r="AA1340" i="4" s="1"/>
  <c r="P725" i="4"/>
  <c r="T725" i="4" s="1"/>
  <c r="J504" i="4"/>
  <c r="V504" i="4"/>
  <c r="W504" i="4" s="1"/>
  <c r="M903" i="4"/>
  <c r="M287" i="4"/>
  <c r="P858" i="4"/>
  <c r="L858" i="4" s="1"/>
  <c r="W813" i="4"/>
  <c r="N1254" i="4"/>
  <c r="R1254" i="4" s="1"/>
  <c r="N595" i="4"/>
  <c r="S988" i="4"/>
  <c r="P988" i="4"/>
  <c r="T988" i="4" s="1"/>
  <c r="Q1254" i="4"/>
  <c r="O1341" i="4"/>
  <c r="P1341" i="4" s="1"/>
  <c r="T1341" i="4" s="1"/>
  <c r="S328" i="4"/>
  <c r="M772" i="4"/>
  <c r="Q772" i="4" s="1"/>
  <c r="N859" i="4"/>
  <c r="R859" i="4" s="1"/>
  <c r="Q1036" i="4"/>
  <c r="T165" i="4"/>
  <c r="X165" i="4" s="1"/>
  <c r="Y165" i="4" s="1"/>
  <c r="T945" i="4"/>
  <c r="Z120" i="4"/>
  <c r="H24" i="4"/>
  <c r="C84" i="1" s="1"/>
  <c r="H23" i="4"/>
  <c r="C83" i="1" s="1"/>
  <c r="M639" i="4"/>
  <c r="M683" i="4"/>
  <c r="M816" i="4"/>
  <c r="Q816" i="4" s="1"/>
  <c r="O725" i="4"/>
  <c r="S725" i="4" s="1"/>
  <c r="M1211" i="4"/>
  <c r="Q1211" i="4" s="1"/>
  <c r="U814" i="4"/>
  <c r="AA814" i="4" s="1"/>
  <c r="T679" i="4"/>
  <c r="T459" i="4"/>
  <c r="L814" i="4"/>
  <c r="P814" i="4"/>
  <c r="T814" i="4" s="1"/>
  <c r="J1163" i="4"/>
  <c r="V1163" i="4"/>
  <c r="W1163" i="4" s="1"/>
  <c r="N420" i="4"/>
  <c r="O420" i="4" s="1"/>
  <c r="V166" i="4"/>
  <c r="R167" i="4" s="1"/>
  <c r="R168" i="4" s="1"/>
  <c r="L284" i="4"/>
  <c r="U418" i="4"/>
  <c r="AA418" i="4" s="1"/>
  <c r="U1078" i="4"/>
  <c r="AA1078" i="4" s="1"/>
  <c r="W71" i="4"/>
  <c r="L1078" i="4"/>
  <c r="W417" i="4"/>
  <c r="O680" i="4"/>
  <c r="S858" i="4"/>
  <c r="N464" i="4"/>
  <c r="R464" i="4" s="1"/>
  <c r="N465" i="4" s="1"/>
  <c r="N682" i="4"/>
  <c r="R682" i="4" s="1"/>
  <c r="O506" i="4"/>
  <c r="M991" i="4"/>
  <c r="Q991" i="4" s="1"/>
  <c r="N376" i="4"/>
  <c r="R1299" i="4"/>
  <c r="O373" i="4"/>
  <c r="M1166" i="4"/>
  <c r="Q1166" i="4" s="1"/>
  <c r="O1079" i="4"/>
  <c r="S1079" i="4" s="1"/>
  <c r="S593" i="4"/>
  <c r="O594" i="4" s="1"/>
  <c r="W166" i="4"/>
  <c r="O419" i="4"/>
  <c r="S419" i="4" s="1"/>
  <c r="J724" i="4"/>
  <c r="V724" i="4"/>
  <c r="W724" i="4" s="1"/>
  <c r="Q1299" i="4"/>
  <c r="N508" i="4"/>
  <c r="N946" i="4"/>
  <c r="R946" i="4" s="1"/>
  <c r="O946" i="4"/>
  <c r="S946" i="4" s="1"/>
  <c r="M1080" i="4"/>
  <c r="Q1080" i="4" s="1"/>
  <c r="R595" i="4"/>
  <c r="J1077" i="4"/>
  <c r="V1077" i="4"/>
  <c r="W1077" i="4" s="1"/>
  <c r="Q420" i="4"/>
  <c r="Q168" i="4"/>
  <c r="U1031" i="4"/>
  <c r="AA1031" i="4" s="1"/>
  <c r="P1032" i="4"/>
  <c r="L1032" i="4" s="1"/>
  <c r="O550" i="4"/>
  <c r="S550" i="4" s="1"/>
  <c r="J371" i="4"/>
  <c r="V371" i="4"/>
  <c r="W371" i="4" s="1"/>
  <c r="W1339" i="4"/>
  <c r="N1122" i="4"/>
  <c r="R1122" i="4" s="1"/>
  <c r="J592" i="4"/>
  <c r="V592" i="4"/>
  <c r="W458" i="4"/>
  <c r="P1252" i="4"/>
  <c r="T1252" i="4" s="1"/>
  <c r="P372" i="4"/>
  <c r="T372" i="4" s="1"/>
  <c r="U372" i="4" s="1"/>
  <c r="AA372" i="4" s="1"/>
  <c r="L1340" i="4"/>
  <c r="N1165" i="4"/>
  <c r="R1165" i="4" s="1"/>
  <c r="S1252" i="4"/>
  <c r="Q859" i="4"/>
  <c r="N638" i="4"/>
  <c r="R638" i="4" s="1"/>
  <c r="R550" i="4"/>
  <c r="T592" i="4"/>
  <c r="N1342" i="4"/>
  <c r="R1342" i="4" s="1"/>
  <c r="P285" i="4"/>
  <c r="L285" i="4" s="1"/>
  <c r="J945" i="4" l="1"/>
  <c r="V945" i="4"/>
  <c r="U725" i="4"/>
  <c r="AA725" i="4" s="1"/>
  <c r="O1299" i="4"/>
  <c r="P1299" i="4" s="1"/>
  <c r="W768" i="4"/>
  <c r="T1298" i="4"/>
  <c r="Y119" i="4"/>
  <c r="U945" i="4"/>
  <c r="AA945" i="4" s="1"/>
  <c r="L1297" i="4"/>
  <c r="J1297" i="4" s="1"/>
  <c r="T166" i="4"/>
  <c r="P166" i="4" s="1"/>
  <c r="L901" i="4"/>
  <c r="T901" i="4"/>
  <c r="J327" i="4"/>
  <c r="V327" i="4"/>
  <c r="W327" i="4" s="1"/>
  <c r="L1252" i="4"/>
  <c r="W418" i="4"/>
  <c r="O1036" i="4"/>
  <c r="S1036" i="4" s="1"/>
  <c r="N69" i="4"/>
  <c r="Z69" i="4"/>
  <c r="P165" i="4"/>
  <c r="N165" i="4" s="1"/>
  <c r="L1341" i="4"/>
  <c r="J1341" i="4" s="1"/>
  <c r="J769" i="4"/>
  <c r="V769" i="4"/>
  <c r="T505" i="4"/>
  <c r="U505" i="4" s="1"/>
  <c r="AA505" i="4" s="1"/>
  <c r="W944" i="4"/>
  <c r="Y69" i="4"/>
  <c r="T70" i="4"/>
  <c r="S815" i="4"/>
  <c r="O816" i="4" s="1"/>
  <c r="S816" i="4" s="1"/>
  <c r="J548" i="4"/>
  <c r="V548" i="4"/>
  <c r="AI56" i="3"/>
  <c r="AD57" i="3"/>
  <c r="Z57" i="3" s="1"/>
  <c r="AH57" i="3"/>
  <c r="W1031" i="4"/>
  <c r="L1164" i="4"/>
  <c r="J1164" i="4" s="1"/>
  <c r="U548" i="4"/>
  <c r="AA548" i="4" s="1"/>
  <c r="P549" i="4"/>
  <c r="L549" i="4" s="1"/>
  <c r="T549" i="4"/>
  <c r="U549" i="4" s="1"/>
  <c r="AA549" i="4" s="1"/>
  <c r="P328" i="4"/>
  <c r="T1032" i="4"/>
  <c r="U1032" i="4" s="1"/>
  <c r="AA1032" i="4" s="1"/>
  <c r="L725" i="4"/>
  <c r="O1122" i="4"/>
  <c r="T769" i="4"/>
  <c r="J505" i="4"/>
  <c r="V505" i="4"/>
  <c r="W505" i="4" s="1"/>
  <c r="M510" i="4"/>
  <c r="M773" i="4"/>
  <c r="Q773" i="4" s="1"/>
  <c r="M467" i="4"/>
  <c r="M1081" i="4"/>
  <c r="Q1081" i="4" s="1"/>
  <c r="Z166" i="4"/>
  <c r="N166" i="4"/>
  <c r="J815" i="4"/>
  <c r="V815" i="4"/>
  <c r="J285" i="4"/>
  <c r="V285" i="4"/>
  <c r="M1212" i="4"/>
  <c r="M992" i="4"/>
  <c r="M817" i="4"/>
  <c r="N726" i="4"/>
  <c r="R726" i="4" s="1"/>
  <c r="U592" i="4"/>
  <c r="AA592" i="4" s="1"/>
  <c r="P373" i="4"/>
  <c r="T373" i="4" s="1"/>
  <c r="N683" i="4"/>
  <c r="N1343" i="4"/>
  <c r="R1343" i="4" s="1"/>
  <c r="O1165" i="4"/>
  <c r="S1165" i="4" s="1"/>
  <c r="N287" i="4"/>
  <c r="R287" i="4" s="1"/>
  <c r="L988" i="4"/>
  <c r="T285" i="4"/>
  <c r="M1300" i="4"/>
  <c r="N639" i="4"/>
  <c r="R639" i="4" s="1"/>
  <c r="Q287" i="4"/>
  <c r="J1121" i="4"/>
  <c r="V1121" i="4"/>
  <c r="O638" i="4"/>
  <c r="J1340" i="4"/>
  <c r="V1340" i="4"/>
  <c r="W1340" i="4" s="1"/>
  <c r="P946" i="4"/>
  <c r="T946" i="4" s="1"/>
  <c r="U946" i="4" s="1"/>
  <c r="AA946" i="4" s="1"/>
  <c r="P593" i="4"/>
  <c r="L593" i="4" s="1"/>
  <c r="W72" i="4"/>
  <c r="J284" i="4"/>
  <c r="V284" i="4"/>
  <c r="W284" i="4" s="1"/>
  <c r="N903" i="4"/>
  <c r="R903" i="4" s="1"/>
  <c r="O903" i="4"/>
  <c r="S903" i="4" s="1"/>
  <c r="T858" i="4"/>
  <c r="U858" i="4" s="1"/>
  <c r="AA858" i="4" s="1"/>
  <c r="N596" i="4"/>
  <c r="U1121" i="4"/>
  <c r="AA1121" i="4" s="1"/>
  <c r="L372" i="4"/>
  <c r="M421" i="4"/>
  <c r="L946" i="4"/>
  <c r="N1166" i="4"/>
  <c r="R1166" i="4" s="1"/>
  <c r="R683" i="4"/>
  <c r="U459" i="4"/>
  <c r="AA459" i="4" s="1"/>
  <c r="P460" i="4"/>
  <c r="L460" i="4" s="1"/>
  <c r="Q639" i="4"/>
  <c r="L857" i="4"/>
  <c r="Q596" i="4"/>
  <c r="N1123" i="4"/>
  <c r="J1298" i="4"/>
  <c r="V1298" i="4"/>
  <c r="U1252" i="4"/>
  <c r="AA1252" i="4" s="1"/>
  <c r="O1253" i="4"/>
  <c r="M1255" i="4"/>
  <c r="P1208" i="4"/>
  <c r="T1208" i="4" s="1"/>
  <c r="L1208" i="4"/>
  <c r="M948" i="4"/>
  <c r="Q948" i="4" s="1"/>
  <c r="T680" i="4"/>
  <c r="O859" i="4"/>
  <c r="S859" i="4" s="1"/>
  <c r="J858" i="4"/>
  <c r="V858" i="4"/>
  <c r="N210" i="4"/>
  <c r="AG165" i="4"/>
  <c r="Q726" i="4"/>
  <c r="S373" i="4"/>
  <c r="V1341" i="4"/>
  <c r="N1211" i="4"/>
  <c r="R1211" i="4" s="1"/>
  <c r="J725" i="4"/>
  <c r="V725" i="4"/>
  <c r="W725" i="4" s="1"/>
  <c r="S420" i="4"/>
  <c r="R376" i="4"/>
  <c r="P680" i="4"/>
  <c r="L680" i="4" s="1"/>
  <c r="T815" i="4"/>
  <c r="P1079" i="4"/>
  <c r="T1079" i="4" s="1"/>
  <c r="U1079" i="4" s="1"/>
  <c r="AA1079" i="4" s="1"/>
  <c r="X166" i="4"/>
  <c r="S1299" i="4"/>
  <c r="Q903" i="4"/>
  <c r="O329" i="4"/>
  <c r="Q1123" i="4"/>
  <c r="M330" i="4"/>
  <c r="J1078" i="4"/>
  <c r="V1078" i="4"/>
  <c r="W1078" i="4" s="1"/>
  <c r="R420" i="4"/>
  <c r="Q1343" i="4"/>
  <c r="S506" i="4"/>
  <c r="O989" i="4"/>
  <c r="S989" i="4" s="1"/>
  <c r="U988" i="4"/>
  <c r="AA988" i="4" s="1"/>
  <c r="M860" i="4"/>
  <c r="Q860" i="4" s="1"/>
  <c r="J1032" i="4"/>
  <c r="V1032" i="4"/>
  <c r="R508" i="4"/>
  <c r="S1341" i="4"/>
  <c r="N947" i="4"/>
  <c r="J1252" i="4"/>
  <c r="V1252" i="4"/>
  <c r="S594" i="4"/>
  <c r="M379" i="4"/>
  <c r="R465" i="4"/>
  <c r="N466" i="4" s="1"/>
  <c r="N551" i="4"/>
  <c r="N1080" i="4"/>
  <c r="O1080" i="4" s="1"/>
  <c r="S1080" i="4" s="1"/>
  <c r="Q683" i="4"/>
  <c r="S1208" i="4"/>
  <c r="Q553" i="4"/>
  <c r="S461" i="4"/>
  <c r="S167" i="4"/>
  <c r="N772" i="4"/>
  <c r="R772" i="4" s="1"/>
  <c r="M1167" i="4"/>
  <c r="Q1167" i="4" s="1"/>
  <c r="N991" i="4"/>
  <c r="U679" i="4"/>
  <c r="AA679" i="4" s="1"/>
  <c r="V167" i="4"/>
  <c r="Y166" i="4"/>
  <c r="J814" i="4"/>
  <c r="V814" i="4"/>
  <c r="W814" i="4" s="1"/>
  <c r="N816" i="4"/>
  <c r="R816" i="4" s="1"/>
  <c r="P419" i="4"/>
  <c r="S680" i="4"/>
  <c r="M1037" i="4"/>
  <c r="R1036" i="4"/>
  <c r="J1207" i="4"/>
  <c r="V1207" i="4"/>
  <c r="W1207" i="4" s="1"/>
  <c r="W679" i="4"/>
  <c r="U1298" i="4"/>
  <c r="AA1298" i="4" s="1"/>
  <c r="L1299" i="4" l="1"/>
  <c r="T1299" i="4"/>
  <c r="M212" i="4"/>
  <c r="Y120" i="4"/>
  <c r="AG119" i="4"/>
  <c r="H25" i="4"/>
  <c r="C85" i="1" s="1"/>
  <c r="W945" i="4"/>
  <c r="P506" i="4"/>
  <c r="U901" i="4"/>
  <c r="AA901" i="4" s="1"/>
  <c r="P902" i="4"/>
  <c r="L902" i="4" s="1"/>
  <c r="P859" i="4"/>
  <c r="L859" i="4" s="1"/>
  <c r="J859" i="4" s="1"/>
  <c r="V1297" i="4"/>
  <c r="W1297" i="4" s="1"/>
  <c r="V1164" i="4"/>
  <c r="W1164" i="4" s="1"/>
  <c r="U1299" i="4"/>
  <c r="AA1299" i="4" s="1"/>
  <c r="W548" i="4"/>
  <c r="V901" i="4"/>
  <c r="J901" i="4"/>
  <c r="P816" i="4"/>
  <c r="L816" i="4" s="1"/>
  <c r="J816" i="4" s="1"/>
  <c r="T328" i="4"/>
  <c r="U328" i="4" s="1"/>
  <c r="AA328" i="4" s="1"/>
  <c r="L328" i="4"/>
  <c r="J549" i="4"/>
  <c r="V549" i="4"/>
  <c r="W549" i="4" s="1"/>
  <c r="P1033" i="4"/>
  <c r="L1033" i="4" s="1"/>
  <c r="J1033" i="4" s="1"/>
  <c r="Z165" i="4"/>
  <c r="P550" i="4"/>
  <c r="T550" i="4" s="1"/>
  <c r="U550" i="4" s="1"/>
  <c r="AA550" i="4" s="1"/>
  <c r="W592" i="4"/>
  <c r="U769" i="4"/>
  <c r="AA769" i="4" s="1"/>
  <c r="P770" i="4"/>
  <c r="L770" i="4" s="1"/>
  <c r="X70" i="4"/>
  <c r="P70" i="4"/>
  <c r="AG69" i="4"/>
  <c r="L210" i="4"/>
  <c r="W1121" i="4"/>
  <c r="S1122" i="4"/>
  <c r="O1123" i="4" s="1"/>
  <c r="S1123" i="4" s="1"/>
  <c r="P1122" i="4"/>
  <c r="AI57" i="3"/>
  <c r="AD58" i="3"/>
  <c r="AH58" i="3"/>
  <c r="R1123" i="4"/>
  <c r="M1168" i="4"/>
  <c r="J680" i="4"/>
  <c r="V680" i="4"/>
  <c r="M1082" i="4"/>
  <c r="M774" i="4"/>
  <c r="Q774" i="4" s="1"/>
  <c r="V859" i="4"/>
  <c r="J1299" i="4"/>
  <c r="V1299" i="4"/>
  <c r="M949" i="4"/>
  <c r="Q949" i="4" s="1"/>
  <c r="V816" i="4"/>
  <c r="R421" i="4"/>
  <c r="J946" i="4"/>
  <c r="V946" i="4"/>
  <c r="W946" i="4" s="1"/>
  <c r="O507" i="4"/>
  <c r="W1341" i="4"/>
  <c r="N421" i="4"/>
  <c r="O421" i="4" s="1"/>
  <c r="O947" i="4"/>
  <c r="S947" i="4" s="1"/>
  <c r="T816" i="4"/>
  <c r="U816" i="4" s="1"/>
  <c r="AA816" i="4" s="1"/>
  <c r="Q421" i="4"/>
  <c r="U1341" i="4"/>
  <c r="AA1341" i="4" s="1"/>
  <c r="O1342" i="4"/>
  <c r="P1253" i="4"/>
  <c r="T1253" i="4" s="1"/>
  <c r="O551" i="4"/>
  <c r="S551" i="4" s="1"/>
  <c r="S1253" i="4"/>
  <c r="J593" i="4"/>
  <c r="V593" i="4"/>
  <c r="U285" i="4"/>
  <c r="AA285" i="4" s="1"/>
  <c r="P286" i="4"/>
  <c r="L286" i="4" s="1"/>
  <c r="N817" i="4"/>
  <c r="O817" i="4" s="1"/>
  <c r="R991" i="4"/>
  <c r="N992" i="4" s="1"/>
  <c r="U680" i="4"/>
  <c r="AA680" i="4" s="1"/>
  <c r="O681" i="4"/>
  <c r="S681" i="4" s="1"/>
  <c r="R1080" i="4"/>
  <c r="M861" i="4"/>
  <c r="Q861" i="4" s="1"/>
  <c r="N1300" i="4"/>
  <c r="R1300" i="4" s="1"/>
  <c r="P1080" i="4"/>
  <c r="L1080" i="4" s="1"/>
  <c r="R947" i="4"/>
  <c r="N948" i="4" s="1"/>
  <c r="O948" i="4" s="1"/>
  <c r="Q1300" i="4"/>
  <c r="N330" i="4"/>
  <c r="R330" i="4" s="1"/>
  <c r="W167" i="4"/>
  <c r="W168" i="4" s="1"/>
  <c r="M1344" i="4"/>
  <c r="Q1344" i="4" s="1"/>
  <c r="Q330" i="4"/>
  <c r="N377" i="4"/>
  <c r="N1255" i="4"/>
  <c r="R1255" i="4" s="1"/>
  <c r="W1298" i="4"/>
  <c r="J372" i="4"/>
  <c r="V372" i="4"/>
  <c r="W372" i="4" s="1"/>
  <c r="T859" i="4"/>
  <c r="J988" i="4"/>
  <c r="V988" i="4"/>
  <c r="W988" i="4" s="1"/>
  <c r="T593" i="4"/>
  <c r="N1212" i="4"/>
  <c r="O990" i="4"/>
  <c r="S990" i="4" s="1"/>
  <c r="J460" i="4"/>
  <c r="V460" i="4"/>
  <c r="Q379" i="4"/>
  <c r="J857" i="4"/>
  <c r="V857" i="4"/>
  <c r="W857" i="4" s="1"/>
  <c r="O462" i="4"/>
  <c r="S462" i="4" s="1"/>
  <c r="M904" i="4"/>
  <c r="Q904" i="4" s="1"/>
  <c r="P1165" i="4"/>
  <c r="N211" i="4"/>
  <c r="AG166" i="4"/>
  <c r="N1037" i="4"/>
  <c r="R1037" i="4" s="1"/>
  <c r="O1037" i="4"/>
  <c r="S1037" i="4" s="1"/>
  <c r="U1208" i="4"/>
  <c r="AA1208" i="4" s="1"/>
  <c r="O1209" i="4"/>
  <c r="S1209" i="4" s="1"/>
  <c r="W1032" i="4"/>
  <c r="R596" i="4"/>
  <c r="R1212" i="4"/>
  <c r="W858" i="4"/>
  <c r="Q1255" i="4"/>
  <c r="O595" i="4"/>
  <c r="S595" i="4" s="1"/>
  <c r="O596" i="4" s="1"/>
  <c r="O1166" i="4"/>
  <c r="S1166" i="4" s="1"/>
  <c r="Q817" i="4"/>
  <c r="Q510" i="4"/>
  <c r="S168" i="4"/>
  <c r="T167" i="4"/>
  <c r="T168" i="4" s="1"/>
  <c r="M597" i="4"/>
  <c r="Q597" i="4" s="1"/>
  <c r="O726" i="4"/>
  <c r="S726" i="4" s="1"/>
  <c r="N773" i="4"/>
  <c r="T419" i="4"/>
  <c r="L419" i="4"/>
  <c r="M288" i="4"/>
  <c r="Q288" i="4" s="1"/>
  <c r="L373" i="4"/>
  <c r="V168" i="4"/>
  <c r="O772" i="4"/>
  <c r="W1252" i="4"/>
  <c r="M1124" i="4"/>
  <c r="Q1124" i="4" s="1"/>
  <c r="S329" i="4"/>
  <c r="W459" i="4"/>
  <c r="Q1212" i="4"/>
  <c r="M727" i="4"/>
  <c r="Q727" i="4" s="1"/>
  <c r="M640" i="4"/>
  <c r="S638" i="4"/>
  <c r="P638" i="4"/>
  <c r="T638" i="4" s="1"/>
  <c r="N1081" i="4"/>
  <c r="O1081" i="4" s="1"/>
  <c r="N1167" i="4"/>
  <c r="R1167" i="4" s="1"/>
  <c r="U373" i="4"/>
  <c r="AA373" i="4" s="1"/>
  <c r="O374" i="4"/>
  <c r="T460" i="4"/>
  <c r="J1208" i="4"/>
  <c r="V1208" i="4"/>
  <c r="N509" i="4"/>
  <c r="M554" i="4"/>
  <c r="Q554" i="4" s="1"/>
  <c r="R551" i="4"/>
  <c r="Q1037" i="4"/>
  <c r="M684" i="4"/>
  <c r="U815" i="4"/>
  <c r="AA815" i="4" s="1"/>
  <c r="R466" i="4"/>
  <c r="N467" i="4" s="1"/>
  <c r="N860" i="4"/>
  <c r="R860" i="4" s="1"/>
  <c r="P989" i="4"/>
  <c r="T989" i="4" s="1"/>
  <c r="U989" i="4" s="1"/>
  <c r="AA989" i="4" s="1"/>
  <c r="L1079" i="4"/>
  <c r="O287" i="4"/>
  <c r="Q992" i="4"/>
  <c r="Q467" i="4"/>
  <c r="V902" i="4" l="1"/>
  <c r="J902" i="4"/>
  <c r="T506" i="4"/>
  <c r="U506" i="4" s="1"/>
  <c r="AA506" i="4" s="1"/>
  <c r="L506" i="4"/>
  <c r="T770" i="4"/>
  <c r="W901" i="4"/>
  <c r="P947" i="4"/>
  <c r="L947" i="4" s="1"/>
  <c r="AG120" i="4"/>
  <c r="H27" i="4"/>
  <c r="W1299" i="4"/>
  <c r="W769" i="4"/>
  <c r="W815" i="4"/>
  <c r="P329" i="4"/>
  <c r="T902" i="4"/>
  <c r="Z70" i="4"/>
  <c r="N70" i="4"/>
  <c r="T1080" i="4"/>
  <c r="P1081" i="4" s="1"/>
  <c r="T1081" i="4" s="1"/>
  <c r="L550" i="4"/>
  <c r="J550" i="4" s="1"/>
  <c r="Z58" i="3"/>
  <c r="Z59" i="3" s="1"/>
  <c r="AD59" i="3"/>
  <c r="V1033" i="4"/>
  <c r="J328" i="4"/>
  <c r="V328" i="4"/>
  <c r="W328" i="4" s="1"/>
  <c r="P551" i="4"/>
  <c r="L551" i="4" s="1"/>
  <c r="J551" i="4" s="1"/>
  <c r="O860" i="4"/>
  <c r="S860" i="4" s="1"/>
  <c r="T71" i="4"/>
  <c r="X71" i="4" s="1"/>
  <c r="Y70" i="4"/>
  <c r="J9" i="1"/>
  <c r="B59" i="1"/>
  <c r="B60" i="1" s="1"/>
  <c r="AH59" i="3"/>
  <c r="AI58" i="3"/>
  <c r="R817" i="4"/>
  <c r="O1167" i="4"/>
  <c r="S1167" i="4" s="1"/>
  <c r="T1033" i="4"/>
  <c r="L1122" i="4"/>
  <c r="T1122" i="4"/>
  <c r="J770" i="4"/>
  <c r="V770" i="4"/>
  <c r="X167" i="4"/>
  <c r="X168" i="4" s="1"/>
  <c r="M289" i="4"/>
  <c r="O991" i="4"/>
  <c r="S991" i="4" s="1"/>
  <c r="M1125" i="4"/>
  <c r="Q1125" i="4" s="1"/>
  <c r="U681" i="4"/>
  <c r="AA681" i="4" s="1"/>
  <c r="O682" i="4"/>
  <c r="J947" i="4"/>
  <c r="V947" i="4"/>
  <c r="S1081" i="4"/>
  <c r="O1210" i="4"/>
  <c r="S1210" i="4" s="1"/>
  <c r="M555" i="4"/>
  <c r="Q555" i="4" s="1"/>
  <c r="P817" i="4"/>
  <c r="L817" i="4" s="1"/>
  <c r="S817" i="4"/>
  <c r="M598" i="4"/>
  <c r="M862" i="4"/>
  <c r="P374" i="4"/>
  <c r="T374" i="4" s="1"/>
  <c r="L374" i="4"/>
  <c r="R992" i="4"/>
  <c r="P1342" i="4"/>
  <c r="T1342" i="4" s="1"/>
  <c r="L1342" i="4"/>
  <c r="L989" i="4"/>
  <c r="M511" i="4"/>
  <c r="U1033" i="4"/>
  <c r="AA1033" i="4" s="1"/>
  <c r="P1034" i="4"/>
  <c r="L1034" i="4" s="1"/>
  <c r="T286" i="4"/>
  <c r="P287" i="4" s="1"/>
  <c r="L287" i="4" s="1"/>
  <c r="N727" i="4"/>
  <c r="R727" i="4" s="1"/>
  <c r="U419" i="4"/>
  <c r="AA419" i="4" s="1"/>
  <c r="P420" i="4"/>
  <c r="L420" i="4" s="1"/>
  <c r="N904" i="4"/>
  <c r="R904" i="4" s="1"/>
  <c r="M380" i="4"/>
  <c r="M331" i="4"/>
  <c r="O330" i="4"/>
  <c r="S330" i="4" s="1"/>
  <c r="R948" i="4"/>
  <c r="N949" i="4" s="1"/>
  <c r="O949" i="4" s="1"/>
  <c r="T551" i="4"/>
  <c r="U551" i="4" s="1"/>
  <c r="AA551" i="4" s="1"/>
  <c r="S1342" i="4"/>
  <c r="Q1082" i="4"/>
  <c r="N1168" i="4"/>
  <c r="N552" i="4"/>
  <c r="J373" i="4"/>
  <c r="V373" i="4"/>
  <c r="W373" i="4" s="1"/>
  <c r="S639" i="4"/>
  <c r="U638" i="4"/>
  <c r="AA638" i="4" s="1"/>
  <c r="N640" i="4"/>
  <c r="R640" i="4" s="1"/>
  <c r="N597" i="4"/>
  <c r="P1209" i="4"/>
  <c r="T1209" i="4" s="1"/>
  <c r="O639" i="4"/>
  <c r="N684" i="4"/>
  <c r="R684" i="4" s="1"/>
  <c r="J419" i="4"/>
  <c r="V419" i="4"/>
  <c r="W419" i="4" s="1"/>
  <c r="M1256" i="4"/>
  <c r="Q1256" i="4" s="1"/>
  <c r="T1165" i="4"/>
  <c r="P1166" i="4" s="1"/>
  <c r="L1166" i="4" s="1"/>
  <c r="L1165" i="4"/>
  <c r="U859" i="4"/>
  <c r="AA859" i="4" s="1"/>
  <c r="R377" i="4"/>
  <c r="P507" i="4"/>
  <c r="T507" i="4" s="1"/>
  <c r="Q684" i="4"/>
  <c r="W1208" i="4"/>
  <c r="P726" i="4"/>
  <c r="R773" i="4"/>
  <c r="N774" i="4" s="1"/>
  <c r="M905" i="4"/>
  <c r="N1344" i="4"/>
  <c r="R1344" i="4" s="1"/>
  <c r="M422" i="4"/>
  <c r="Q422" i="4" s="1"/>
  <c r="S507" i="4"/>
  <c r="L638" i="4"/>
  <c r="Q1168" i="4"/>
  <c r="R467" i="4"/>
  <c r="M1213" i="4"/>
  <c r="Q1213" i="4" s="1"/>
  <c r="M818" i="4"/>
  <c r="Q818" i="4" s="1"/>
  <c r="M950" i="4"/>
  <c r="Q950" i="4" s="1"/>
  <c r="O463" i="4"/>
  <c r="S463" i="4" s="1"/>
  <c r="M775" i="4"/>
  <c r="J1079" i="4"/>
  <c r="V1079" i="4"/>
  <c r="W1079" i="4" s="1"/>
  <c r="S374" i="4"/>
  <c r="R1168" i="4"/>
  <c r="P990" i="4"/>
  <c r="L990" i="4" s="1"/>
  <c r="J286" i="4"/>
  <c r="V286" i="4"/>
  <c r="M468" i="4"/>
  <c r="M728" i="4"/>
  <c r="Q728" i="4" s="1"/>
  <c r="S772" i="4"/>
  <c r="S421" i="4"/>
  <c r="M1345" i="4"/>
  <c r="W816" i="4"/>
  <c r="N1124" i="4"/>
  <c r="R1124" i="4" s="1"/>
  <c r="N861" i="4"/>
  <c r="Q640" i="4"/>
  <c r="J1080" i="4"/>
  <c r="V1080" i="4"/>
  <c r="S948" i="4"/>
  <c r="P167" i="4"/>
  <c r="P681" i="4"/>
  <c r="T681" i="4" s="1"/>
  <c r="N288" i="4"/>
  <c r="R288" i="4" s="1"/>
  <c r="S596" i="4"/>
  <c r="M1301" i="4"/>
  <c r="Q1301" i="4" s="1"/>
  <c r="W680" i="4"/>
  <c r="L1253" i="4"/>
  <c r="M993" i="4"/>
  <c r="Q993" i="4" s="1"/>
  <c r="S287" i="4"/>
  <c r="M1038" i="4"/>
  <c r="Q1038" i="4" s="1"/>
  <c r="U460" i="4"/>
  <c r="AA460" i="4" s="1"/>
  <c r="P461" i="4"/>
  <c r="L461" i="4" s="1"/>
  <c r="W285" i="4"/>
  <c r="U593" i="4"/>
  <c r="AA593" i="4" s="1"/>
  <c r="P594" i="4"/>
  <c r="L594" i="4" s="1"/>
  <c r="R509" i="4"/>
  <c r="O1300" i="4"/>
  <c r="R1081" i="4"/>
  <c r="U1253" i="4"/>
  <c r="AA1253" i="4" s="1"/>
  <c r="O1254" i="4"/>
  <c r="S1254" i="4" s="1"/>
  <c r="T1034" i="4" l="1"/>
  <c r="O597" i="4"/>
  <c r="U902" i="4"/>
  <c r="AA902" i="4" s="1"/>
  <c r="P903" i="4"/>
  <c r="J506" i="4"/>
  <c r="V506" i="4"/>
  <c r="W506" i="4" s="1"/>
  <c r="T947" i="4"/>
  <c r="U947" i="4" s="1"/>
  <c r="AA947" i="4" s="1"/>
  <c r="T329" i="4"/>
  <c r="L329" i="4"/>
  <c r="O1168" i="4"/>
  <c r="U770" i="4"/>
  <c r="AA770" i="4" s="1"/>
  <c r="P771" i="4"/>
  <c r="L771" i="4" s="1"/>
  <c r="U1080" i="4"/>
  <c r="AA1080" i="4" s="1"/>
  <c r="W859" i="4"/>
  <c r="P860" i="4"/>
  <c r="L860" i="4" s="1"/>
  <c r="J860" i="4" s="1"/>
  <c r="W902" i="4"/>
  <c r="T1123" i="4"/>
  <c r="U1123" i="4" s="1"/>
  <c r="AA1123" i="4" s="1"/>
  <c r="X72" i="4"/>
  <c r="Y71" i="4"/>
  <c r="V1122" i="4"/>
  <c r="J1122" i="4"/>
  <c r="AG70" i="4"/>
  <c r="L211" i="4"/>
  <c r="P1123" i="4"/>
  <c r="L1123" i="4" s="1"/>
  <c r="T461" i="4"/>
  <c r="T72" i="4"/>
  <c r="P71" i="4"/>
  <c r="L507" i="4"/>
  <c r="O861" i="4"/>
  <c r="S861" i="4" s="1"/>
  <c r="T594" i="4"/>
  <c r="P595" i="4" s="1"/>
  <c r="L595" i="4" s="1"/>
  <c r="V595" i="4" s="1"/>
  <c r="V551" i="4"/>
  <c r="W551" i="4" s="1"/>
  <c r="M9" i="1"/>
  <c r="AI59" i="3"/>
  <c r="V550" i="4"/>
  <c r="W550" i="4" s="1"/>
  <c r="T990" i="4"/>
  <c r="U990" i="4" s="1"/>
  <c r="AA990" i="4" s="1"/>
  <c r="T420" i="4"/>
  <c r="P421" i="4" s="1"/>
  <c r="L421" i="4" s="1"/>
  <c r="V421" i="4" s="1"/>
  <c r="C58" i="1"/>
  <c r="C59" i="1"/>
  <c r="C57" i="1"/>
  <c r="C56" i="1"/>
  <c r="J771" i="4"/>
  <c r="V771" i="4"/>
  <c r="U1122" i="4"/>
  <c r="AA1122" i="4" s="1"/>
  <c r="W460" i="4"/>
  <c r="Y167" i="4"/>
  <c r="I25" i="4" s="1"/>
  <c r="D85" i="1" s="1"/>
  <c r="T817" i="4"/>
  <c r="U817" i="4" s="1"/>
  <c r="AA817" i="4" s="1"/>
  <c r="O727" i="4"/>
  <c r="S727" i="4" s="1"/>
  <c r="J990" i="4"/>
  <c r="V990" i="4"/>
  <c r="M1039" i="4"/>
  <c r="Q1039" i="4" s="1"/>
  <c r="J595" i="4"/>
  <c r="O1255" i="4"/>
  <c r="M951" i="4"/>
  <c r="Q951" i="4" s="1"/>
  <c r="M819" i="4"/>
  <c r="M1302" i="4"/>
  <c r="Q1302" i="4" s="1"/>
  <c r="J287" i="4"/>
  <c r="V287" i="4"/>
  <c r="J817" i="4"/>
  <c r="V817" i="4"/>
  <c r="O992" i="4"/>
  <c r="S992" i="4" s="1"/>
  <c r="O1211" i="4"/>
  <c r="O464" i="4"/>
  <c r="S464" i="4" s="1"/>
  <c r="U1342" i="4"/>
  <c r="AA1342" i="4" s="1"/>
  <c r="O1343" i="4"/>
  <c r="S949" i="4"/>
  <c r="O1124" i="4"/>
  <c r="J989" i="4"/>
  <c r="V989" i="4"/>
  <c r="W989" i="4" s="1"/>
  <c r="N289" i="4"/>
  <c r="R289" i="4" s="1"/>
  <c r="O552" i="4"/>
  <c r="S552" i="4" s="1"/>
  <c r="Q775" i="4"/>
  <c r="U507" i="4"/>
  <c r="AA507" i="4" s="1"/>
  <c r="O508" i="4"/>
  <c r="S1168" i="4"/>
  <c r="L1081" i="4"/>
  <c r="P1300" i="4"/>
  <c r="T1300" i="4" s="1"/>
  <c r="L1300" i="4"/>
  <c r="S1300" i="4"/>
  <c r="R597" i="4"/>
  <c r="N422" i="4"/>
  <c r="R422" i="4" s="1"/>
  <c r="O422" i="4"/>
  <c r="S422" i="4" s="1"/>
  <c r="O640" i="4"/>
  <c r="R552" i="4"/>
  <c r="R949" i="4"/>
  <c r="N950" i="4" s="1"/>
  <c r="O904" i="4"/>
  <c r="R861" i="4"/>
  <c r="N1125" i="4"/>
  <c r="R1125" i="4" s="1"/>
  <c r="T726" i="4"/>
  <c r="P727" i="4" s="1"/>
  <c r="L727" i="4" s="1"/>
  <c r="L726" i="4"/>
  <c r="M1257" i="4"/>
  <c r="Q1257" i="4" s="1"/>
  <c r="J374" i="4"/>
  <c r="V374" i="4"/>
  <c r="P1254" i="4"/>
  <c r="T1254" i="4" s="1"/>
  <c r="N1038" i="4"/>
  <c r="R1038" i="4" s="1"/>
  <c r="O1038" i="4"/>
  <c r="S1038" i="4" s="1"/>
  <c r="N167" i="4"/>
  <c r="N168" i="4" s="1"/>
  <c r="Z167" i="4"/>
  <c r="P168" i="4"/>
  <c r="M729" i="4"/>
  <c r="L1209" i="4"/>
  <c r="P682" i="4"/>
  <c r="T682" i="4" s="1"/>
  <c r="J1253" i="4"/>
  <c r="V1253" i="4"/>
  <c r="W1253" i="4" s="1"/>
  <c r="J1166" i="4"/>
  <c r="V1166" i="4"/>
  <c r="N1345" i="4"/>
  <c r="R1345" i="4" s="1"/>
  <c r="N468" i="4"/>
  <c r="M1169" i="4"/>
  <c r="J638" i="4"/>
  <c r="V638" i="4"/>
  <c r="W638" i="4" s="1"/>
  <c r="Q380" i="4"/>
  <c r="S682" i="4"/>
  <c r="N1301" i="4"/>
  <c r="R1301" i="4" s="1"/>
  <c r="Q1345" i="4"/>
  <c r="Q468" i="4"/>
  <c r="N818" i="4"/>
  <c r="R818" i="4" s="1"/>
  <c r="N378" i="4"/>
  <c r="W593" i="4"/>
  <c r="Q289" i="4"/>
  <c r="U1081" i="4"/>
  <c r="AA1081" i="4" s="1"/>
  <c r="N905" i="4"/>
  <c r="R905" i="4"/>
  <c r="N1082" i="4"/>
  <c r="R1082" i="4" s="1"/>
  <c r="Q862" i="4"/>
  <c r="N510" i="4"/>
  <c r="R510" i="4" s="1"/>
  <c r="N511" i="4" s="1"/>
  <c r="N993" i="4"/>
  <c r="L681" i="4"/>
  <c r="N1213" i="4"/>
  <c r="R1213" i="4" s="1"/>
  <c r="Q905" i="4"/>
  <c r="M685" i="4"/>
  <c r="Q685" i="4" s="1"/>
  <c r="J1165" i="4"/>
  <c r="V1165" i="4"/>
  <c r="Q511" i="4"/>
  <c r="J461" i="4"/>
  <c r="V461" i="4"/>
  <c r="S597" i="4"/>
  <c r="AG167" i="4"/>
  <c r="O773" i="4"/>
  <c r="S773" i="4" s="1"/>
  <c r="M423" i="4"/>
  <c r="Q423" i="4" s="1"/>
  <c r="R774" i="4"/>
  <c r="N775" i="4" s="1"/>
  <c r="T1166" i="4"/>
  <c r="U1165" i="4"/>
  <c r="AA1165" i="4" s="1"/>
  <c r="N331" i="4"/>
  <c r="R331" i="4" s="1"/>
  <c r="J420" i="4"/>
  <c r="V420" i="4"/>
  <c r="T287" i="4"/>
  <c r="U287" i="4" s="1"/>
  <c r="AA287" i="4" s="1"/>
  <c r="U286" i="4"/>
  <c r="AA286" i="4" s="1"/>
  <c r="J1342" i="4"/>
  <c r="V1342" i="4"/>
  <c r="N598" i="4"/>
  <c r="M556" i="4"/>
  <c r="W947" i="4"/>
  <c r="M1126" i="4"/>
  <c r="Q1126" i="4" s="1"/>
  <c r="J507" i="4"/>
  <c r="V507" i="4"/>
  <c r="U374" i="4"/>
  <c r="AA374" i="4" s="1"/>
  <c r="O375" i="4"/>
  <c r="R468" i="4"/>
  <c r="M1083" i="4"/>
  <c r="Q1083" i="4" s="1"/>
  <c r="U1034" i="4"/>
  <c r="AA1034" i="4" s="1"/>
  <c r="P1035" i="4"/>
  <c r="L1035" i="4" s="1"/>
  <c r="P1210" i="4"/>
  <c r="L1210" i="4" s="1"/>
  <c r="M641" i="4"/>
  <c r="Q641" i="4" s="1"/>
  <c r="U1209" i="4"/>
  <c r="AA1209" i="4" s="1"/>
  <c r="J594" i="4"/>
  <c r="V594" i="4"/>
  <c r="M994" i="4"/>
  <c r="O288" i="4"/>
  <c r="S288" i="4" s="1"/>
  <c r="W1033" i="4"/>
  <c r="N728" i="4"/>
  <c r="M1214" i="4"/>
  <c r="Q1214" i="4" s="1"/>
  <c r="N1256" i="4"/>
  <c r="R1256" i="4" s="1"/>
  <c r="P639" i="4"/>
  <c r="T639" i="4" s="1"/>
  <c r="U639" i="4" s="1"/>
  <c r="AA639" i="4" s="1"/>
  <c r="L639" i="4"/>
  <c r="Q331" i="4"/>
  <c r="J1034" i="4"/>
  <c r="V1034" i="4"/>
  <c r="Q598" i="4"/>
  <c r="Y168" i="4" l="1"/>
  <c r="J421" i="4"/>
  <c r="P991" i="4"/>
  <c r="T991" i="4" s="1"/>
  <c r="T992" i="4" s="1"/>
  <c r="P993" i="4" s="1"/>
  <c r="L993" i="4" s="1"/>
  <c r="T860" i="4"/>
  <c r="U860" i="4" s="1"/>
  <c r="AA860" i="4" s="1"/>
  <c r="V860" i="4"/>
  <c r="W860" i="4" s="1"/>
  <c r="U420" i="4"/>
  <c r="AA420" i="4" s="1"/>
  <c r="P462" i="4"/>
  <c r="L462" i="4" s="1"/>
  <c r="J462" i="4" s="1"/>
  <c r="W1080" i="4"/>
  <c r="T421" i="4"/>
  <c r="U421" i="4" s="1"/>
  <c r="AA421" i="4" s="1"/>
  <c r="O818" i="4"/>
  <c r="L818" i="4" s="1"/>
  <c r="P552" i="4"/>
  <c r="T552" i="4" s="1"/>
  <c r="U461" i="4"/>
  <c r="AA461" i="4" s="1"/>
  <c r="W770" i="4"/>
  <c r="J329" i="4"/>
  <c r="V329" i="4"/>
  <c r="U329" i="4"/>
  <c r="AA329" i="4" s="1"/>
  <c r="P330" i="4"/>
  <c r="N212" i="4"/>
  <c r="P948" i="4"/>
  <c r="L948" i="4" s="1"/>
  <c r="T903" i="4"/>
  <c r="U903" i="4" s="1"/>
  <c r="AA903" i="4" s="1"/>
  <c r="L903" i="4"/>
  <c r="W1122" i="4"/>
  <c r="T771" i="4"/>
  <c r="P861" i="4"/>
  <c r="L861" i="4" s="1"/>
  <c r="V861" i="4" s="1"/>
  <c r="U594" i="4"/>
  <c r="AA594" i="4" s="1"/>
  <c r="T595" i="4"/>
  <c r="U595" i="4" s="1"/>
  <c r="AA595" i="4" s="1"/>
  <c r="W1342" i="4"/>
  <c r="T948" i="4"/>
  <c r="O331" i="4"/>
  <c r="W817" i="4"/>
  <c r="L212" i="4"/>
  <c r="AG71" i="4"/>
  <c r="G25" i="4"/>
  <c r="B85" i="1" s="1"/>
  <c r="Y72" i="4"/>
  <c r="W421" i="4"/>
  <c r="N71" i="4"/>
  <c r="N72" i="4" s="1"/>
  <c r="Z71" i="4"/>
  <c r="P72" i="4"/>
  <c r="T1035" i="4"/>
  <c r="P1036" i="4" s="1"/>
  <c r="P288" i="4"/>
  <c r="T288" i="4" s="1"/>
  <c r="U288" i="4" s="1"/>
  <c r="AA288" i="4" s="1"/>
  <c r="J1123" i="4"/>
  <c r="V1123" i="4"/>
  <c r="W1123" i="4" s="1"/>
  <c r="J1210" i="4"/>
  <c r="V1210" i="4"/>
  <c r="M642" i="4"/>
  <c r="Q642" i="4" s="1"/>
  <c r="M1084" i="4"/>
  <c r="Q1084" i="4" s="1"/>
  <c r="O774" i="4"/>
  <c r="M1040" i="4"/>
  <c r="Q1040" i="4" s="1"/>
  <c r="M1127" i="4"/>
  <c r="Q1127" i="4" s="1"/>
  <c r="J727" i="4"/>
  <c r="V727" i="4"/>
  <c r="M1303" i="4"/>
  <c r="S640" i="4"/>
  <c r="M1346" i="4"/>
  <c r="Q1346" i="4" s="1"/>
  <c r="J726" i="4"/>
  <c r="V726" i="4"/>
  <c r="O1082" i="4"/>
  <c r="S1082" i="4" s="1"/>
  <c r="O1083" i="4" s="1"/>
  <c r="P508" i="4"/>
  <c r="T508" i="4" s="1"/>
  <c r="L508" i="4"/>
  <c r="O289" i="4"/>
  <c r="P1255" i="4"/>
  <c r="L1255" i="4" s="1"/>
  <c r="M599" i="4"/>
  <c r="Q599" i="4" s="1"/>
  <c r="P1167" i="4"/>
  <c r="L1167" i="4" s="1"/>
  <c r="U1166" i="4"/>
  <c r="AA1166" i="4" s="1"/>
  <c r="J681" i="4"/>
  <c r="V681" i="4"/>
  <c r="W681" i="4" s="1"/>
  <c r="J1300" i="4"/>
  <c r="V1300" i="4"/>
  <c r="O1301" i="4"/>
  <c r="P1301" i="4" s="1"/>
  <c r="T1301" i="4" s="1"/>
  <c r="J639" i="4"/>
  <c r="V639" i="4"/>
  <c r="W639" i="4" s="1"/>
  <c r="M469" i="4"/>
  <c r="Q469" i="4" s="1"/>
  <c r="O465" i="4"/>
  <c r="S465" i="4" s="1"/>
  <c r="M952" i="4"/>
  <c r="Q952" i="4" s="1"/>
  <c r="O728" i="4"/>
  <c r="S728" i="4" s="1"/>
  <c r="O950" i="4"/>
  <c r="S950" i="4" s="1"/>
  <c r="M906" i="4"/>
  <c r="Q906" i="4" s="1"/>
  <c r="U1300" i="4"/>
  <c r="AA1300" i="4" s="1"/>
  <c r="T1210" i="4"/>
  <c r="P1211" i="4" s="1"/>
  <c r="L1211" i="4" s="1"/>
  <c r="P992" i="4"/>
  <c r="L992" i="4"/>
  <c r="S1124" i="4"/>
  <c r="O1125" i="4" s="1"/>
  <c r="P1124" i="4"/>
  <c r="T1124" i="4" s="1"/>
  <c r="N1083" i="4"/>
  <c r="R1083" i="4" s="1"/>
  <c r="M686" i="4"/>
  <c r="M290" i="4"/>
  <c r="Q290" i="4" s="1"/>
  <c r="N641" i="4"/>
  <c r="R641" i="4" s="1"/>
  <c r="O641" i="4"/>
  <c r="M512" i="4"/>
  <c r="M863" i="4"/>
  <c r="Q863" i="4" s="1"/>
  <c r="L682" i="4"/>
  <c r="T727" i="4"/>
  <c r="U726" i="4"/>
  <c r="AA726" i="4" s="1"/>
  <c r="N819" i="4"/>
  <c r="R819" i="4" s="1"/>
  <c r="L552" i="4"/>
  <c r="P1343" i="4"/>
  <c r="T1343" i="4" s="1"/>
  <c r="Q819" i="4"/>
  <c r="U1254" i="4"/>
  <c r="AA1254" i="4" s="1"/>
  <c r="P375" i="4"/>
  <c r="T375" i="4" s="1"/>
  <c r="P640" i="4"/>
  <c r="T640" i="4" s="1"/>
  <c r="R378" i="4"/>
  <c r="N1169" i="4"/>
  <c r="R1169" i="4" s="1"/>
  <c r="Q729" i="4"/>
  <c r="L1254" i="4"/>
  <c r="P422" i="4"/>
  <c r="T422" i="4" s="1"/>
  <c r="J1081" i="4"/>
  <c r="V1081" i="4"/>
  <c r="W1081" i="4" s="1"/>
  <c r="S508" i="4"/>
  <c r="S1211" i="4"/>
  <c r="W287" i="4"/>
  <c r="S1255" i="4"/>
  <c r="O1256" i="4" s="1"/>
  <c r="N1039" i="4"/>
  <c r="R1039" i="4" s="1"/>
  <c r="W1034" i="4"/>
  <c r="R775" i="4"/>
  <c r="AG168" i="4"/>
  <c r="I27" i="4"/>
  <c r="V462" i="4"/>
  <c r="O993" i="4"/>
  <c r="S993" i="4" s="1"/>
  <c r="U682" i="4"/>
  <c r="AA682" i="4" s="1"/>
  <c r="O683" i="4"/>
  <c r="S683" i="4" s="1"/>
  <c r="W374" i="4"/>
  <c r="S904" i="4"/>
  <c r="P904" i="4"/>
  <c r="M776" i="4"/>
  <c r="S1343" i="4"/>
  <c r="N1214" i="4"/>
  <c r="R1214" i="4" s="1"/>
  <c r="Q994" i="4"/>
  <c r="R993" i="4"/>
  <c r="S375" i="4"/>
  <c r="W507" i="4"/>
  <c r="Q556" i="4"/>
  <c r="N423" i="4"/>
  <c r="O423" i="4" s="1"/>
  <c r="W1165" i="4"/>
  <c r="P818" i="4"/>
  <c r="T818" i="4" s="1"/>
  <c r="M381" i="4"/>
  <c r="Q381" i="4" s="1"/>
  <c r="Q1169" i="4"/>
  <c r="J1209" i="4"/>
  <c r="V1209" i="4"/>
  <c r="W1209" i="4" s="1"/>
  <c r="Z168" i="4"/>
  <c r="I23" i="4"/>
  <c r="D83" i="1" s="1"/>
  <c r="I24" i="4"/>
  <c r="D84" i="1" s="1"/>
  <c r="W286" i="4"/>
  <c r="M332" i="4"/>
  <c r="J1035" i="4"/>
  <c r="V1035" i="4"/>
  <c r="J948" i="4"/>
  <c r="V948" i="4"/>
  <c r="O598" i="4"/>
  <c r="S818" i="4"/>
  <c r="N1257" i="4"/>
  <c r="R1257" i="4" s="1"/>
  <c r="R950" i="4"/>
  <c r="N862" i="4"/>
  <c r="R862" i="4" s="1"/>
  <c r="R728" i="4"/>
  <c r="W990" i="4"/>
  <c r="N1126" i="4"/>
  <c r="R511" i="4"/>
  <c r="S289" i="4"/>
  <c r="W461" i="4"/>
  <c r="M1215" i="4"/>
  <c r="M424" i="4"/>
  <c r="N685" i="4"/>
  <c r="R685" i="4" s="1"/>
  <c r="M1258" i="4"/>
  <c r="Q1258" i="4" s="1"/>
  <c r="U552" i="4"/>
  <c r="AA552" i="4" s="1"/>
  <c r="N553" i="4"/>
  <c r="R553" i="4" s="1"/>
  <c r="R598" i="4"/>
  <c r="N1302" i="4"/>
  <c r="R1302" i="4" s="1"/>
  <c r="P596" i="4" l="1"/>
  <c r="L596" i="4" s="1"/>
  <c r="T861" i="4"/>
  <c r="W329" i="4"/>
  <c r="U771" i="4"/>
  <c r="P772" i="4"/>
  <c r="W1166" i="4"/>
  <c r="J861" i="4"/>
  <c r="T330" i="4"/>
  <c r="U330" i="4" s="1"/>
  <c r="AA330" i="4" s="1"/>
  <c r="L330" i="4"/>
  <c r="W420" i="4"/>
  <c r="L991" i="4"/>
  <c r="U991" i="4"/>
  <c r="AA991" i="4" s="1"/>
  <c r="J903" i="4"/>
  <c r="V903" i="4"/>
  <c r="W903" i="4" s="1"/>
  <c r="W594" i="4"/>
  <c r="T462" i="4"/>
  <c r="L1036" i="4"/>
  <c r="J1036" i="4" s="1"/>
  <c r="T1036" i="4"/>
  <c r="U1036" i="4" s="1"/>
  <c r="AA1036" i="4" s="1"/>
  <c r="L1301" i="4"/>
  <c r="V1301" i="4" s="1"/>
  <c r="W1301" i="4" s="1"/>
  <c r="S1301" i="4"/>
  <c r="G24" i="4"/>
  <c r="B84" i="1" s="1"/>
  <c r="Z72" i="4"/>
  <c r="G23" i="4"/>
  <c r="B83" i="1" s="1"/>
  <c r="W726" i="4"/>
  <c r="U948" i="4"/>
  <c r="AA948" i="4" s="1"/>
  <c r="P949" i="4"/>
  <c r="L949" i="4" s="1"/>
  <c r="T949" i="4"/>
  <c r="U949" i="4" s="1"/>
  <c r="AA949" i="4" s="1"/>
  <c r="L288" i="4"/>
  <c r="J288" i="4" s="1"/>
  <c r="S331" i="4"/>
  <c r="P1082" i="4"/>
  <c r="T1082" i="4" s="1"/>
  <c r="U1035" i="4"/>
  <c r="AA1035" i="4" s="1"/>
  <c r="W595" i="4"/>
  <c r="P289" i="4"/>
  <c r="L289" i="4" s="1"/>
  <c r="AG72" i="4"/>
  <c r="G27" i="4"/>
  <c r="J993" i="4"/>
  <c r="V993" i="4"/>
  <c r="J1211" i="4"/>
  <c r="V1211" i="4"/>
  <c r="M291" i="4"/>
  <c r="M1041" i="4"/>
  <c r="U422" i="4"/>
  <c r="AA422" i="4" s="1"/>
  <c r="N554" i="4"/>
  <c r="R554" i="4" s="1"/>
  <c r="P423" i="4"/>
  <c r="T423" i="4" s="1"/>
  <c r="S423" i="4"/>
  <c r="M1347" i="4"/>
  <c r="M643" i="4"/>
  <c r="Q643" i="4" s="1"/>
  <c r="M382" i="4"/>
  <c r="J1255" i="4"/>
  <c r="V1255" i="4"/>
  <c r="O905" i="4"/>
  <c r="S905" i="4" s="1"/>
  <c r="J552" i="4"/>
  <c r="V552" i="4"/>
  <c r="W552" i="4" s="1"/>
  <c r="P950" i="4"/>
  <c r="L950" i="4" s="1"/>
  <c r="N332" i="4"/>
  <c r="R332" i="4" s="1"/>
  <c r="W1300" i="4"/>
  <c r="J818" i="4"/>
  <c r="V818" i="4"/>
  <c r="N512" i="4"/>
  <c r="R512" i="4" s="1"/>
  <c r="Q332" i="4"/>
  <c r="M557" i="4"/>
  <c r="Q557" i="4" s="1"/>
  <c r="U1343" i="4"/>
  <c r="AA1343" i="4" s="1"/>
  <c r="O1344" i="4"/>
  <c r="S1344" i="4" s="1"/>
  <c r="P683" i="4"/>
  <c r="T683" i="4" s="1"/>
  <c r="L683" i="4"/>
  <c r="O1039" i="4"/>
  <c r="S1039" i="4" s="1"/>
  <c r="U861" i="4"/>
  <c r="AA861" i="4" s="1"/>
  <c r="N379" i="4"/>
  <c r="L375" i="4"/>
  <c r="T1255" i="4"/>
  <c r="P1256" i="4" s="1"/>
  <c r="L1256" i="4" s="1"/>
  <c r="S1125" i="4"/>
  <c r="U1124" i="4"/>
  <c r="AA1124" i="4" s="1"/>
  <c r="N906" i="4"/>
  <c r="R906" i="4" s="1"/>
  <c r="J1167" i="4"/>
  <c r="V1167" i="4"/>
  <c r="J508" i="4"/>
  <c r="V508" i="4"/>
  <c r="L640" i="4"/>
  <c r="P1125" i="4"/>
  <c r="L1125" i="4" s="1"/>
  <c r="N776" i="4"/>
  <c r="O819" i="4"/>
  <c r="P819" i="4" s="1"/>
  <c r="T819" i="4" s="1"/>
  <c r="Q512" i="4"/>
  <c r="N686" i="4"/>
  <c r="R686" i="4" s="1"/>
  <c r="T1167" i="4"/>
  <c r="N1303" i="4"/>
  <c r="O862" i="4"/>
  <c r="S862" i="4" s="1"/>
  <c r="N290" i="4"/>
  <c r="R290" i="4" s="1"/>
  <c r="N1215" i="4"/>
  <c r="Q776" i="4"/>
  <c r="N994" i="4"/>
  <c r="M730" i="4"/>
  <c r="R1126" i="4"/>
  <c r="N1127" i="4" s="1"/>
  <c r="M820" i="4"/>
  <c r="P641" i="4"/>
  <c r="L641" i="4" s="1"/>
  <c r="Q686" i="4"/>
  <c r="J992" i="4"/>
  <c r="V992" i="4"/>
  <c r="S774" i="4"/>
  <c r="N1040" i="4"/>
  <c r="Q1303" i="4"/>
  <c r="N642" i="4"/>
  <c r="O642" i="4" s="1"/>
  <c r="Q1259" i="4"/>
  <c r="M1259" i="4"/>
  <c r="M995" i="4"/>
  <c r="Q995" i="4" s="1"/>
  <c r="O1212" i="4"/>
  <c r="S1212" i="4" s="1"/>
  <c r="L1343" i="4"/>
  <c r="U727" i="4"/>
  <c r="AA727" i="4" s="1"/>
  <c r="S598" i="4"/>
  <c r="N599" i="4"/>
  <c r="O599" i="4" s="1"/>
  <c r="N1084" i="4"/>
  <c r="U1301" i="4"/>
  <c r="AA1301" i="4" s="1"/>
  <c r="T993" i="4"/>
  <c r="U992" i="4"/>
  <c r="AA992" i="4" s="1"/>
  <c r="R423" i="4"/>
  <c r="N424" i="4" s="1"/>
  <c r="U375" i="4"/>
  <c r="AA375" i="4" s="1"/>
  <c r="O376" i="4"/>
  <c r="S376" i="4" s="1"/>
  <c r="S1256" i="4"/>
  <c r="M953" i="4"/>
  <c r="N729" i="4"/>
  <c r="R729" i="4" s="1"/>
  <c r="N1258" i="4"/>
  <c r="R1258" i="4" s="1"/>
  <c r="T596" i="4"/>
  <c r="L422" i="4"/>
  <c r="J682" i="4"/>
  <c r="V682" i="4"/>
  <c r="W682" i="4" s="1"/>
  <c r="T1211" i="4"/>
  <c r="U1211" i="4" s="1"/>
  <c r="AA1211" i="4" s="1"/>
  <c r="U1210" i="4"/>
  <c r="AA1210" i="4" s="1"/>
  <c r="P728" i="4"/>
  <c r="T728" i="4" s="1"/>
  <c r="O466" i="4"/>
  <c r="S466" i="4" s="1"/>
  <c r="M600" i="4"/>
  <c r="Q600" i="4" s="1"/>
  <c r="S641" i="4"/>
  <c r="U640" i="4"/>
  <c r="AA640" i="4" s="1"/>
  <c r="M1085" i="4"/>
  <c r="Q1085" i="4" s="1"/>
  <c r="M1170" i="4"/>
  <c r="Q864" i="4"/>
  <c r="M864" i="4"/>
  <c r="M470" i="4"/>
  <c r="Q1215" i="4"/>
  <c r="U818" i="4"/>
  <c r="AA818" i="4" s="1"/>
  <c r="O553" i="4"/>
  <c r="S553" i="4" s="1"/>
  <c r="P553" i="4"/>
  <c r="T553" i="4" s="1"/>
  <c r="U683" i="4"/>
  <c r="AA683" i="4" s="1"/>
  <c r="O684" i="4"/>
  <c r="S684" i="4" s="1"/>
  <c r="O685" i="4" s="1"/>
  <c r="J1254" i="4"/>
  <c r="V1254" i="4"/>
  <c r="W1254" i="4" s="1"/>
  <c r="M907" i="4"/>
  <c r="Q907" i="4" s="1"/>
  <c r="J991" i="4"/>
  <c r="V991" i="4"/>
  <c r="W991" i="4" s="1"/>
  <c r="N1346" i="4"/>
  <c r="R1346" i="4" s="1"/>
  <c r="O1302" i="4"/>
  <c r="S1302" i="4" s="1"/>
  <c r="J596" i="4"/>
  <c r="V596" i="4"/>
  <c r="N951" i="4"/>
  <c r="R951" i="4" s="1"/>
  <c r="Q424" i="4"/>
  <c r="T904" i="4"/>
  <c r="L904" i="4"/>
  <c r="U508" i="4"/>
  <c r="AA508" i="4" s="1"/>
  <c r="O509" i="4"/>
  <c r="O1169" i="4"/>
  <c r="N863" i="4"/>
  <c r="R863" i="4" s="1"/>
  <c r="L1124" i="4"/>
  <c r="N469" i="4"/>
  <c r="R469" i="4" s="1"/>
  <c r="S1083" i="4"/>
  <c r="M1128" i="4"/>
  <c r="Q1128" i="4" s="1"/>
  <c r="V330" i="4" l="1"/>
  <c r="W330" i="4" s="1"/>
  <c r="J330" i="4"/>
  <c r="J1301" i="4"/>
  <c r="P463" i="4"/>
  <c r="L463" i="4" s="1"/>
  <c r="T463" i="4"/>
  <c r="U462" i="4"/>
  <c r="L772" i="4"/>
  <c r="T772" i="4"/>
  <c r="V288" i="4"/>
  <c r="W288" i="4" s="1"/>
  <c r="P1037" i="4"/>
  <c r="L1037" i="4" s="1"/>
  <c r="J1037" i="4" s="1"/>
  <c r="T289" i="4"/>
  <c r="U289" i="4" s="1"/>
  <c r="AA289" i="4" s="1"/>
  <c r="AA771" i="4"/>
  <c r="W771" i="4"/>
  <c r="R642" i="4"/>
  <c r="R599" i="4"/>
  <c r="P331" i="4"/>
  <c r="V1036" i="4"/>
  <c r="W1036" i="4" s="1"/>
  <c r="W992" i="4"/>
  <c r="W727" i="4"/>
  <c r="T950" i="4"/>
  <c r="U950" i="4" s="1"/>
  <c r="AA950" i="4" s="1"/>
  <c r="W1035" i="4"/>
  <c r="O290" i="4"/>
  <c r="S290" i="4" s="1"/>
  <c r="L1082" i="4"/>
  <c r="J1082" i="4" s="1"/>
  <c r="P1083" i="4"/>
  <c r="L1083" i="4" s="1"/>
  <c r="J1083" i="4" s="1"/>
  <c r="L728" i="4"/>
  <c r="J728" i="4" s="1"/>
  <c r="U1255" i="4"/>
  <c r="AA1255" i="4" s="1"/>
  <c r="W948" i="4"/>
  <c r="P1302" i="4"/>
  <c r="T1302" i="4" s="1"/>
  <c r="U1082" i="4"/>
  <c r="AA1082" i="4" s="1"/>
  <c r="T1125" i="4"/>
  <c r="U1125" i="4" s="1"/>
  <c r="AA1125" i="4" s="1"/>
  <c r="S819" i="4"/>
  <c r="O1040" i="4"/>
  <c r="S1040" i="4" s="1"/>
  <c r="P862" i="4"/>
  <c r="T862" i="4" s="1"/>
  <c r="U862" i="4" s="1"/>
  <c r="AA862" i="4" s="1"/>
  <c r="R1040" i="4"/>
  <c r="N1041" i="4" s="1"/>
  <c r="R1041" i="4" s="1"/>
  <c r="J949" i="4"/>
  <c r="V949" i="4"/>
  <c r="W949" i="4" s="1"/>
  <c r="M996" i="4"/>
  <c r="Q996" i="4" s="1"/>
  <c r="O467" i="4"/>
  <c r="S467" i="4" s="1"/>
  <c r="M908" i="4"/>
  <c r="U1302" i="4"/>
  <c r="AA1302" i="4" s="1"/>
  <c r="J1125" i="4"/>
  <c r="V1125" i="4"/>
  <c r="J1256" i="4"/>
  <c r="V1256" i="4"/>
  <c r="M558" i="4"/>
  <c r="Q558" i="4" s="1"/>
  <c r="N952" i="4"/>
  <c r="R952" i="4" s="1"/>
  <c r="N953" i="4" s="1"/>
  <c r="J641" i="4"/>
  <c r="V641" i="4"/>
  <c r="U728" i="4"/>
  <c r="AA728" i="4" s="1"/>
  <c r="M1129" i="4"/>
  <c r="Q1129" i="4" s="1"/>
  <c r="O424" i="4"/>
  <c r="P424" i="4" s="1"/>
  <c r="L424" i="4" s="1"/>
  <c r="M1086" i="4"/>
  <c r="Q1086" i="4" s="1"/>
  <c r="O1345" i="4"/>
  <c r="S1345" i="4" s="1"/>
  <c r="J904" i="4"/>
  <c r="V904" i="4"/>
  <c r="W508" i="4"/>
  <c r="W1211" i="4"/>
  <c r="N864" i="4"/>
  <c r="R864" i="4" s="1"/>
  <c r="P376" i="4"/>
  <c r="T376" i="4" s="1"/>
  <c r="U376" i="4" s="1"/>
  <c r="AA376" i="4" s="1"/>
  <c r="L376" i="4"/>
  <c r="N1259" i="4"/>
  <c r="R1259" i="4" s="1"/>
  <c r="M687" i="4"/>
  <c r="Q687" i="4" s="1"/>
  <c r="M777" i="4"/>
  <c r="Q777" i="4" s="1"/>
  <c r="O1303" i="4"/>
  <c r="S1303" i="4" s="1"/>
  <c r="M333" i="4"/>
  <c r="Q333" i="4" s="1"/>
  <c r="L1302" i="4"/>
  <c r="O554" i="4"/>
  <c r="P554" i="4" s="1"/>
  <c r="T554" i="4" s="1"/>
  <c r="P509" i="4"/>
  <c r="T509" i="4" s="1"/>
  <c r="R1127" i="4"/>
  <c r="J375" i="4"/>
  <c r="V375" i="4"/>
  <c r="W375" i="4" s="1"/>
  <c r="M1216" i="4"/>
  <c r="Q1216" i="4" s="1"/>
  <c r="O1084" i="4"/>
  <c r="N470" i="4"/>
  <c r="R470" i="4" s="1"/>
  <c r="N907" i="4"/>
  <c r="S599" i="4"/>
  <c r="L553" i="4"/>
  <c r="Q470" i="4"/>
  <c r="O1257" i="4"/>
  <c r="S1257" i="4" s="1"/>
  <c r="O994" i="4"/>
  <c r="S994" i="4" s="1"/>
  <c r="U1167" i="4"/>
  <c r="AA1167" i="4" s="1"/>
  <c r="P1168" i="4"/>
  <c r="L1168" i="4" s="1"/>
  <c r="O863" i="4"/>
  <c r="S863" i="4" s="1"/>
  <c r="R1084" i="4"/>
  <c r="U993" i="4"/>
  <c r="AA993" i="4" s="1"/>
  <c r="R776" i="4"/>
  <c r="W818" i="4"/>
  <c r="T641" i="4"/>
  <c r="P642" i="4" s="1"/>
  <c r="L642" i="4" s="1"/>
  <c r="N643" i="4"/>
  <c r="U553" i="4"/>
  <c r="AA553" i="4" s="1"/>
  <c r="V1037" i="4"/>
  <c r="J950" i="4"/>
  <c r="V950" i="4"/>
  <c r="W950" i="4" s="1"/>
  <c r="S685" i="4"/>
  <c r="Q953" i="4"/>
  <c r="N730" i="4"/>
  <c r="R730" i="4" s="1"/>
  <c r="M513" i="4"/>
  <c r="Q513" i="4" s="1"/>
  <c r="Q1041" i="4"/>
  <c r="Q730" i="4"/>
  <c r="J640" i="4"/>
  <c r="V640" i="4"/>
  <c r="W640" i="4" s="1"/>
  <c r="O332" i="4"/>
  <c r="S332" i="4" s="1"/>
  <c r="J422" i="4"/>
  <c r="V422" i="4"/>
  <c r="W422" i="4" s="1"/>
  <c r="R1215" i="4"/>
  <c r="L819" i="4"/>
  <c r="N1128" i="4"/>
  <c r="J1124" i="4"/>
  <c r="V1124" i="4"/>
  <c r="W1124" i="4" s="1"/>
  <c r="M865" i="4"/>
  <c r="Q865" i="4" s="1"/>
  <c r="O377" i="4"/>
  <c r="S377" i="4" s="1"/>
  <c r="J1343" i="4"/>
  <c r="V1343" i="4"/>
  <c r="W1343" i="4" s="1"/>
  <c r="M1260" i="4"/>
  <c r="Q1260" i="4" s="1"/>
  <c r="O775" i="4"/>
  <c r="S775" i="4" s="1"/>
  <c r="N820" i="4"/>
  <c r="R820" i="4" s="1"/>
  <c r="R994" i="4"/>
  <c r="N995" i="4" s="1"/>
  <c r="R1303" i="4"/>
  <c r="J683" i="4"/>
  <c r="V683" i="4"/>
  <c r="W683" i="4" s="1"/>
  <c r="M644" i="4"/>
  <c r="Q644" i="4" s="1"/>
  <c r="N555" i="4"/>
  <c r="N291" i="4"/>
  <c r="R291" i="4" s="1"/>
  <c r="O951" i="4"/>
  <c r="S951" i="4" s="1"/>
  <c r="N1347" i="4"/>
  <c r="M601" i="4"/>
  <c r="O1213" i="4"/>
  <c r="S1213" i="4" s="1"/>
  <c r="S509" i="4"/>
  <c r="R424" i="4"/>
  <c r="U423" i="4"/>
  <c r="AA423" i="4" s="1"/>
  <c r="Q1347" i="4"/>
  <c r="R379" i="4"/>
  <c r="R643" i="4"/>
  <c r="O906" i="4"/>
  <c r="S906" i="4" s="1"/>
  <c r="L423" i="4"/>
  <c r="N1170" i="4"/>
  <c r="R1170" i="4" s="1"/>
  <c r="S642" i="4"/>
  <c r="W861" i="4"/>
  <c r="W1210" i="4"/>
  <c r="Q820" i="4"/>
  <c r="T684" i="4"/>
  <c r="V1082" i="4"/>
  <c r="W1082" i="4" s="1"/>
  <c r="P905" i="4"/>
  <c r="L905" i="4" s="1"/>
  <c r="Q382" i="4"/>
  <c r="S1169" i="4"/>
  <c r="M425" i="4"/>
  <c r="P684" i="4"/>
  <c r="L684" i="4" s="1"/>
  <c r="Q1170" i="4"/>
  <c r="N600" i="4"/>
  <c r="R600" i="4" s="1"/>
  <c r="O600" i="4"/>
  <c r="U596" i="4"/>
  <c r="AA596" i="4" s="1"/>
  <c r="P597" i="4"/>
  <c r="L597" i="4" s="1"/>
  <c r="O729" i="4"/>
  <c r="S729" i="4" s="1"/>
  <c r="P1212" i="4"/>
  <c r="T1212" i="4" s="1"/>
  <c r="M1304" i="4"/>
  <c r="Q1304" i="4" s="1"/>
  <c r="U819" i="4"/>
  <c r="AA819" i="4" s="1"/>
  <c r="J289" i="4"/>
  <c r="V289" i="4"/>
  <c r="W289" i="4" s="1"/>
  <c r="O1126" i="4"/>
  <c r="S1126" i="4" s="1"/>
  <c r="T1256" i="4"/>
  <c r="U1256" i="4" s="1"/>
  <c r="AA1256" i="4" s="1"/>
  <c r="P1344" i="4"/>
  <c r="T1344" i="4" s="1"/>
  <c r="U1344" i="4" s="1"/>
  <c r="AA1344" i="4" s="1"/>
  <c r="U904" i="4"/>
  <c r="AA904" i="4" s="1"/>
  <c r="Q291" i="4"/>
  <c r="U772" i="4" l="1"/>
  <c r="AA772" i="4" s="1"/>
  <c r="P773" i="4"/>
  <c r="T331" i="4"/>
  <c r="U331" i="4" s="1"/>
  <c r="AA331" i="4" s="1"/>
  <c r="L331" i="4"/>
  <c r="W1167" i="4"/>
  <c r="P464" i="4"/>
  <c r="L464" i="4" s="1"/>
  <c r="T464" i="4"/>
  <c r="U463" i="4"/>
  <c r="AA463" i="4" s="1"/>
  <c r="V728" i="4"/>
  <c r="O1170" i="4"/>
  <c r="S1170" i="4" s="1"/>
  <c r="W1255" i="4"/>
  <c r="J772" i="4"/>
  <c r="V772" i="4"/>
  <c r="W772" i="4" s="1"/>
  <c r="V1083" i="4"/>
  <c r="AA462" i="4"/>
  <c r="W462" i="4"/>
  <c r="V463" i="4"/>
  <c r="J463" i="4"/>
  <c r="T1037" i="4"/>
  <c r="P1038" i="4" s="1"/>
  <c r="L1038" i="4" s="1"/>
  <c r="T905" i="4"/>
  <c r="U905" i="4" s="1"/>
  <c r="AA905" i="4" s="1"/>
  <c r="O907" i="4"/>
  <c r="P994" i="4"/>
  <c r="L994" i="4" s="1"/>
  <c r="J994" i="4" s="1"/>
  <c r="L862" i="4"/>
  <c r="S424" i="4"/>
  <c r="O995" i="4"/>
  <c r="P290" i="4"/>
  <c r="T290" i="4" s="1"/>
  <c r="U290" i="4" s="1"/>
  <c r="AA290" i="4" s="1"/>
  <c r="L1212" i="4"/>
  <c r="V1212" i="4" s="1"/>
  <c r="W993" i="4"/>
  <c r="T1083" i="4"/>
  <c r="U1083" i="4" s="1"/>
  <c r="AA1083" i="4" s="1"/>
  <c r="V994" i="4"/>
  <c r="O776" i="4"/>
  <c r="S776" i="4" s="1"/>
  <c r="M1261" i="4"/>
  <c r="U1212" i="4"/>
  <c r="AA1212" i="4" s="1"/>
  <c r="M645" i="4"/>
  <c r="O864" i="4"/>
  <c r="S864" i="4" s="1"/>
  <c r="M1217" i="4"/>
  <c r="O1346" i="4"/>
  <c r="S1346" i="4" s="1"/>
  <c r="J424" i="4"/>
  <c r="V424" i="4"/>
  <c r="O468" i="4"/>
  <c r="M559" i="4"/>
  <c r="Q559" i="4" s="1"/>
  <c r="M866" i="4"/>
  <c r="Q866" i="4" s="1"/>
  <c r="M1130" i="4"/>
  <c r="J642" i="4"/>
  <c r="V642" i="4"/>
  <c r="J684" i="4"/>
  <c r="V684" i="4"/>
  <c r="O1214" i="4"/>
  <c r="S1214" i="4" s="1"/>
  <c r="P1303" i="4"/>
  <c r="T1168" i="4"/>
  <c r="J1302" i="4"/>
  <c r="V1302" i="4"/>
  <c r="W1302" i="4" s="1"/>
  <c r="N777" i="4"/>
  <c r="P863" i="4"/>
  <c r="T863" i="4" s="1"/>
  <c r="W1256" i="4"/>
  <c r="N601" i="4"/>
  <c r="R601" i="4" s="1"/>
  <c r="R1304" i="4"/>
  <c r="L1344" i="4"/>
  <c r="L729" i="4"/>
  <c r="M383" i="4"/>
  <c r="Q383" i="4" s="1"/>
  <c r="W728" i="4"/>
  <c r="R995" i="4"/>
  <c r="N996" i="4" s="1"/>
  <c r="J819" i="4"/>
  <c r="V819" i="4"/>
  <c r="W819" i="4" s="1"/>
  <c r="P332" i="4"/>
  <c r="T332" i="4" s="1"/>
  <c r="N333" i="4"/>
  <c r="R333" i="4" s="1"/>
  <c r="T994" i="4"/>
  <c r="M1305" i="4"/>
  <c r="M514" i="4"/>
  <c r="M688" i="4"/>
  <c r="Q688" i="4" s="1"/>
  <c r="O378" i="4"/>
  <c r="S378" i="4" s="1"/>
  <c r="S907" i="4"/>
  <c r="O1258" i="4"/>
  <c r="J423" i="4"/>
  <c r="V423" i="4"/>
  <c r="W423" i="4" s="1"/>
  <c r="M731" i="4"/>
  <c r="L554" i="4"/>
  <c r="S554" i="4"/>
  <c r="O555" i="4" s="1"/>
  <c r="P555" i="4" s="1"/>
  <c r="T555" i="4" s="1"/>
  <c r="S1084" i="4"/>
  <c r="P729" i="4"/>
  <c r="T729" i="4" s="1"/>
  <c r="N425" i="4"/>
  <c r="Q601" i="4"/>
  <c r="M954" i="4"/>
  <c r="S600" i="4"/>
  <c r="O1041" i="4"/>
  <c r="M778" i="4"/>
  <c r="J376" i="4"/>
  <c r="V376" i="4"/>
  <c r="W376" i="4" s="1"/>
  <c r="M1087" i="4"/>
  <c r="Q1087" i="4" s="1"/>
  <c r="W1125" i="4"/>
  <c r="O1127" i="4"/>
  <c r="M997" i="4"/>
  <c r="P1345" i="4"/>
  <c r="T1345" i="4" s="1"/>
  <c r="L1345" i="4"/>
  <c r="L509" i="4"/>
  <c r="R953" i="4"/>
  <c r="P1213" i="4"/>
  <c r="T1213" i="4" s="1"/>
  <c r="L1213" i="4"/>
  <c r="M471" i="4"/>
  <c r="P685" i="4"/>
  <c r="L685" i="4" s="1"/>
  <c r="N865" i="4"/>
  <c r="T424" i="4"/>
  <c r="P951" i="4"/>
  <c r="T951" i="4" s="1"/>
  <c r="N1260" i="4"/>
  <c r="M1042" i="4"/>
  <c r="R1128" i="4"/>
  <c r="N1129" i="4" s="1"/>
  <c r="N380" i="4"/>
  <c r="R380" i="4" s="1"/>
  <c r="N1304" i="4"/>
  <c r="M1348" i="4"/>
  <c r="Q1348" i="4" s="1"/>
  <c r="W596" i="4"/>
  <c r="O291" i="4"/>
  <c r="U684" i="4"/>
  <c r="AA684" i="4" s="1"/>
  <c r="O643" i="4"/>
  <c r="M334" i="4"/>
  <c r="Q334" i="4" s="1"/>
  <c r="N687" i="4"/>
  <c r="R687" i="4" s="1"/>
  <c r="W904" i="4"/>
  <c r="U729" i="4"/>
  <c r="AA729" i="4" s="1"/>
  <c r="T642" i="4"/>
  <c r="U641" i="4"/>
  <c r="AA641" i="4" s="1"/>
  <c r="M821" i="4"/>
  <c r="Q821" i="4" s="1"/>
  <c r="R1347" i="4"/>
  <c r="R555" i="4"/>
  <c r="O730" i="4"/>
  <c r="S730" i="4" s="1"/>
  <c r="J1168" i="4"/>
  <c r="V1168" i="4"/>
  <c r="J553" i="4"/>
  <c r="V553" i="4"/>
  <c r="W553" i="4" s="1"/>
  <c r="Q908" i="4"/>
  <c r="M292" i="4"/>
  <c r="M1171" i="4"/>
  <c r="Q1171" i="4" s="1"/>
  <c r="N644" i="4"/>
  <c r="R644" i="4" s="1"/>
  <c r="N1216" i="4"/>
  <c r="R1216" i="4" s="1"/>
  <c r="R425" i="4"/>
  <c r="J597" i="4"/>
  <c r="V597" i="4"/>
  <c r="J905" i="4"/>
  <c r="V905" i="4"/>
  <c r="T1257" i="4"/>
  <c r="U424" i="4"/>
  <c r="AA424" i="4" s="1"/>
  <c r="S643" i="4"/>
  <c r="U1037" i="4"/>
  <c r="AA1037" i="4" s="1"/>
  <c r="P1126" i="4"/>
  <c r="T1126" i="4" s="1"/>
  <c r="T597" i="4"/>
  <c r="Q425" i="4"/>
  <c r="N1085" i="4"/>
  <c r="U509" i="4"/>
  <c r="AA509" i="4" s="1"/>
  <c r="O510" i="4"/>
  <c r="O820" i="4"/>
  <c r="P820" i="4" s="1"/>
  <c r="T820" i="4" s="1"/>
  <c r="P377" i="4"/>
  <c r="T377" i="4" s="1"/>
  <c r="R907" i="4"/>
  <c r="N513" i="4"/>
  <c r="R513" i="4" s="1"/>
  <c r="O686" i="4"/>
  <c r="S686" i="4" s="1"/>
  <c r="P1257" i="4"/>
  <c r="L1257" i="4"/>
  <c r="S1041" i="4"/>
  <c r="O952" i="4"/>
  <c r="P952" i="4"/>
  <c r="P465" i="4" l="1"/>
  <c r="L465" i="4" s="1"/>
  <c r="T465" i="4"/>
  <c r="U464" i="4"/>
  <c r="AA464" i="4" s="1"/>
  <c r="P995" i="4"/>
  <c r="L995" i="4" s="1"/>
  <c r="V995" i="4" s="1"/>
  <c r="P1084" i="4"/>
  <c r="T1084" i="4" s="1"/>
  <c r="U1084" i="4" s="1"/>
  <c r="AA1084" i="4" s="1"/>
  <c r="L1126" i="4"/>
  <c r="V1126" i="4" s="1"/>
  <c r="S995" i="4"/>
  <c r="O996" i="4" s="1"/>
  <c r="S996" i="4" s="1"/>
  <c r="J1212" i="4"/>
  <c r="P906" i="4"/>
  <c r="L906" i="4" s="1"/>
  <c r="J906" i="4" s="1"/>
  <c r="W463" i="4"/>
  <c r="J464" i="4"/>
  <c r="V464" i="4"/>
  <c r="T773" i="4"/>
  <c r="L773" i="4"/>
  <c r="W905" i="4"/>
  <c r="W1083" i="4"/>
  <c r="J331" i="4"/>
  <c r="V331" i="4"/>
  <c r="W331" i="4" s="1"/>
  <c r="W684" i="4"/>
  <c r="L952" i="4"/>
  <c r="V952" i="4" s="1"/>
  <c r="S952" i="4"/>
  <c r="V862" i="4"/>
  <c r="W862" i="4" s="1"/>
  <c r="J862" i="4"/>
  <c r="L290" i="4"/>
  <c r="O425" i="4"/>
  <c r="P425" i="4" s="1"/>
  <c r="P291" i="4"/>
  <c r="T291" i="4" s="1"/>
  <c r="U377" i="4"/>
  <c r="AA377" i="4" s="1"/>
  <c r="U1213" i="4"/>
  <c r="AA1213" i="4" s="1"/>
  <c r="J952" i="4"/>
  <c r="S687" i="4"/>
  <c r="M867" i="4"/>
  <c r="O865" i="4"/>
  <c r="S865" i="4" s="1"/>
  <c r="J995" i="4"/>
  <c r="O1085" i="4"/>
  <c r="R1085" i="4"/>
  <c r="P1258" i="4"/>
  <c r="T1258" i="4" s="1"/>
  <c r="N645" i="4"/>
  <c r="N292" i="4"/>
  <c r="R292" i="4" s="1"/>
  <c r="M335" i="4"/>
  <c r="Q335" i="4" s="1"/>
  <c r="J685" i="4"/>
  <c r="V685" i="4"/>
  <c r="N731" i="4"/>
  <c r="R731" i="4" s="1"/>
  <c r="O731" i="4"/>
  <c r="S731" i="4" s="1"/>
  <c r="J729" i="4"/>
  <c r="V729" i="4"/>
  <c r="W729" i="4" s="1"/>
  <c r="M560" i="4"/>
  <c r="M426" i="4"/>
  <c r="Q426" i="4" s="1"/>
  <c r="P730" i="4"/>
  <c r="L730" i="4" s="1"/>
  <c r="S1171" i="4"/>
  <c r="N471" i="4"/>
  <c r="R471" i="4" s="1"/>
  <c r="N514" i="4"/>
  <c r="R514" i="4" s="1"/>
  <c r="N1217" i="4"/>
  <c r="R1217" i="4" s="1"/>
  <c r="U597" i="4"/>
  <c r="AA597" i="4" s="1"/>
  <c r="P598" i="4"/>
  <c r="L598" i="4" s="1"/>
  <c r="Q292" i="4"/>
  <c r="O1304" i="4"/>
  <c r="R1129" i="4"/>
  <c r="N1130" i="4" s="1"/>
  <c r="Q471" i="4"/>
  <c r="J509" i="4"/>
  <c r="V509" i="4"/>
  <c r="W509" i="4" s="1"/>
  <c r="Q731" i="4"/>
  <c r="P378" i="4"/>
  <c r="T378" i="4" s="1"/>
  <c r="M1349" i="4"/>
  <c r="M1088" i="4"/>
  <c r="M689" i="4"/>
  <c r="O1347" i="4"/>
  <c r="S1347" i="4" s="1"/>
  <c r="N556" i="4"/>
  <c r="R645" i="4"/>
  <c r="N381" i="4"/>
  <c r="N954" i="4"/>
  <c r="R954" i="4" s="1"/>
  <c r="S1258" i="4"/>
  <c r="Q1261" i="4"/>
  <c r="T952" i="4"/>
  <c r="U952" i="4" s="1"/>
  <c r="AA952" i="4" s="1"/>
  <c r="U951" i="4"/>
  <c r="AA951" i="4" s="1"/>
  <c r="Q954" i="4"/>
  <c r="J1344" i="4"/>
  <c r="V1344" i="4"/>
  <c r="W1344" i="4" s="1"/>
  <c r="Q645" i="4"/>
  <c r="J1257" i="4"/>
  <c r="V1257" i="4"/>
  <c r="N821" i="4"/>
  <c r="R821" i="4" s="1"/>
  <c r="L377" i="4"/>
  <c r="M909" i="4"/>
  <c r="Q909" i="4" s="1"/>
  <c r="Q997" i="4"/>
  <c r="Q778" i="4"/>
  <c r="W1037" i="4"/>
  <c r="Q514" i="4"/>
  <c r="T995" i="4"/>
  <c r="U995" i="4" s="1"/>
  <c r="AA995" i="4" s="1"/>
  <c r="U994" i="4"/>
  <c r="AA994" i="4" s="1"/>
  <c r="R865" i="4"/>
  <c r="P1214" i="4"/>
  <c r="L1214" i="4" s="1"/>
  <c r="Q1130" i="4"/>
  <c r="S468" i="4"/>
  <c r="Q1217" i="4"/>
  <c r="P1127" i="4"/>
  <c r="L1127" i="4" s="1"/>
  <c r="U1126" i="4"/>
  <c r="AA1126" i="4" s="1"/>
  <c r="T1303" i="4"/>
  <c r="L1303" i="4"/>
  <c r="O1215" i="4"/>
  <c r="S1215" i="4" s="1"/>
  <c r="U863" i="4"/>
  <c r="AA863" i="4" s="1"/>
  <c r="P643" i="4"/>
  <c r="L643" i="4" s="1"/>
  <c r="R777" i="4"/>
  <c r="N1305" i="4"/>
  <c r="L555" i="4"/>
  <c r="W597" i="4"/>
  <c r="J290" i="4"/>
  <c r="V290" i="4"/>
  <c r="W290" i="4" s="1"/>
  <c r="M822" i="4"/>
  <c r="Q822" i="4" s="1"/>
  <c r="U642" i="4"/>
  <c r="AA642" i="4" s="1"/>
  <c r="N1042" i="4"/>
  <c r="R1042" i="4" s="1"/>
  <c r="O1042" i="4"/>
  <c r="S1042" i="4" s="1"/>
  <c r="J1213" i="4"/>
  <c r="V1213" i="4"/>
  <c r="L332" i="4"/>
  <c r="S1127" i="4"/>
  <c r="N866" i="4"/>
  <c r="S777" i="4"/>
  <c r="S820" i="4"/>
  <c r="L820" i="4"/>
  <c r="O687" i="4"/>
  <c r="S291" i="4"/>
  <c r="Q1042" i="4"/>
  <c r="S1085" i="4"/>
  <c r="J1038" i="4"/>
  <c r="V1038" i="4"/>
  <c r="W641" i="4"/>
  <c r="Q1305" i="4"/>
  <c r="N1171" i="4"/>
  <c r="R1171" i="4" s="1"/>
  <c r="O1171" i="4"/>
  <c r="N1348" i="4"/>
  <c r="R1348" i="4" s="1"/>
  <c r="L951" i="4"/>
  <c r="J1345" i="4"/>
  <c r="V1345" i="4"/>
  <c r="W1345" i="4" s="1"/>
  <c r="S601" i="4"/>
  <c r="S555" i="4"/>
  <c r="U555" i="4" s="1"/>
  <c r="AA555" i="4" s="1"/>
  <c r="U554" i="4"/>
  <c r="AA554" i="4" s="1"/>
  <c r="L863" i="4"/>
  <c r="O601" i="4"/>
  <c r="O777" i="4"/>
  <c r="R1260" i="4"/>
  <c r="N1261" i="4" s="1"/>
  <c r="U332" i="4"/>
  <c r="AA332" i="4" s="1"/>
  <c r="W424" i="4"/>
  <c r="P1346" i="4"/>
  <c r="T1346" i="4" s="1"/>
  <c r="L1346" i="4"/>
  <c r="M1172" i="4"/>
  <c r="Q1172" i="4" s="1"/>
  <c r="M384" i="4"/>
  <c r="J1126" i="4"/>
  <c r="O644" i="4"/>
  <c r="S644" i="4" s="1"/>
  <c r="O379" i="4"/>
  <c r="S379" i="4" s="1"/>
  <c r="O380" i="4" s="1"/>
  <c r="R996" i="4"/>
  <c r="N997" i="4" s="1"/>
  <c r="U1168" i="4"/>
  <c r="AA1168" i="4" s="1"/>
  <c r="P1169" i="4"/>
  <c r="L1169" i="4" s="1"/>
  <c r="O953" i="4"/>
  <c r="P864" i="4"/>
  <c r="T864" i="4" s="1"/>
  <c r="O333" i="4"/>
  <c r="S333" i="4" s="1"/>
  <c r="P510" i="4"/>
  <c r="T510" i="4" s="1"/>
  <c r="N908" i="4"/>
  <c r="T685" i="4"/>
  <c r="M602" i="4"/>
  <c r="S510" i="4"/>
  <c r="T1038" i="4"/>
  <c r="N334" i="4"/>
  <c r="J554" i="4"/>
  <c r="V554" i="4"/>
  <c r="U1257" i="4"/>
  <c r="AA1257" i="4" s="1"/>
  <c r="N688" i="4"/>
  <c r="R688" i="4" s="1"/>
  <c r="W1212" i="4"/>
  <c r="W642" i="4"/>
  <c r="U1345" i="4"/>
  <c r="AA1345" i="4" s="1"/>
  <c r="U773" i="4" l="1"/>
  <c r="AA773" i="4" s="1"/>
  <c r="P774" i="4"/>
  <c r="L774" i="4" s="1"/>
  <c r="T774" i="4"/>
  <c r="W1213" i="4"/>
  <c r="P1085" i="4"/>
  <c r="L1085" i="4" s="1"/>
  <c r="J773" i="4"/>
  <c r="V773" i="4"/>
  <c r="W773" i="4" s="1"/>
  <c r="S425" i="4"/>
  <c r="U425" i="4" s="1"/>
  <c r="AA425" i="4" s="1"/>
  <c r="W464" i="4"/>
  <c r="P466" i="4"/>
  <c r="L466" i="4" s="1"/>
  <c r="U465" i="4"/>
  <c r="AA465" i="4" s="1"/>
  <c r="V906" i="4"/>
  <c r="T906" i="4"/>
  <c r="P907" i="4" s="1"/>
  <c r="L907" i="4" s="1"/>
  <c r="W554" i="4"/>
  <c r="L1084" i="4"/>
  <c r="V1084" i="4" s="1"/>
  <c r="W1084" i="4" s="1"/>
  <c r="T643" i="4"/>
  <c r="U643" i="4" s="1"/>
  <c r="AA643" i="4" s="1"/>
  <c r="J465" i="4"/>
  <c r="V465" i="4"/>
  <c r="W465" i="4" s="1"/>
  <c r="L425" i="4"/>
  <c r="J425" i="4" s="1"/>
  <c r="T425" i="4"/>
  <c r="O997" i="4"/>
  <c r="T1214" i="4"/>
  <c r="W994" i="4"/>
  <c r="L510" i="4"/>
  <c r="W1168" i="4"/>
  <c r="P1304" i="4"/>
  <c r="T1304" i="4" s="1"/>
  <c r="W1257" i="4"/>
  <c r="L291" i="4"/>
  <c r="J291" i="4" s="1"/>
  <c r="W1126" i="4"/>
  <c r="L378" i="4"/>
  <c r="V378" i="4" s="1"/>
  <c r="W378" i="4" s="1"/>
  <c r="T598" i="4"/>
  <c r="U598" i="4" s="1"/>
  <c r="AA598" i="4" s="1"/>
  <c r="L1258" i="4"/>
  <c r="J1085" i="4"/>
  <c r="V1085" i="4"/>
  <c r="J1127" i="4"/>
  <c r="V1127" i="4"/>
  <c r="U864" i="4"/>
  <c r="AA864" i="4" s="1"/>
  <c r="P865" i="4"/>
  <c r="L865" i="4" s="1"/>
  <c r="M427" i="4"/>
  <c r="U378" i="4"/>
  <c r="AA378" i="4" s="1"/>
  <c r="O645" i="4"/>
  <c r="S645" i="4" s="1"/>
  <c r="J730" i="4"/>
  <c r="V730" i="4"/>
  <c r="J643" i="4"/>
  <c r="V643" i="4"/>
  <c r="M1173" i="4"/>
  <c r="Q1173" i="4" s="1"/>
  <c r="M823" i="4"/>
  <c r="M998" i="4"/>
  <c r="Q998" i="4" s="1"/>
  <c r="N689" i="4"/>
  <c r="U1303" i="4"/>
  <c r="AA1303" i="4" s="1"/>
  <c r="M955" i="4"/>
  <c r="Q955" i="4" s="1"/>
  <c r="N1086" i="4"/>
  <c r="R1086" i="4" s="1"/>
  <c r="O866" i="4"/>
  <c r="S866" i="4" s="1"/>
  <c r="M646" i="4"/>
  <c r="M1089" i="4"/>
  <c r="M732" i="4"/>
  <c r="Q732" i="4" s="1"/>
  <c r="R1130" i="4"/>
  <c r="P996" i="4"/>
  <c r="T996" i="4" s="1"/>
  <c r="O1216" i="4"/>
  <c r="S1216" i="4" s="1"/>
  <c r="M1262" i="4"/>
  <c r="J1258" i="4"/>
  <c r="V1258" i="4"/>
  <c r="W1258" i="4" s="1"/>
  <c r="M472" i="4"/>
  <c r="U906" i="4"/>
  <c r="AA906" i="4" s="1"/>
  <c r="O688" i="4"/>
  <c r="S688" i="4" s="1"/>
  <c r="J510" i="4"/>
  <c r="V510" i="4"/>
  <c r="M385" i="4"/>
  <c r="J863" i="4"/>
  <c r="V863" i="4"/>
  <c r="W863" i="4" s="1"/>
  <c r="T1127" i="4"/>
  <c r="M910" i="4"/>
  <c r="T730" i="4"/>
  <c r="S1304" i="4"/>
  <c r="U1038" i="4"/>
  <c r="AA1038" i="4" s="1"/>
  <c r="P1039" i="4"/>
  <c r="L1039" i="4" s="1"/>
  <c r="M779" i="4"/>
  <c r="Q779" i="4" s="1"/>
  <c r="M336" i="4"/>
  <c r="Q336" i="4" s="1"/>
  <c r="U820" i="4"/>
  <c r="AA820" i="4" s="1"/>
  <c r="S997" i="4"/>
  <c r="U1258" i="4"/>
  <c r="AA1258" i="4" s="1"/>
  <c r="O1259" i="4"/>
  <c r="S1259" i="4" s="1"/>
  <c r="O292" i="4"/>
  <c r="P292" i="4" s="1"/>
  <c r="T292" i="4" s="1"/>
  <c r="N602" i="4"/>
  <c r="R602" i="4" s="1"/>
  <c r="O602" i="4"/>
  <c r="S602" i="4" s="1"/>
  <c r="T1169" i="4"/>
  <c r="R866" i="4"/>
  <c r="N867" i="4" s="1"/>
  <c r="O334" i="4"/>
  <c r="S334" i="4"/>
  <c r="J951" i="4"/>
  <c r="V951" i="4"/>
  <c r="W951" i="4" s="1"/>
  <c r="M1043" i="4"/>
  <c r="J555" i="4"/>
  <c r="V555" i="4"/>
  <c r="W555" i="4" s="1"/>
  <c r="R1305" i="4"/>
  <c r="Q1088" i="4"/>
  <c r="M561" i="4"/>
  <c r="M1306" i="4"/>
  <c r="Q1306" i="4" s="1"/>
  <c r="L864" i="4"/>
  <c r="J1303" i="4"/>
  <c r="V1303" i="4"/>
  <c r="W1303" i="4" s="1"/>
  <c r="O556" i="4"/>
  <c r="S556" i="4" s="1"/>
  <c r="P556" i="4"/>
  <c r="T556" i="4" s="1"/>
  <c r="J1084" i="4"/>
  <c r="J1214" i="4"/>
  <c r="V1214" i="4"/>
  <c r="Q689" i="4"/>
  <c r="R997" i="4"/>
  <c r="R1261" i="4"/>
  <c r="R334" i="4"/>
  <c r="J377" i="4"/>
  <c r="V377" i="4"/>
  <c r="W377" i="4" s="1"/>
  <c r="N1349" i="4"/>
  <c r="R1349" i="4" s="1"/>
  <c r="N778" i="4"/>
  <c r="R778" i="4" s="1"/>
  <c r="M293" i="4"/>
  <c r="Q293" i="4" s="1"/>
  <c r="N1172" i="4"/>
  <c r="R1172" i="4" s="1"/>
  <c r="W995" i="4"/>
  <c r="R689" i="4"/>
  <c r="P644" i="4"/>
  <c r="T644" i="4" s="1"/>
  <c r="M1131" i="4"/>
  <c r="Q1131" i="4" s="1"/>
  <c r="J378" i="4"/>
  <c r="J1169" i="4"/>
  <c r="V1169" i="4"/>
  <c r="Q867" i="4"/>
  <c r="Q602" i="4"/>
  <c r="S292" i="4"/>
  <c r="U291" i="4"/>
  <c r="AA291" i="4" s="1"/>
  <c r="U685" i="4"/>
  <c r="AA685" i="4" s="1"/>
  <c r="P686" i="4"/>
  <c r="L686" i="4" s="1"/>
  <c r="P379" i="4"/>
  <c r="T379" i="4" s="1"/>
  <c r="O1348" i="4"/>
  <c r="S1348" i="4" s="1"/>
  <c r="O1128" i="4"/>
  <c r="U1127" i="4"/>
  <c r="AA1127" i="4" s="1"/>
  <c r="N822" i="4"/>
  <c r="P1215" i="4"/>
  <c r="T1215" i="4" s="1"/>
  <c r="L1215" i="4"/>
  <c r="Q515" i="4"/>
  <c r="M515" i="4"/>
  <c r="O821" i="4"/>
  <c r="P1347" i="4"/>
  <c r="T1347" i="4" s="1"/>
  <c r="L1347" i="4"/>
  <c r="Q1349" i="4"/>
  <c r="J598" i="4"/>
  <c r="V598" i="4"/>
  <c r="Q560" i="4"/>
  <c r="N335" i="4"/>
  <c r="W952" i="4"/>
  <c r="S380" i="4"/>
  <c r="O381" i="4" s="1"/>
  <c r="J820" i="4"/>
  <c r="V820" i="4"/>
  <c r="P599" i="4"/>
  <c r="L599" i="4" s="1"/>
  <c r="U510" i="4"/>
  <c r="AA510" i="4" s="1"/>
  <c r="O511" i="4"/>
  <c r="O469" i="4"/>
  <c r="S469" i="4" s="1"/>
  <c r="P953" i="4"/>
  <c r="L953" i="4" s="1"/>
  <c r="N426" i="4"/>
  <c r="R426" i="4" s="1"/>
  <c r="J1346" i="4"/>
  <c r="V1346" i="4"/>
  <c r="W1346" i="4" s="1"/>
  <c r="R556" i="4"/>
  <c r="Q384" i="4"/>
  <c r="O908" i="4"/>
  <c r="S908" i="4" s="1"/>
  <c r="S953" i="4"/>
  <c r="P333" i="4"/>
  <c r="J332" i="4"/>
  <c r="V332" i="4"/>
  <c r="W332" i="4" s="1"/>
  <c r="U1214" i="4"/>
  <c r="AA1214" i="4" s="1"/>
  <c r="M1218" i="4"/>
  <c r="R908" i="4"/>
  <c r="R381" i="4"/>
  <c r="U1346" i="4"/>
  <c r="AA1346" i="4" s="1"/>
  <c r="V466" i="4" l="1"/>
  <c r="J466" i="4"/>
  <c r="V425" i="4"/>
  <c r="V291" i="4"/>
  <c r="T953" i="4"/>
  <c r="U774" i="4"/>
  <c r="AA774" i="4" s="1"/>
  <c r="P775" i="4"/>
  <c r="L775" i="4" s="1"/>
  <c r="T775" i="4"/>
  <c r="L1304" i="4"/>
  <c r="J1304" i="4" s="1"/>
  <c r="W685" i="4"/>
  <c r="T1085" i="4"/>
  <c r="U1085" i="4" s="1"/>
  <c r="AA1085" i="4" s="1"/>
  <c r="J774" i="4"/>
  <c r="V774" i="4"/>
  <c r="W643" i="4"/>
  <c r="T466" i="4"/>
  <c r="L292" i="4"/>
  <c r="V292" i="4" s="1"/>
  <c r="W598" i="4"/>
  <c r="T865" i="4"/>
  <c r="U865" i="4" s="1"/>
  <c r="AA865" i="4" s="1"/>
  <c r="W1038" i="4"/>
  <c r="W906" i="4"/>
  <c r="T907" i="4"/>
  <c r="P908" i="4" s="1"/>
  <c r="L908" i="4" s="1"/>
  <c r="W820" i="4"/>
  <c r="L379" i="4"/>
  <c r="O689" i="4"/>
  <c r="W1127" i="4"/>
  <c r="U1215" i="4"/>
  <c r="AA1215" i="4" s="1"/>
  <c r="M1174" i="4"/>
  <c r="Q1174" i="4" s="1"/>
  <c r="U644" i="4"/>
  <c r="AA644" i="4" s="1"/>
  <c r="P645" i="4"/>
  <c r="T645" i="4" s="1"/>
  <c r="U996" i="4"/>
  <c r="AA996" i="4" s="1"/>
  <c r="P997" i="4"/>
  <c r="L997" i="4" s="1"/>
  <c r="M956" i="4"/>
  <c r="U1347" i="4"/>
  <c r="AA1347" i="4" s="1"/>
  <c r="J292" i="4"/>
  <c r="M780" i="4"/>
  <c r="Q780" i="4" s="1"/>
  <c r="U379" i="4"/>
  <c r="AA379" i="4" s="1"/>
  <c r="P380" i="4"/>
  <c r="L380" i="4" s="1"/>
  <c r="M294" i="4"/>
  <c r="M999" i="4"/>
  <c r="Q999" i="4" s="1"/>
  <c r="N382" i="4"/>
  <c r="W730" i="4"/>
  <c r="L644" i="4"/>
  <c r="O867" i="4"/>
  <c r="S867" i="4" s="1"/>
  <c r="N1218" i="4"/>
  <c r="R1218" i="4" s="1"/>
  <c r="M868" i="4"/>
  <c r="Q868" i="4" s="1"/>
  <c r="N427" i="4"/>
  <c r="R427" i="4" s="1"/>
  <c r="Q1218" i="4"/>
  <c r="J599" i="4"/>
  <c r="V599" i="4"/>
  <c r="J686" i="4"/>
  <c r="V686" i="4"/>
  <c r="W1169" i="4"/>
  <c r="N1043" i="4"/>
  <c r="R1043" i="4" s="1"/>
  <c r="O1043" i="4"/>
  <c r="S1043" i="4" s="1"/>
  <c r="R867" i="4"/>
  <c r="J1039" i="4"/>
  <c r="V1039" i="4"/>
  <c r="W510" i="4"/>
  <c r="W425" i="4"/>
  <c r="L996" i="4"/>
  <c r="J1215" i="4"/>
  <c r="V1215" i="4"/>
  <c r="M337" i="4"/>
  <c r="Q337" i="4" s="1"/>
  <c r="P1348" i="4"/>
  <c r="T1348" i="4" s="1"/>
  <c r="N955" i="4"/>
  <c r="R955" i="4" s="1"/>
  <c r="R822" i="4"/>
  <c r="M1350" i="4"/>
  <c r="Q1350" i="4" s="1"/>
  <c r="M1132" i="4"/>
  <c r="Q1132" i="4" s="1"/>
  <c r="O1305" i="4"/>
  <c r="U1304" i="4"/>
  <c r="AA1304" i="4" s="1"/>
  <c r="M733" i="4"/>
  <c r="N1087" i="4"/>
  <c r="O426" i="4"/>
  <c r="S426" i="4" s="1"/>
  <c r="P731" i="4"/>
  <c r="L731" i="4" s="1"/>
  <c r="U730" i="4"/>
  <c r="AA730" i="4" s="1"/>
  <c r="N909" i="4"/>
  <c r="S689" i="4"/>
  <c r="N293" i="4"/>
  <c r="R293" i="4" s="1"/>
  <c r="J953" i="4"/>
  <c r="V953" i="4"/>
  <c r="P821" i="4"/>
  <c r="T821" i="4" s="1"/>
  <c r="U292" i="4"/>
  <c r="AA292" i="4" s="1"/>
  <c r="N472" i="4"/>
  <c r="M473" i="4"/>
  <c r="U556" i="4"/>
  <c r="AA556" i="4" s="1"/>
  <c r="N557" i="4"/>
  <c r="T599" i="4"/>
  <c r="N515" i="4"/>
  <c r="R515" i="4" s="1"/>
  <c r="P1128" i="4"/>
  <c r="T1128" i="4" s="1"/>
  <c r="L1128" i="4"/>
  <c r="T686" i="4"/>
  <c r="O1172" i="4"/>
  <c r="O778" i="4"/>
  <c r="S778" i="4" s="1"/>
  <c r="W1214" i="4"/>
  <c r="J864" i="4"/>
  <c r="V864" i="4"/>
  <c r="W864" i="4" s="1"/>
  <c r="Q1043" i="4"/>
  <c r="P866" i="4"/>
  <c r="L866" i="4" s="1"/>
  <c r="P1259" i="4"/>
  <c r="T1259" i="4" s="1"/>
  <c r="L1259" i="4"/>
  <c r="T1039" i="4"/>
  <c r="N646" i="4"/>
  <c r="R646" i="4" s="1"/>
  <c r="Q823" i="4"/>
  <c r="T333" i="4"/>
  <c r="L333" i="4"/>
  <c r="Q1089" i="4"/>
  <c r="P511" i="4"/>
  <c r="T511" i="4" s="1"/>
  <c r="N998" i="4"/>
  <c r="O998" i="4" s="1"/>
  <c r="S998" i="4" s="1"/>
  <c r="S381" i="4"/>
  <c r="S511" i="4"/>
  <c r="M603" i="4"/>
  <c r="L556" i="4"/>
  <c r="J1347" i="4"/>
  <c r="V1347" i="4"/>
  <c r="W1347" i="4" s="1"/>
  <c r="O1217" i="4"/>
  <c r="S821" i="4"/>
  <c r="O822" i="4" s="1"/>
  <c r="Q910" i="4"/>
  <c r="N1262" i="4"/>
  <c r="R1262" i="4" s="1"/>
  <c r="Q427" i="4"/>
  <c r="S1128" i="4"/>
  <c r="O1349" i="4"/>
  <c r="Q472" i="4"/>
  <c r="Q1262" i="4"/>
  <c r="Q646" i="4"/>
  <c r="W1085" i="4"/>
  <c r="O470" i="4"/>
  <c r="M1307" i="4"/>
  <c r="N1173" i="4"/>
  <c r="O954" i="4"/>
  <c r="U953" i="4"/>
  <c r="AA953" i="4" s="1"/>
  <c r="N779" i="4"/>
  <c r="R779" i="4" s="1"/>
  <c r="J379" i="4"/>
  <c r="V379" i="4"/>
  <c r="W379" i="4" s="1"/>
  <c r="Q385" i="4"/>
  <c r="O335" i="4"/>
  <c r="S335" i="4" s="1"/>
  <c r="M690" i="4"/>
  <c r="Q561" i="4"/>
  <c r="M516" i="4"/>
  <c r="Q516" i="4" s="1"/>
  <c r="W291" i="4"/>
  <c r="N1131" i="4"/>
  <c r="R1131" i="4" s="1"/>
  <c r="R335" i="4"/>
  <c r="N336" i="4" s="1"/>
  <c r="N1306" i="4"/>
  <c r="R1306" i="4" s="1"/>
  <c r="P1170" i="4"/>
  <c r="L1170" i="4" s="1"/>
  <c r="U1169" i="4"/>
  <c r="AA1169" i="4" s="1"/>
  <c r="O1260" i="4"/>
  <c r="S1260" i="4" s="1"/>
  <c r="J907" i="4"/>
  <c r="V907" i="4"/>
  <c r="P1216" i="4"/>
  <c r="T1216" i="4" s="1"/>
  <c r="L1216" i="4"/>
  <c r="N732" i="4"/>
  <c r="R732" i="4" s="1"/>
  <c r="O1086" i="4"/>
  <c r="S1086" i="4" s="1"/>
  <c r="P1086" i="4"/>
  <c r="T1086" i="4" s="1"/>
  <c r="J865" i="4"/>
  <c r="V865" i="4"/>
  <c r="U775" i="4" l="1"/>
  <c r="AA775" i="4" s="1"/>
  <c r="P776" i="4"/>
  <c r="P467" i="4"/>
  <c r="L467" i="4" s="1"/>
  <c r="U466" i="4"/>
  <c r="AA466" i="4" s="1"/>
  <c r="T467" i="4"/>
  <c r="W774" i="4"/>
  <c r="J775" i="4"/>
  <c r="V775" i="4"/>
  <c r="W775" i="4" s="1"/>
  <c r="V1304" i="4"/>
  <c r="W1304" i="4" s="1"/>
  <c r="O779" i="4"/>
  <c r="S779" i="4" s="1"/>
  <c r="O780" i="4" s="1"/>
  <c r="O781" i="4" s="1"/>
  <c r="W865" i="4"/>
  <c r="L511" i="4"/>
  <c r="L1348" i="4"/>
  <c r="L645" i="4"/>
  <c r="P1349" i="4"/>
  <c r="T1349" i="4" s="1"/>
  <c r="U907" i="4"/>
  <c r="AA907" i="4" s="1"/>
  <c r="O427" i="4"/>
  <c r="S427" i="4" s="1"/>
  <c r="W1215" i="4"/>
  <c r="M1000" i="4"/>
  <c r="Q1000" i="4" s="1"/>
  <c r="M1351" i="4"/>
  <c r="Q1351" i="4" s="1"/>
  <c r="U1216" i="4"/>
  <c r="AA1216" i="4" s="1"/>
  <c r="O336" i="4"/>
  <c r="S336" i="4" s="1"/>
  <c r="P822" i="4"/>
  <c r="L822" i="4" s="1"/>
  <c r="Q781" i="4"/>
  <c r="U645" i="4"/>
  <c r="AA645" i="4" s="1"/>
  <c r="M1175" i="4"/>
  <c r="Q1175" i="4" s="1"/>
  <c r="S1349" i="4"/>
  <c r="J333" i="4"/>
  <c r="V333" i="4"/>
  <c r="P1305" i="4"/>
  <c r="T1305" i="4" s="1"/>
  <c r="N823" i="4"/>
  <c r="J908" i="4"/>
  <c r="V908" i="4"/>
  <c r="J556" i="4"/>
  <c r="V556" i="4"/>
  <c r="W556" i="4" s="1"/>
  <c r="U599" i="4"/>
  <c r="AA599" i="4" s="1"/>
  <c r="P600" i="4"/>
  <c r="L600" i="4" s="1"/>
  <c r="N603" i="4"/>
  <c r="R603" i="4" s="1"/>
  <c r="S1172" i="4"/>
  <c r="O1173" i="4" s="1"/>
  <c r="J644" i="4"/>
  <c r="V644" i="4"/>
  <c r="W644" i="4" s="1"/>
  <c r="O382" i="4"/>
  <c r="S382" i="4" s="1"/>
  <c r="J380" i="4"/>
  <c r="V380" i="4"/>
  <c r="N956" i="4"/>
  <c r="N957" i="4" s="1"/>
  <c r="M957" i="4"/>
  <c r="J1216" i="4"/>
  <c r="V1216" i="4"/>
  <c r="W1216" i="4" s="1"/>
  <c r="Q517" i="4"/>
  <c r="U1039" i="4"/>
  <c r="AA1039" i="4" s="1"/>
  <c r="P1040" i="4"/>
  <c r="L1040" i="4" s="1"/>
  <c r="Q1133" i="4"/>
  <c r="M911" i="4"/>
  <c r="J1259" i="4"/>
  <c r="V1259" i="4"/>
  <c r="O909" i="4"/>
  <c r="S909" i="4" s="1"/>
  <c r="W292" i="4"/>
  <c r="J1170" i="4"/>
  <c r="V1170" i="4"/>
  <c r="P954" i="4"/>
  <c r="T954" i="4" s="1"/>
  <c r="L954" i="4"/>
  <c r="U1128" i="4"/>
  <c r="AA1128" i="4" s="1"/>
  <c r="O1129" i="4"/>
  <c r="S1129" i="4" s="1"/>
  <c r="Q603" i="4"/>
  <c r="T334" i="4"/>
  <c r="P335" i="4" s="1"/>
  <c r="L335" i="4" s="1"/>
  <c r="U333" i="4"/>
  <c r="AA333" i="4" s="1"/>
  <c r="U686" i="4"/>
  <c r="AA686" i="4" s="1"/>
  <c r="P687" i="4"/>
  <c r="L687" i="4" s="1"/>
  <c r="T1170" i="4"/>
  <c r="S954" i="4"/>
  <c r="P1217" i="4"/>
  <c r="L1217" i="4" s="1"/>
  <c r="S1217" i="4"/>
  <c r="O1218" i="4" s="1"/>
  <c r="M824" i="4"/>
  <c r="J1128" i="4"/>
  <c r="V1128" i="4"/>
  <c r="L821" i="4"/>
  <c r="T866" i="4"/>
  <c r="R909" i="4"/>
  <c r="U511" i="4"/>
  <c r="AA511" i="4" s="1"/>
  <c r="O512" i="4"/>
  <c r="S512" i="4" s="1"/>
  <c r="M1044" i="4"/>
  <c r="J731" i="4"/>
  <c r="V731" i="4"/>
  <c r="L1349" i="4"/>
  <c r="N294" i="4"/>
  <c r="R294" i="4" s="1"/>
  <c r="M428" i="4"/>
  <c r="Q428" i="4" s="1"/>
  <c r="P334" i="4"/>
  <c r="L334" i="4" s="1"/>
  <c r="J1348" i="4"/>
  <c r="V1348" i="4"/>
  <c r="W1348" i="4" s="1"/>
  <c r="J645" i="4"/>
  <c r="V645" i="4"/>
  <c r="Q294" i="4"/>
  <c r="O732" i="4"/>
  <c r="S732" i="4" s="1"/>
  <c r="O1087" i="4"/>
  <c r="S1087" i="4" s="1"/>
  <c r="P1087" i="4"/>
  <c r="T1087" i="4" s="1"/>
  <c r="S1305" i="4"/>
  <c r="M1219" i="4"/>
  <c r="Q1219" i="4" s="1"/>
  <c r="P1260" i="4"/>
  <c r="T1260" i="4" s="1"/>
  <c r="N516" i="4"/>
  <c r="N517" i="4" s="1"/>
  <c r="M517" i="4"/>
  <c r="N1307" i="4"/>
  <c r="R1307" i="4" s="1"/>
  <c r="M1263" i="4"/>
  <c r="T908" i="4"/>
  <c r="N473" i="4"/>
  <c r="R472" i="4"/>
  <c r="R473" i="4" s="1"/>
  <c r="O293" i="4"/>
  <c r="U1086" i="4"/>
  <c r="AA1086" i="4" s="1"/>
  <c r="N1132" i="4"/>
  <c r="N1133" i="4" s="1"/>
  <c r="M1133" i="4"/>
  <c r="N868" i="4"/>
  <c r="N869" i="4" s="1"/>
  <c r="M869" i="4"/>
  <c r="R1173" i="4"/>
  <c r="N1174" i="4" s="1"/>
  <c r="Q956" i="4"/>
  <c r="O1261" i="4"/>
  <c r="N733" i="4"/>
  <c r="R733" i="4" s="1"/>
  <c r="M338" i="4"/>
  <c r="Q338" i="4" s="1"/>
  <c r="Q869" i="4"/>
  <c r="R336" i="4"/>
  <c r="N337" i="4" s="1"/>
  <c r="O557" i="4"/>
  <c r="S557" i="4" s="1"/>
  <c r="W686" i="4"/>
  <c r="S822" i="4"/>
  <c r="U821" i="4"/>
  <c r="AA821" i="4" s="1"/>
  <c r="Q733" i="4"/>
  <c r="R998" i="4"/>
  <c r="N999" i="4" s="1"/>
  <c r="O999" i="4" s="1"/>
  <c r="S999" i="4" s="1"/>
  <c r="S470" i="4"/>
  <c r="J866" i="4"/>
  <c r="V866" i="4"/>
  <c r="R557" i="4"/>
  <c r="N1350" i="4"/>
  <c r="R1350" i="4" s="1"/>
  <c r="J996" i="4"/>
  <c r="V996" i="4"/>
  <c r="W996" i="4" s="1"/>
  <c r="J997" i="4"/>
  <c r="V997" i="4"/>
  <c r="N690" i="4"/>
  <c r="R690" i="4" s="1"/>
  <c r="W953" i="4"/>
  <c r="N780" i="4"/>
  <c r="N781" i="4" s="1"/>
  <c r="M781" i="4"/>
  <c r="L1086" i="4"/>
  <c r="Q690" i="4"/>
  <c r="J511" i="4"/>
  <c r="V511" i="4"/>
  <c r="W511" i="4" s="1"/>
  <c r="O646" i="4"/>
  <c r="S646" i="4" s="1"/>
  <c r="T731" i="4"/>
  <c r="T997" i="4"/>
  <c r="M647" i="4"/>
  <c r="O1306" i="4"/>
  <c r="U1259" i="4"/>
  <c r="AA1259" i="4" s="1"/>
  <c r="Q1307" i="4"/>
  <c r="Q473" i="4"/>
  <c r="R1087" i="4"/>
  <c r="P426" i="4"/>
  <c r="R382" i="4"/>
  <c r="T380" i="4"/>
  <c r="U1348" i="4"/>
  <c r="AA1348" i="4" s="1"/>
  <c r="U467" i="4" l="1"/>
  <c r="AA467" i="4" s="1"/>
  <c r="P468" i="4"/>
  <c r="L468" i="4" s="1"/>
  <c r="T468" i="4"/>
  <c r="J467" i="4"/>
  <c r="V467" i="4"/>
  <c r="W467" i="4" s="1"/>
  <c r="R780" i="4"/>
  <c r="R781" i="4" s="1"/>
  <c r="P1306" i="4"/>
  <c r="L1306" i="4" s="1"/>
  <c r="J1306" i="4" s="1"/>
  <c r="W466" i="4"/>
  <c r="T776" i="4"/>
  <c r="L776" i="4"/>
  <c r="T600" i="4"/>
  <c r="R1132" i="4"/>
  <c r="R1133" i="4" s="1"/>
  <c r="W907" i="4"/>
  <c r="W333" i="4"/>
  <c r="T822" i="4"/>
  <c r="P732" i="4"/>
  <c r="L732" i="4" s="1"/>
  <c r="U822" i="4"/>
  <c r="AA822" i="4" s="1"/>
  <c r="R868" i="4"/>
  <c r="R869" i="4" s="1"/>
  <c r="W645" i="4"/>
  <c r="W1259" i="4"/>
  <c r="W599" i="4"/>
  <c r="R516" i="4"/>
  <c r="R517" i="4" s="1"/>
  <c r="W1039" i="4"/>
  <c r="O337" i="4"/>
  <c r="S337" i="4" s="1"/>
  <c r="U1260" i="4"/>
  <c r="AA1260" i="4" s="1"/>
  <c r="U1129" i="4"/>
  <c r="AA1129" i="4" s="1"/>
  <c r="O1130" i="4"/>
  <c r="S1130" i="4" s="1"/>
  <c r="J1217" i="4"/>
  <c r="V1217" i="4"/>
  <c r="M339" i="4"/>
  <c r="M1220" i="4"/>
  <c r="O513" i="4"/>
  <c r="S513" i="4" s="1"/>
  <c r="Q1001" i="4"/>
  <c r="U1087" i="4"/>
  <c r="AA1087" i="4" s="1"/>
  <c r="N1088" i="4"/>
  <c r="R1088" i="4" s="1"/>
  <c r="U997" i="4"/>
  <c r="AA997" i="4" s="1"/>
  <c r="N1263" i="4"/>
  <c r="R1263" i="4" s="1"/>
  <c r="Q429" i="4"/>
  <c r="J822" i="4"/>
  <c r="V822" i="4"/>
  <c r="U1170" i="4"/>
  <c r="AA1170" i="4" s="1"/>
  <c r="P1171" i="4"/>
  <c r="L1171" i="4" s="1"/>
  <c r="P909" i="4"/>
  <c r="T909" i="4" s="1"/>
  <c r="U909" i="4" s="1"/>
  <c r="AA909" i="4" s="1"/>
  <c r="T732" i="4"/>
  <c r="U732" i="4" s="1"/>
  <c r="AA732" i="4" s="1"/>
  <c r="U731" i="4"/>
  <c r="AA731" i="4" s="1"/>
  <c r="S471" i="4"/>
  <c r="O471" i="4"/>
  <c r="L1087" i="4"/>
  <c r="L1260" i="4"/>
  <c r="N824" i="4"/>
  <c r="N825" i="4" s="1"/>
  <c r="M825" i="4"/>
  <c r="O603" i="4"/>
  <c r="S603" i="4" s="1"/>
  <c r="P646" i="4"/>
  <c r="T646" i="4" s="1"/>
  <c r="U646" i="4" s="1"/>
  <c r="AA646" i="4" s="1"/>
  <c r="O823" i="4"/>
  <c r="S823" i="4" s="1"/>
  <c r="N647" i="4"/>
  <c r="R647" i="4" s="1"/>
  <c r="O647" i="4"/>
  <c r="S647" i="4" s="1"/>
  <c r="M734" i="4"/>
  <c r="R956" i="4"/>
  <c r="R957" i="4" s="1"/>
  <c r="Q824" i="4"/>
  <c r="T687" i="4"/>
  <c r="S1350" i="4"/>
  <c r="U1349" i="4"/>
  <c r="AA1349" i="4" s="1"/>
  <c r="T426" i="4"/>
  <c r="L426" i="4"/>
  <c r="Q647" i="4"/>
  <c r="M691" i="4"/>
  <c r="N558" i="4"/>
  <c r="R558" i="4" s="1"/>
  <c r="P557" i="4"/>
  <c r="T557" i="4" s="1"/>
  <c r="U557" i="4" s="1"/>
  <c r="AA557" i="4" s="1"/>
  <c r="S780" i="4"/>
  <c r="S781" i="4" s="1"/>
  <c r="J334" i="4"/>
  <c r="V334" i="4"/>
  <c r="J1349" i="4"/>
  <c r="V1349" i="4"/>
  <c r="W1349" i="4" s="1"/>
  <c r="S1218" i="4"/>
  <c r="Q911" i="4"/>
  <c r="J600" i="4"/>
  <c r="V600" i="4"/>
  <c r="R823" i="4"/>
  <c r="P867" i="4"/>
  <c r="L867" i="4" s="1"/>
  <c r="U866" i="4"/>
  <c r="AA866" i="4" s="1"/>
  <c r="M1176" i="4"/>
  <c r="Q1176" i="4" s="1"/>
  <c r="R337" i="4"/>
  <c r="N338" i="4" s="1"/>
  <c r="J821" i="4"/>
  <c r="V821" i="4"/>
  <c r="W821" i="4" s="1"/>
  <c r="W1128" i="4"/>
  <c r="S293" i="4"/>
  <c r="P293" i="4"/>
  <c r="J954" i="4"/>
  <c r="V954" i="4"/>
  <c r="T1040" i="4"/>
  <c r="Q957" i="4"/>
  <c r="P512" i="4"/>
  <c r="T512" i="4" s="1"/>
  <c r="U512" i="4" s="1"/>
  <c r="AA512" i="4" s="1"/>
  <c r="L512" i="4"/>
  <c r="J687" i="4"/>
  <c r="V687" i="4"/>
  <c r="U380" i="4"/>
  <c r="AA380" i="4" s="1"/>
  <c r="P381" i="4"/>
  <c r="L381" i="4" s="1"/>
  <c r="N383" i="4"/>
  <c r="O733" i="4"/>
  <c r="S733" i="4" s="1"/>
  <c r="U908" i="4"/>
  <c r="AA908" i="4" s="1"/>
  <c r="N428" i="4"/>
  <c r="O428" i="4" s="1"/>
  <c r="O429" i="4" s="1"/>
  <c r="M429" i="4"/>
  <c r="T335" i="4"/>
  <c r="U334" i="4"/>
  <c r="AA334" i="4" s="1"/>
  <c r="T1217" i="4"/>
  <c r="N1044" i="4"/>
  <c r="O1044" i="4"/>
  <c r="M1045" i="4"/>
  <c r="U954" i="4"/>
  <c r="AA954" i="4" s="1"/>
  <c r="P1129" i="4"/>
  <c r="T1129" i="4" s="1"/>
  <c r="M1352" i="4"/>
  <c r="Q1352" i="4" s="1"/>
  <c r="Q1263" i="4"/>
  <c r="M295" i="4"/>
  <c r="J1040" i="4"/>
  <c r="V1040" i="4"/>
  <c r="P1261" i="4"/>
  <c r="T1261" i="4" s="1"/>
  <c r="L1261" i="4"/>
  <c r="Q1044" i="4"/>
  <c r="S1173" i="4"/>
  <c r="O1174" i="4" s="1"/>
  <c r="S1261" i="4"/>
  <c r="J335" i="4"/>
  <c r="V335" i="4"/>
  <c r="O1350" i="4"/>
  <c r="P1350" i="4" s="1"/>
  <c r="M1001" i="4"/>
  <c r="R999" i="4"/>
  <c r="R1174" i="4"/>
  <c r="N1175" i="4" s="1"/>
  <c r="N1219" i="4"/>
  <c r="R1219" i="4" s="1"/>
  <c r="M1308" i="4"/>
  <c r="O955" i="4"/>
  <c r="S955" i="4" s="1"/>
  <c r="J1086" i="4"/>
  <c r="V1086" i="4"/>
  <c r="W1086" i="4" s="1"/>
  <c r="O690" i="4"/>
  <c r="S690" i="4" s="1"/>
  <c r="O868" i="4"/>
  <c r="P998" i="4"/>
  <c r="L998" i="4" s="1"/>
  <c r="S1306" i="4"/>
  <c r="U1305" i="4"/>
  <c r="AA1305" i="4" s="1"/>
  <c r="N910" i="4"/>
  <c r="M604" i="4"/>
  <c r="Q604" i="4" s="1"/>
  <c r="U600" i="4"/>
  <c r="AA600" i="4" s="1"/>
  <c r="P601" i="4"/>
  <c r="L601" i="4" s="1"/>
  <c r="L1305" i="4"/>
  <c r="N1351" i="4"/>
  <c r="R1351" i="4" s="1"/>
  <c r="J776" i="4" l="1"/>
  <c r="V776" i="4"/>
  <c r="P777" i="4"/>
  <c r="L777" i="4" s="1"/>
  <c r="U776" i="4"/>
  <c r="AA776" i="4" s="1"/>
  <c r="T777" i="4"/>
  <c r="T998" i="4"/>
  <c r="P999" i="4" s="1"/>
  <c r="L999" i="4" s="1"/>
  <c r="V1306" i="4"/>
  <c r="W1306" i="4" s="1"/>
  <c r="U468" i="4"/>
  <c r="AA468" i="4" s="1"/>
  <c r="P469" i="4"/>
  <c r="T381" i="4"/>
  <c r="J468" i="4"/>
  <c r="V468" i="4"/>
  <c r="W997" i="4"/>
  <c r="T1306" i="4"/>
  <c r="W731" i="4"/>
  <c r="L909" i="4"/>
  <c r="V909" i="4" s="1"/>
  <c r="W909" i="4" s="1"/>
  <c r="L557" i="4"/>
  <c r="J557" i="4" s="1"/>
  <c r="W908" i="4"/>
  <c r="W866" i="4"/>
  <c r="T601" i="4"/>
  <c r="U601" i="4" s="1"/>
  <c r="AA601" i="4" s="1"/>
  <c r="T1171" i="4"/>
  <c r="W822" i="4"/>
  <c r="O1351" i="4"/>
  <c r="P1351" i="4" s="1"/>
  <c r="L1351" i="4" s="1"/>
  <c r="P823" i="4"/>
  <c r="T823" i="4" s="1"/>
  <c r="U823" i="4" s="1"/>
  <c r="AA823" i="4" s="1"/>
  <c r="W334" i="4"/>
  <c r="Q1177" i="4"/>
  <c r="O1131" i="4"/>
  <c r="O956" i="4"/>
  <c r="S956" i="4" s="1"/>
  <c r="O514" i="4"/>
  <c r="S514" i="4" s="1"/>
  <c r="R1089" i="4"/>
  <c r="L1350" i="4"/>
  <c r="T1350" i="4"/>
  <c r="N734" i="4"/>
  <c r="R734" i="4" s="1"/>
  <c r="O1219" i="4"/>
  <c r="S1219" i="4" s="1"/>
  <c r="O1220" i="4" s="1"/>
  <c r="O1221" i="4" s="1"/>
  <c r="S824" i="4"/>
  <c r="S825" i="4" s="1"/>
  <c r="M912" i="4"/>
  <c r="U426" i="4"/>
  <c r="AA426" i="4" s="1"/>
  <c r="P427" i="4"/>
  <c r="L427" i="4" s="1"/>
  <c r="O824" i="4"/>
  <c r="O825" i="4" s="1"/>
  <c r="J909" i="4"/>
  <c r="P1218" i="4"/>
  <c r="L1218" i="4" s="1"/>
  <c r="W380" i="4"/>
  <c r="U1217" i="4"/>
  <c r="AA1217" i="4" s="1"/>
  <c r="O558" i="4"/>
  <c r="S558" i="4" s="1"/>
  <c r="Q734" i="4"/>
  <c r="J1087" i="4"/>
  <c r="V1087" i="4"/>
  <c r="W1087" i="4" s="1"/>
  <c r="N604" i="4"/>
  <c r="M605" i="4"/>
  <c r="J998" i="4"/>
  <c r="V998" i="4"/>
  <c r="L1129" i="4"/>
  <c r="N429" i="4"/>
  <c r="R428" i="4"/>
  <c r="U1040" i="4"/>
  <c r="AA1040" i="4" s="1"/>
  <c r="P1041" i="4"/>
  <c r="L1041" i="4" s="1"/>
  <c r="Q339" i="4"/>
  <c r="U335" i="4"/>
  <c r="AA335" i="4" s="1"/>
  <c r="P336" i="4"/>
  <c r="L336" i="4" s="1"/>
  <c r="M1177" i="4"/>
  <c r="U1306" i="4"/>
  <c r="AA1306" i="4" s="1"/>
  <c r="Q605" i="4"/>
  <c r="N1308" i="4"/>
  <c r="M1309" i="4"/>
  <c r="O1262" i="4"/>
  <c r="U1261" i="4"/>
  <c r="AA1261" i="4" s="1"/>
  <c r="N295" i="4"/>
  <c r="R295" i="4" s="1"/>
  <c r="W954" i="4"/>
  <c r="J867" i="4"/>
  <c r="V867" i="4"/>
  <c r="O869" i="4"/>
  <c r="S868" i="4"/>
  <c r="T867" i="4"/>
  <c r="P647" i="4"/>
  <c r="L647" i="4" s="1"/>
  <c r="O472" i="4"/>
  <c r="S472" i="4" s="1"/>
  <c r="S428" i="4"/>
  <c r="S429" i="4" s="1"/>
  <c r="O910" i="4"/>
  <c r="S910" i="4" s="1"/>
  <c r="Q1308" i="4"/>
  <c r="S1174" i="4"/>
  <c r="T293" i="4"/>
  <c r="L293" i="4"/>
  <c r="U687" i="4"/>
  <c r="AA687" i="4" s="1"/>
  <c r="P688" i="4"/>
  <c r="L688" i="4" s="1"/>
  <c r="O1307" i="4"/>
  <c r="Q1045" i="4"/>
  <c r="M1264" i="4"/>
  <c r="W1170" i="4"/>
  <c r="Q825" i="4"/>
  <c r="O294" i="4"/>
  <c r="S294" i="4" s="1"/>
  <c r="Q1353" i="4"/>
  <c r="O383" i="4"/>
  <c r="S383" i="4" s="1"/>
  <c r="N559" i="4"/>
  <c r="J1305" i="4"/>
  <c r="V1305" i="4"/>
  <c r="W1305" i="4" s="1"/>
  <c r="J1261" i="4"/>
  <c r="V1261" i="4"/>
  <c r="W1261" i="4" s="1"/>
  <c r="N1220" i="4"/>
  <c r="N1221" i="4" s="1"/>
  <c r="M1221" i="4"/>
  <c r="J732" i="4"/>
  <c r="V732" i="4"/>
  <c r="W732" i="4" s="1"/>
  <c r="J426" i="4"/>
  <c r="V426" i="4"/>
  <c r="P1130" i="4"/>
  <c r="T1130" i="4" s="1"/>
  <c r="P955" i="4"/>
  <c r="T955" i="4" s="1"/>
  <c r="U955" i="4" s="1"/>
  <c r="AA955" i="4" s="1"/>
  <c r="L955" i="4"/>
  <c r="R1175" i="4"/>
  <c r="J512" i="4"/>
  <c r="V512" i="4"/>
  <c r="W512" i="4" s="1"/>
  <c r="P513" i="4"/>
  <c r="L513" i="4" s="1"/>
  <c r="T513" i="4"/>
  <c r="U513" i="4" s="1"/>
  <c r="AA513" i="4" s="1"/>
  <c r="J1260" i="4"/>
  <c r="V1260" i="4"/>
  <c r="W1260" i="4" s="1"/>
  <c r="N1089" i="4"/>
  <c r="O1088" i="4"/>
  <c r="P1088" i="4" s="1"/>
  <c r="O338" i="4"/>
  <c r="Q295" i="4"/>
  <c r="R383" i="4"/>
  <c r="N691" i="4"/>
  <c r="R691" i="4" s="1"/>
  <c r="R910" i="4"/>
  <c r="N1000" i="4"/>
  <c r="R1000" i="4" s="1"/>
  <c r="O1045" i="4"/>
  <c r="S1044" i="4"/>
  <c r="S1045" i="4" s="1"/>
  <c r="R824" i="4"/>
  <c r="R825" i="4" s="1"/>
  <c r="Q691" i="4"/>
  <c r="J601" i="4"/>
  <c r="V601" i="4"/>
  <c r="N1352" i="4"/>
  <c r="N1353" i="4" s="1"/>
  <c r="M1353" i="4"/>
  <c r="N1045" i="4"/>
  <c r="R1044" i="4"/>
  <c r="R1045" i="4" s="1"/>
  <c r="P733" i="4"/>
  <c r="T733" i="4" s="1"/>
  <c r="L733" i="4"/>
  <c r="J381" i="4"/>
  <c r="V381" i="4"/>
  <c r="L646" i="4"/>
  <c r="R338" i="4"/>
  <c r="W600" i="4"/>
  <c r="M648" i="4"/>
  <c r="Q648" i="4" s="1"/>
  <c r="J1171" i="4"/>
  <c r="V1171" i="4"/>
  <c r="Q1220" i="4"/>
  <c r="S338" i="4"/>
  <c r="P602" i="4" l="1"/>
  <c r="L602" i="4" s="1"/>
  <c r="U381" i="4"/>
  <c r="AA381" i="4" s="1"/>
  <c r="V557" i="4"/>
  <c r="W557" i="4" s="1"/>
  <c r="J777" i="4"/>
  <c r="V777" i="4"/>
  <c r="W777" i="4" s="1"/>
  <c r="P382" i="4"/>
  <c r="L382" i="4" s="1"/>
  <c r="J382" i="4" s="1"/>
  <c r="W468" i="4"/>
  <c r="W776" i="4"/>
  <c r="T469" i="4"/>
  <c r="L469" i="4"/>
  <c r="U998" i="4"/>
  <c r="AA998" i="4" s="1"/>
  <c r="U777" i="4"/>
  <c r="AA777" i="4" s="1"/>
  <c r="P778" i="4"/>
  <c r="L778" i="4" s="1"/>
  <c r="T778" i="4"/>
  <c r="O295" i="4"/>
  <c r="S295" i="4" s="1"/>
  <c r="W687" i="4"/>
  <c r="W1040" i="4"/>
  <c r="P824" i="4"/>
  <c r="P1172" i="4"/>
  <c r="L1172" i="4" s="1"/>
  <c r="V1172" i="4" s="1"/>
  <c r="L823" i="4"/>
  <c r="R1220" i="4"/>
  <c r="R1221" i="4" s="1"/>
  <c r="S1351" i="4"/>
  <c r="O1352" i="4" s="1"/>
  <c r="L558" i="4"/>
  <c r="V558" i="4" s="1"/>
  <c r="W558" i="4" s="1"/>
  <c r="U1171" i="4"/>
  <c r="AA1171" i="4" s="1"/>
  <c r="W601" i="4"/>
  <c r="T1041" i="4"/>
  <c r="P1042" i="4" s="1"/>
  <c r="L1042" i="4" s="1"/>
  <c r="T336" i="4"/>
  <c r="U336" i="4" s="1"/>
  <c r="AA336" i="4" s="1"/>
  <c r="T999" i="4"/>
  <c r="U999" i="4" s="1"/>
  <c r="AA999" i="4" s="1"/>
  <c r="W335" i="4"/>
  <c r="P558" i="4"/>
  <c r="T558" i="4" s="1"/>
  <c r="U558" i="4" s="1"/>
  <c r="AA558" i="4" s="1"/>
  <c r="R1001" i="4"/>
  <c r="U1130" i="4"/>
  <c r="AA1130" i="4" s="1"/>
  <c r="U733" i="4"/>
  <c r="AA733" i="4" s="1"/>
  <c r="Q649" i="4"/>
  <c r="S957" i="4"/>
  <c r="J513" i="4"/>
  <c r="V513" i="4"/>
  <c r="W513" i="4" s="1"/>
  <c r="J1351" i="4"/>
  <c r="V1351" i="4"/>
  <c r="W1351" i="4" s="1"/>
  <c r="J647" i="4"/>
  <c r="V647" i="4"/>
  <c r="S473" i="4"/>
  <c r="M735" i="4"/>
  <c r="Q735" i="4" s="1"/>
  <c r="Q1221" i="4"/>
  <c r="S1220" i="4"/>
  <c r="S1221" i="4" s="1"/>
  <c r="R1352" i="4"/>
  <c r="J646" i="4"/>
  <c r="V646" i="4"/>
  <c r="W646" i="4" s="1"/>
  <c r="M296" i="4"/>
  <c r="U867" i="4"/>
  <c r="AA867" i="4" s="1"/>
  <c r="J336" i="4"/>
  <c r="V336" i="4"/>
  <c r="J1041" i="4"/>
  <c r="V1041" i="4"/>
  <c r="N605" i="4"/>
  <c r="R604" i="4"/>
  <c r="P514" i="4"/>
  <c r="T514" i="4" s="1"/>
  <c r="L514" i="4"/>
  <c r="W381" i="4"/>
  <c r="T647" i="4"/>
  <c r="U293" i="4"/>
  <c r="AA293" i="4" s="1"/>
  <c r="Q1309" i="4"/>
  <c r="O604" i="4"/>
  <c r="N339" i="4"/>
  <c r="V382" i="4"/>
  <c r="O734" i="4"/>
  <c r="P734" i="4" s="1"/>
  <c r="T734" i="4" s="1"/>
  <c r="T824" i="4"/>
  <c r="J293" i="4"/>
  <c r="V293" i="4"/>
  <c r="J733" i="4"/>
  <c r="V733" i="4"/>
  <c r="N911" i="4"/>
  <c r="R911" i="4" s="1"/>
  <c r="N912" i="4" s="1"/>
  <c r="P1307" i="4"/>
  <c r="T1307" i="4" s="1"/>
  <c r="P1131" i="4"/>
  <c r="T1131" i="4" s="1"/>
  <c r="W1217" i="4"/>
  <c r="P1262" i="4"/>
  <c r="T1262" i="4" s="1"/>
  <c r="L1262" i="4"/>
  <c r="M340" i="4"/>
  <c r="Q340" i="4" s="1"/>
  <c r="M692" i="4"/>
  <c r="P1089" i="4"/>
  <c r="T1088" i="4"/>
  <c r="T1089" i="4" s="1"/>
  <c r="L1130" i="4"/>
  <c r="N1264" i="4"/>
  <c r="M1265" i="4"/>
  <c r="J688" i="4"/>
  <c r="V688" i="4"/>
  <c r="S1262" i="4"/>
  <c r="J1129" i="4"/>
  <c r="V1129" i="4"/>
  <c r="W1129" i="4" s="1"/>
  <c r="J1218" i="4"/>
  <c r="V1218" i="4"/>
  <c r="M913" i="4"/>
  <c r="J602" i="4"/>
  <c r="V602" i="4"/>
  <c r="J1350" i="4"/>
  <c r="V1350" i="4"/>
  <c r="W1350" i="4" s="1"/>
  <c r="S1131" i="4"/>
  <c r="V823" i="4"/>
  <c r="W823" i="4" s="1"/>
  <c r="P910" i="4"/>
  <c r="T910" i="4" s="1"/>
  <c r="O957" i="4"/>
  <c r="P956" i="4"/>
  <c r="P957" i="4" s="1"/>
  <c r="L956" i="4"/>
  <c r="S1307" i="4"/>
  <c r="O691" i="4"/>
  <c r="S691" i="4" s="1"/>
  <c r="W426" i="4"/>
  <c r="P294" i="4"/>
  <c r="L294" i="4" s="1"/>
  <c r="O473" i="4"/>
  <c r="T1218" i="4"/>
  <c r="N384" i="4"/>
  <c r="R384" i="4" s="1"/>
  <c r="N1001" i="4"/>
  <c r="O1000" i="4"/>
  <c r="J955" i="4"/>
  <c r="V955" i="4"/>
  <c r="W955" i="4" s="1"/>
  <c r="S869" i="4"/>
  <c r="J427" i="4"/>
  <c r="V427" i="4"/>
  <c r="O515" i="4"/>
  <c r="N648" i="4"/>
  <c r="M649" i="4"/>
  <c r="R429" i="4"/>
  <c r="O559" i="4"/>
  <c r="S559" i="4" s="1"/>
  <c r="T427" i="4"/>
  <c r="T1351" i="4"/>
  <c r="P868" i="4"/>
  <c r="T868" i="4" s="1"/>
  <c r="T869" i="4" s="1"/>
  <c r="O1089" i="4"/>
  <c r="S1088" i="4"/>
  <c r="U1350" i="4"/>
  <c r="AA1350" i="4" s="1"/>
  <c r="J999" i="4"/>
  <c r="V999" i="4"/>
  <c r="R559" i="4"/>
  <c r="L1088" i="4"/>
  <c r="Q1264" i="4"/>
  <c r="T688" i="4"/>
  <c r="N1309" i="4"/>
  <c r="R1308" i="4"/>
  <c r="R1309" i="4" s="1"/>
  <c r="N1176" i="4"/>
  <c r="W998" i="4"/>
  <c r="Q912" i="4"/>
  <c r="T602" i="4"/>
  <c r="O1175" i="4"/>
  <c r="S1175" i="4" s="1"/>
  <c r="P337" i="4" l="1"/>
  <c r="L337" i="4" s="1"/>
  <c r="J1172" i="4"/>
  <c r="U469" i="4"/>
  <c r="AA469" i="4" s="1"/>
  <c r="P470" i="4"/>
  <c r="W999" i="4"/>
  <c r="P779" i="4"/>
  <c r="U778" i="4"/>
  <c r="AA778" i="4" s="1"/>
  <c r="V778" i="4"/>
  <c r="W778" i="4" s="1"/>
  <c r="J778" i="4"/>
  <c r="W733" i="4"/>
  <c r="U1041" i="4"/>
  <c r="AA1041" i="4" s="1"/>
  <c r="W293" i="4"/>
  <c r="V469" i="4"/>
  <c r="W469" i="4" s="1"/>
  <c r="J469" i="4"/>
  <c r="T382" i="4"/>
  <c r="P1000" i="4"/>
  <c r="P1001" i="4" s="1"/>
  <c r="T294" i="4"/>
  <c r="P825" i="4"/>
  <c r="L824" i="4"/>
  <c r="J558" i="4"/>
  <c r="J823" i="4"/>
  <c r="S1352" i="4"/>
  <c r="S1353" i="4" s="1"/>
  <c r="L910" i="4"/>
  <c r="J910" i="4" s="1"/>
  <c r="W1171" i="4"/>
  <c r="T1172" i="4"/>
  <c r="J294" i="4"/>
  <c r="V294" i="4"/>
  <c r="U514" i="4"/>
  <c r="AA514" i="4" s="1"/>
  <c r="R385" i="4"/>
  <c r="N913" i="4"/>
  <c r="M736" i="4"/>
  <c r="R1353" i="4"/>
  <c r="J514" i="4"/>
  <c r="V514" i="4"/>
  <c r="P559" i="4"/>
  <c r="T559" i="4" s="1"/>
  <c r="T337" i="4"/>
  <c r="T1042" i="4"/>
  <c r="U868" i="4"/>
  <c r="J1042" i="4"/>
  <c r="V1042" i="4"/>
  <c r="N1177" i="4"/>
  <c r="O1176" i="4"/>
  <c r="O1177" i="4" s="1"/>
  <c r="J956" i="4"/>
  <c r="J957" i="4" s="1"/>
  <c r="V956" i="4"/>
  <c r="L957" i="4"/>
  <c r="O605" i="4"/>
  <c r="S604" i="4"/>
  <c r="S605" i="4" s="1"/>
  <c r="O648" i="4"/>
  <c r="N692" i="4"/>
  <c r="O692" i="4"/>
  <c r="O693" i="4" s="1"/>
  <c r="M693" i="4"/>
  <c r="N296" i="4"/>
  <c r="O296" i="4" s="1"/>
  <c r="M297" i="4"/>
  <c r="P689" i="4"/>
  <c r="L689" i="4" s="1"/>
  <c r="U688" i="4"/>
  <c r="AA688" i="4" s="1"/>
  <c r="P515" i="4"/>
  <c r="L515" i="4" s="1"/>
  <c r="Q913" i="4"/>
  <c r="Q1265" i="4"/>
  <c r="Q692" i="4"/>
  <c r="L1307" i="4"/>
  <c r="L734" i="4"/>
  <c r="S734" i="4"/>
  <c r="W1041" i="4"/>
  <c r="Q296" i="4"/>
  <c r="J337" i="4"/>
  <c r="V337" i="4"/>
  <c r="U1307" i="4"/>
  <c r="AA1307" i="4" s="1"/>
  <c r="O1308" i="4"/>
  <c r="S1308" i="4" s="1"/>
  <c r="J1262" i="4"/>
  <c r="V1262" i="4"/>
  <c r="N560" i="4"/>
  <c r="W867" i="4"/>
  <c r="N385" i="4"/>
  <c r="O384" i="4"/>
  <c r="U1131" i="4"/>
  <c r="AA1131" i="4" s="1"/>
  <c r="O1132" i="4"/>
  <c r="S1132" i="4" s="1"/>
  <c r="L1131" i="4"/>
  <c r="R605" i="4"/>
  <c r="U602" i="4"/>
  <c r="AA602" i="4" s="1"/>
  <c r="P603" i="4"/>
  <c r="L603" i="4" s="1"/>
  <c r="S1089" i="4"/>
  <c r="U1088" i="4"/>
  <c r="T825" i="4"/>
  <c r="U824" i="4"/>
  <c r="P869" i="4"/>
  <c r="L868" i="4"/>
  <c r="S515" i="4"/>
  <c r="M341" i="4"/>
  <c r="T1000" i="4"/>
  <c r="T1001" i="4" s="1"/>
  <c r="R1176" i="4"/>
  <c r="O1353" i="4"/>
  <c r="P1352" i="4"/>
  <c r="T1352" i="4" s="1"/>
  <c r="T1353" i="4" s="1"/>
  <c r="P1219" i="4"/>
  <c r="L1219" i="4" s="1"/>
  <c r="U1218" i="4"/>
  <c r="AA1218" i="4" s="1"/>
  <c r="J1130" i="4"/>
  <c r="V1130" i="4"/>
  <c r="W1130" i="4" s="1"/>
  <c r="R912" i="4"/>
  <c r="R913" i="4" s="1"/>
  <c r="O1001" i="4"/>
  <c r="S1000" i="4"/>
  <c r="N1265" i="4"/>
  <c r="R1264" i="4"/>
  <c r="R1265" i="4" s="1"/>
  <c r="N735" i="4"/>
  <c r="R735" i="4" s="1"/>
  <c r="U1351" i="4"/>
  <c r="AA1351" i="4" s="1"/>
  <c r="O911" i="4"/>
  <c r="S911" i="4" s="1"/>
  <c r="O912" i="4" s="1"/>
  <c r="U647" i="4"/>
  <c r="AA647" i="4" s="1"/>
  <c r="W336" i="4"/>
  <c r="U1262" i="4"/>
  <c r="AA1262" i="4" s="1"/>
  <c r="O1263" i="4"/>
  <c r="S1263" i="4" s="1"/>
  <c r="N649" i="4"/>
  <c r="R648" i="4"/>
  <c r="J1088" i="4"/>
  <c r="J1089" i="4" s="1"/>
  <c r="V1088" i="4"/>
  <c r="L1089" i="4"/>
  <c r="U427" i="4"/>
  <c r="AA427" i="4" s="1"/>
  <c r="P428" i="4"/>
  <c r="T428" i="4" s="1"/>
  <c r="T956" i="4"/>
  <c r="Q341" i="4"/>
  <c r="U910" i="4"/>
  <c r="AA910" i="4" s="1"/>
  <c r="O339" i="4"/>
  <c r="S339" i="4" s="1"/>
  <c r="R339" i="4"/>
  <c r="U382" i="4" l="1"/>
  <c r="P383" i="4"/>
  <c r="L383" i="4" s="1"/>
  <c r="T470" i="4"/>
  <c r="L470" i="4"/>
  <c r="L779" i="4"/>
  <c r="T779" i="4"/>
  <c r="T383" i="4"/>
  <c r="U383" i="4" s="1"/>
  <c r="AA383" i="4" s="1"/>
  <c r="L1000" i="4"/>
  <c r="L1001" i="4" s="1"/>
  <c r="T603" i="4"/>
  <c r="P604" i="4" s="1"/>
  <c r="P605" i="4" s="1"/>
  <c r="O297" i="4"/>
  <c r="S296" i="4"/>
  <c r="S297" i="4" s="1"/>
  <c r="V910" i="4"/>
  <c r="W910" i="4" s="1"/>
  <c r="W647" i="4"/>
  <c r="U1172" i="4"/>
  <c r="P1173" i="4"/>
  <c r="W1262" i="4"/>
  <c r="P911" i="4"/>
  <c r="L911" i="4" s="1"/>
  <c r="J911" i="4" s="1"/>
  <c r="W602" i="4"/>
  <c r="V824" i="4"/>
  <c r="W824" i="4" s="1"/>
  <c r="W825" i="4" s="1"/>
  <c r="O239" i="4" s="1"/>
  <c r="J824" i="4"/>
  <c r="J825" i="4" s="1"/>
  <c r="W514" i="4"/>
  <c r="P295" i="4"/>
  <c r="U294" i="4"/>
  <c r="AA294" i="4" s="1"/>
  <c r="L825" i="4"/>
  <c r="J515" i="4"/>
  <c r="V515" i="4"/>
  <c r="T429" i="4"/>
  <c r="U428" i="4"/>
  <c r="O1264" i="4"/>
  <c r="S1264" i="4" s="1"/>
  <c r="O913" i="4"/>
  <c r="S1133" i="4"/>
  <c r="S1309" i="4"/>
  <c r="W337" i="4"/>
  <c r="J734" i="4"/>
  <c r="V734" i="4"/>
  <c r="U1042" i="4"/>
  <c r="AA1042" i="4" s="1"/>
  <c r="P1043" i="4"/>
  <c r="L1043" i="4" s="1"/>
  <c r="J1307" i="4"/>
  <c r="V1307" i="4"/>
  <c r="W1307" i="4" s="1"/>
  <c r="J1219" i="4"/>
  <c r="V1219" i="4"/>
  <c r="AA824" i="4"/>
  <c r="U825" i="4"/>
  <c r="P239" i="4"/>
  <c r="N222" i="4" s="1"/>
  <c r="F92" i="1" s="1"/>
  <c r="L559" i="4"/>
  <c r="J1131" i="4"/>
  <c r="V1131" i="4"/>
  <c r="W1131" i="4" s="1"/>
  <c r="O735" i="4"/>
  <c r="R1177" i="4"/>
  <c r="U1089" i="4"/>
  <c r="AA1088" i="4"/>
  <c r="P245" i="4"/>
  <c r="N297" i="4"/>
  <c r="R296" i="4"/>
  <c r="R297" i="4" s="1"/>
  <c r="Q242" i="4"/>
  <c r="V957" i="4"/>
  <c r="U1352" i="4"/>
  <c r="P429" i="4"/>
  <c r="L428" i="4"/>
  <c r="N736" i="4"/>
  <c r="N737" i="4" s="1"/>
  <c r="M737" i="4"/>
  <c r="S1176" i="4"/>
  <c r="S1177" i="4" s="1"/>
  <c r="J689" i="4"/>
  <c r="V689" i="4"/>
  <c r="T1219" i="4"/>
  <c r="N693" i="4"/>
  <c r="R692" i="4"/>
  <c r="R693" i="4" s="1"/>
  <c r="W688" i="4"/>
  <c r="T515" i="4"/>
  <c r="U515" i="4" s="1"/>
  <c r="AA515" i="4" s="1"/>
  <c r="R736" i="4"/>
  <c r="R737" i="4" s="1"/>
  <c r="O516" i="4"/>
  <c r="S516" i="4" s="1"/>
  <c r="N561" i="4"/>
  <c r="O560" i="4"/>
  <c r="Q297" i="4"/>
  <c r="T957" i="4"/>
  <c r="U956" i="4"/>
  <c r="R649" i="4"/>
  <c r="N340" i="4"/>
  <c r="U603" i="4"/>
  <c r="AA603" i="4" s="1"/>
  <c r="P338" i="4"/>
  <c r="L338" i="4" s="1"/>
  <c r="U337" i="4"/>
  <c r="AA337" i="4" s="1"/>
  <c r="P1263" i="4"/>
  <c r="T1263" i="4" s="1"/>
  <c r="U1263" i="4" s="1"/>
  <c r="AA1263" i="4" s="1"/>
  <c r="O1309" i="4"/>
  <c r="P1308" i="4"/>
  <c r="Q693" i="4"/>
  <c r="Q736" i="4"/>
  <c r="W427" i="4"/>
  <c r="T689" i="4"/>
  <c r="W1088" i="4"/>
  <c r="W1089" i="4" s="1"/>
  <c r="O245" i="4" s="1"/>
  <c r="F223" i="4" s="1"/>
  <c r="V1089" i="4"/>
  <c r="Q245" i="4"/>
  <c r="P1353" i="4"/>
  <c r="L1352" i="4"/>
  <c r="S1001" i="4"/>
  <c r="U1000" i="4"/>
  <c r="O1133" i="4"/>
  <c r="P1132" i="4"/>
  <c r="S692" i="4"/>
  <c r="S693" i="4" s="1"/>
  <c r="S912" i="4"/>
  <c r="P735" i="4"/>
  <c r="T735" i="4" s="1"/>
  <c r="J868" i="4"/>
  <c r="J869" i="4" s="1"/>
  <c r="V868" i="4"/>
  <c r="L869" i="4"/>
  <c r="J603" i="4"/>
  <c r="V603" i="4"/>
  <c r="O385" i="4"/>
  <c r="S384" i="4"/>
  <c r="U559" i="4"/>
  <c r="AA559" i="4" s="1"/>
  <c r="O649" i="4"/>
  <c r="S648" i="4"/>
  <c r="S649" i="4" s="1"/>
  <c r="P648" i="4"/>
  <c r="L648" i="4" s="1"/>
  <c r="W1218" i="4"/>
  <c r="R560" i="4"/>
  <c r="S735" i="4"/>
  <c r="U734" i="4"/>
  <c r="AA734" i="4" s="1"/>
  <c r="U869" i="4"/>
  <c r="AA868" i="4"/>
  <c r="P240" i="4"/>
  <c r="T604" i="4" l="1"/>
  <c r="J1000" i="4"/>
  <c r="J1001" i="4" s="1"/>
  <c r="J779" i="4"/>
  <c r="V779" i="4"/>
  <c r="P384" i="4"/>
  <c r="V470" i="4"/>
  <c r="W470" i="4" s="1"/>
  <c r="J470" i="4"/>
  <c r="V1000" i="4"/>
  <c r="W1000" i="4" s="1"/>
  <c r="W1001" i="4" s="1"/>
  <c r="O243" i="4" s="1"/>
  <c r="D223" i="4" s="1"/>
  <c r="P780" i="4"/>
  <c r="U779" i="4"/>
  <c r="AA779" i="4" s="1"/>
  <c r="U470" i="4"/>
  <c r="AA470" i="4" s="1"/>
  <c r="P471" i="4"/>
  <c r="W603" i="4"/>
  <c r="L604" i="4"/>
  <c r="L605" i="4" s="1"/>
  <c r="V383" i="4"/>
  <c r="W383" i="4" s="1"/>
  <c r="J383" i="4"/>
  <c r="AA382" i="4"/>
  <c r="W382" i="4"/>
  <c r="L560" i="4"/>
  <c r="J560" i="4" s="1"/>
  <c r="T338" i="4"/>
  <c r="P339" i="4" s="1"/>
  <c r="L339" i="4" s="1"/>
  <c r="P560" i="4"/>
  <c r="P561" i="4" s="1"/>
  <c r="L295" i="4"/>
  <c r="T295" i="4"/>
  <c r="W294" i="4"/>
  <c r="AA1172" i="4"/>
  <c r="W1172" i="4"/>
  <c r="W734" i="4"/>
  <c r="V911" i="4"/>
  <c r="L1173" i="4"/>
  <c r="T1173" i="4"/>
  <c r="T911" i="4"/>
  <c r="V825" i="4"/>
  <c r="Q239" i="4"/>
  <c r="S1265" i="4"/>
  <c r="J339" i="4"/>
  <c r="V339" i="4"/>
  <c r="S517" i="4"/>
  <c r="S913" i="4"/>
  <c r="J1043" i="4"/>
  <c r="V1043" i="4"/>
  <c r="R561" i="4"/>
  <c r="P1309" i="4"/>
  <c r="T1308" i="4"/>
  <c r="J648" i="4"/>
  <c r="J649" i="4" s="1"/>
  <c r="V648" i="4"/>
  <c r="L649" i="4"/>
  <c r="L1263" i="4"/>
  <c r="U957" i="4"/>
  <c r="AA956" i="4"/>
  <c r="P242" i="4"/>
  <c r="W956" i="4"/>
  <c r="W957" i="4" s="1"/>
  <c r="O242" i="4" s="1"/>
  <c r="C223" i="4" s="1"/>
  <c r="AA825" i="4"/>
  <c r="R239" i="4"/>
  <c r="N223" i="4" s="1"/>
  <c r="F93" i="1" s="1"/>
  <c r="W911" i="4"/>
  <c r="AA428" i="4"/>
  <c r="U429" i="4"/>
  <c r="P230" i="4"/>
  <c r="U735" i="4"/>
  <c r="AA735" i="4" s="1"/>
  <c r="U1219" i="4"/>
  <c r="AA1219" i="4" s="1"/>
  <c r="P1220" i="4"/>
  <c r="T1220" i="4" s="1"/>
  <c r="N341" i="4"/>
  <c r="O340" i="4"/>
  <c r="J338" i="4"/>
  <c r="V338" i="4"/>
  <c r="T560" i="4"/>
  <c r="T561" i="4" s="1"/>
  <c r="O736" i="4"/>
  <c r="S736" i="4" s="1"/>
  <c r="R340" i="4"/>
  <c r="W515" i="4"/>
  <c r="J1352" i="4"/>
  <c r="J1353" i="4" s="1"/>
  <c r="V1352" i="4"/>
  <c r="L1353" i="4"/>
  <c r="O1265" i="4"/>
  <c r="P1264" i="4"/>
  <c r="P1265" i="4" s="1"/>
  <c r="S385" i="4"/>
  <c r="O517" i="4"/>
  <c r="P516" i="4"/>
  <c r="P517" i="4" s="1"/>
  <c r="T1043" i="4"/>
  <c r="P1133" i="4"/>
  <c r="T1132" i="4"/>
  <c r="T605" i="4"/>
  <c r="U604" i="4"/>
  <c r="AA1352" i="4"/>
  <c r="U1353" i="4"/>
  <c r="P251" i="4"/>
  <c r="N217" i="4"/>
  <c r="F87" i="1" s="1"/>
  <c r="E222" i="4"/>
  <c r="L1308" i="4"/>
  <c r="J559" i="4"/>
  <c r="V559" i="4"/>
  <c r="W559" i="4" s="1"/>
  <c r="AA869" i="4"/>
  <c r="R240" i="4"/>
  <c r="L735" i="4"/>
  <c r="U689" i="4"/>
  <c r="AA689" i="4" s="1"/>
  <c r="P690" i="4"/>
  <c r="L690" i="4" s="1"/>
  <c r="L1132" i="4"/>
  <c r="P649" i="4"/>
  <c r="T648" i="4"/>
  <c r="W868" i="4"/>
  <c r="W869" i="4" s="1"/>
  <c r="O240" i="4" s="1"/>
  <c r="F222" i="4" s="1"/>
  <c r="Q240" i="4"/>
  <c r="V869" i="4"/>
  <c r="Q737" i="4"/>
  <c r="T339" i="4"/>
  <c r="U338" i="4"/>
  <c r="AA338" i="4" s="1"/>
  <c r="T516" i="4"/>
  <c r="T517" i="4" s="1"/>
  <c r="W689" i="4"/>
  <c r="U911" i="4"/>
  <c r="AA911" i="4" s="1"/>
  <c r="P912" i="4"/>
  <c r="T912" i="4" s="1"/>
  <c r="T913" i="4" s="1"/>
  <c r="AA1000" i="4"/>
  <c r="U1001" i="4"/>
  <c r="P243" i="4"/>
  <c r="O561" i="4"/>
  <c r="S560" i="4"/>
  <c r="S561" i="4" s="1"/>
  <c r="W1042" i="4"/>
  <c r="J428" i="4"/>
  <c r="J429" i="4" s="1"/>
  <c r="V428" i="4"/>
  <c r="L429" i="4"/>
  <c r="AA1089" i="4"/>
  <c r="R245" i="4"/>
  <c r="Q243" i="4" l="1"/>
  <c r="P385" i="4"/>
  <c r="T384" i="4"/>
  <c r="L384" i="4"/>
  <c r="V604" i="4"/>
  <c r="Q234" i="4" s="1"/>
  <c r="T471" i="4"/>
  <c r="L471" i="4"/>
  <c r="J604" i="4"/>
  <c r="J605" i="4" s="1"/>
  <c r="P781" i="4"/>
  <c r="L780" i="4"/>
  <c r="V1001" i="4"/>
  <c r="L561" i="4"/>
  <c r="V560" i="4"/>
  <c r="W779" i="4"/>
  <c r="T780" i="4"/>
  <c r="J295" i="4"/>
  <c r="V295" i="4"/>
  <c r="L1264" i="4"/>
  <c r="J1264" i="4" s="1"/>
  <c r="P296" i="4"/>
  <c r="U295" i="4"/>
  <c r="AA295" i="4" s="1"/>
  <c r="T1264" i="4"/>
  <c r="T1265" i="4" s="1"/>
  <c r="P1174" i="4"/>
  <c r="U1173" i="4"/>
  <c r="AA1173" i="4" s="1"/>
  <c r="V1173" i="4"/>
  <c r="W1173" i="4" s="1"/>
  <c r="J1173" i="4"/>
  <c r="S737" i="4"/>
  <c r="P340" i="4"/>
  <c r="P341" i="4" s="1"/>
  <c r="U560" i="4"/>
  <c r="W560" i="4" s="1"/>
  <c r="W561" i="4" s="1"/>
  <c r="O233" i="4" s="1"/>
  <c r="D221" i="4" s="1"/>
  <c r="T1309" i="4"/>
  <c r="U1308" i="4"/>
  <c r="T649" i="4"/>
  <c r="U648" i="4"/>
  <c r="W648" i="4" s="1"/>
  <c r="W649" i="4" s="1"/>
  <c r="O235" i="4" s="1"/>
  <c r="F221" i="4" s="1"/>
  <c r="U1043" i="4"/>
  <c r="AA1043" i="4" s="1"/>
  <c r="P1044" i="4"/>
  <c r="T1044" i="4" s="1"/>
  <c r="J561" i="4"/>
  <c r="U339" i="4"/>
  <c r="AA339" i="4" s="1"/>
  <c r="W1219" i="4"/>
  <c r="AA1001" i="4"/>
  <c r="R243" i="4"/>
  <c r="AA1353" i="4"/>
  <c r="R251" i="4"/>
  <c r="V649" i="4"/>
  <c r="Q235" i="4"/>
  <c r="U912" i="4"/>
  <c r="L516" i="4"/>
  <c r="V561" i="4"/>
  <c r="Q233" i="4"/>
  <c r="J1132" i="4"/>
  <c r="J1133" i="4" s="1"/>
  <c r="V1132" i="4"/>
  <c r="L1133" i="4"/>
  <c r="U516" i="4"/>
  <c r="J690" i="4"/>
  <c r="V690" i="4"/>
  <c r="R341" i="4"/>
  <c r="AA957" i="4"/>
  <c r="R242" i="4"/>
  <c r="P913" i="4"/>
  <c r="L912" i="4"/>
  <c r="T690" i="4"/>
  <c r="AA604" i="4"/>
  <c r="U605" i="4"/>
  <c r="P234" i="4"/>
  <c r="O737" i="4"/>
  <c r="P736" i="4"/>
  <c r="J1263" i="4"/>
  <c r="V1263" i="4"/>
  <c r="W1263" i="4" s="1"/>
  <c r="J735" i="4"/>
  <c r="V735" i="4"/>
  <c r="W735" i="4" s="1"/>
  <c r="W1352" i="4"/>
  <c r="W1353" i="4" s="1"/>
  <c r="O251" i="4" s="1"/>
  <c r="G224" i="4" s="1"/>
  <c r="Q251" i="4"/>
  <c r="V1353" i="4"/>
  <c r="P1221" i="4"/>
  <c r="L1220" i="4"/>
  <c r="U1264" i="4"/>
  <c r="T1221" i="4"/>
  <c r="U1220" i="4"/>
  <c r="J1308" i="4"/>
  <c r="J1309" i="4" s="1"/>
  <c r="V1308" i="4"/>
  <c r="L1309" i="4"/>
  <c r="O341" i="4"/>
  <c r="S340" i="4"/>
  <c r="S341" i="4" s="1"/>
  <c r="W428" i="4"/>
  <c r="W429" i="4" s="1"/>
  <c r="O230" i="4" s="1"/>
  <c r="F220" i="4" s="1"/>
  <c r="V429" i="4"/>
  <c r="Q230" i="4"/>
  <c r="T1133" i="4"/>
  <c r="U1132" i="4"/>
  <c r="W338" i="4"/>
  <c r="AA429" i="4"/>
  <c r="R230" i="4"/>
  <c r="W604" i="4"/>
  <c r="W605" i="4" s="1"/>
  <c r="O234" i="4" s="1"/>
  <c r="E221" i="4" s="1"/>
  <c r="T385" i="4" l="1"/>
  <c r="U384" i="4"/>
  <c r="L781" i="4"/>
  <c r="J780" i="4"/>
  <c r="J781" i="4" s="1"/>
  <c r="V780" i="4"/>
  <c r="L1265" i="4"/>
  <c r="V1264" i="4"/>
  <c r="W1264" i="4" s="1"/>
  <c r="W1265" i="4" s="1"/>
  <c r="O249" i="4" s="1"/>
  <c r="J471" i="4"/>
  <c r="V471" i="4"/>
  <c r="T781" i="4"/>
  <c r="U780" i="4"/>
  <c r="U471" i="4"/>
  <c r="AA471" i="4" s="1"/>
  <c r="P472" i="4"/>
  <c r="T472" i="4"/>
  <c r="T340" i="4"/>
  <c r="T341" i="4" s="1"/>
  <c r="J384" i="4"/>
  <c r="J385" i="4" s="1"/>
  <c r="V384" i="4"/>
  <c r="L385" i="4"/>
  <c r="V605" i="4"/>
  <c r="P297" i="4"/>
  <c r="L296" i="4"/>
  <c r="W1043" i="4"/>
  <c r="W295" i="4"/>
  <c r="L1174" i="4"/>
  <c r="T1174" i="4"/>
  <c r="T296" i="4"/>
  <c r="T1045" i="4"/>
  <c r="U1044" i="4"/>
  <c r="J1220" i="4"/>
  <c r="J1221" i="4" s="1"/>
  <c r="V1220" i="4"/>
  <c r="L1221" i="4"/>
  <c r="P737" i="4"/>
  <c r="T736" i="4"/>
  <c r="L736" i="4"/>
  <c r="AA1132" i="4"/>
  <c r="U1133" i="4"/>
  <c r="P246" i="4"/>
  <c r="AA1220" i="4"/>
  <c r="U1221" i="4"/>
  <c r="P248" i="4"/>
  <c r="W1132" i="4"/>
  <c r="W1133" i="4" s="1"/>
  <c r="O246" i="4" s="1"/>
  <c r="G223" i="4" s="1"/>
  <c r="Q246" i="4"/>
  <c r="V1133" i="4"/>
  <c r="U340" i="4"/>
  <c r="U1309" i="4"/>
  <c r="AA1308" i="4"/>
  <c r="P250" i="4"/>
  <c r="J1265" i="4"/>
  <c r="AA560" i="4"/>
  <c r="U561" i="4"/>
  <c r="P233" i="4"/>
  <c r="J516" i="4"/>
  <c r="J517" i="4" s="1"/>
  <c r="V516" i="4"/>
  <c r="L517" i="4"/>
  <c r="AA605" i="4"/>
  <c r="R234" i="4"/>
  <c r="AA516" i="4"/>
  <c r="U517" i="4"/>
  <c r="P232" i="4"/>
  <c r="W339" i="4"/>
  <c r="AA1264" i="4"/>
  <c r="U1265" i="4"/>
  <c r="P249" i="4"/>
  <c r="U690" i="4"/>
  <c r="AA690" i="4" s="1"/>
  <c r="P691" i="4"/>
  <c r="L691" i="4" s="1"/>
  <c r="AA912" i="4"/>
  <c r="U913" i="4"/>
  <c r="P241" i="4"/>
  <c r="P1045" i="4"/>
  <c r="L1044" i="4"/>
  <c r="U649" i="4"/>
  <c r="AA648" i="4"/>
  <c r="P235" i="4"/>
  <c r="W1308" i="4"/>
  <c r="W1309" i="4" s="1"/>
  <c r="O250" i="4" s="1"/>
  <c r="F224" i="4" s="1"/>
  <c r="Q250" i="4"/>
  <c r="V1309" i="4"/>
  <c r="J912" i="4"/>
  <c r="J913" i="4" s="1"/>
  <c r="V912" i="4"/>
  <c r="L913" i="4"/>
  <c r="L340" i="4"/>
  <c r="W471" i="4" l="1"/>
  <c r="T473" i="4"/>
  <c r="U472" i="4"/>
  <c r="Q229" i="4"/>
  <c r="W384" i="4"/>
  <c r="W385" i="4" s="1"/>
  <c r="O229" i="4" s="1"/>
  <c r="E220" i="4" s="1"/>
  <c r="V385" i="4"/>
  <c r="W780" i="4"/>
  <c r="W781" i="4" s="1"/>
  <c r="O238" i="4" s="1"/>
  <c r="D222" i="4" s="1"/>
  <c r="V781" i="4"/>
  <c r="Q238" i="4"/>
  <c r="P473" i="4"/>
  <c r="L472" i="4"/>
  <c r="Q249" i="4"/>
  <c r="V1265" i="4"/>
  <c r="AA780" i="4"/>
  <c r="P238" i="4"/>
  <c r="U781" i="4"/>
  <c r="AA384" i="4"/>
  <c r="P229" i="4"/>
  <c r="U385" i="4"/>
  <c r="U1174" i="4"/>
  <c r="AA1174" i="4" s="1"/>
  <c r="P1175" i="4"/>
  <c r="J1174" i="4"/>
  <c r="V1174" i="4"/>
  <c r="W1174" i="4" s="1"/>
  <c r="T297" i="4"/>
  <c r="U296" i="4"/>
  <c r="J296" i="4"/>
  <c r="J297" i="4" s="1"/>
  <c r="L297" i="4"/>
  <c r="V296" i="4"/>
  <c r="AA1133" i="4"/>
  <c r="R246" i="4"/>
  <c r="AA913" i="4"/>
  <c r="R241" i="4"/>
  <c r="AA561" i="4"/>
  <c r="R233" i="4"/>
  <c r="W690" i="4"/>
  <c r="T691" i="4"/>
  <c r="U1045" i="4"/>
  <c r="AA1044" i="4"/>
  <c r="P244" i="4"/>
  <c r="W912" i="4"/>
  <c r="W913" i="4" s="1"/>
  <c r="O241" i="4" s="1"/>
  <c r="Q241" i="4"/>
  <c r="V913" i="4"/>
  <c r="AA1309" i="4"/>
  <c r="R250" i="4"/>
  <c r="AA517" i="4"/>
  <c r="R232" i="4"/>
  <c r="U341" i="4"/>
  <c r="AA340" i="4"/>
  <c r="P228" i="4"/>
  <c r="J691" i="4"/>
  <c r="V691" i="4"/>
  <c r="W1220" i="4"/>
  <c r="W1221" i="4" s="1"/>
  <c r="O248" i="4" s="1"/>
  <c r="D224" i="4" s="1"/>
  <c r="V1221" i="4"/>
  <c r="Q248" i="4"/>
  <c r="J736" i="4"/>
  <c r="J737" i="4" s="1"/>
  <c r="V736" i="4"/>
  <c r="L737" i="4"/>
  <c r="E224" i="4"/>
  <c r="AA1221" i="4"/>
  <c r="R248" i="4"/>
  <c r="T737" i="4"/>
  <c r="U736" i="4"/>
  <c r="AA649" i="4"/>
  <c r="R235" i="4"/>
  <c r="J340" i="4"/>
  <c r="J341" i="4" s="1"/>
  <c r="V340" i="4"/>
  <c r="L341" i="4"/>
  <c r="J1044" i="4"/>
  <c r="J1045" i="4" s="1"/>
  <c r="V1044" i="4"/>
  <c r="L1045" i="4"/>
  <c r="AA1265" i="4"/>
  <c r="R249" i="4"/>
  <c r="W516" i="4"/>
  <c r="W517" i="4" s="1"/>
  <c r="O232" i="4" s="1"/>
  <c r="C221" i="4" s="1"/>
  <c r="V517" i="4"/>
  <c r="Q232" i="4"/>
  <c r="R229" i="4" l="1"/>
  <c r="AA385" i="4"/>
  <c r="V472" i="4"/>
  <c r="J472" i="4"/>
  <c r="J473" i="4" s="1"/>
  <c r="L473" i="4"/>
  <c r="AA781" i="4"/>
  <c r="R238" i="4"/>
  <c r="AA472" i="4"/>
  <c r="P231" i="4"/>
  <c r="U473" i="4"/>
  <c r="V297" i="4"/>
  <c r="W296" i="4"/>
  <c r="W297" i="4" s="1"/>
  <c r="O227" i="4" s="1"/>
  <c r="C220" i="4" s="1"/>
  <c r="Q227" i="4"/>
  <c r="U297" i="4"/>
  <c r="P227" i="4"/>
  <c r="AA296" i="4"/>
  <c r="L1175" i="4"/>
  <c r="T1175" i="4"/>
  <c r="T692" i="4"/>
  <c r="U691" i="4"/>
  <c r="AA691" i="4" s="1"/>
  <c r="P692" i="4"/>
  <c r="W340" i="4"/>
  <c r="W341" i="4" s="1"/>
  <c r="O228" i="4" s="1"/>
  <c r="Q228" i="4"/>
  <c r="V341" i="4"/>
  <c r="W736" i="4"/>
  <c r="W737" i="4" s="1"/>
  <c r="O237" i="4" s="1"/>
  <c r="C222" i="4" s="1"/>
  <c r="Q237" i="4"/>
  <c r="V737" i="4"/>
  <c r="AA341" i="4"/>
  <c r="R228" i="4"/>
  <c r="G222" i="4"/>
  <c r="N219" i="4"/>
  <c r="F89" i="1" s="1"/>
  <c r="AA736" i="4"/>
  <c r="U737" i="4"/>
  <c r="P237" i="4"/>
  <c r="AA1045" i="4"/>
  <c r="R244" i="4"/>
  <c r="W1044" i="4"/>
  <c r="W1045" i="4" s="1"/>
  <c r="O244" i="4" s="1"/>
  <c r="V1045" i="4"/>
  <c r="Q244" i="4"/>
  <c r="AA473" i="4" l="1"/>
  <c r="R231" i="4"/>
  <c r="W472" i="4"/>
  <c r="W473" i="4" s="1"/>
  <c r="O231" i="4" s="1"/>
  <c r="G220" i="4" s="1"/>
  <c r="Q231" i="4"/>
  <c r="V473" i="4"/>
  <c r="J1175" i="4"/>
  <c r="V1175" i="4"/>
  <c r="AA297" i="4"/>
  <c r="R227" i="4"/>
  <c r="W691" i="4"/>
  <c r="P1176" i="4"/>
  <c r="U1175" i="4"/>
  <c r="AA1175" i="4" s="1"/>
  <c r="AA737" i="4"/>
  <c r="R237" i="4"/>
  <c r="D220" i="4"/>
  <c r="P693" i="4"/>
  <c r="L692" i="4"/>
  <c r="E223" i="4"/>
  <c r="N218" i="4"/>
  <c r="F88" i="1" s="1"/>
  <c r="T693" i="4"/>
  <c r="U692" i="4"/>
  <c r="P1177" i="4" l="1"/>
  <c r="L1176" i="4"/>
  <c r="T1176" i="4"/>
  <c r="W1175" i="4"/>
  <c r="U693" i="4"/>
  <c r="AA692" i="4"/>
  <c r="P236" i="4"/>
  <c r="J692" i="4"/>
  <c r="J693" i="4" s="1"/>
  <c r="V692" i="4"/>
  <c r="L693" i="4"/>
  <c r="T1177" i="4" l="1"/>
  <c r="U1176" i="4"/>
  <c r="J1176" i="4"/>
  <c r="J1177" i="4" s="1"/>
  <c r="V1176" i="4"/>
  <c r="L1177" i="4"/>
  <c r="AA693" i="4"/>
  <c r="R236" i="4"/>
  <c r="W692" i="4"/>
  <c r="W693" i="4" s="1"/>
  <c r="O236" i="4" s="1"/>
  <c r="Q236" i="4"/>
  <c r="V693" i="4"/>
  <c r="V1177" i="4" l="1"/>
  <c r="Q247" i="4"/>
  <c r="W1176" i="4"/>
  <c r="W1177" i="4" s="1"/>
  <c r="O247" i="4" s="1"/>
  <c r="C224" i="4" s="1"/>
  <c r="P247" i="4"/>
  <c r="AA1176" i="4"/>
  <c r="U1177" i="4"/>
  <c r="G221" i="4"/>
  <c r="N220" i="4"/>
  <c r="F90" i="1" s="1"/>
  <c r="N221" i="4"/>
  <c r="F91" i="1" s="1"/>
  <c r="AA1177" i="4" l="1"/>
  <c r="R2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  <author>model</author>
  </authors>
  <commentList>
    <comment ref="B2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2026-04-11 calibration: IC trend total comp targets about $1.25M in projection year 5, the midpoint of the $1.0M-$1.5M median range discussed. Cash gross comp still lags because bonus payments follow the 50/25/25 deferral schedule.</t>
        </r>
      </text>
    </comment>
    <comment ref="B2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2026-04-11 calibration: later growth targets about $2.25M IC trend total comp in projection year 8, the midpoint of the $1.5M-$3.0M median range discussed. The separate swing layer still creates year-by-year variability.</t>
        </r>
      </text>
    </comment>
    <comment ref="B35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Applied annually to Savings Projection rent (col BL real $) to derive the displayed nominal rent in col S. Projection Year 1 = real $.</t>
        </r>
      </text>
    </comment>
    <comment ref="B36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Applied annually to Savings Projection living costs (col BM real $) to derive the displayed nominal living costs in col T. Projection Year 1 = real $.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NetWorth Workbook</author>
    <author>model</author>
  </authors>
  <commentList>
    <comment ref="AY1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FY bonus ACCRUED in this fiscal year (accrual basis). Not the cash you receive in this calendar year — see BJ for that. FY2026 (row 19) is prorated by (13 - start_month)/12. FY2027 (row 20) is the full guarantee. FY2028+ (row 21+) is discretionary from the trend formula.</t>
        </r>
      </text>
    </comment>
    <comment ref="BD1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Computed realized gross comp for this calendar year. Reads BF (base), BG (other/sign-on), and the previous row's BE (FY bonus) routed through the deferred structure. Falls back to modeled values for any blank actual.</t>
        </r>
      </text>
    </comment>
    <comment ref="BE1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Enter the actual FY bonus in the row corresponding to the fiscal year it was earned. Cash lands in the following calendar year automatically. FY2026 is pro-rated by (13 - Model Inputs!B23)/12 to match the stub-year start.</t>
        </r>
      </text>
    </comment>
    <comment ref="BJ1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Bonus cash actually received this calendar year under the 50/25/25 deferred schedule. Formula: 75% of the prior row's FY accrual (50% Mar 15 + 25% Sep tranches) plus 25% of the row-before-that's FY accrual (the 12-month tail tranche). Row 19 (CY2026) is zero because no FY has ended yet.</t>
        </r>
      </text>
    </comment>
    <comment ref="BK1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Unvested deferred comp at Dec 31 of this calendar year. Equals the full just-finished FY accrual (nothing paid yet) plus 25% of the prior FY's accrual (the 12-month tail tranche still ahead). This is the dollar amount you would forfeit if you voluntarily quit at year-end. Approximates the 'golden handcuffs' overhang.</t>
        </r>
      </text>
    </comment>
    <comment ref="BL18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Rent in today's dollars (real). Projection Year 1 = the dollar you enter. Column S compounds this by the rent inflation rate in Model Inputs!B35.</t>
        </r>
      </text>
    </comment>
    <comment ref="BM18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Other living costs in today's dollars (real). Projection Year 1 = the dollar you enter. Column T compounds this by the living-cost inflation rate in Model Inputs!B36.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1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Threshold = cash to close + (non-housing retirement spend + annual housing carry) / target draw rate, using base home assumptions from Model Inputs column G.</t>
        </r>
      </text>
    </comment>
    <comment ref="C2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Hardcoded bump multiple. Edit the visible 2x/3x/4x rows here if you want a different IC switch comp case.</t>
        </r>
      </text>
    </comment>
    <comment ref="X3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Scenario rows apply the selected bump to cash gross comp after the switch year. Gross walk-away BK is shown in the summary and not deducted.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J1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Pre-PM IC switch bump. Scenario rows reference this single visible input.</t>
        </r>
      </text>
    </comment>
    <comment ref="J1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Base/draw component before net-PnL payout share.</t>
        </r>
      </text>
    </comment>
    <comment ref="J1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Annual growth after PM start. Default 0% so cases represent steady-state net PnL.</t>
        </r>
      </text>
    </comment>
    <comment ref="S50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PM gross comp uses same-year cash timing in this scenario sheet. It does not model PM-specific deferrals, drawdown clawbacks, pass-through costs, or seat-loss risk.</t>
        </r>
      </text>
    </comment>
    <comment ref="T50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Final scenario gross comp: baseline until first switch, IC bump until PM start, then PM gross comp.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Source: https://www.irs.gov/newsroom/irs-releases-tax-inflation-adjustments-for-tax-year-2026-including-amendments-from-the-one-big-beautiful-bill/</t>
        </r>
      </text>
    </comment>
    <comment ref="K7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Source: https://www.tax.ny.gov/pdf/current_forms/it/it2105i.pdf</t>
        </r>
      </text>
    </comment>
    <comment ref="P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Source: https://www.tax.ny.gov/pdf/current_forms/it/it2105i.pdf</t>
        </r>
      </text>
    </comment>
    <comment ref="B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Source: https://www.irs.gov/newsroom/irs-releases-tax-inflation-adjustments-for-tax-year-2026-including-amendments-from-the-one-big-beautiful-bill/</t>
        </r>
      </text>
    </comment>
    <comment ref="B9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Source: https://www.tax.ny.gov/forms/current-forms/it/it2104i.htm</t>
        </r>
      </text>
    </comment>
    <comment ref="B10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Source: https://www.ssa.gov/OACT/COLA/cbbdet.html</t>
        </r>
      </text>
    </comment>
    <comment ref="B1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Source: https://www.ssa.gov/OACT/COLA/cbbdet.html</t>
        </r>
      </text>
    </comment>
    <comment ref="B12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Source: https://www.irs.gov/taxtopics/tc560</t>
        </r>
      </text>
    </comment>
    <comment ref="B13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Source: https://www.irs.gov/taxtopics/tc560</t>
        </r>
      </text>
    </comment>
    <comment ref="B1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Source: https://www.irs.gov/taxtopics/tc560</t>
        </r>
      </text>
    </comment>
    <comment ref="B15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Source: https://paidfamilyleave.ny.gov/2026</t>
        </r>
      </text>
    </comment>
    <comment ref="B16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Source: https://paidfamilyleave.ny.gov/2026</t>
        </r>
      </text>
    </comment>
    <comment ref="B1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Source: https://www.wcb.ny.gov/content/main/DisabilityBenefits/employee-disability-benefits.jsp</t>
        </r>
      </text>
    </comment>
    <comment ref="B18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Source: https://www.wcb.ny.gov/content/main/DisabilityBenefits/employee-disability-benefits.jsp</t>
        </r>
      </text>
    </comment>
    <comment ref="B19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Source: https://www.irs.gov/newsroom/irs-releases-tax-inflation-adjustments-for-tax-year-2026-including-amendments-from-the-one-big-beautiful-bill/</t>
        </r>
      </text>
    </comment>
    <comment ref="B20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Source: https://www.irs.gov/newsroom/irs-releases-tax-inflation-adjustments-for-tax-year-2026-including-amendments-from-the-one-big-beautiful-bill/</t>
        </r>
      </text>
    </comment>
    <comment ref="B21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Source: https://www.irs.gov/newsroom/irs-releases-tax-inflation-adjustments-for-tax-year-2026-including-amendments-from-the-one-big-beautiful-bill/</t>
        </r>
      </text>
    </comment>
    <comment ref="B22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Source: https://www.irs.gov/newsroom/irs-releases-tax-inflation-adjustments-for-tax-year-2026-including-amendments-from-the-one-big-beautiful-bill/</t>
        </r>
      </text>
    </comment>
  </commentList>
</comments>
</file>

<file path=xl/sharedStrings.xml><?xml version="1.0" encoding="utf-8"?>
<sst xmlns="http://schemas.openxmlformats.org/spreadsheetml/2006/main" count="1374" uniqueCount="467">
  <si>
    <t>IC Quant Job Switch Scenarios</t>
  </si>
  <si>
    <t>Read-only scenario sheet for switching after 3-5 YOE at Jump and applying a 2x-4x IC quant compensation bump. Core workbook sheets are not modified by these scenario formulas.</t>
  </si>
  <si>
    <t>Assumptions</t>
  </si>
  <si>
    <t>Switch timing</t>
  </si>
  <si>
    <t>Switch after completing 3 / 4 / 5 projection years at Jump; bump begins in the following projection year.</t>
  </si>
  <si>
    <t>Comp bump</t>
  </si>
  <si>
    <t>Bump applies to the ongoing baseline cash gross-comp path. PM carry / pod economics are intentionally excluded.</t>
  </si>
  <si>
    <t>Forfeited deferred comp</t>
  </si>
  <si>
    <t>Gross walk-away BK from Savings Projection is shown separately and not deducted; buyouts and exact forfeiture tax timing are not modeled here.</t>
  </si>
  <si>
    <t>Tax / spending basis</t>
  </si>
  <si>
    <t>Uses current workbook NYC tax tables, rent/living inflation, retirement contributions, and 6% base-return assumption.</t>
  </si>
  <si>
    <t>Threshold basis</t>
  </si>
  <si>
    <t>House + retirement thresholds use base home assumptions from Model Inputs and the workbook draw-rate target.</t>
  </si>
  <si>
    <t>House + Immediate Retirement Thresholds</t>
  </si>
  <si>
    <t>Threshold</t>
  </si>
  <si>
    <t>Home Price</t>
  </si>
  <si>
    <t>Down Payment %</t>
  </si>
  <si>
    <t>Cash To Close</t>
  </si>
  <si>
    <t>Annual Housing Carry</t>
  </si>
  <si>
    <t>Wealth Needed Before Close</t>
  </si>
  <si>
    <t>Notes</t>
  </si>
  <si>
    <t>$5M all-cash</t>
  </si>
  <si>
    <t>Uses Model Inputs base home column G</t>
  </si>
  <si>
    <t>$5M 50% down</t>
  </si>
  <si>
    <t>$7M all-cash</t>
  </si>
  <si>
    <t>$7M 50% down</t>
  </si>
  <si>
    <t>Scenario Summary</t>
  </si>
  <si>
    <t>Scenario</t>
  </si>
  <si>
    <t>Switch After YOE</t>
  </si>
  <si>
    <t>Bump</t>
  </si>
  <si>
    <t>Walk-Away BK</t>
  </si>
  <si>
    <t>Y10 Cash Comp</t>
  </si>
  <si>
    <t>Y10 Net Worth</t>
  </si>
  <si>
    <t>vs $5M Cash</t>
  </si>
  <si>
    <t>vs $5M 50%</t>
  </si>
  <si>
    <t>vs $7M Cash</t>
  </si>
  <si>
    <t>vs $7M 50%</t>
  </si>
  <si>
    <t>First $5M Cash</t>
  </si>
  <si>
    <t>First $5M 50%</t>
  </si>
  <si>
    <t>First $7M Cash</t>
  </si>
  <si>
    <t>First $7M 50%</t>
  </si>
  <si>
    <t>Read</t>
  </si>
  <si>
    <t>3Y 2x</t>
  </si>
  <si>
    <t>3Y 3x</t>
  </si>
  <si>
    <t>3Y 4x</t>
  </si>
  <si>
    <t>4Y 2x</t>
  </si>
  <si>
    <t>4Y 3x</t>
  </si>
  <si>
    <t>4Y 4x</t>
  </si>
  <si>
    <t>5Y 2x</t>
  </si>
  <si>
    <t>5Y 3x</t>
  </si>
  <si>
    <t>5Y 4x</t>
  </si>
  <si>
    <t>Year-By-Year Scenario Helper</t>
  </si>
  <si>
    <t>Visible helper model: baseline IC cash comp is rebuilt from Model Inputs, then the scenario bump is applied after the selected switch year.</t>
  </si>
  <si>
    <t>Projection Year</t>
  </si>
  <si>
    <t>Calendar Year</t>
  </si>
  <si>
    <t>Base Earned</t>
  </si>
  <si>
    <t>Trend Bonus</t>
  </si>
  <si>
    <t>Swing %</t>
  </si>
  <si>
    <t>FY Bonus Accrued</t>
  </si>
  <si>
    <t>Bonus Cash Received</t>
  </si>
  <si>
    <t>Baseline Cash Gross</t>
  </si>
  <si>
    <t>Scenario Cash Gross</t>
  </si>
  <si>
    <t>401(k)</t>
  </si>
  <si>
    <t>Fed Taxable</t>
  </si>
  <si>
    <t>NY Taxable</t>
  </si>
  <si>
    <t>Total Tax / Deductions</t>
  </si>
  <si>
    <t>Post-Tax Cash</t>
  </si>
  <si>
    <t>Rent + Living</t>
  </si>
  <si>
    <t>Cash After Living</t>
  </si>
  <si>
    <t>Roth</t>
  </si>
  <si>
    <t>Taxable Savings</t>
  </si>
  <si>
    <t>Taxable Balance</t>
  </si>
  <si>
    <t>Retirement Balance</t>
  </si>
  <si>
    <t>Total Wealth</t>
  </si>
  <si>
    <t>First $5M Cash Yr</t>
  </si>
  <si>
    <t>First $5M 50% Yr</t>
  </si>
  <si>
    <t>First $7M Cash Yr</t>
  </si>
  <si>
    <t>First $7M 50% Yr</t>
  </si>
  <si>
    <t>Personal Wealth Notebook</t>
  </si>
  <si>
    <t>NYC earnings, taxes, savings, account-bucket growth, and house-aware retirement planning in one visible model. Use the selected-year input on Model Inputs and hover chart markers in Excel for point values.</t>
  </si>
  <si>
    <t>Working Years Entered</t>
  </si>
  <si>
    <t>Baseline Retirement Spend</t>
  </si>
  <si>
    <t>Base Liquid After Close</t>
  </si>
  <si>
    <t>Base All-In Draw Rate</t>
  </si>
  <si>
    <t>Ending Taxable</t>
  </si>
  <si>
    <t>Ending 401(k)</t>
  </si>
  <si>
    <t>Ending Roth</t>
  </si>
  <si>
    <t>Ending HSA</t>
  </si>
  <si>
    <t>Ending Total Wealth @ Base</t>
  </si>
  <si>
    <t>Wealth Path Through Work And Retirement ($mm)</t>
  </si>
  <si>
    <t>Wealth By Account @ Base Return ($mm)</t>
  </si>
  <si>
    <t>Savings vs. Retirement Draws ($mm)</t>
  </si>
  <si>
    <t>Ending Wealth Mix @ Base Return</t>
  </si>
  <si>
    <t>Base House + Retirement</t>
  </si>
  <si>
    <t>Taxable</t>
  </si>
  <si>
    <t>Baseline retirement spend</t>
  </si>
  <si>
    <t>Liquid wealth after close</t>
  </si>
  <si>
    <t>Annual housing carry (all recurring housing costs)</t>
  </si>
  <si>
    <t>HSA</t>
  </si>
  <si>
    <t>Total retirement need</t>
  </si>
  <si>
    <t>Total</t>
  </si>
  <si>
    <t>All-in draw rate</t>
  </si>
  <si>
    <t>Max non-housing spend @ target draw</t>
  </si>
  <si>
    <t>Planning max house by draw / carry rules</t>
  </si>
  <si>
    <t>Selected Year Snapshot</t>
  </si>
  <si>
    <t>Selected year</t>
  </si>
  <si>
    <t>Phase</t>
  </si>
  <si>
    <t>Gross comp</t>
  </si>
  <si>
    <t>Total tax / deductions</t>
  </si>
  <si>
    <t>Wealth @ 0%</t>
  </si>
  <si>
    <t>Wealth @ Base</t>
  </si>
  <si>
    <t>Wealth @ 8%</t>
  </si>
  <si>
    <t>Taxable balance</t>
  </si>
  <si>
    <t>Total annual savings</t>
  </si>
  <si>
    <t>Actual withdrawal</t>
  </si>
  <si>
    <t>Scenario Comparison</t>
  </si>
  <si>
    <t>Metric</t>
  </si>
  <si>
    <t>Downside</t>
  </si>
  <si>
    <t>Base</t>
  </si>
  <si>
    <t>Upside</t>
  </si>
  <si>
    <t>Scenario Liquid Wealth Comparison ($mm)</t>
  </si>
  <si>
    <t>Gross comp multiplier</t>
  </si>
  <si>
    <t>Return assumption</t>
  </si>
  <si>
    <t>Home purchase price</t>
  </si>
  <si>
    <t>Cash required at close</t>
  </si>
  <si>
    <t>Annual housing carry at retirement</t>
  </si>
  <si>
    <t>All-in draw rate at retirement</t>
  </si>
  <si>
    <t>Planning max house price</t>
  </si>
  <si>
    <t>Retired years funded</t>
  </si>
  <si>
    <t>First shortfall year</t>
  </si>
  <si>
    <t>Planning max house uses purchase-year liquidity for the close and retirement-year draw / carry rules for sustainability.</t>
  </si>
  <si>
    <t>Base Sensitivity Frontier</t>
  </si>
  <si>
    <t>How To Read It</t>
  </si>
  <si>
    <t>Reference-case liquidity margin</t>
  </si>
  <si>
    <t>The frontier is centered on the smaller of your current target house and the base planning max house. Planning max house is not your close-funding limit; it is the tighter of the liquidity-floor cap and the annual housing-budget cap under the draw-rate rules.</t>
  </si>
  <si>
    <t>Max tested house @ reference spend</t>
  </si>
  <si>
    <t>Max tested spend @ reference house</t>
  </si>
  <si>
    <t>Best tested liquidity margin</t>
  </si>
  <si>
    <t>Worst tested liquidity margin</t>
  </si>
  <si>
    <t>Reference-case ending liquid wealth</t>
  </si>
  <si>
    <t>Reference-case ending net worth</t>
  </si>
  <si>
    <t>Gross comp now comes from the visible compensation schedule on Savings Projection, which models a 2026 stub year with prorated base and guaranteed bonus, a 2026 sign-on, a two-stage post-2027 bonus ramp, and a visible annual fluctuation layer that you can override row by row.</t>
  </si>
  <si>
    <t>Model Inputs</t>
  </si>
  <si>
    <t>Edit global assumptions and scenario parameters here. Year-by-year compensation, HSA, after-tax payroll, rent, and living costs now live visibly on Savings Projection.</t>
  </si>
  <si>
    <t>Base Inputs</t>
  </si>
  <si>
    <t>Scenario, Retirement, And House Inputs</t>
  </si>
  <si>
    <t>Baseline retirement spend excludes house-related costs. Housing carry means the recurring housing cash costs that sit on top of that baseline spend: mortgage payments, property tax, insurance, maintenance, HOA / common charges, and home services / utilities. One-time purchase cash and move / furnish reserve are modeled separately.</t>
  </si>
  <si>
    <t>Filing status</t>
  </si>
  <si>
    <t>Single</t>
  </si>
  <si>
    <t>Resident city</t>
  </si>
  <si>
    <t>New York City</t>
  </si>
  <si>
    <t>Starting taxable assets</t>
  </si>
  <si>
    <t>Tax multiplier</t>
  </si>
  <si>
    <t>Starting 401(k) balance</t>
  </si>
  <si>
    <t>Rent multiplier</t>
  </si>
  <si>
    <t>Starting Roth balance</t>
  </si>
  <si>
    <t>Living multiplier</t>
  </si>
  <si>
    <t>Starting HSA balance</t>
  </si>
  <si>
    <t>Baseline retirement spend (non-housing)</t>
  </si>
  <si>
    <t>Retire after YOE cap (defaults from modeled years)</t>
  </si>
  <si>
    <t>No-growth return</t>
  </si>
  <si>
    <t>Base return</t>
  </si>
  <si>
    <t>Home purchase year</t>
  </si>
  <si>
    <t>The base projection treats any nonblank gross-comp row on Savings Projection as a working year and any blank row as retired. Use Dashboard selected year for point-in-time readouts, and use the planning draw rate / housing share / liquidity floor to stress what house price and non-housing retirement spend look reasonable. Home leverage now uses a visible policy: the effective down payment scales up as the purchase gets closer to retirement, and you can still force a fixed down payment with a manual override.</t>
  </si>
  <si>
    <t>Upside return</t>
  </si>
  <si>
    <t>Dashboard selected year</t>
  </si>
  <si>
    <t>Minimum down payment %</t>
  </si>
  <si>
    <t>Planning draw rate target</t>
  </si>
  <si>
    <t>Mortgage rate</t>
  </si>
  <si>
    <t>Target housing share of total spend</t>
  </si>
  <si>
    <t>Mortgage term (years)</t>
  </si>
  <si>
    <t>Minimum liquid reserve after purchase</t>
  </si>
  <si>
    <t>Closing costs %</t>
  </si>
  <si>
    <t>Derived working years</t>
  </si>
  <si>
    <t>Property tax rate</t>
  </si>
  <si>
    <t>Home insurance rate</t>
  </si>
  <si>
    <t>Compensation Assumptions</t>
  </si>
  <si>
    <t>Home maintenance rate</t>
  </si>
  <si>
    <t>Start calendar year</t>
  </si>
  <si>
    <t>Annual HOA / common charges</t>
  </si>
  <si>
    <t>Start month</t>
  </si>
  <si>
    <t>Annual home services / utilities</t>
  </si>
  <si>
    <t>Default modeled working years</t>
  </si>
  <si>
    <t>One-time move / furnish reserve</t>
  </si>
  <si>
    <t>Compensation reflects actual Jump Trading offer terms. September 14, 2026 start: prorated base + $450K sign-on paid in 2026 - no guaranteed bonus cash in 2026. FY2026 pro-rated guaranteed bonus ($450K x 4/12 = $150K) is received in calendar 2027. FY2027 full guaranteed bonus ($450K) is received in calendar 2028. From 2029 onward bonuses are discretionary, modeled growing from $450K at the early ramp rate. Bonus Overrides (AX col) lock years 1-3; the Trend Bonus formula starts the growth clock from Year 3. Session 3 refined this to a tranche-aware 50/25/25 split so each FY bonus pays 75% in the next CY and 25% in the CY after, and added Savings Projection columns BJ (cash received) and BK (unvested YE). 2026-04-11 IC quant median calibration: early bonus growth is about 45.3% and later growth about 27.1%, which makes the pre-swing trend total comp approximately $1.25M in projection year 5 and $2.25M in projection year 8. Those targets reflect the discussed median IC ranges of $1.0M-$1.5M by Y5 and $1.5M-$3.0M by Y8; Savings Projection column B remains cash received and therefore lags the accrued trend under the deferral schedule.</t>
  </si>
  <si>
    <t>Standard annual base salary</t>
  </si>
  <si>
    <t>Home appreciation</t>
  </si>
  <si>
    <t>Stub-year sign-on bonus</t>
  </si>
  <si>
    <t>Down payment % if buying at / after retirement</t>
  </si>
  <si>
    <t>Guaranteed annual bonus (FY2026–27, paid following yr)</t>
  </si>
  <si>
    <t>Working years until minimum down payment</t>
  </si>
  <si>
    <t>Early bonus growth rate</t>
  </si>
  <si>
    <t>Manual down payment override %</t>
  </si>
  <si>
    <t>Later bonus growth rate</t>
  </si>
  <si>
    <t>Switch to later growth after proj. year</t>
  </si>
  <si>
    <t>Annual base growth</t>
  </si>
  <si>
    <t>Bonus fluctuation amplitude</t>
  </si>
  <si>
    <t>Bonus fluctuation cycle (years)</t>
  </si>
  <si>
    <t>Bonus fluctuation phase shift</t>
  </si>
  <si>
    <t>Rent inflation (annual)</t>
  </si>
  <si>
    <t>Living cost inflation (annual)</t>
  </si>
  <si>
    <t>Savings And Retirement Projection</t>
  </si>
  <si>
    <t>Blue cells in the yearly table are inputs. Gross comp now flows from the visible compensation schedule on the right, while this sheet keeps all tax math and year-by-year savings / retirement logic visible.</t>
  </si>
  <si>
    <t>Setup</t>
  </si>
  <si>
    <t>Interpretation</t>
  </si>
  <si>
    <t>Tax And Retirement Modeling Notes</t>
  </si>
  <si>
    <t>Compensation Schedule (Feeds Gross Comp)</t>
  </si>
  <si>
    <t>The 401(k) column auto-fills from the visible annual limit in the tax sheet and reduces federal, NY State, and NYC taxable income.</t>
  </si>
  <si>
    <t>Talent.com showed about $674,633 net on $1.2M in New York as of 2026-04-03.</t>
  </si>
  <si>
    <t>Edit the comp logic here instead of typing raw gross comp into the main output column. Per the Jump Trading offer letter (Addendum PDF): base $300K, guaranteed annual bonus $450K for FY2026 and FY2027, $450K sign-on in 2026 only. Start date Sep 2026 so FY2026 guarantee is prorated by 4/12 = $150K (accrued). Bonuses are paid on a deferred 50/25/25 schedule: 50% by March 15 following FY end, 25% six months later, 25% twelve months later. This splits each FY bonus across TWO calendar years (75% / 25%). Columns: AY = FY accrued (this is the accrual-basis number, pinned via AX for FY2026 and FY2027), BJ = CY cash received (tranche sum), BB = total CY cash gross comp (uses BJ, not AY). BK = year-end unvested deferred comp ('golden handcuffs' walk-away cost). BD:BI = Realized Comp (Actuals) input block; fill BE with actual accrued FY bonuses as they are announced and they will flow through the same 75/25 tranche logic to BD (which overrides BB when non-blank).</t>
  </si>
  <si>
    <t>HSA contributions reduce federal taxable income and FICA wages, but New York generally adds them back for state and city income tax.</t>
  </si>
  <si>
    <t>This workbook stays lower because it models NYC resident tax separately and uses the 2026 SSA wage base.</t>
  </si>
  <si>
    <t>Roth IRA is modeled as a post-tax transfer from working-year cash flow; at this income level, treat it as a backdoor Roth assumption.</t>
  </si>
  <si>
    <t>The front-page graphs now continue through retirement years instead of falling to zero after work stops.</t>
  </si>
  <si>
    <t>Any nonblank gross-comp row is treated as Working, and any blank gross-comp row is treated as Retired.</t>
  </si>
  <si>
    <t>Bucket balances are base-return only; total-wealth paths are shown for 0%, base, and upside return assumptions.</t>
  </si>
  <si>
    <t>Retirement withdrawals start automatically on retired rows and fund baseline non-housing spending from taxable, then 401(k), then Roth, then HSA.</t>
  </si>
  <si>
    <t>Starting wealth can be split across taxable, 401(k), Roth, and HSA buckets so the dashboard reflects your real account mix.</t>
  </si>
  <si>
    <t>House purchase and housing carry are modeled on Scenario Lab so retirement housing costs sit on top of this baseline spend instead of being buried inside it.</t>
  </si>
  <si>
    <t>The retirement section is designed for directional planning rather than full distribution-tax optimization.</t>
  </si>
  <si>
    <t>Total starting investable assets</t>
  </si>
  <si>
    <t>The compensation schedule on the right models a September 2026 stub year with prorated base and guaranteed bonus, then a faster early bonus ramp, a slower later ramp, and a visible deterministic fluctuation layer. To extend beyond the default working years, fill Gross Comp Input or the other override cells on later rows. The main Gross Comp column is output-only and feeds from the modeled schedule plus the visible input column.</t>
  </si>
  <si>
    <t>Scenario and house assumptions are edited on Model Inputs and flow through Scenario Lab as linked calculations.</t>
  </si>
  <si>
    <t>Working years entered</t>
  </si>
  <si>
    <t>Year</t>
  </si>
  <si>
    <t>Gross Comp (output)</t>
  </si>
  <si>
    <t>401(k) / Trad</t>
  </si>
  <si>
    <t>After-Tax Payroll</t>
  </si>
  <si>
    <t>Fed Taxable Income</t>
  </si>
  <si>
    <t>Federal Tax</t>
  </si>
  <si>
    <t>Social Security</t>
  </si>
  <si>
    <t>Medicare</t>
  </si>
  <si>
    <t>Add'l Medicare</t>
  </si>
  <si>
    <t>NY PFL</t>
  </si>
  <si>
    <t>NY Disability</t>
  </si>
  <si>
    <t>NY Taxable Income</t>
  </si>
  <si>
    <t>NY State Tax</t>
  </si>
  <si>
    <t>NYC Tax</t>
  </si>
  <si>
    <t>Rent (nominal)</t>
  </si>
  <si>
    <t>Other Living Costs (nominal)</t>
  </si>
  <si>
    <t>Roth IRA / Backdoor Roth</t>
  </si>
  <si>
    <t>Taxable Savings / (Draw)</t>
  </si>
  <si>
    <t>Total Annual Savings</t>
  </si>
  <si>
    <t>Planned Retirement Withdrawal</t>
  </si>
  <si>
    <t>Actual Withdrawal</t>
  </si>
  <si>
    <t>Taxable Withdrawal</t>
  </si>
  <si>
    <t>401(k) Withdrawal</t>
  </si>
  <si>
    <t>Roth Withdrawal</t>
  </si>
  <si>
    <t>HSA Withdrawal</t>
  </si>
  <si>
    <t>401(k) Balance</t>
  </si>
  <si>
    <t>Roth Balance</t>
  </si>
  <si>
    <t>HSA Balance</t>
  </si>
  <si>
    <t>Total Wealth @ Base</t>
  </si>
  <si>
    <t>Total Wealth @ 0%</t>
  </si>
  <si>
    <t>Total Wealth @ 8%</t>
  </si>
  <si>
    <t>Taxable Savings Rate</t>
  </si>
  <si>
    <t>Total Savings Rate</t>
  </si>
  <si>
    <t>Proj. Year</t>
  </si>
  <si>
    <t>Work Fraction</t>
  </si>
  <si>
    <t>Default Base</t>
  </si>
  <si>
    <t>Base Override</t>
  </si>
  <si>
    <t>Base Used</t>
  </si>
  <si>
    <t>Default Swing %</t>
  </si>
  <si>
    <t>Swing Override %</t>
  </si>
  <si>
    <t>FY Bonus Accrual Override</t>
  </si>
  <si>
    <t>Sign-On / One-Time</t>
  </si>
  <si>
    <t>Other Cash Comp</t>
  </si>
  <si>
    <t>Modeled Gross Comp</t>
  </si>
  <si>
    <t>Gross Comp Input</t>
  </si>
  <si>
    <t>Actual CY Gross Comp</t>
  </si>
  <si>
    <t>FY Bonus Earned (paid next CY)</t>
  </si>
  <si>
    <t>CY Base Actual</t>
  </si>
  <si>
    <t>CY Other / Sign-On Actual</t>
  </si>
  <si>
    <t>Confirmed?</t>
  </si>
  <si>
    <t>Unvested Deferred Comp (YE)</t>
  </si>
  <si>
    <t>Rent (real $)</t>
  </si>
  <si>
    <t>Living (real $)</t>
  </si>
  <si>
    <t>Totals / Ending</t>
  </si>
  <si>
    <t>Scenario Lab</t>
  </si>
  <si>
    <t>Downside, base, and upside cases all stay visible here. Edit the assumptions on Model Inputs; this sheet shows the linked scenario calculations in full, including a retirement-distance down-payment policy and a separate burn-control recommendation.</t>
  </si>
  <si>
    <t>Linked Assumptions (Edit Model Inputs)</t>
  </si>
  <si>
    <t>Use Model Inputs for global scenario edits. This sheet reuses the visible base earnings path from Savings Projection, then layers on scenario multipliers, earlier-retirement caps, baseline non-housing retirement spend, and a full house-cost stack.</t>
  </si>
  <si>
    <t>Retire after YOE cap</t>
  </si>
  <si>
    <t>Cash required at purchase</t>
  </si>
  <si>
    <t>Liquid wealth at retirement</t>
  </si>
  <si>
    <t>Liquid wealth before close</t>
  </si>
  <si>
    <t>Effective down payment %</t>
  </si>
  <si>
    <t>Housing share of total spend at retirement</t>
  </si>
  <si>
    <t>All-in draw rate on liquid wealth at retirement</t>
  </si>
  <si>
    <t>Max house price @ liquidity floor at purchase</t>
  </si>
  <si>
    <t>Max house price @ housing budget</t>
  </si>
  <si>
    <t>Planning max house by purchase + retirement rules</t>
  </si>
  <si>
    <t>Ending liquid wealth</t>
  </si>
  <si>
    <t>Ending home equity</t>
  </si>
  <si>
    <t>Ending net worth</t>
  </si>
  <si>
    <t>Working years after purchase</t>
  </si>
  <si>
    <t>Burn-control down payment %</t>
  </si>
  <si>
    <t>Base Gross</t>
  </si>
  <si>
    <t>Scenario Gross</t>
  </si>
  <si>
    <t>Adj. Total Tax</t>
  </si>
  <si>
    <t>Rent</t>
  </si>
  <si>
    <t>Living</t>
  </si>
  <si>
    <t>Net Portfolio Flow</t>
  </si>
  <si>
    <t>Planned Retirement Need</t>
  </si>
  <si>
    <t>Taxable Draw</t>
  </si>
  <si>
    <t>401(k) Draw</t>
  </si>
  <si>
    <t>Roth Draw</t>
  </si>
  <si>
    <t>HSA Draw</t>
  </si>
  <si>
    <t>Liquid Wealth</t>
  </si>
  <si>
    <t>Funding Gap</t>
  </si>
  <si>
    <t>Home Purchase Cash</t>
  </si>
  <si>
    <t>House Value</t>
  </si>
  <si>
    <t>Mortgage Balance</t>
  </si>
  <si>
    <t>Home Equity</t>
  </si>
  <si>
    <t>Net Worth Incl. Home</t>
  </si>
  <si>
    <t>Dashboard Helper (Liquid Wealth)</t>
  </si>
  <si>
    <t>Base Scenario House x Spend Frontier (Feasible Band)</t>
  </si>
  <si>
    <t>Frontier Summary</t>
  </si>
  <si>
    <t>Tested House Band</t>
  </si>
  <si>
    <t>Tested Baseline Retirement Spend</t>
  </si>
  <si>
    <t>Delta</t>
  </si>
  <si>
    <t>House Price</t>
  </si>
  <si>
    <t>Reference</t>
  </si>
  <si>
    <t>This grid centers the house band on the smaller of your current target house and the base planning max house so the frontier stays near a feasible region. Positive margin means liquid wealth stayed above the reserve floor after purchase and through retirement. Planning max house is the tighter of the liquidity-floor cap and the annual housing-budget cap, not a simple percent-of-net-worth rule.</t>
  </si>
  <si>
    <t>Case</t>
  </si>
  <si>
    <t>House Delta</t>
  </si>
  <si>
    <t>Spend Delta</t>
  </si>
  <si>
    <t>Baseline Spend</t>
  </si>
  <si>
    <t>Liquidity Margin</t>
  </si>
  <si>
    <t>Ending Liquid</t>
  </si>
  <si>
    <t>First Shortfall</t>
  </si>
  <si>
    <t>Ending Net Worth</t>
  </si>
  <si>
    <t>Case 01</t>
  </si>
  <si>
    <t>Case 02</t>
  </si>
  <si>
    <t>Case 03</t>
  </si>
  <si>
    <t>Case 04</t>
  </si>
  <si>
    <t>Case 05</t>
  </si>
  <si>
    <t>Case 06</t>
  </si>
  <si>
    <t>Case 07</t>
  </si>
  <si>
    <t>Case 08</t>
  </si>
  <si>
    <t>Case 09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</si>
  <si>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</si>
  <si>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</si>
  <si>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</si>
  <si>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</si>
  <si>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</si>
  <si>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</si>
  <si>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</si>
  <si>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</si>
  <si>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</si>
  <si>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</si>
  <si>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</si>
  <si>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</si>
  <si>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</si>
  <si>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</si>
  <si>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</si>
  <si>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Case 25</t>
  </si>
  <si>
    <t>Gross</t>
  </si>
  <si>
    <t>House Cash</t>
  </si>
  <si>
    <t>Housing Carry</t>
  </si>
  <si>
    <t>Taxable Sav / (Draw)</t>
  </si>
  <si>
    <t>Planned Need</t>
  </si>
  <si>
    <t>Actual W/D</t>
  </si>
  <si>
    <t>Taxable Bal</t>
  </si>
  <si>
    <t>401(k) Bal</t>
  </si>
  <si>
    <t>Roth Bal</t>
  </si>
  <si>
    <t>HSA Bal</t>
  </si>
  <si>
    <t>Margin vs Reserve</t>
  </si>
  <si>
    <t>Net Worth</t>
  </si>
  <si>
    <t>Case Summary</t>
  </si>
  <si>
    <t>PM After First Switch Scenarios</t>
  </si>
  <si>
    <t>Read-only scenario sheet for switching to PM in Y7-Y8 after a first IC job switch. Core workbook sheets are not modified by these scenario formulas.</t>
  </si>
  <si>
    <t>First switch timing</t>
  </si>
  <si>
    <t>First switch after completing 3 / 4 / 5 projection years at Jump; IC bump applies until PM start.</t>
  </si>
  <si>
    <t>IC bump before PM</t>
  </si>
  <si>
    <t>Default pre-PM IC switch bump is 3x, the midpoint of the 2x-4x switch-bump range. Change cell J15 to test another bump.</t>
  </si>
  <si>
    <t>PM start</t>
  </si>
  <si>
    <t>PM role starts in projection year 7 or 8, after the first switch.</t>
  </si>
  <si>
    <t>PM comp</t>
  </si>
  <si>
    <t>PM gross comp = PM base salary + payout share x net PnL. Modeled as same-year cash gross comp; PM deferral, clawback, cost allocation, drawdown, and cut risk are not modeled.</t>
  </si>
  <si>
    <t>Control</t>
  </si>
  <si>
    <t>Value</t>
  </si>
  <si>
    <t>PM Case</t>
  </si>
  <si>
    <t>Net PnL</t>
  </si>
  <si>
    <t>Payout %</t>
  </si>
  <si>
    <t>PM Gross at Start</t>
  </si>
  <si>
    <t>Default IC bump before PM</t>
  </si>
  <si>
    <t>Starter</t>
  </si>
  <si>
    <t>starter PM seat / smaller capacity</t>
  </si>
  <si>
    <t>PM base salary</t>
  </si>
  <si>
    <t>solid standalone pod economics</t>
  </si>
  <si>
    <t>PM net PnL growth</t>
  </si>
  <si>
    <t>strong scalable PM outcome</t>
  </si>
  <si>
    <t>Tail</t>
  </si>
  <si>
    <t>large upside tail, high variance</t>
  </si>
  <si>
    <t>First Switch After YOE</t>
  </si>
  <si>
    <t>IC Bump</t>
  </si>
  <si>
    <t>PM Start YOE</t>
  </si>
  <si>
    <t>PM Net PnL</t>
  </si>
  <si>
    <t>PM Payout</t>
  </si>
  <si>
    <t>PM Base</t>
  </si>
  <si>
    <t>Y10 Gross Comp</t>
  </si>
  <si>
    <t>3Y -&gt; PM Y7 Starter</t>
  </si>
  <si>
    <t>3Y -&gt; PM Y7 Base</t>
  </si>
  <si>
    <t>3Y -&gt; PM Y7 Upside</t>
  </si>
  <si>
    <t>3Y -&gt; PM Y7 Tail</t>
  </si>
  <si>
    <t>3Y -&gt; PM Y8 Starter</t>
  </si>
  <si>
    <t>3Y -&gt; PM Y8 Base</t>
  </si>
  <si>
    <t>3Y -&gt; PM Y8 Upside</t>
  </si>
  <si>
    <t>3Y -&gt; PM Y8 Tail</t>
  </si>
  <si>
    <t>4Y -&gt; PM Y7 Starter</t>
  </si>
  <si>
    <t>4Y -&gt; PM Y7 Base</t>
  </si>
  <si>
    <t>4Y -&gt; PM Y7 Upside</t>
  </si>
  <si>
    <t>4Y -&gt; PM Y7 Tail</t>
  </si>
  <si>
    <t>4Y -&gt; PM Y8 Starter</t>
  </si>
  <si>
    <t>4Y -&gt; PM Y8 Base</t>
  </si>
  <si>
    <t>4Y -&gt; PM Y8 Upside</t>
  </si>
  <si>
    <t>4Y -&gt; PM Y8 Tail</t>
  </si>
  <si>
    <t>5Y -&gt; PM Y7 Starter</t>
  </si>
  <si>
    <t>5Y -&gt; PM Y7 Base</t>
  </si>
  <si>
    <t>5Y -&gt; PM Y7 Upside</t>
  </si>
  <si>
    <t>5Y -&gt; PM Y7 Tail</t>
  </si>
  <si>
    <t>5Y -&gt; PM Y8 Starter</t>
  </si>
  <si>
    <t>5Y -&gt; PM Y8 Base</t>
  </si>
  <si>
    <t>5Y -&gt; PM Y8 Upside</t>
  </si>
  <si>
    <t>5Y -&gt; PM Y8 Tail</t>
  </si>
  <si>
    <t>Visible helper model: baseline IC cash comp is rebuilt from Model Inputs, first-switch IC bump applies until PM start, then PM gross comp overrides from the selected PM start year.</t>
  </si>
  <si>
    <t>onus subta</t>
  </si>
  <si>
    <t>This workbook models employee-borne taxes and payroll deductions that reduce savings; employer payroll taxes are excluded.</t>
  </si>
  <si>
    <t>NYC resident tax is modeled separately because the plan assumes full-year New York City residency.</t>
  </si>
  <si>
    <t>At this income level, direct Roth IRA contributions are generally phased out, so the Roth line is treated as a backdoor Roth target.</t>
  </si>
  <si>
    <t>Retirement withdrawals are modeled as gross portfolio withdrawals across taxable, 401(k), Roth, and HSA buckets in that order.</t>
  </si>
  <si>
    <t>Core Constants</t>
  </si>
  <si>
    <t>Federal Brackets (2026 single)</t>
  </si>
  <si>
    <t>NY State Brackets</t>
  </si>
  <si>
    <t>NYC Resident Brackets</t>
  </si>
  <si>
    <t>Federal standard deduction</t>
  </si>
  <si>
    <t>Lower</t>
  </si>
  <si>
    <t>Upper</t>
  </si>
  <si>
    <t>Rate</t>
  </si>
  <si>
    <t>Base Tax</t>
  </si>
  <si>
    <t>NY standard deduction</t>
  </si>
  <si>
    <t>Social Security rate</t>
  </si>
  <si>
    <t>Social Security wage base</t>
  </si>
  <si>
    <t>Medicare rate</t>
  </si>
  <si>
    <t>Additional Medicare rate</t>
  </si>
  <si>
    <t>Additional Medicare threshold</t>
  </si>
  <si>
    <t>NY PFL rate</t>
  </si>
  <si>
    <t>NY PFL annual cap</t>
  </si>
  <si>
    <t>NY DBL rate</t>
  </si>
  <si>
    <t>NY DBL annual cap</t>
  </si>
  <si>
    <t>Talent.com Reference</t>
  </si>
  <si>
    <t>401(k) elective deferral limit</t>
  </si>
  <si>
    <t>Fetched date</t>
  </si>
  <si>
    <t>2026-04-03</t>
  </si>
  <si>
    <t>Roth IRA / backdoor target</t>
  </si>
  <si>
    <t>Gross comp used</t>
  </si>
  <si>
    <t>Direct Roth IRA phaseout start (single)</t>
  </si>
  <si>
    <t>Displayed total tax</t>
  </si>
  <si>
    <t>Direct Roth IRA phaseout end (single)</t>
  </si>
  <si>
    <t>Displayed net pay</t>
  </si>
  <si>
    <t>Displayed Social Security</t>
  </si>
  <si>
    <t>Displayed Medicare</t>
  </si>
  <si>
    <t>Displayed state tax</t>
  </si>
  <si>
    <t>Displayed federal tax</t>
  </si>
  <si>
    <t>Reference URL</t>
  </si>
  <si>
    <t>https://www.talent.com/tax-calculator?salary=1200000&amp;from=year&amp;region=New+York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</si>
</sst>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"/>
    <numFmt numFmtId="165" formatCode="0.0%"/>
    <numFmt numFmtId="166" formatCode="\$#,##0.00"/>
    <numFmt numFmtId="167" formatCode="\$#,##0;\(\$#,##0\)"/>
    <numFmt numFmtId="168" formatCode="0.000%"/>
    <numFmt numFmtId="169" formatCode="0.0"/>
    <numFmt numFmtId="170" formatCode="\$#,##0;[Red]\(\$#,##0\);\-"/>
    <numFmt numFmtId="171" formatCode="\$0.0,,&quot;M&quot;"/>
    <numFmt numFmtId="172" formatCode="0.0\x"/>
  </numFmts>
  <fonts count="29" x14ac:knownFonts="1">
    <font>
      <sz val="11"/>
      <color theme="1"/>
      <name val="Calibri"/>
      <family val="2"/>
      <scheme val="minor"/>
    </font>
    <font>
      <b/>
      <sz val="17"/>
      <color rgb="FF1C2B3C"/>
      <name val="Aptos Display"/>
    </font>
    <font>
      <i/>
      <sz val="10"/>
      <color rgb="FF536274"/>
      <name val="Aptos"/>
    </font>
    <font>
      <b/>
      <sz val="10"/>
      <color rgb="FFFFFDF9"/>
      <name val="Aptos"/>
    </font>
    <font>
      <b/>
      <sz val="11"/>
      <color rgb="FF536274"/>
      <name val="Aptos"/>
    </font>
    <font>
      <b/>
      <sz val="11"/>
      <color rgb="FF1C2B3C"/>
      <name val="Aptos"/>
    </font>
    <font>
      <b/>
      <sz val="11"/>
      <color rgb="FFFFFDF9"/>
      <name val="Aptos"/>
    </font>
    <font>
      <u/>
      <sz val="11"/>
      <color rgb="FF496A86"/>
      <name val="Aptos"/>
    </font>
    <font>
      <b/>
      <sz val="20"/>
      <color rgb="FF1C2B3C"/>
      <name val="Aptos Display"/>
    </font>
    <font>
      <i/>
      <sz val="11"/>
      <color rgb="FF536274"/>
      <name val="Aptos"/>
    </font>
    <font>
      <b/>
      <sz val="11"/>
      <color rgb="FF496A86"/>
      <name val="Aptos"/>
    </font>
    <font>
      <b/>
      <sz val="11"/>
      <color rgb="FF617B63"/>
      <name val="Aptos"/>
    </font>
    <font>
      <b/>
      <sz val="11"/>
      <color rgb="FF8E5A50"/>
      <name val="Aptos"/>
    </font>
    <font>
      <sz val="10"/>
      <color rgb="FF536274"/>
      <name val="Aptos"/>
    </font>
    <font>
      <b/>
      <sz val="19"/>
      <color rgb="FF1C2B3C"/>
      <name val="Aptos Display"/>
    </font>
    <font>
      <b/>
      <sz val="14"/>
      <color rgb="FFFFFDF9"/>
      <name val="Aptos Display"/>
    </font>
    <font>
      <b/>
      <sz val="9"/>
      <color rgb="FFFFFDF9"/>
      <name val="Aptos"/>
    </font>
    <font>
      <b/>
      <sz val="12"/>
      <color rgb="FFFFFDF9"/>
      <name val="Aptos"/>
    </font>
    <font>
      <sz val="11"/>
      <color rgb="FF1C2B3C"/>
      <name val="Aptos"/>
    </font>
    <font>
      <b/>
      <sz val="12"/>
      <color rgb="FFFFFDF9"/>
      <name val="Aptos Display"/>
    </font>
    <font>
      <b/>
      <sz val="22"/>
      <color rgb="FF1C2B3C"/>
      <name val="Aptos Display"/>
    </font>
    <font>
      <b/>
      <sz val="16"/>
      <color rgb="FF1C2B3C"/>
      <name val="Aptos Display"/>
    </font>
    <font>
      <b/>
      <sz val="11"/>
      <color rgb="FF000000"/>
      <name val="Aptos"/>
    </font>
    <font>
      <b/>
      <sz val="11"/>
      <color rgb="FF0070C0"/>
      <name val="Aptos"/>
    </font>
    <font>
      <b/>
      <sz val="16"/>
      <color rgb="FF1F4E78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0EBE3"/>
      </patternFill>
    </fill>
    <fill>
      <patternFill patternType="solid">
        <fgColor rgb="FFFBF8F3"/>
      </patternFill>
    </fill>
    <fill>
      <patternFill patternType="solid">
        <fgColor rgb="FF496A86"/>
      </patternFill>
    </fill>
    <fill>
      <patternFill patternType="solid">
        <fgColor rgb="FFE6EDF3"/>
      </patternFill>
    </fill>
    <fill>
      <patternFill patternType="solid">
        <fgColor rgb="FF1C2B3C"/>
      </patternFill>
    </fill>
    <fill>
      <patternFill patternType="solid">
        <fgColor rgb="FFE4EFED"/>
      </patternFill>
    </fill>
    <fill>
      <patternFill patternType="solid">
        <fgColor rgb="FFF3EBDD"/>
      </patternFill>
    </fill>
    <fill>
      <patternFill patternType="solid">
        <fgColor rgb="FF8E5A50"/>
      </patternFill>
    </fill>
    <fill>
      <patternFill patternType="solid">
        <fgColor rgb="FFF3EFE8"/>
      </patternFill>
    </fill>
    <fill>
      <patternFill patternType="solid">
        <fgColor rgb="FF4E7672"/>
      </patternFill>
    </fill>
    <fill>
      <patternFill patternType="solid">
        <fgColor rgb="FFE7EEE6"/>
      </patternFill>
    </fill>
    <fill>
      <patternFill patternType="solid">
        <fgColor rgb="FFF4E5E0"/>
      </patternFill>
    </fill>
    <fill>
      <patternFill patternType="solid">
        <fgColor rgb="FFA7834A"/>
      </patternFill>
    </fill>
    <fill>
      <patternFill patternType="solid">
        <fgColor rgb="FFFFFDF9"/>
      </patternFill>
    </fill>
    <fill>
      <patternFill patternType="solid">
        <fgColor rgb="FF617B63"/>
      </patternFill>
    </fill>
    <fill>
      <patternFill patternType="solid">
        <fgColor rgb="FF8591A0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75">
    <border>
      <left/>
      <right/>
      <top/>
      <bottom/>
      <diagonal/>
    </border>
    <border>
      <left style="medium">
        <color rgb="FFBFB1A0"/>
      </left>
      <right style="thin">
        <color rgb="FFDDD5CA"/>
      </right>
      <top style="medium">
        <color rgb="FFBFB1A0"/>
      </top>
      <bottom style="thin">
        <color rgb="FFDDD5CA"/>
      </bottom>
      <diagonal/>
    </border>
    <border>
      <left style="thin">
        <color rgb="FFDDD5CA"/>
      </left>
      <right style="thin">
        <color rgb="FFDDD5CA"/>
      </right>
      <top style="medium">
        <color rgb="FFBFB1A0"/>
      </top>
      <bottom style="thin">
        <color rgb="FFDDD5CA"/>
      </bottom>
      <diagonal/>
    </border>
    <border>
      <left style="thin">
        <color rgb="FFDDD5CA"/>
      </left>
      <right style="medium">
        <color rgb="FFBFB1A0"/>
      </right>
      <top style="medium">
        <color rgb="FFBFB1A0"/>
      </top>
      <bottom style="thin">
        <color rgb="FFDDD5CA"/>
      </bottom>
      <diagonal/>
    </border>
    <border>
      <left style="medium">
        <color rgb="FFBFB1A0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thin">
        <color rgb="FFDDD5CA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thin">
        <color rgb="FFDDD5CA"/>
      </left>
      <right style="medium">
        <color rgb="FFBFB1A0"/>
      </right>
      <top style="thin">
        <color rgb="FFDDD5CA"/>
      </top>
      <bottom style="thin">
        <color rgb="FFDDD5CA"/>
      </bottom>
      <diagonal/>
    </border>
    <border>
      <left style="medium">
        <color rgb="FFBFB1A0"/>
      </left>
      <right style="thin">
        <color rgb="FFDDD5CA"/>
      </right>
      <top style="thin">
        <color rgb="FFDDD5CA"/>
      </top>
      <bottom style="medium">
        <color rgb="FFBFB1A0"/>
      </bottom>
      <diagonal/>
    </border>
    <border>
      <left style="thin">
        <color rgb="FFDDD5CA"/>
      </left>
      <right style="thin">
        <color rgb="FFDDD5CA"/>
      </right>
      <top style="thin">
        <color rgb="FFDDD5CA"/>
      </top>
      <bottom style="medium">
        <color rgb="FFBFB1A0"/>
      </bottom>
      <diagonal/>
    </border>
    <border>
      <left style="thin">
        <color rgb="FFDDD5CA"/>
      </left>
      <right style="medium">
        <color rgb="FFBFB1A0"/>
      </right>
      <top style="thin">
        <color rgb="FFDDD5CA"/>
      </top>
      <bottom style="medium">
        <color rgb="FFBFB1A0"/>
      </bottom>
      <diagonal/>
    </border>
    <border>
      <left style="medium">
        <color rgb="FFBFB1A0"/>
      </left>
      <right style="medium">
        <color rgb="FFBFB1A0"/>
      </right>
      <top style="medium">
        <color rgb="FFBFB1A0"/>
      </top>
      <bottom style="medium">
        <color rgb="FFBFB1A0"/>
      </bottom>
      <diagonal/>
    </border>
    <border>
      <left style="medium">
        <color rgb="FF8E5A50"/>
      </left>
      <right style="thin">
        <color rgb="FFDDD5CA"/>
      </right>
      <top style="medium">
        <color rgb="FF8E5A50"/>
      </top>
      <bottom style="thin">
        <color rgb="FFDDD5CA"/>
      </bottom>
      <diagonal/>
    </border>
    <border>
      <left style="medium">
        <color rgb="FF8E5A50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thin">
        <color rgb="FFDDD5CA"/>
      </left>
      <right style="medium">
        <color rgb="FF8E5A50"/>
      </right>
      <top style="thin">
        <color rgb="FFDDD5CA"/>
      </top>
      <bottom style="thin">
        <color rgb="FFDDD5CA"/>
      </bottom>
      <diagonal/>
    </border>
    <border>
      <left style="medium">
        <color rgb="FF8E5A50"/>
      </left>
      <right style="thin">
        <color rgb="FFDDD5CA"/>
      </right>
      <top style="thin">
        <color rgb="FFDDD5CA"/>
      </top>
      <bottom style="medium">
        <color rgb="FF8E5A50"/>
      </bottom>
      <diagonal/>
    </border>
    <border>
      <left style="thin">
        <color rgb="FFDDD5CA"/>
      </left>
      <right style="thin">
        <color rgb="FFDDD5CA"/>
      </right>
      <top style="thin">
        <color rgb="FFDDD5CA"/>
      </top>
      <bottom style="medium">
        <color rgb="FF8E5A50"/>
      </bottom>
      <diagonal/>
    </border>
    <border>
      <left style="thin">
        <color rgb="FFDDD5CA"/>
      </left>
      <right style="medium">
        <color rgb="FF8E5A50"/>
      </right>
      <top style="thin">
        <color rgb="FFDDD5CA"/>
      </top>
      <bottom style="medium">
        <color rgb="FF8E5A50"/>
      </bottom>
      <diagonal/>
    </border>
    <border>
      <left style="medium">
        <color rgb="FF1C2B3C"/>
      </left>
      <right style="thin">
        <color rgb="FFDDD5CA"/>
      </right>
      <top style="medium">
        <color rgb="FF1C2B3C"/>
      </top>
      <bottom style="thin">
        <color rgb="FFDDD5CA"/>
      </bottom>
      <diagonal/>
    </border>
    <border>
      <left style="medium">
        <color rgb="FF1C2B3C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thin">
        <color rgb="FFDDD5CA"/>
      </left>
      <right style="medium">
        <color rgb="FF1C2B3C"/>
      </right>
      <top style="thin">
        <color rgb="FFDDD5CA"/>
      </top>
      <bottom style="thin">
        <color rgb="FFDDD5CA"/>
      </bottom>
      <diagonal/>
    </border>
    <border>
      <left style="medium">
        <color rgb="FF1C2B3C"/>
      </left>
      <right style="thin">
        <color rgb="FFDDD5CA"/>
      </right>
      <top style="thin">
        <color rgb="FFDDD5CA"/>
      </top>
      <bottom style="medium">
        <color rgb="FF1C2B3C"/>
      </bottom>
      <diagonal/>
    </border>
    <border>
      <left style="thin">
        <color rgb="FFDDD5CA"/>
      </left>
      <right style="thin">
        <color rgb="FFDDD5CA"/>
      </right>
      <top style="thin">
        <color rgb="FFDDD5CA"/>
      </top>
      <bottom style="medium">
        <color rgb="FF1C2B3C"/>
      </bottom>
      <diagonal/>
    </border>
    <border>
      <left style="thin">
        <color rgb="FFDDD5CA"/>
      </left>
      <right style="medium">
        <color rgb="FF1C2B3C"/>
      </right>
      <top style="thin">
        <color rgb="FFDDD5CA"/>
      </top>
      <bottom style="medium">
        <color rgb="FF1C2B3C"/>
      </bottom>
      <diagonal/>
    </border>
    <border>
      <left style="medium">
        <color rgb="FF617B63"/>
      </left>
      <right style="thin">
        <color rgb="FFDDD5CA"/>
      </right>
      <top style="medium">
        <color rgb="FF617B63"/>
      </top>
      <bottom style="thin">
        <color rgb="FFDDD5CA"/>
      </bottom>
      <diagonal/>
    </border>
    <border>
      <left style="medium">
        <color rgb="FF617B63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thin">
        <color rgb="FFDDD5CA"/>
      </left>
      <right style="medium">
        <color rgb="FF617B63"/>
      </right>
      <top style="thin">
        <color rgb="FFDDD5CA"/>
      </top>
      <bottom style="thin">
        <color rgb="FFDDD5CA"/>
      </bottom>
      <diagonal/>
    </border>
    <border>
      <left style="medium">
        <color rgb="FF617B63"/>
      </left>
      <right style="thin">
        <color rgb="FFDDD5CA"/>
      </right>
      <top style="thin">
        <color rgb="FFDDD5CA"/>
      </top>
      <bottom style="medium">
        <color rgb="FF617B63"/>
      </bottom>
      <diagonal/>
    </border>
    <border>
      <left style="thin">
        <color rgb="FFDDD5CA"/>
      </left>
      <right style="thin">
        <color rgb="FFDDD5CA"/>
      </right>
      <top style="thin">
        <color rgb="FFDDD5CA"/>
      </top>
      <bottom style="medium">
        <color rgb="FF617B63"/>
      </bottom>
      <diagonal/>
    </border>
    <border>
      <left style="thin">
        <color rgb="FFDDD5CA"/>
      </left>
      <right style="medium">
        <color rgb="FF617B63"/>
      </right>
      <top style="thin">
        <color rgb="FFDDD5CA"/>
      </top>
      <bottom style="medium">
        <color rgb="FF617B63"/>
      </bottom>
      <diagonal/>
    </border>
    <border>
      <left style="medium">
        <color rgb="FFA7834A"/>
      </left>
      <right style="thin">
        <color rgb="FFDDD5CA"/>
      </right>
      <top style="medium">
        <color rgb="FFA7834A"/>
      </top>
      <bottom style="thin">
        <color rgb="FFDDD5CA"/>
      </bottom>
      <diagonal/>
    </border>
    <border>
      <left style="medium">
        <color rgb="FFA7834A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thin">
        <color rgb="FFDDD5CA"/>
      </left>
      <right style="medium">
        <color rgb="FFA7834A"/>
      </right>
      <top style="thin">
        <color rgb="FFDDD5CA"/>
      </top>
      <bottom style="thin">
        <color rgb="FFDDD5CA"/>
      </bottom>
      <diagonal/>
    </border>
    <border>
      <left style="medium">
        <color rgb="FFA7834A"/>
      </left>
      <right style="thin">
        <color rgb="FFDDD5CA"/>
      </right>
      <top style="thin">
        <color rgb="FFDDD5CA"/>
      </top>
      <bottom style="medium">
        <color rgb="FFA7834A"/>
      </bottom>
      <diagonal/>
    </border>
    <border>
      <left style="thin">
        <color rgb="FFDDD5CA"/>
      </left>
      <right style="thin">
        <color rgb="FFDDD5CA"/>
      </right>
      <top style="thin">
        <color rgb="FFDDD5CA"/>
      </top>
      <bottom style="medium">
        <color rgb="FFA7834A"/>
      </bottom>
      <diagonal/>
    </border>
    <border>
      <left style="thin">
        <color rgb="FFDDD5CA"/>
      </left>
      <right style="medium">
        <color rgb="FFA7834A"/>
      </right>
      <top style="thin">
        <color rgb="FFDDD5CA"/>
      </top>
      <bottom style="medium">
        <color rgb="FFA7834A"/>
      </bottom>
      <diagonal/>
    </border>
    <border>
      <left style="medium">
        <color rgb="FF4E7672"/>
      </left>
      <right style="thin">
        <color rgb="FFDDD5CA"/>
      </right>
      <top style="medium">
        <color rgb="FF4E7672"/>
      </top>
      <bottom style="thin">
        <color rgb="FFDDD5CA"/>
      </bottom>
      <diagonal/>
    </border>
    <border>
      <left style="medium">
        <color rgb="FF4E7672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 style="medium">
        <color rgb="FF496A86"/>
      </left>
      <right style="thin">
        <color rgb="FFDDD5CA"/>
      </right>
      <top style="medium">
        <color rgb="FF496A86"/>
      </top>
      <bottom style="thin">
        <color rgb="FFDDD5CA"/>
      </bottom>
      <diagonal/>
    </border>
    <border>
      <left style="medium">
        <color rgb="FF496A86"/>
      </left>
      <right style="thin">
        <color rgb="FFDDD5CA"/>
      </right>
      <top style="thin">
        <color rgb="FFDDD5CA"/>
      </top>
      <bottom style="thin">
        <color rgb="FFDDD5CA"/>
      </bottom>
      <diagonal/>
    </border>
    <border>
      <left/>
      <right/>
      <top style="thin">
        <color rgb="FFDDD5CA"/>
      </top>
      <bottom/>
      <diagonal/>
    </border>
    <border>
      <left/>
      <right style="thin">
        <color rgb="FFDDD5CA"/>
      </right>
      <top style="thin">
        <color rgb="FFDDD5CA"/>
      </top>
      <bottom/>
      <diagonal/>
    </border>
    <border>
      <left/>
      <right/>
      <top style="thin">
        <color rgb="FFDDD5CA"/>
      </top>
      <bottom style="medium">
        <color rgb="FFBFB1A0"/>
      </bottom>
      <diagonal/>
    </border>
    <border>
      <left/>
      <right style="thin">
        <color rgb="FFDDD5CA"/>
      </right>
      <top style="thin">
        <color rgb="FFDDD5CA"/>
      </top>
      <bottom style="medium">
        <color rgb="FFBFB1A0"/>
      </bottom>
      <diagonal/>
    </border>
    <border>
      <left/>
      <right/>
      <top style="medium">
        <color rgb="FF4E7672"/>
      </top>
      <bottom style="thin">
        <color rgb="FFDDD5CA"/>
      </bottom>
      <diagonal/>
    </border>
    <border>
      <left/>
      <right style="thin">
        <color rgb="FFDDD5CA"/>
      </right>
      <top style="medium">
        <color rgb="FF4E7672"/>
      </top>
      <bottom style="thin">
        <color rgb="FFDDD5CA"/>
      </bottom>
      <diagonal/>
    </border>
    <border>
      <left/>
      <right/>
      <top style="thin">
        <color rgb="FFDDD5CA"/>
      </top>
      <bottom style="thin">
        <color rgb="FFDDD5CA"/>
      </bottom>
      <diagonal/>
    </border>
    <border>
      <left/>
      <right style="thin">
        <color rgb="FFDDD5CA"/>
      </right>
      <top style="thin">
        <color rgb="FFDDD5CA"/>
      </top>
      <bottom style="thin">
        <color rgb="FFDDD5CA"/>
      </bottom>
      <diagonal/>
    </border>
    <border>
      <left/>
      <right/>
      <top style="medium">
        <color rgb="FF496A86"/>
      </top>
      <bottom style="thin">
        <color rgb="FFDDD5CA"/>
      </bottom>
      <diagonal/>
    </border>
    <border>
      <left/>
      <right style="thin">
        <color rgb="FFDDD5CA"/>
      </right>
      <top style="medium">
        <color rgb="FF496A86"/>
      </top>
      <bottom style="thin">
        <color rgb="FFDDD5CA"/>
      </bottom>
      <diagonal/>
    </border>
    <border>
      <left/>
      <right style="thin">
        <color rgb="FFDDD5CA"/>
      </right>
      <top/>
      <bottom/>
      <diagonal/>
    </border>
    <border>
      <left style="medium">
        <color rgb="FF1C2B3C"/>
      </left>
      <right/>
      <top/>
      <bottom style="thin">
        <color rgb="FFDDD5CA"/>
      </bottom>
      <diagonal/>
    </border>
    <border>
      <left/>
      <right/>
      <top/>
      <bottom style="thin">
        <color rgb="FFDDD5CA"/>
      </bottom>
      <diagonal/>
    </border>
    <border>
      <left/>
      <right style="thin">
        <color rgb="FFDDD5CA"/>
      </right>
      <top/>
      <bottom style="thin">
        <color rgb="FFDDD5CA"/>
      </bottom>
      <diagonal/>
    </border>
    <border>
      <left style="medium">
        <color rgb="FF4E7672"/>
      </left>
      <right/>
      <top/>
      <bottom style="thin">
        <color rgb="FFDDD5CA"/>
      </bottom>
      <diagonal/>
    </border>
    <border>
      <left/>
      <right/>
      <top style="medium">
        <color rgb="FFBFB1A0"/>
      </top>
      <bottom/>
      <diagonal/>
    </border>
    <border>
      <left/>
      <right style="thin">
        <color rgb="FFDDD5CA"/>
      </right>
      <top style="medium">
        <color rgb="FFBFB1A0"/>
      </top>
      <bottom/>
      <diagonal/>
    </border>
    <border>
      <left/>
      <right/>
      <top style="medium">
        <color rgb="FFBFB1A0"/>
      </top>
      <bottom style="thin">
        <color rgb="FFDDD5CA"/>
      </bottom>
      <diagonal/>
    </border>
    <border>
      <left/>
      <right style="thin">
        <color rgb="FFDDD5CA"/>
      </right>
      <top style="medium">
        <color rgb="FFBFB1A0"/>
      </top>
      <bottom style="thin">
        <color rgb="FFDDD5CA"/>
      </bottom>
      <diagonal/>
    </border>
    <border>
      <left/>
      <right/>
      <top style="medium">
        <color rgb="FFA7834A"/>
      </top>
      <bottom style="thin">
        <color rgb="FFDDD5CA"/>
      </bottom>
      <diagonal/>
    </border>
    <border>
      <left/>
      <right style="thin">
        <color rgb="FFDDD5CA"/>
      </right>
      <top style="medium">
        <color rgb="FFA7834A"/>
      </top>
      <bottom style="thin">
        <color rgb="FFDDD5CA"/>
      </bottom>
      <diagonal/>
    </border>
    <border>
      <left style="medium">
        <color rgb="FFBFB1A0"/>
      </left>
      <right/>
      <top/>
      <bottom/>
      <diagonal/>
    </border>
    <border>
      <left style="medium">
        <color rgb="FFBFB1A0"/>
      </left>
      <right/>
      <top/>
      <bottom style="thin">
        <color rgb="FFDDD5CA"/>
      </bottom>
      <diagonal/>
    </border>
    <border>
      <left/>
      <right/>
      <top style="medium">
        <color rgb="FF617B63"/>
      </top>
      <bottom style="thin">
        <color rgb="FFDDD5CA"/>
      </bottom>
      <diagonal/>
    </border>
    <border>
      <left/>
      <right style="thin">
        <color rgb="FFDDD5CA"/>
      </right>
      <top style="medium">
        <color rgb="FF617B63"/>
      </top>
      <bottom style="thin">
        <color rgb="FFDDD5CA"/>
      </bottom>
      <diagonal/>
    </border>
    <border>
      <left style="medium">
        <color rgb="FF617B63"/>
      </left>
      <right/>
      <top/>
      <bottom style="thin">
        <color rgb="FFDDD5CA"/>
      </bottom>
      <diagonal/>
    </border>
    <border>
      <left style="medium">
        <color rgb="FF496A86"/>
      </left>
      <right/>
      <top/>
      <bottom style="thin">
        <color rgb="FFDDD5CA"/>
      </bottom>
      <diagonal/>
    </border>
    <border>
      <left style="medium">
        <color rgb="FFA7834A"/>
      </left>
      <right/>
      <top/>
      <bottom style="thin">
        <color rgb="FFDDD5CA"/>
      </bottom>
      <diagonal/>
    </border>
    <border>
      <left/>
      <right/>
      <top style="medium">
        <color rgb="FF8E5A50"/>
      </top>
      <bottom style="thin">
        <color rgb="FFDDD5CA"/>
      </bottom>
      <diagonal/>
    </border>
    <border>
      <left/>
      <right style="thin">
        <color rgb="FFDDD5CA"/>
      </right>
      <top style="medium">
        <color rgb="FF8E5A50"/>
      </top>
      <bottom style="thin">
        <color rgb="FFDDD5CA"/>
      </bottom>
      <diagonal/>
    </border>
    <border>
      <left style="medium">
        <color rgb="FF8E5A50"/>
      </left>
      <right/>
      <top/>
      <bottom style="thin">
        <color rgb="FFDDD5CA"/>
      </bottom>
      <diagonal/>
    </border>
    <border>
      <left/>
      <right/>
      <top style="medium">
        <color rgb="FF1C2B3C"/>
      </top>
      <bottom style="thin">
        <color rgb="FFDDD5CA"/>
      </bottom>
      <diagonal/>
    </border>
    <border>
      <left/>
      <right style="thin">
        <color rgb="FFDDD5CA"/>
      </right>
      <top style="medium">
        <color rgb="FF1C2B3C"/>
      </top>
      <bottom style="thin">
        <color rgb="FFDDD5CA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10" borderId="0" xfId="0" applyFill="1"/>
    <xf numFmtId="0" fontId="0" fillId="0" borderId="5" xfId="0" applyBorder="1"/>
    <xf numFmtId="0" fontId="3" fillId="11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4" fillId="10" borderId="4" xfId="0" applyFont="1" applyFill="1" applyBorder="1"/>
    <xf numFmtId="164" fontId="0" fillId="10" borderId="5" xfId="0" applyNumberFormat="1" applyFill="1" applyBorder="1"/>
    <xf numFmtId="165" fontId="0" fillId="10" borderId="6" xfId="0" applyNumberFormat="1" applyFill="1" applyBorder="1"/>
    <xf numFmtId="0" fontId="0" fillId="0" borderId="6" xfId="0" applyBorder="1"/>
    <xf numFmtId="0" fontId="0" fillId="10" borderId="7" xfId="0" applyFill="1" applyBorder="1"/>
    <xf numFmtId="164" fontId="0" fillId="10" borderId="8" xfId="0" applyNumberFormat="1" applyFill="1" applyBorder="1"/>
    <xf numFmtId="0" fontId="0" fillId="10" borderId="9" xfId="0" applyFill="1" applyBorder="1"/>
    <xf numFmtId="0" fontId="4" fillId="10" borderId="7" xfId="0" applyFont="1" applyFill="1" applyBorder="1"/>
    <xf numFmtId="0" fontId="6" fillId="6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16" borderId="3" xfId="0" applyFont="1" applyFill="1" applyBorder="1" applyAlignment="1">
      <alignment horizontal="center"/>
    </xf>
    <xf numFmtId="165" fontId="5" fillId="10" borderId="5" xfId="0" applyNumberFormat="1" applyFont="1" applyFill="1" applyBorder="1"/>
    <xf numFmtId="165" fontId="5" fillId="10" borderId="6" xfId="0" applyNumberFormat="1" applyFont="1" applyFill="1" applyBorder="1"/>
    <xf numFmtId="164" fontId="5" fillId="10" borderId="5" xfId="0" applyNumberFormat="1" applyFont="1" applyFill="1" applyBorder="1"/>
    <xf numFmtId="164" fontId="5" fillId="10" borderId="6" xfId="0" applyNumberFormat="1" applyFont="1" applyFill="1" applyBorder="1"/>
    <xf numFmtId="1" fontId="5" fillId="10" borderId="5" xfId="0" applyNumberFormat="1" applyFont="1" applyFill="1" applyBorder="1"/>
    <xf numFmtId="1" fontId="5" fillId="10" borderId="6" xfId="0" applyNumberFormat="1" applyFont="1" applyFill="1" applyBorder="1"/>
    <xf numFmtId="1" fontId="5" fillId="10" borderId="8" xfId="0" applyNumberFormat="1" applyFont="1" applyFill="1" applyBorder="1"/>
    <xf numFmtId="1" fontId="5" fillId="10" borderId="9" xfId="0" applyNumberFormat="1" applyFont="1" applyFill="1" applyBorder="1"/>
    <xf numFmtId="0" fontId="4" fillId="10" borderId="0" xfId="0" applyFont="1" applyFill="1"/>
    <xf numFmtId="164" fontId="5" fillId="10" borderId="0" xfId="0" applyNumberFormat="1" applyFont="1" applyFill="1"/>
    <xf numFmtId="0" fontId="0" fillId="0" borderId="4" xfId="0" applyBorder="1"/>
    <xf numFmtId="0" fontId="0" fillId="0" borderId="7" xfId="0" applyBorder="1"/>
    <xf numFmtId="0" fontId="0" fillId="10" borderId="3" xfId="0" applyFill="1" applyBorder="1"/>
    <xf numFmtId="0" fontId="3" fillId="4" borderId="1" xfId="0" applyFont="1" applyFill="1" applyBorder="1" applyAlignment="1">
      <alignment horizontal="left" vertical="center"/>
    </xf>
    <xf numFmtId="0" fontId="0" fillId="10" borderId="2" xfId="0" applyFill="1" applyBorder="1"/>
    <xf numFmtId="0" fontId="4" fillId="3" borderId="6" xfId="0" applyFont="1" applyFill="1" applyBorder="1"/>
    <xf numFmtId="0" fontId="12" fillId="13" borderId="5" xfId="0" applyFont="1" applyFill="1" applyBorder="1"/>
    <xf numFmtId="0" fontId="10" fillId="5" borderId="5" xfId="0" applyFont="1" applyFill="1" applyBorder="1"/>
    <xf numFmtId="0" fontId="11" fillId="12" borderId="6" xfId="0" applyFont="1" applyFill="1" applyBorder="1"/>
    <xf numFmtId="165" fontId="12" fillId="13" borderId="5" xfId="0" applyNumberFormat="1" applyFont="1" applyFill="1" applyBorder="1"/>
    <xf numFmtId="165" fontId="10" fillId="5" borderId="5" xfId="0" applyNumberFormat="1" applyFont="1" applyFill="1" applyBorder="1"/>
    <xf numFmtId="165" fontId="11" fillId="12" borderId="6" xfId="0" applyNumberFormat="1" applyFont="1" applyFill="1" applyBorder="1"/>
    <xf numFmtId="164" fontId="10" fillId="5" borderId="6" xfId="0" applyNumberFormat="1" applyFont="1" applyFill="1" applyBorder="1"/>
    <xf numFmtId="1" fontId="12" fillId="13" borderId="5" xfId="0" applyNumberFormat="1" applyFont="1" applyFill="1" applyBorder="1"/>
    <xf numFmtId="1" fontId="10" fillId="5" borderId="5" xfId="0" applyNumberFormat="1" applyFont="1" applyFill="1" applyBorder="1"/>
    <xf numFmtId="1" fontId="11" fillId="12" borderId="6" xfId="0" applyNumberFormat="1" applyFont="1" applyFill="1" applyBorder="1"/>
    <xf numFmtId="165" fontId="10" fillId="5" borderId="6" xfId="0" applyNumberFormat="1" applyFont="1" applyFill="1" applyBorder="1"/>
    <xf numFmtId="164" fontId="12" fillId="13" borderId="5" xfId="0" applyNumberFormat="1" applyFont="1" applyFill="1" applyBorder="1"/>
    <xf numFmtId="164" fontId="10" fillId="5" borderId="5" xfId="0" applyNumberFormat="1" applyFont="1" applyFill="1" applyBorder="1"/>
    <xf numFmtId="164" fontId="11" fillId="12" borderId="6" xfId="0" applyNumberFormat="1" applyFont="1" applyFill="1" applyBorder="1"/>
    <xf numFmtId="1" fontId="10" fillId="5" borderId="6" xfId="0" applyNumberFormat="1" applyFont="1" applyFill="1" applyBorder="1"/>
    <xf numFmtId="1" fontId="11" fillId="12" borderId="9" xfId="0" applyNumberFormat="1" applyFont="1" applyFill="1" applyBorder="1"/>
    <xf numFmtId="165" fontId="12" fillId="13" borderId="8" xfId="0" applyNumberFormat="1" applyFont="1" applyFill="1" applyBorder="1"/>
    <xf numFmtId="165" fontId="10" fillId="5" borderId="8" xfId="0" applyNumberFormat="1" applyFont="1" applyFill="1" applyBorder="1"/>
    <xf numFmtId="165" fontId="11" fillId="12" borderId="9" xfId="0" applyNumberFormat="1" applyFont="1" applyFill="1" applyBorder="1"/>
    <xf numFmtId="0" fontId="3" fillId="9" borderId="1" xfId="0" applyFont="1" applyFill="1" applyBorder="1" applyAlignment="1">
      <alignment horizontal="left" vertical="center"/>
    </xf>
    <xf numFmtId="0" fontId="4" fillId="0" borderId="4" xfId="0" applyFont="1" applyBorder="1"/>
    <xf numFmtId="0" fontId="4" fillId="3" borderId="5" xfId="0" applyFont="1" applyFill="1" applyBorder="1"/>
    <xf numFmtId="164" fontId="11" fillId="12" borderId="5" xfId="0" applyNumberFormat="1" applyFont="1" applyFill="1" applyBorder="1"/>
    <xf numFmtId="1" fontId="11" fillId="12" borderId="5" xfId="0" applyNumberFormat="1" applyFont="1" applyFill="1" applyBorder="1"/>
    <xf numFmtId="165" fontId="11" fillId="12" borderId="5" xfId="0" applyNumberFormat="1" applyFont="1" applyFill="1" applyBorder="1"/>
    <xf numFmtId="0" fontId="4" fillId="0" borderId="7" xfId="0" applyFont="1" applyBorder="1"/>
    <xf numFmtId="1" fontId="11" fillId="12" borderId="8" xfId="0" applyNumberFormat="1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0" fillId="15" borderId="5" xfId="0" applyFill="1" applyBorder="1"/>
    <xf numFmtId="164" fontId="0" fillId="15" borderId="5" xfId="0" applyNumberFormat="1" applyFill="1" applyBorder="1"/>
    <xf numFmtId="166" fontId="0" fillId="15" borderId="5" xfId="0" applyNumberFormat="1" applyFill="1" applyBorder="1"/>
    <xf numFmtId="164" fontId="0" fillId="7" borderId="5" xfId="0" applyNumberFormat="1" applyFill="1" applyBorder="1"/>
    <xf numFmtId="165" fontId="0" fillId="15" borderId="5" xfId="0" applyNumberFormat="1" applyFill="1" applyBorder="1"/>
    <xf numFmtId="0" fontId="0" fillId="2" borderId="5" xfId="0" applyFill="1" applyBorder="1"/>
    <xf numFmtId="164" fontId="0" fillId="2" borderId="5" xfId="0" applyNumberFormat="1" applyFill="1" applyBorder="1"/>
    <xf numFmtId="166" fontId="0" fillId="2" borderId="5" xfId="0" applyNumberFormat="1" applyFill="1" applyBorder="1"/>
    <xf numFmtId="165" fontId="0" fillId="2" borderId="5" xfId="0" applyNumberFormat="1" applyFill="1" applyBorder="1"/>
    <xf numFmtId="0" fontId="5" fillId="12" borderId="10" xfId="0" applyFont="1" applyFill="1" applyBorder="1"/>
    <xf numFmtId="164" fontId="5" fillId="12" borderId="10" xfId="0" applyNumberFormat="1" applyFont="1" applyFill="1" applyBorder="1"/>
    <xf numFmtId="165" fontId="5" fillId="12" borderId="10" xfId="0" applyNumberFormat="1" applyFont="1" applyFill="1" applyBorder="1"/>
    <xf numFmtId="0" fontId="11" fillId="7" borderId="5" xfId="0" applyFont="1" applyFill="1" applyBorder="1"/>
    <xf numFmtId="0" fontId="11" fillId="7" borderId="6" xfId="0" applyFont="1" applyFill="1" applyBorder="1"/>
    <xf numFmtId="0" fontId="6" fillId="6" borderId="4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16" borderId="6" xfId="0" applyFont="1" applyFill="1" applyBorder="1" applyAlignment="1">
      <alignment horizontal="center"/>
    </xf>
    <xf numFmtId="165" fontId="11" fillId="7" borderId="5" xfId="0" applyNumberFormat="1" applyFont="1" applyFill="1" applyBorder="1"/>
    <xf numFmtId="165" fontId="11" fillId="7" borderId="6" xfId="0" applyNumberFormat="1" applyFont="1" applyFill="1" applyBorder="1"/>
    <xf numFmtId="165" fontId="0" fillId="10" borderId="5" xfId="0" applyNumberFormat="1" applyFill="1" applyBorder="1"/>
    <xf numFmtId="164" fontId="0" fillId="10" borderId="6" xfId="0" applyNumberFormat="1" applyFill="1" applyBorder="1"/>
    <xf numFmtId="1" fontId="0" fillId="10" borderId="5" xfId="0" applyNumberFormat="1" applyFill="1" applyBorder="1"/>
    <xf numFmtId="1" fontId="0" fillId="10" borderId="6" xfId="0" applyNumberFormat="1" applyFill="1" applyBorder="1"/>
    <xf numFmtId="1" fontId="11" fillId="7" borderId="5" xfId="0" applyNumberFormat="1" applyFont="1" applyFill="1" applyBorder="1"/>
    <xf numFmtId="1" fontId="11" fillId="7" borderId="6" xfId="0" applyNumberFormat="1" applyFont="1" applyFill="1" applyBorder="1"/>
    <xf numFmtId="164" fontId="11" fillId="7" borderId="5" xfId="0" applyNumberFormat="1" applyFont="1" applyFill="1" applyBorder="1"/>
    <xf numFmtId="164" fontId="11" fillId="7" borderId="6" xfId="0" applyNumberFormat="1" applyFont="1" applyFill="1" applyBorder="1"/>
    <xf numFmtId="165" fontId="11" fillId="7" borderId="8" xfId="0" applyNumberFormat="1" applyFont="1" applyFill="1" applyBorder="1"/>
    <xf numFmtId="165" fontId="11" fillId="7" borderId="9" xfId="0" applyNumberFormat="1" applyFont="1" applyFill="1" applyBorder="1"/>
    <xf numFmtId="164" fontId="0" fillId="10" borderId="9" xfId="0" applyNumberFormat="1" applyFill="1" applyBorder="1"/>
    <xf numFmtId="0" fontId="16" fillId="9" borderId="12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5" xfId="0" applyFill="1" applyBorder="1"/>
    <xf numFmtId="164" fontId="0" fillId="3" borderId="5" xfId="0" applyNumberFormat="1" applyFill="1" applyBorder="1"/>
    <xf numFmtId="165" fontId="0" fillId="3" borderId="5" xfId="0" applyNumberFormat="1" applyFill="1" applyBorder="1"/>
    <xf numFmtId="164" fontId="0" fillId="7" borderId="13" xfId="0" applyNumberFormat="1" applyFill="1" applyBorder="1"/>
    <xf numFmtId="0" fontId="0" fillId="15" borderId="12" xfId="0" applyFill="1" applyBorder="1"/>
    <xf numFmtId="164" fontId="0" fillId="15" borderId="13" xfId="0" applyNumberFormat="1" applyFill="1" applyBorder="1"/>
    <xf numFmtId="0" fontId="5" fillId="7" borderId="14" xfId="0" applyFont="1" applyFill="1" applyBorder="1"/>
    <xf numFmtId="0" fontId="5" fillId="7" borderId="15" xfId="0" applyFont="1" applyFill="1" applyBorder="1"/>
    <xf numFmtId="164" fontId="5" fillId="7" borderId="15" xfId="0" applyNumberFormat="1" applyFont="1" applyFill="1" applyBorder="1"/>
    <xf numFmtId="165" fontId="5" fillId="7" borderId="15" xfId="0" applyNumberFormat="1" applyFont="1" applyFill="1" applyBorder="1"/>
    <xf numFmtId="164" fontId="5" fillId="7" borderId="16" xfId="0" applyNumberFormat="1" applyFont="1" applyFill="1" applyBorder="1"/>
    <xf numFmtId="0" fontId="16" fillId="6" borderId="1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0" fontId="0" fillId="3" borderId="18" xfId="0" applyFill="1" applyBorder="1"/>
    <xf numFmtId="164" fontId="0" fillId="7" borderId="19" xfId="0" applyNumberFormat="1" applyFill="1" applyBorder="1"/>
    <xf numFmtId="0" fontId="0" fillId="15" borderId="18" xfId="0" applyFill="1" applyBorder="1"/>
    <xf numFmtId="164" fontId="0" fillId="15" borderId="19" xfId="0" applyNumberFormat="1" applyFill="1" applyBorder="1"/>
    <xf numFmtId="0" fontId="5" fillId="7" borderId="20" xfId="0" applyFont="1" applyFill="1" applyBorder="1"/>
    <xf numFmtId="0" fontId="5" fillId="7" borderId="21" xfId="0" applyFont="1" applyFill="1" applyBorder="1"/>
    <xf numFmtId="164" fontId="5" fillId="7" borderId="21" xfId="0" applyNumberFormat="1" applyFont="1" applyFill="1" applyBorder="1"/>
    <xf numFmtId="165" fontId="5" fillId="7" borderId="21" xfId="0" applyNumberFormat="1" applyFont="1" applyFill="1" applyBorder="1"/>
    <xf numFmtId="164" fontId="5" fillId="7" borderId="22" xfId="0" applyNumberFormat="1" applyFont="1" applyFill="1" applyBorder="1"/>
    <xf numFmtId="0" fontId="16" fillId="16" borderId="24" xfId="0" applyFont="1" applyFill="1" applyBorder="1" applyAlignment="1">
      <alignment horizontal="center"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16" fillId="16" borderId="25" xfId="0" applyFont="1" applyFill="1" applyBorder="1" applyAlignment="1">
      <alignment horizontal="center" vertical="center" wrapText="1"/>
    </xf>
    <xf numFmtId="0" fontId="0" fillId="3" borderId="24" xfId="0" applyFill="1" applyBorder="1"/>
    <xf numFmtId="164" fontId="0" fillId="7" borderId="25" xfId="0" applyNumberFormat="1" applyFill="1" applyBorder="1"/>
    <xf numFmtId="0" fontId="0" fillId="15" borderId="24" xfId="0" applyFill="1" applyBorder="1"/>
    <xf numFmtId="164" fontId="0" fillId="15" borderId="25" xfId="0" applyNumberFormat="1" applyFill="1" applyBorder="1"/>
    <xf numFmtId="0" fontId="5" fillId="7" borderId="26" xfId="0" applyFont="1" applyFill="1" applyBorder="1"/>
    <xf numFmtId="0" fontId="5" fillId="7" borderId="27" xfId="0" applyFont="1" applyFill="1" applyBorder="1"/>
    <xf numFmtId="164" fontId="5" fillId="7" borderId="27" xfId="0" applyNumberFormat="1" applyFont="1" applyFill="1" applyBorder="1"/>
    <xf numFmtId="165" fontId="5" fillId="7" borderId="27" xfId="0" applyNumberFormat="1" applyFont="1" applyFill="1" applyBorder="1"/>
    <xf numFmtId="164" fontId="5" fillId="7" borderId="28" xfId="0" applyNumberFormat="1" applyFont="1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9" fontId="6" fillId="6" borderId="4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right" vertical="center"/>
    </xf>
    <xf numFmtId="167" fontId="5" fillId="10" borderId="5" xfId="0" applyNumberFormat="1" applyFont="1" applyFill="1" applyBorder="1" applyAlignment="1">
      <alignment horizontal="center" vertical="center"/>
    </xf>
    <xf numFmtId="9" fontId="6" fillId="6" borderId="7" xfId="0" applyNumberFormat="1" applyFont="1" applyFill="1" applyBorder="1" applyAlignment="1">
      <alignment horizontal="center" vertical="center"/>
    </xf>
    <xf numFmtId="164" fontId="5" fillId="8" borderId="8" xfId="0" applyNumberFormat="1" applyFont="1" applyFill="1" applyBorder="1" applyAlignment="1">
      <alignment horizontal="right" vertical="center"/>
    </xf>
    <xf numFmtId="167" fontId="5" fillId="10" borderId="8" xfId="0" applyNumberFormat="1" applyFont="1" applyFill="1" applyBorder="1" applyAlignment="1">
      <alignment horizontal="center" vertical="center"/>
    </xf>
    <xf numFmtId="0" fontId="0" fillId="10" borderId="8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8" fillId="3" borderId="4" xfId="0" applyFont="1" applyFill="1" applyBorder="1"/>
    <xf numFmtId="9" fontId="18" fillId="3" borderId="5" xfId="0" applyNumberFormat="1" applyFont="1" applyFill="1" applyBorder="1"/>
    <xf numFmtId="167" fontId="18" fillId="3" borderId="5" xfId="0" applyNumberFormat="1" applyFont="1" applyFill="1" applyBorder="1"/>
    <xf numFmtId="1" fontId="18" fillId="3" borderId="5" xfId="0" applyNumberFormat="1" applyFont="1" applyFill="1" applyBorder="1"/>
    <xf numFmtId="167" fontId="18" fillId="3" borderId="6" xfId="0" applyNumberFormat="1" applyFont="1" applyFill="1" applyBorder="1"/>
    <xf numFmtId="0" fontId="18" fillId="15" borderId="4" xfId="0" applyFont="1" applyFill="1" applyBorder="1"/>
    <xf numFmtId="9" fontId="18" fillId="15" borderId="5" xfId="0" applyNumberFormat="1" applyFont="1" applyFill="1" applyBorder="1"/>
    <xf numFmtId="167" fontId="18" fillId="15" borderId="5" xfId="0" applyNumberFormat="1" applyFont="1" applyFill="1" applyBorder="1"/>
    <xf numFmtId="1" fontId="18" fillId="15" borderId="5" xfId="0" applyNumberFormat="1" applyFont="1" applyFill="1" applyBorder="1"/>
    <xf numFmtId="167" fontId="18" fillId="15" borderId="6" xfId="0" applyNumberFormat="1" applyFont="1" applyFill="1" applyBorder="1"/>
    <xf numFmtId="0" fontId="18" fillId="3" borderId="7" xfId="0" applyFont="1" applyFill="1" applyBorder="1"/>
    <xf numFmtId="9" fontId="18" fillId="3" borderId="8" xfId="0" applyNumberFormat="1" applyFont="1" applyFill="1" applyBorder="1"/>
    <xf numFmtId="167" fontId="18" fillId="3" borderId="8" xfId="0" applyNumberFormat="1" applyFont="1" applyFill="1" applyBorder="1"/>
    <xf numFmtId="1" fontId="18" fillId="3" borderId="8" xfId="0" applyNumberFormat="1" applyFont="1" applyFill="1" applyBorder="1"/>
    <xf numFmtId="167" fontId="18" fillId="3" borderId="9" xfId="0" applyNumberFormat="1" applyFont="1" applyFill="1" applyBorder="1"/>
    <xf numFmtId="0" fontId="16" fillId="6" borderId="30" xfId="0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 wrapText="1"/>
    </xf>
    <xf numFmtId="0" fontId="0" fillId="3" borderId="30" xfId="0" applyFill="1" applyBorder="1"/>
    <xf numFmtId="167" fontId="0" fillId="3" borderId="5" xfId="0" applyNumberFormat="1" applyFill="1" applyBorder="1"/>
    <xf numFmtId="167" fontId="0" fillId="8" borderId="5" xfId="0" applyNumberFormat="1" applyFill="1" applyBorder="1"/>
    <xf numFmtId="167" fontId="0" fillId="3" borderId="31" xfId="0" applyNumberFormat="1" applyFill="1" applyBorder="1"/>
    <xf numFmtId="0" fontId="0" fillId="15" borderId="30" xfId="0" applyFill="1" applyBorder="1"/>
    <xf numFmtId="167" fontId="0" fillId="15" borderId="5" xfId="0" applyNumberFormat="1" applyFill="1" applyBorder="1"/>
    <xf numFmtId="167" fontId="0" fillId="15" borderId="31" xfId="0" applyNumberFormat="1" applyFill="1" applyBorder="1"/>
    <xf numFmtId="0" fontId="5" fillId="8" borderId="32" xfId="0" applyFont="1" applyFill="1" applyBorder="1"/>
    <xf numFmtId="0" fontId="5" fillId="8" borderId="33" xfId="0" applyFont="1" applyFill="1" applyBorder="1"/>
    <xf numFmtId="167" fontId="5" fillId="8" borderId="33" xfId="0" applyNumberFormat="1" applyFont="1" applyFill="1" applyBorder="1"/>
    <xf numFmtId="167" fontId="5" fillId="8" borderId="34" xfId="0" applyNumberFormat="1" applyFont="1" applyFill="1" applyBorder="1"/>
    <xf numFmtId="164" fontId="0" fillId="0" borderId="5" xfId="0" applyNumberFormat="1" applyBorder="1"/>
    <xf numFmtId="0" fontId="6" fillId="6" borderId="6" xfId="0" applyFont="1" applyFill="1" applyBorder="1" applyAlignment="1">
      <alignment horizontal="center"/>
    </xf>
    <xf numFmtId="164" fontId="0" fillId="0" borderId="4" xfId="0" applyNumberFormat="1" applyBorder="1"/>
    <xf numFmtId="10" fontId="0" fillId="0" borderId="5" xfId="0" applyNumberFormat="1" applyBorder="1"/>
    <xf numFmtId="164" fontId="0" fillId="0" borderId="6" xfId="0" applyNumberFormat="1" applyBorder="1"/>
    <xf numFmtId="165" fontId="0" fillId="0" borderId="5" xfId="0" applyNumberFormat="1" applyBorder="1"/>
    <xf numFmtId="164" fontId="0" fillId="3" borderId="4" xfId="0" applyNumberFormat="1" applyFill="1" applyBorder="1"/>
    <xf numFmtId="10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10" fontId="0" fillId="3" borderId="8" xfId="0" applyNumberFormat="1" applyFill="1" applyBorder="1"/>
    <xf numFmtId="164" fontId="0" fillId="3" borderId="9" xfId="0" applyNumberFormat="1" applyFill="1" applyBorder="1"/>
    <xf numFmtId="168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0" fontId="0" fillId="0" borderId="8" xfId="0" applyNumberFormat="1" applyBorder="1"/>
    <xf numFmtId="164" fontId="0" fillId="0" borderId="9" xfId="0" applyNumberFormat="1" applyBorder="1"/>
    <xf numFmtId="166" fontId="0" fillId="0" borderId="5" xfId="0" applyNumberFormat="1" applyBorder="1"/>
    <xf numFmtId="0" fontId="4" fillId="3" borderId="4" xfId="0" applyFont="1" applyFill="1" applyBorder="1"/>
    <xf numFmtId="0" fontId="7" fillId="3" borderId="5" xfId="0" applyFont="1" applyFill="1" applyBorder="1" applyAlignment="1">
      <alignment wrapText="1"/>
    </xf>
    <xf numFmtId="0" fontId="4" fillId="3" borderId="7" xfId="0" applyFont="1" applyFill="1" applyBorder="1"/>
    <xf numFmtId="0" fontId="7" fillId="3" borderId="8" xfId="0" applyFont="1" applyFill="1" applyBorder="1" applyAlignment="1">
      <alignment wrapText="1"/>
    </xf>
    <xf numFmtId="1" fontId="0" fillId="15" borderId="5" xfId="0" applyNumberFormat="1" applyFill="1" applyBorder="1"/>
    <xf numFmtId="169" fontId="10" fillId="5" borderId="6" xfId="0" applyNumberFormat="1" applyFont="1" applyFill="1" applyBorder="1"/>
    <xf numFmtId="1" fontId="0" fillId="10" borderId="8" xfId="0" applyNumberFormat="1" applyFill="1" applyBorder="1"/>
    <xf numFmtId="165" fontId="0" fillId="10" borderId="8" xfId="0" applyNumberFormat="1" applyFill="1" applyBorder="1"/>
    <xf numFmtId="170" fontId="22" fillId="5" borderId="5" xfId="0" applyNumberFormat="1" applyFont="1" applyFill="1" applyBorder="1" applyAlignment="1">
      <alignment horizontal="right" vertical="center"/>
    </xf>
    <xf numFmtId="170" fontId="10" fillId="5" borderId="5" xfId="0" applyNumberFormat="1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164" fontId="23" fillId="5" borderId="5" xfId="0" applyNumberFormat="1" applyFont="1" applyFill="1" applyBorder="1"/>
    <xf numFmtId="0" fontId="25" fillId="0" borderId="72" xfId="0" applyFont="1" applyBorder="1" applyAlignment="1">
      <alignment vertical="top"/>
    </xf>
    <xf numFmtId="0" fontId="27" fillId="0" borderId="72" xfId="0" applyFont="1" applyBorder="1" applyAlignment="1">
      <alignment vertical="top"/>
    </xf>
    <xf numFmtId="0" fontId="0" fillId="0" borderId="72" xfId="0" applyBorder="1" applyAlignment="1">
      <alignment vertical="top"/>
    </xf>
    <xf numFmtId="0" fontId="27" fillId="19" borderId="72" xfId="0" applyFont="1" applyFill="1" applyBorder="1" applyAlignment="1">
      <alignment vertical="top"/>
    </xf>
    <xf numFmtId="171" fontId="0" fillId="20" borderId="72" xfId="0" applyNumberFormat="1" applyFill="1" applyBorder="1" applyAlignment="1">
      <alignment vertical="top"/>
    </xf>
    <xf numFmtId="165" fontId="0" fillId="20" borderId="72" xfId="0" applyNumberFormat="1" applyFill="1" applyBorder="1" applyAlignment="1">
      <alignment vertical="top"/>
    </xf>
    <xf numFmtId="171" fontId="0" fillId="0" borderId="72" xfId="0" applyNumberFormat="1" applyBorder="1" applyAlignment="1">
      <alignment vertical="top"/>
    </xf>
    <xf numFmtId="0" fontId="0" fillId="20" borderId="72" xfId="0" applyFill="1" applyBorder="1" applyAlignment="1">
      <alignment vertical="top"/>
    </xf>
    <xf numFmtId="172" fontId="0" fillId="20" borderId="72" xfId="0" applyNumberFormat="1" applyFill="1" applyBorder="1" applyAlignment="1">
      <alignment vertical="top"/>
    </xf>
    <xf numFmtId="171" fontId="0" fillId="21" borderId="72" xfId="0" applyNumberFormat="1" applyFill="1" applyBorder="1" applyAlignment="1">
      <alignment vertical="top"/>
    </xf>
    <xf numFmtId="0" fontId="0" fillId="22" borderId="72" xfId="0" applyFill="1" applyBorder="1" applyAlignment="1">
      <alignment vertical="top"/>
    </xf>
    <xf numFmtId="172" fontId="0" fillId="0" borderId="72" xfId="0" applyNumberFormat="1" applyBorder="1" applyAlignment="1">
      <alignment vertical="top"/>
    </xf>
    <xf numFmtId="165" fontId="0" fillId="0" borderId="72" xfId="0" applyNumberFormat="1" applyBorder="1" applyAlignment="1">
      <alignment vertical="top"/>
    </xf>
    <xf numFmtId="0" fontId="28" fillId="23" borderId="73" xfId="0" applyFont="1" applyFill="1" applyBorder="1" applyAlignment="1">
      <alignment horizontal="center" wrapText="1"/>
    </xf>
    <xf numFmtId="0" fontId="0" fillId="0" borderId="74" xfId="0" applyBorder="1" applyAlignment="1">
      <alignment vertical="top"/>
    </xf>
    <xf numFmtId="0" fontId="25" fillId="0" borderId="74" xfId="0" applyFont="1" applyBorder="1" applyAlignment="1">
      <alignment vertical="top"/>
    </xf>
    <xf numFmtId="0" fontId="28" fillId="0" borderId="74" xfId="0" applyFont="1" applyBorder="1" applyAlignment="1">
      <alignment vertical="top"/>
    </xf>
    <xf numFmtId="0" fontId="28" fillId="23" borderId="74" xfId="0" applyFont="1" applyFill="1" applyBorder="1" applyAlignment="1">
      <alignment vertical="top"/>
    </xf>
    <xf numFmtId="164" fontId="0" fillId="0" borderId="74" xfId="0" applyNumberFormat="1" applyBorder="1" applyAlignment="1">
      <alignment vertical="top"/>
    </xf>
    <xf numFmtId="9" fontId="0" fillId="21" borderId="74" xfId="0" applyNumberFormat="1" applyFill="1" applyBorder="1" applyAlignment="1">
      <alignment vertical="top"/>
    </xf>
    <xf numFmtId="0" fontId="0" fillId="22" borderId="74" xfId="0" applyFill="1" applyBorder="1" applyAlignment="1">
      <alignment vertical="top"/>
    </xf>
    <xf numFmtId="165" fontId="0" fillId="21" borderId="74" xfId="0" applyNumberFormat="1" applyFill="1" applyBorder="1" applyAlignment="1">
      <alignment vertical="top"/>
    </xf>
    <xf numFmtId="171" fontId="0" fillId="0" borderId="74" xfId="0" applyNumberFormat="1" applyBorder="1" applyAlignment="1">
      <alignment vertical="top"/>
    </xf>
    <xf numFmtId="172" fontId="0" fillId="0" borderId="74" xfId="0" applyNumberFormat="1" applyBorder="1" applyAlignment="1">
      <alignment vertical="top"/>
    </xf>
    <xf numFmtId="165" fontId="0" fillId="0" borderId="74" xfId="0" applyNumberFormat="1" applyBorder="1" applyAlignment="1">
      <alignment vertical="top"/>
    </xf>
    <xf numFmtId="172" fontId="0" fillId="20" borderId="74" xfId="0" applyNumberFormat="1" applyFill="1" applyBorder="1" applyAlignment="1">
      <alignment vertical="top"/>
    </xf>
    <xf numFmtId="0" fontId="0" fillId="0" borderId="74" xfId="0" applyBorder="1" applyAlignment="1">
      <alignment vertical="top"/>
    </xf>
    <xf numFmtId="0" fontId="0" fillId="0" borderId="74" xfId="0" applyBorder="1"/>
    <xf numFmtId="0" fontId="26" fillId="18" borderId="74" xfId="0" applyFont="1" applyFill="1" applyBorder="1" applyAlignment="1">
      <alignment vertical="top"/>
    </xf>
    <xf numFmtId="0" fontId="25" fillId="0" borderId="74" xfId="0" applyFont="1" applyBorder="1" applyAlignment="1">
      <alignment vertical="top"/>
    </xf>
    <xf numFmtId="0" fontId="24" fillId="0" borderId="74" xfId="0" applyFont="1" applyBorder="1" applyAlignment="1">
      <alignment vertical="top"/>
    </xf>
    <xf numFmtId="164" fontId="5" fillId="10" borderId="5" xfId="0" applyNumberFormat="1" applyFont="1" applyFill="1" applyBorder="1" applyAlignment="1">
      <alignment horizontal="right" vertical="center"/>
    </xf>
    <xf numFmtId="0" fontId="0" fillId="0" borderId="45" xfId="0" applyBorder="1"/>
    <xf numFmtId="0" fontId="0" fillId="0" borderId="46" xfId="0" applyBorder="1"/>
    <xf numFmtId="0" fontId="16" fillId="4" borderId="37" xfId="0" applyFont="1" applyFill="1" applyBorder="1" applyAlignment="1">
      <alignment horizontal="left" vertical="center" indent="1"/>
    </xf>
    <xf numFmtId="0" fontId="0" fillId="0" borderId="47" xfId="0" applyBorder="1"/>
    <xf numFmtId="0" fontId="0" fillId="0" borderId="48" xfId="0" applyBorder="1"/>
    <xf numFmtId="0" fontId="3" fillId="11" borderId="1" xfId="0" applyFont="1" applyFill="1" applyBorder="1" applyAlignment="1">
      <alignment horizontal="left" vertical="center"/>
    </xf>
    <xf numFmtId="0" fontId="0" fillId="0" borderId="56" xfId="0" applyBorder="1"/>
    <xf numFmtId="0" fontId="0" fillId="0" borderId="57" xfId="0" applyBorder="1"/>
    <xf numFmtId="0" fontId="4" fillId="10" borderId="4" xfId="0" applyFont="1" applyFill="1" applyBorder="1" applyAlignment="1">
      <alignment horizontal="left" vertical="center"/>
    </xf>
    <xf numFmtId="0" fontId="16" fillId="9" borderId="11" xfId="0" applyFont="1" applyFill="1" applyBorder="1" applyAlignment="1">
      <alignment horizontal="left" vertical="center" indent="1"/>
    </xf>
    <xf numFmtId="0" fontId="0" fillId="0" borderId="67" xfId="0" applyBorder="1"/>
    <xf numFmtId="0" fontId="0" fillId="0" borderId="68" xfId="0" applyBorder="1"/>
    <xf numFmtId="0" fontId="4" fillId="10" borderId="4" xfId="0" applyFont="1" applyFill="1" applyBorder="1"/>
    <xf numFmtId="0" fontId="4" fillId="10" borderId="8" xfId="0" applyFont="1" applyFill="1" applyBorder="1"/>
    <xf numFmtId="0" fontId="0" fillId="0" borderId="41" xfId="0" applyBorder="1"/>
    <xf numFmtId="0" fontId="0" fillId="0" borderId="42" xfId="0" applyBorder="1"/>
    <xf numFmtId="164" fontId="21" fillId="3" borderId="30" xfId="0" applyNumberFormat="1" applyFont="1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66" xfId="0" applyBorder="1"/>
    <xf numFmtId="0" fontId="0" fillId="0" borderId="51" xfId="0" applyBorder="1"/>
    <xf numFmtId="0" fontId="0" fillId="0" borderId="52" xfId="0" applyBorder="1"/>
    <xf numFmtId="0" fontId="13" fillId="3" borderId="1" xfId="0" applyFont="1" applyFill="1" applyBorder="1" applyAlignment="1">
      <alignment horizontal="left" vertical="center" wrapText="1"/>
    </xf>
    <xf numFmtId="0" fontId="0" fillId="0" borderId="54" xfId="0" applyBorder="1"/>
    <xf numFmtId="0" fontId="0" fillId="0" borderId="55" xfId="0" applyBorder="1"/>
    <xf numFmtId="0" fontId="0" fillId="0" borderId="60" xfId="0" applyBorder="1"/>
    <xf numFmtId="0" fontId="0" fillId="0" borderId="0" xfId="0"/>
    <xf numFmtId="0" fontId="0" fillId="0" borderId="49" xfId="0" applyBorder="1"/>
    <xf numFmtId="0" fontId="0" fillId="0" borderId="61" xfId="0" applyBorder="1"/>
    <xf numFmtId="0" fontId="3" fillId="14" borderId="1" xfId="0" applyFont="1" applyFill="1" applyBorder="1" applyAlignment="1">
      <alignment horizontal="left" vertical="center"/>
    </xf>
    <xf numFmtId="167" fontId="5" fillId="10" borderId="5" xfId="0" applyNumberFormat="1" applyFont="1" applyFill="1" applyBorder="1" applyAlignment="1">
      <alignment horizontal="right" vertical="center"/>
    </xf>
    <xf numFmtId="0" fontId="3" fillId="16" borderId="0" xfId="0" applyFont="1" applyFill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165" fontId="21" fillId="3" borderId="12" xfId="0" applyNumberFormat="1" applyFont="1" applyFill="1" applyBorder="1" applyAlignment="1">
      <alignment horizontal="center" vertical="center"/>
    </xf>
    <xf numFmtId="0" fontId="0" fillId="0" borderId="69" xfId="0" applyBorder="1"/>
    <xf numFmtId="0" fontId="16" fillId="6" borderId="17" xfId="0" applyFont="1" applyFill="1" applyBorder="1" applyAlignment="1">
      <alignment horizontal="left" vertical="center" indent="1"/>
    </xf>
    <xf numFmtId="0" fontId="0" fillId="0" borderId="70" xfId="0" applyBorder="1"/>
    <xf numFmtId="0" fontId="0" fillId="0" borderId="71" xfId="0" applyBorder="1"/>
    <xf numFmtId="0" fontId="3" fillId="17" borderId="1" xfId="0" applyFont="1" applyFill="1" applyBorder="1" applyAlignment="1">
      <alignment horizontal="left" vertical="center"/>
    </xf>
    <xf numFmtId="0" fontId="4" fillId="10" borderId="7" xfId="0" applyFont="1" applyFill="1" applyBorder="1"/>
    <xf numFmtId="164" fontId="5" fillId="10" borderId="8" xfId="0" applyNumberFormat="1" applyFont="1" applyFill="1" applyBorder="1" applyAlignment="1">
      <alignment horizontal="right" vertical="center"/>
    </xf>
    <xf numFmtId="49" fontId="5" fillId="10" borderId="5" xfId="0" applyNumberFormat="1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left" vertical="center" indent="1"/>
    </xf>
    <xf numFmtId="0" fontId="16" fillId="14" borderId="29" xfId="0" applyFont="1" applyFill="1" applyBorder="1" applyAlignment="1">
      <alignment horizontal="left" vertical="center" indent="1"/>
    </xf>
    <xf numFmtId="0" fontId="0" fillId="0" borderId="58" xfId="0" applyBorder="1"/>
    <xf numFmtId="0" fontId="0" fillId="0" borderId="59" xfId="0" applyBorder="1"/>
    <xf numFmtId="165" fontId="5" fillId="10" borderId="5" xfId="0" applyNumberFormat="1" applyFont="1" applyFill="1" applyBorder="1" applyAlignment="1">
      <alignment horizontal="right" vertical="center"/>
    </xf>
    <xf numFmtId="0" fontId="4" fillId="10" borderId="5" xfId="0" applyFont="1" applyFill="1" applyBorder="1"/>
    <xf numFmtId="0" fontId="13" fillId="3" borderId="4" xfId="0" applyFont="1" applyFill="1" applyBorder="1" applyAlignment="1">
      <alignment horizontal="left" vertical="center" wrapText="1"/>
    </xf>
    <xf numFmtId="0" fontId="16" fillId="16" borderId="23" xfId="0" applyFont="1" applyFill="1" applyBorder="1" applyAlignment="1">
      <alignment horizontal="left" vertical="center" indent="1"/>
    </xf>
    <xf numFmtId="0" fontId="0" fillId="0" borderId="62" xfId="0" applyBorder="1"/>
    <xf numFmtId="0" fontId="0" fillId="0" borderId="63" xfId="0" applyBorder="1"/>
    <xf numFmtId="164" fontId="21" fillId="3" borderId="24" xfId="0" applyNumberFormat="1" applyFont="1" applyFill="1" applyBorder="1" applyAlignment="1">
      <alignment horizontal="center" vertical="center"/>
    </xf>
    <xf numFmtId="0" fontId="0" fillId="0" borderId="64" xfId="0" applyBorder="1"/>
    <xf numFmtId="164" fontId="21" fillId="3" borderId="38" xfId="0" applyNumberFormat="1" applyFont="1" applyFill="1" applyBorder="1" applyAlignment="1">
      <alignment horizontal="center" vertical="center"/>
    </xf>
    <xf numFmtId="0" fontId="0" fillId="0" borderId="65" xfId="0" applyBorder="1"/>
    <xf numFmtId="1" fontId="5" fillId="10" borderId="5" xfId="0" applyNumberFormat="1" applyFont="1" applyFill="1" applyBorder="1" applyAlignment="1">
      <alignment horizontal="right" vertical="center"/>
    </xf>
    <xf numFmtId="0" fontId="16" fillId="11" borderId="35" xfId="0" applyFont="1" applyFill="1" applyBorder="1" applyAlignment="1">
      <alignment horizontal="left" vertical="center" indent="1"/>
    </xf>
    <xf numFmtId="0" fontId="0" fillId="0" borderId="43" xfId="0" applyBorder="1"/>
    <xf numFmtId="0" fontId="0" fillId="0" borderId="44" xfId="0" applyBorder="1"/>
    <xf numFmtId="1" fontId="21" fillId="3" borderId="36" xfId="0" applyNumberFormat="1" applyFont="1" applyFill="1" applyBorder="1" applyAlignment="1">
      <alignment horizontal="center" vertical="center"/>
    </xf>
    <xf numFmtId="0" fontId="0" fillId="0" borderId="53" xfId="0" applyBorder="1"/>
    <xf numFmtId="0" fontId="3" fillId="4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164" fontId="21" fillId="3" borderId="36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/>
    </xf>
    <xf numFmtId="164" fontId="21" fillId="3" borderId="18" xfId="0" applyNumberFormat="1" applyFont="1" applyFill="1" applyBorder="1" applyAlignment="1">
      <alignment horizontal="center" vertical="center"/>
    </xf>
    <xf numFmtId="0" fontId="0" fillId="0" borderId="50" xfId="0" applyBorder="1"/>
    <xf numFmtId="0" fontId="9" fillId="3" borderId="7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/>
    </xf>
    <xf numFmtId="0" fontId="19" fillId="14" borderId="29" xfId="0" applyFont="1" applyFill="1" applyBorder="1" applyAlignment="1">
      <alignment horizontal="left" indent="1"/>
    </xf>
    <xf numFmtId="167" fontId="5" fillId="3" borderId="5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5" fillId="6" borderId="17" xfId="0" applyFont="1" applyFill="1" applyBorder="1" applyAlignment="1">
      <alignment horizontal="left" indent="1"/>
    </xf>
    <xf numFmtId="0" fontId="3" fillId="17" borderId="4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5" fillId="16" borderId="23" xfId="0" applyFont="1" applyFill="1" applyBorder="1" applyAlignment="1">
      <alignment horizontal="left" indent="1"/>
    </xf>
    <xf numFmtId="0" fontId="17" fillId="14" borderId="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left" indent="1"/>
    </xf>
    <xf numFmtId="0" fontId="3" fillId="17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5" fillId="5" borderId="1" xfId="0" applyFont="1" applyFill="1" applyBorder="1"/>
    <xf numFmtId="0" fontId="1" fillId="2" borderId="0" xfId="0" applyFont="1" applyFill="1" applyAlignment="1">
      <alignment horizontal="left" vertical="center" indent="1"/>
    </xf>
    <xf numFmtId="0" fontId="5" fillId="8" borderId="1" xfId="0" applyFont="1" applyFill="1" applyBorder="1"/>
    <xf numFmtId="0" fontId="5" fillId="7" borderId="1" xfId="0" applyFont="1" applyFill="1" applyBorder="1"/>
  </cellXfs>
  <cellStyles count="1">
    <cellStyle name="Normal" xfId="0" builtinId="0"/>
  </cellStyles>
  <dxfs count="3">
    <dxf>
      <fill>
        <patternFill patternType="solid">
          <fgColor rgb="FFF4E5E0"/>
        </patternFill>
      </fill>
    </dxf>
    <dxf>
      <fill>
        <patternFill patternType="solid">
          <fgColor rgb="FFF3EBDD"/>
        </patternFill>
      </fill>
    </dxf>
    <dxf>
      <fill>
        <patternFill patternType="solid">
          <fgColor rgb="FFE7EE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'Savings Projection'!$AI$18</c:f>
              <c:strCache>
                <c:ptCount val="1"/>
                <c:pt idx="0">
                  <c:v>Total Wealth @ Base</c:v>
                </c:pt>
              </c:strCache>
            </c:strRef>
          </c:tx>
          <c:spPr>
            <a:ln w="24000">
              <a:solidFill>
                <a:srgbClr val="1C2B3C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Projection'!$AI$19:$AI$58</c:f>
              <c:numCache>
                <c:formatCode>\$#,##0</c:formatCode>
                <c:ptCount val="40"/>
                <c:pt idx="0">
                  <c:v>368165.47</c:v>
                </c:pt>
                <c:pt idx="1">
                  <c:v>524485.36820000003</c:v>
                </c:pt>
                <c:pt idx="2">
                  <c:v>812229.7602919999</c:v>
                </c:pt>
                <c:pt idx="3">
                  <c:v>1150731.9599095201</c:v>
                </c:pt>
                <c:pt idx="4">
                  <c:v>1607112.0601069673</c:v>
                </c:pt>
                <c:pt idx="5">
                  <c:v>2166393.2688241508</c:v>
                </c:pt>
                <c:pt idx="6">
                  <c:v>2895807.8170600096</c:v>
                </c:pt>
                <c:pt idx="7">
                  <c:v>3878220.2465237915</c:v>
                </c:pt>
                <c:pt idx="8">
                  <c:v>4991010.7228063662</c:v>
                </c:pt>
                <c:pt idx="9">
                  <c:v>6430241.6404638942</c:v>
                </c:pt>
                <c:pt idx="10">
                  <c:v>6616056.1388917286</c:v>
                </c:pt>
                <c:pt idx="11">
                  <c:v>6813019.5072252331</c:v>
                </c:pt>
                <c:pt idx="12">
                  <c:v>7021800.6776587479</c:v>
                </c:pt>
                <c:pt idx="13">
                  <c:v>7243108.7183182724</c:v>
                </c:pt>
                <c:pt idx="14">
                  <c:v>7477695.2414173689</c:v>
                </c:pt>
                <c:pt idx="15">
                  <c:v>7726356.9559024116</c:v>
                </c:pt>
                <c:pt idx="16">
                  <c:v>7989938.3732565558</c:v>
                </c:pt>
                <c:pt idx="17">
                  <c:v>8269334.6756519498</c:v>
                </c:pt>
                <c:pt idx="18">
                  <c:v>8565494.7561910693</c:v>
                </c:pt>
                <c:pt idx="19">
                  <c:v>8879424.4415625315</c:v>
                </c:pt>
                <c:pt idx="20">
                  <c:v>9212189.9080562834</c:v>
                </c:pt>
                <c:pt idx="21">
                  <c:v>9564921.3025396597</c:v>
                </c:pt>
                <c:pt idx="22">
                  <c:v>9938816.5806920417</c:v>
                </c:pt>
                <c:pt idx="23">
                  <c:v>10335145.575533565</c:v>
                </c:pt>
                <c:pt idx="24">
                  <c:v>10755254.310065579</c:v>
                </c:pt>
                <c:pt idx="25">
                  <c:v>11200569.568669515</c:v>
                </c:pt>
                <c:pt idx="26">
                  <c:v>11672603.742789686</c:v>
                </c:pt>
                <c:pt idx="27">
                  <c:v>12172959.967357069</c:v>
                </c:pt>
                <c:pt idx="28">
                  <c:v>12703337.565398494</c:v>
                </c:pt>
                <c:pt idx="29">
                  <c:v>13265537.819322402</c:v>
                </c:pt>
                <c:pt idx="30">
                  <c:v>13861470.088481747</c:v>
                </c:pt>
                <c:pt idx="31">
                  <c:v>14493158.293790651</c:v>
                </c:pt>
                <c:pt idx="32">
                  <c:v>15162747.791418092</c:v>
                </c:pt>
                <c:pt idx="33">
                  <c:v>15872512.658903178</c:v>
                </c:pt>
                <c:pt idx="34">
                  <c:v>16624863.418437369</c:v>
                </c:pt>
                <c:pt idx="35">
                  <c:v>17422355.223543614</c:v>
                </c:pt>
                <c:pt idx="36">
                  <c:v>18267696.536956228</c:v>
                </c:pt>
                <c:pt idx="37">
                  <c:v>19163758.329173602</c:v>
                </c:pt>
                <c:pt idx="38">
                  <c:v>20113583.828924023</c:v>
                </c:pt>
                <c:pt idx="39">
                  <c:v>21120398.858659465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8A-CE4F-A11F-23D995F2414B}"/>
            </c:ext>
          </c:extLst>
        </c:ser>
        <c:ser>
          <c:idx val="1"/>
          <c:order val="1"/>
          <c:tx>
            <c:strRef>
              <c:f>'Savings Projection'!$AJ$18</c:f>
              <c:strCache>
                <c:ptCount val="1"/>
                <c:pt idx="0">
                  <c:v>Total Wealth @ 0%</c:v>
                </c:pt>
              </c:strCache>
            </c:strRef>
          </c:tx>
          <c:spPr>
            <a:ln w="24000">
              <a:solidFill>
                <a:srgbClr val="A7834A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Projection'!$AJ$19:$AJ$58</c:f>
              <c:numCache>
                <c:formatCode>\$#,##0</c:formatCode>
                <c:ptCount val="40"/>
                <c:pt idx="0">
                  <c:v>359165.47</c:v>
                </c:pt>
                <c:pt idx="1">
                  <c:v>493395.43999999994</c:v>
                </c:pt>
                <c:pt idx="2">
                  <c:v>749670.71</c:v>
                </c:pt>
                <c:pt idx="3">
                  <c:v>1039439.124</c:v>
                </c:pt>
                <c:pt idx="4">
                  <c:v>1426775.3066028759</c:v>
                </c:pt>
                <c:pt idx="5">
                  <c:v>1889629.7917136413</c:v>
                </c:pt>
                <c:pt idx="6">
                  <c:v>2489060.7438200507</c:v>
                </c:pt>
                <c:pt idx="7">
                  <c:v>3297724.7042602324</c:v>
                </c:pt>
                <c:pt idx="8">
                  <c:v>4177821.9657513783</c:v>
                </c:pt>
                <c:pt idx="9">
                  <c:v>5317592.2400405239</c:v>
                </c:pt>
                <c:pt idx="10">
                  <c:v>5117592.2400405239</c:v>
                </c:pt>
                <c:pt idx="11">
                  <c:v>4917592.2400405239</c:v>
                </c:pt>
                <c:pt idx="12">
                  <c:v>4717592.2400405239</c:v>
                </c:pt>
                <c:pt idx="13">
                  <c:v>4517592.2400405239</c:v>
                </c:pt>
                <c:pt idx="14">
                  <c:v>4317592.2400405239</c:v>
                </c:pt>
                <c:pt idx="15">
                  <c:v>4117592.2400405239</c:v>
                </c:pt>
                <c:pt idx="16">
                  <c:v>3917592.2400405239</c:v>
                </c:pt>
                <c:pt idx="17">
                  <c:v>3717592.2400405239</c:v>
                </c:pt>
                <c:pt idx="18">
                  <c:v>3517592.2400405239</c:v>
                </c:pt>
                <c:pt idx="19">
                  <c:v>3317592.2400405239</c:v>
                </c:pt>
                <c:pt idx="20">
                  <c:v>3117592.2400405239</c:v>
                </c:pt>
                <c:pt idx="21">
                  <c:v>2917592.2400405239</c:v>
                </c:pt>
                <c:pt idx="22">
                  <c:v>2717592.2400405239</c:v>
                </c:pt>
                <c:pt idx="23">
                  <c:v>2517592.2400405239</c:v>
                </c:pt>
                <c:pt idx="24">
                  <c:v>2317592.2400405239</c:v>
                </c:pt>
                <c:pt idx="25">
                  <c:v>2117592.2400405239</c:v>
                </c:pt>
                <c:pt idx="26">
                  <c:v>1917592.2400405239</c:v>
                </c:pt>
                <c:pt idx="27">
                  <c:v>1717592.2400405239</c:v>
                </c:pt>
                <c:pt idx="28">
                  <c:v>1517592.2400405239</c:v>
                </c:pt>
                <c:pt idx="29">
                  <c:v>1317592.2400405239</c:v>
                </c:pt>
                <c:pt idx="30">
                  <c:v>1117592.2400405239</c:v>
                </c:pt>
                <c:pt idx="31">
                  <c:v>917592.24004052393</c:v>
                </c:pt>
                <c:pt idx="32">
                  <c:v>717592.24004052393</c:v>
                </c:pt>
                <c:pt idx="33">
                  <c:v>517592.24004052393</c:v>
                </c:pt>
                <c:pt idx="34">
                  <c:v>317592.24004052393</c:v>
                </c:pt>
                <c:pt idx="35">
                  <c:v>117592.24004052393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8A-CE4F-A11F-23D995F2414B}"/>
            </c:ext>
          </c:extLst>
        </c:ser>
        <c:ser>
          <c:idx val="2"/>
          <c:order val="2"/>
          <c:tx>
            <c:strRef>
              <c:f>'Savings Projection'!$AK$18</c:f>
              <c:strCache>
                <c:ptCount val="1"/>
                <c:pt idx="0">
                  <c:v>Total Wealth @ 8%</c:v>
                </c:pt>
              </c:strCache>
            </c:strRef>
          </c:tx>
          <c:spPr>
            <a:ln w="24000">
              <a:solidFill>
                <a:srgbClr val="617B63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Projection'!$AK$19:$AK$58</c:f>
              <c:numCache>
                <c:formatCode>\$#,##0</c:formatCode>
                <c:ptCount val="40"/>
                <c:pt idx="0">
                  <c:v>371165.47</c:v>
                </c:pt>
                <c:pt idx="1">
                  <c:v>535088.67760000005</c:v>
                </c:pt>
                <c:pt idx="2">
                  <c:v>834171.04180800007</c:v>
                </c:pt>
                <c:pt idx="3">
                  <c:v>1190673.13915264</c:v>
                </c:pt>
                <c:pt idx="4">
                  <c:v>1673263.1728877272</c:v>
                </c:pt>
                <c:pt idx="5">
                  <c:v>2269978.711829511</c:v>
                </c:pt>
                <c:pt idx="6">
                  <c:v>3051007.9608822819</c:v>
                </c:pt>
                <c:pt idx="7">
                  <c:v>4103752.5581930461</c:v>
                </c:pt>
                <c:pt idx="8">
                  <c:v>5312150.0243396359</c:v>
                </c:pt>
                <c:pt idx="9">
                  <c:v>6876892.300575953</c:v>
                </c:pt>
                <c:pt idx="10">
                  <c:v>7227043.6846220298</c:v>
                </c:pt>
                <c:pt idx="11">
                  <c:v>7605207.179391793</c:v>
                </c:pt>
                <c:pt idx="12">
                  <c:v>8013623.7537431372</c:v>
                </c:pt>
                <c:pt idx="13">
                  <c:v>8454713.6540425885</c:v>
                </c:pt>
                <c:pt idx="14">
                  <c:v>8931090.7463659961</c:v>
                </c:pt>
                <c:pt idx="15">
                  <c:v>9445578.0060752761</c:v>
                </c:pt>
                <c:pt idx="16">
                  <c:v>10001224.246561298</c:v>
                </c:pt>
                <c:pt idx="17">
                  <c:v>10601322.186286204</c:v>
                </c:pt>
                <c:pt idx="18">
                  <c:v>11249427.961189101</c:v>
                </c:pt>
                <c:pt idx="19">
                  <c:v>11949382.19808423</c:v>
                </c:pt>
                <c:pt idx="20">
                  <c:v>12705332.773930969</c:v>
                </c:pt>
                <c:pt idx="21">
                  <c:v>13521759.395845447</c:v>
                </c:pt>
                <c:pt idx="22">
                  <c:v>14403500.147513084</c:v>
                </c:pt>
                <c:pt idx="23">
                  <c:v>15355780.159314131</c:v>
                </c:pt>
                <c:pt idx="24">
                  <c:v>16384242.572059263</c:v>
                </c:pt>
                <c:pt idx="25">
                  <c:v>17494981.977824006</c:v>
                </c:pt>
                <c:pt idx="26">
                  <c:v>18694580.536049929</c:v>
                </c:pt>
                <c:pt idx="27">
                  <c:v>19990146.978933923</c:v>
                </c:pt>
                <c:pt idx="28">
                  <c:v>21389358.737248637</c:v>
                </c:pt>
                <c:pt idx="29">
                  <c:v>22900507.436228529</c:v>
                </c:pt>
                <c:pt idx="30">
                  <c:v>24532548.031126812</c:v>
                </c:pt>
                <c:pt idx="31">
                  <c:v>26295151.87361696</c:v>
                </c:pt>
                <c:pt idx="32">
                  <c:v>28198764.023506317</c:v>
                </c:pt>
                <c:pt idx="33">
                  <c:v>30254665.145386826</c:v>
                </c:pt>
                <c:pt idx="34">
                  <c:v>32475038.357017774</c:v>
                </c:pt>
                <c:pt idx="35">
                  <c:v>34873041.425579198</c:v>
                </c:pt>
                <c:pt idx="36">
                  <c:v>37462884.739625536</c:v>
                </c:pt>
                <c:pt idx="37">
                  <c:v>40259915.51879558</c:v>
                </c:pt>
                <c:pt idx="38">
                  <c:v>43280708.760299228</c:v>
                </c:pt>
                <c:pt idx="39">
                  <c:v>46543165.461123168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8A-CE4F-A11F-23D995F24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tickLblSkip val="8"/>
        <c:tickMarkSkip val="8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,&quot;M&quot;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BF8F3"/>
    </a:solidFill>
    <a:ln>
      <a:solidFill>
        <a:srgbClr val="DDD5CA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'Savings Projection'!$AE$18</c:f>
              <c:strCache>
                <c:ptCount val="1"/>
                <c:pt idx="0">
                  <c:v>Taxable Balance</c:v>
                </c:pt>
              </c:strCache>
            </c:strRef>
          </c:tx>
          <c:spPr>
            <a:ln w="24000">
              <a:solidFill>
                <a:srgbClr val="496A8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Projection'!$AE$19:$AE$58</c:f>
              <c:numCache>
                <c:formatCode>\$#,##0</c:formatCode>
                <c:ptCount val="40"/>
                <c:pt idx="0">
                  <c:v>336165.47</c:v>
                </c:pt>
                <c:pt idx="1">
                  <c:v>458565.36820000003</c:v>
                </c:pt>
                <c:pt idx="2">
                  <c:v>710354.56029199995</c:v>
                </c:pt>
                <c:pt idx="3">
                  <c:v>1010744.2479095199</c:v>
                </c:pt>
                <c:pt idx="4">
                  <c:v>1426725.0853869673</c:v>
                </c:pt>
                <c:pt idx="5">
                  <c:v>1943183.0756209507</c:v>
                </c:pt>
                <c:pt idx="6">
                  <c:v>2627205.0122646173</c:v>
                </c:pt>
                <c:pt idx="7">
                  <c:v>3561501.2734406763</c:v>
                </c:pt>
                <c:pt idx="8">
                  <c:v>4623288.6113382634</c:v>
                </c:pt>
                <c:pt idx="9">
                  <c:v>6008456.2023077058</c:v>
                </c:pt>
                <c:pt idx="10">
                  <c:v>6168963.5744461687</c:v>
                </c:pt>
                <c:pt idx="11">
                  <c:v>6339101.3889129395</c:v>
                </c:pt>
                <c:pt idx="12">
                  <c:v>6519447.472247716</c:v>
                </c:pt>
                <c:pt idx="13">
                  <c:v>6710614.3205825789</c:v>
                </c:pt>
                <c:pt idx="14">
                  <c:v>6913251.1798175341</c:v>
                </c:pt>
                <c:pt idx="15">
                  <c:v>7128046.2506065862</c:v>
                </c:pt>
                <c:pt idx="16">
                  <c:v>7355729.0256429818</c:v>
                </c:pt>
                <c:pt idx="17">
                  <c:v>7597072.7671815613</c:v>
                </c:pt>
                <c:pt idx="18">
                  <c:v>7852897.1332124555</c:v>
                </c:pt>
                <c:pt idx="19">
                  <c:v>8124070.9612052031</c:v>
                </c:pt>
                <c:pt idx="20">
                  <c:v>8411515.2188775148</c:v>
                </c:pt>
                <c:pt idx="21">
                  <c:v>8716206.1320101656</c:v>
                </c:pt>
                <c:pt idx="22">
                  <c:v>9039178.4999307767</c:v>
                </c:pt>
                <c:pt idx="23">
                  <c:v>9381529.2099266239</c:v>
                </c:pt>
                <c:pt idx="24">
                  <c:v>9744420.9625222217</c:v>
                </c:pt>
                <c:pt idx="25">
                  <c:v>10129086.220273556</c:v>
                </c:pt>
                <c:pt idx="26">
                  <c:v>10536831.39348997</c:v>
                </c:pt>
                <c:pt idx="27">
                  <c:v>10969041.277099369</c:v>
                </c:pt>
                <c:pt idx="28">
                  <c:v>11427183.753725331</c:v>
                </c:pt>
                <c:pt idx="29">
                  <c:v>11912814.778948851</c:v>
                </c:pt>
                <c:pt idx="30">
                  <c:v>12427583.665685782</c:v>
                </c:pt>
                <c:pt idx="31">
                  <c:v>12973238.68562693</c:v>
                </c:pt>
                <c:pt idx="32">
                  <c:v>13551633.006764546</c:v>
                </c:pt>
                <c:pt idx="33">
                  <c:v>14164730.987170419</c:v>
                </c:pt>
                <c:pt idx="34">
                  <c:v>14814614.846400645</c:v>
                </c:pt>
                <c:pt idx="35">
                  <c:v>15503491.737184685</c:v>
                </c:pt>
                <c:pt idx="36">
                  <c:v>16233701.241415767</c:v>
                </c:pt>
                <c:pt idx="37">
                  <c:v>17007723.315900713</c:v>
                </c:pt>
                <c:pt idx="38">
                  <c:v>17828186.714854758</c:v>
                </c:pt>
                <c:pt idx="39">
                  <c:v>18697877.917746045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E7-6F49-B408-5786BE6F0D06}"/>
            </c:ext>
          </c:extLst>
        </c:ser>
        <c:ser>
          <c:idx val="1"/>
          <c:order val="1"/>
          <c:tx>
            <c:strRef>
              <c:f>'Savings Projection'!$AF$18</c:f>
              <c:strCache>
                <c:ptCount val="1"/>
                <c:pt idx="0">
                  <c:v>401(k) Balance</c:v>
                </c:pt>
              </c:strCache>
            </c:strRef>
          </c:tx>
          <c:spPr>
            <a:ln w="24000">
              <a:solidFill>
                <a:srgbClr val="4E7672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Projection'!$AF$19:$AF$58</c:f>
              <c:numCache>
                <c:formatCode>\$#,##0</c:formatCode>
                <c:ptCount val="40"/>
                <c:pt idx="0">
                  <c:v>24500</c:v>
                </c:pt>
                <c:pt idx="1">
                  <c:v>50470</c:v>
                </c:pt>
                <c:pt idx="2">
                  <c:v>77998.200000000012</c:v>
                </c:pt>
                <c:pt idx="3">
                  <c:v>107178.09200000002</c:v>
                </c:pt>
                <c:pt idx="4">
                  <c:v>138108.77752000003</c:v>
                </c:pt>
                <c:pt idx="5">
                  <c:v>170895.30417120006</c:v>
                </c:pt>
                <c:pt idx="6">
                  <c:v>205649.02242147207</c:v>
                </c:pt>
                <c:pt idx="7">
                  <c:v>242487.9637667604</c:v>
                </c:pt>
                <c:pt idx="8">
                  <c:v>281537.24159276602</c:v>
                </c:pt>
                <c:pt idx="9">
                  <c:v>322929.47608833201</c:v>
                </c:pt>
                <c:pt idx="10">
                  <c:v>342305.24465363193</c:v>
                </c:pt>
                <c:pt idx="11">
                  <c:v>362843.55933284987</c:v>
                </c:pt>
                <c:pt idx="12">
                  <c:v>384614.1728928209</c:v>
                </c:pt>
                <c:pt idx="13">
                  <c:v>407691.0232663902</c:v>
                </c:pt>
                <c:pt idx="14">
                  <c:v>432152.48466237361</c:v>
                </c:pt>
                <c:pt idx="15">
                  <c:v>458081.63374211604</c:v>
                </c:pt>
                <c:pt idx="16">
                  <c:v>485566.53176664305</c:v>
                </c:pt>
                <c:pt idx="17">
                  <c:v>514700.52367264166</c:v>
                </c:pt>
                <c:pt idx="18">
                  <c:v>545582.55509300018</c:v>
                </c:pt>
                <c:pt idx="19">
                  <c:v>578317.50839858025</c:v>
                </c:pt>
                <c:pt idx="20">
                  <c:v>613016.55890249508</c:v>
                </c:pt>
                <c:pt idx="21">
                  <c:v>649797.55243664479</c:v>
                </c:pt>
                <c:pt idx="22">
                  <c:v>688785.40558284346</c:v>
                </c:pt>
                <c:pt idx="23">
                  <c:v>730112.52991781407</c:v>
                </c:pt>
                <c:pt idx="24">
                  <c:v>773919.28171288292</c:v>
                </c:pt>
                <c:pt idx="25">
                  <c:v>820354.43861565599</c:v>
                </c:pt>
                <c:pt idx="26">
                  <c:v>869575.70493259537</c:v>
                </c:pt>
                <c:pt idx="27">
                  <c:v>921750.24722855119</c:v>
                </c:pt>
                <c:pt idx="28">
                  <c:v>977055.26206226426</c:v>
                </c:pt>
                <c:pt idx="29">
                  <c:v>1035678.5777860002</c:v>
                </c:pt>
                <c:pt idx="30">
                  <c:v>1097819.2924531603</c:v>
                </c:pt>
                <c:pt idx="31">
                  <c:v>1163688.4500003499</c:v>
                </c:pt>
                <c:pt idx="32">
                  <c:v>1233509.7570003709</c:v>
                </c:pt>
                <c:pt idx="33">
                  <c:v>1307520.3424203931</c:v>
                </c:pt>
                <c:pt idx="34">
                  <c:v>1385971.5629656168</c:v>
                </c:pt>
                <c:pt idx="35">
                  <c:v>1469129.8567435539</c:v>
                </c:pt>
                <c:pt idx="36">
                  <c:v>1557277.6481481672</c:v>
                </c:pt>
                <c:pt idx="37">
                  <c:v>1650714.3070370574</c:v>
                </c:pt>
                <c:pt idx="38">
                  <c:v>1749757.1654592808</c:v>
                </c:pt>
                <c:pt idx="39">
                  <c:v>1854742.5953868378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E7-6F49-B408-5786BE6F0D06}"/>
            </c:ext>
          </c:extLst>
        </c:ser>
        <c:ser>
          <c:idx val="2"/>
          <c:order val="2"/>
          <c:tx>
            <c:strRef>
              <c:f>'Savings Projection'!$AG$18</c:f>
              <c:strCache>
                <c:ptCount val="1"/>
                <c:pt idx="0">
                  <c:v>Roth Balance</c:v>
                </c:pt>
              </c:strCache>
            </c:strRef>
          </c:tx>
          <c:spPr>
            <a:ln w="24000">
              <a:solidFill>
                <a:srgbClr val="617B63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Projection'!$AG$19:$AG$58</c:f>
              <c:numCache>
                <c:formatCode>\$#,##0</c:formatCode>
                <c:ptCount val="40"/>
                <c:pt idx="0">
                  <c:v>7500</c:v>
                </c:pt>
                <c:pt idx="1">
                  <c:v>15450</c:v>
                </c:pt>
                <c:pt idx="2">
                  <c:v>23877</c:v>
                </c:pt>
                <c:pt idx="3">
                  <c:v>32809.620000000003</c:v>
                </c:pt>
                <c:pt idx="4">
                  <c:v>42278.197200000002</c:v>
                </c:pt>
                <c:pt idx="5">
                  <c:v>52314.889032000006</c:v>
                </c:pt>
                <c:pt idx="6">
                  <c:v>62953.78237392001</c:v>
                </c:pt>
                <c:pt idx="7">
                  <c:v>74231.009316355208</c:v>
                </c:pt>
                <c:pt idx="8">
                  <c:v>86184.869875336532</c:v>
                </c:pt>
                <c:pt idx="9">
                  <c:v>98855.96206785673</c:v>
                </c:pt>
                <c:pt idx="10">
                  <c:v>104787.31979192814</c:v>
                </c:pt>
                <c:pt idx="11">
                  <c:v>111074.55897944383</c:v>
                </c:pt>
                <c:pt idx="12">
                  <c:v>117739.03251821046</c:v>
                </c:pt>
                <c:pt idx="13">
                  <c:v>124803.37446930309</c:v>
                </c:pt>
                <c:pt idx="14">
                  <c:v>132291.57693746127</c:v>
                </c:pt>
                <c:pt idx="15">
                  <c:v>140229.07155370896</c:v>
                </c:pt>
                <c:pt idx="16">
                  <c:v>148642.81584693151</c:v>
                </c:pt>
                <c:pt idx="17">
                  <c:v>157561.38479774742</c:v>
                </c:pt>
                <c:pt idx="18">
                  <c:v>167015.06788561228</c:v>
                </c:pt>
                <c:pt idx="19">
                  <c:v>177035.97195874903</c:v>
                </c:pt>
                <c:pt idx="20">
                  <c:v>187658.13027627397</c:v>
                </c:pt>
                <c:pt idx="21">
                  <c:v>198917.6180928504</c:v>
                </c:pt>
                <c:pt idx="22">
                  <c:v>210852.67517842143</c:v>
                </c:pt>
                <c:pt idx="23">
                  <c:v>223503.83568912672</c:v>
                </c:pt>
                <c:pt idx="24">
                  <c:v>236914.06583047434</c:v>
                </c:pt>
                <c:pt idx="25">
                  <c:v>251128.90978030281</c:v>
                </c:pt>
                <c:pt idx="26">
                  <c:v>266196.64436712099</c:v>
                </c:pt>
                <c:pt idx="27">
                  <c:v>282168.44302914827</c:v>
                </c:pt>
                <c:pt idx="28">
                  <c:v>299098.5496108972</c:v>
                </c:pt>
                <c:pt idx="29">
                  <c:v>317044.46258755104</c:v>
                </c:pt>
                <c:pt idx="30">
                  <c:v>336067.13034280413</c:v>
                </c:pt>
                <c:pt idx="31">
                  <c:v>356231.15816337237</c:v>
                </c:pt>
                <c:pt idx="32">
                  <c:v>377605.02765317471</c:v>
                </c:pt>
                <c:pt idx="33">
                  <c:v>400261.32931236521</c:v>
                </c:pt>
                <c:pt idx="34">
                  <c:v>424277.00907110714</c:v>
                </c:pt>
                <c:pt idx="35">
                  <c:v>449733.62961537362</c:v>
                </c:pt>
                <c:pt idx="36">
                  <c:v>476717.64739229606</c:v>
                </c:pt>
                <c:pt idx="37">
                  <c:v>505320.70623583387</c:v>
                </c:pt>
                <c:pt idx="38">
                  <c:v>535639.9486099839</c:v>
                </c:pt>
                <c:pt idx="39">
                  <c:v>567778.34552658291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E7-6F49-B408-5786BE6F0D06}"/>
            </c:ext>
          </c:extLst>
        </c:ser>
        <c:ser>
          <c:idx val="3"/>
          <c:order val="3"/>
          <c:tx>
            <c:strRef>
              <c:f>'Savings Projection'!$AH$18</c:f>
              <c:strCache>
                <c:ptCount val="1"/>
                <c:pt idx="0">
                  <c:v>HSA Balance</c:v>
                </c:pt>
              </c:strCache>
            </c:strRef>
          </c:tx>
          <c:spPr>
            <a:ln w="24000">
              <a:solidFill>
                <a:srgbClr val="A7834A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Projection'!$AH$19:$AH$58</c:f>
              <c:numCache>
                <c:formatCode>\$#,##0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E7-6F49-B408-5786BE6F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tickLblSkip val="8"/>
        <c:tickMarkSkip val="8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,&quot;M&quot;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BF8F3"/>
    </a:solidFill>
    <a:ln>
      <a:solidFill>
        <a:srgbClr val="DDD5CA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'Savings Projection'!$D$18</c:f>
              <c:strCache>
                <c:ptCount val="1"/>
                <c:pt idx="0">
                  <c:v>401(k) / Trad</c:v>
                </c:pt>
              </c:strCache>
            </c:strRef>
          </c:tx>
          <c:spPr>
            <a:solidFill>
              <a:srgbClr val="4E7672"/>
            </a:solidFill>
            <a:ln>
              <a:solidFill>
                <a:srgbClr val="4E7672"/>
              </a:solidFill>
              <a:prstDash val="solid"/>
            </a:ln>
          </c:spPr>
          <c:invertIfNegative val="1"/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Projection'!$D$19:$D$58</c:f>
              <c:numCache>
                <c:formatCode>\$#,##0</c:formatCode>
                <c:ptCount val="40"/>
                <c:pt idx="0">
                  <c:v>24500</c:v>
                </c:pt>
                <c:pt idx="1">
                  <c:v>24500</c:v>
                </c:pt>
                <c:pt idx="2">
                  <c:v>24500</c:v>
                </c:pt>
                <c:pt idx="3">
                  <c:v>24500</c:v>
                </c:pt>
                <c:pt idx="4">
                  <c:v>24500</c:v>
                </c:pt>
                <c:pt idx="5">
                  <c:v>24500</c:v>
                </c:pt>
                <c:pt idx="6">
                  <c:v>24500</c:v>
                </c:pt>
                <c:pt idx="7">
                  <c:v>24500</c:v>
                </c:pt>
                <c:pt idx="8">
                  <c:v>24500</c:v>
                </c:pt>
                <c:pt idx="9">
                  <c:v>24500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E767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5F-D041-9FFC-B3F742F87FD4}"/>
            </c:ext>
          </c:extLst>
        </c:ser>
        <c:ser>
          <c:idx val="1"/>
          <c:order val="1"/>
          <c:tx>
            <c:strRef>
              <c:f>'Savings Projection'!$E$18</c:f>
              <c:strCache>
                <c:ptCount val="1"/>
                <c:pt idx="0">
                  <c:v>HSA</c:v>
                </c:pt>
              </c:strCache>
            </c:strRef>
          </c:tx>
          <c:spPr>
            <a:solidFill>
              <a:srgbClr val="A7834A"/>
            </a:solidFill>
            <a:ln>
              <a:solidFill>
                <a:srgbClr val="A7834A"/>
              </a:solidFill>
              <a:prstDash val="solid"/>
            </a:ln>
          </c:spPr>
          <c:invertIfNegative val="1"/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Projection'!$E$19:$E$58</c:f>
              <c:numCache>
                <c:formatCode>\$#,##0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7834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5F-D041-9FFC-B3F742F87FD4}"/>
            </c:ext>
          </c:extLst>
        </c:ser>
        <c:ser>
          <c:idx val="2"/>
          <c:order val="2"/>
          <c:tx>
            <c:strRef>
              <c:f>'Savings Projection'!$V$18</c:f>
              <c:strCache>
                <c:ptCount val="1"/>
                <c:pt idx="0">
                  <c:v>Roth IRA / Backdoor Roth</c:v>
                </c:pt>
              </c:strCache>
            </c:strRef>
          </c:tx>
          <c:spPr>
            <a:solidFill>
              <a:srgbClr val="617B63"/>
            </a:solidFill>
            <a:ln>
              <a:solidFill>
                <a:srgbClr val="617B63"/>
              </a:solidFill>
              <a:prstDash val="solid"/>
            </a:ln>
          </c:spPr>
          <c:invertIfNegative val="1"/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Projection'!$V$19:$V$58</c:f>
              <c:numCache>
                <c:formatCode>\$#,##0</c:formatCode>
                <c:ptCount val="40"/>
                <c:pt idx="0">
                  <c:v>7500</c:v>
                </c:pt>
                <c:pt idx="1">
                  <c:v>7500</c:v>
                </c:pt>
                <c:pt idx="2">
                  <c:v>7500</c:v>
                </c:pt>
                <c:pt idx="3">
                  <c:v>7500</c:v>
                </c:pt>
                <c:pt idx="4">
                  <c:v>7500</c:v>
                </c:pt>
                <c:pt idx="5">
                  <c:v>7500</c:v>
                </c:pt>
                <c:pt idx="6">
                  <c:v>7500</c:v>
                </c:pt>
                <c:pt idx="7">
                  <c:v>7500</c:v>
                </c:pt>
                <c:pt idx="8">
                  <c:v>7500</c:v>
                </c:pt>
                <c:pt idx="9">
                  <c:v>7500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17B6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65F-D041-9FFC-B3F742F87FD4}"/>
            </c:ext>
          </c:extLst>
        </c:ser>
        <c:ser>
          <c:idx val="3"/>
          <c:order val="3"/>
          <c:tx>
            <c:strRef>
              <c:f>'Savings Projection'!$W$18</c:f>
              <c:strCache>
                <c:ptCount val="1"/>
                <c:pt idx="0">
                  <c:v>Taxable Savings / (Draw)</c:v>
                </c:pt>
              </c:strCache>
            </c:strRef>
          </c:tx>
          <c:spPr>
            <a:solidFill>
              <a:srgbClr val="496A86"/>
            </a:solidFill>
            <a:ln>
              <a:solidFill>
                <a:srgbClr val="496A86"/>
              </a:solidFill>
              <a:prstDash val="solid"/>
            </a:ln>
          </c:spPr>
          <c:invertIfNegative val="1"/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Projection'!$W$19:$W$58</c:f>
              <c:numCache>
                <c:formatCode>\$#,##0</c:formatCode>
                <c:ptCount val="40"/>
                <c:pt idx="0">
                  <c:v>177165.46999999997</c:v>
                </c:pt>
                <c:pt idx="1">
                  <c:v>102229.97</c:v>
                </c:pt>
                <c:pt idx="2">
                  <c:v>224275.26999999996</c:v>
                </c:pt>
                <c:pt idx="3">
                  <c:v>257768.41399999999</c:v>
                </c:pt>
                <c:pt idx="4">
                  <c:v>355336.18260287598</c:v>
                </c:pt>
                <c:pt idx="5">
                  <c:v>430854.48511076538</c:v>
                </c:pt>
                <c:pt idx="6">
                  <c:v>567430.95210640947</c:v>
                </c:pt>
                <c:pt idx="7">
                  <c:v>776663.96044018166</c:v>
                </c:pt>
                <c:pt idx="8">
                  <c:v>848097.26149114594</c:v>
                </c:pt>
                <c:pt idx="9">
                  <c:v>1107770.2742891458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96A8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65F-D041-9FFC-B3F742F87FD4}"/>
            </c:ext>
          </c:extLst>
        </c:ser>
        <c:ser>
          <c:idx val="4"/>
          <c:order val="4"/>
          <c:tx>
            <c:strRef>
              <c:f>'Savings Projection'!$Z$18</c:f>
              <c:strCache>
                <c:ptCount val="1"/>
                <c:pt idx="0">
                  <c:v>Actual Withdrawal</c:v>
                </c:pt>
              </c:strCache>
            </c:strRef>
          </c:tx>
          <c:spPr>
            <a:solidFill>
              <a:srgbClr val="8E5A50"/>
            </a:solidFill>
            <a:ln>
              <a:solidFill>
                <a:srgbClr val="8E5A50"/>
              </a:solidFill>
              <a:prstDash val="solid"/>
            </a:ln>
          </c:spPr>
          <c:invertIfNegative val="1"/>
          <c:cat>
            <c:numRef>
              <c:f>'Savings Projection'!$A$19:$A$58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'Savings Projection'!$Z$19:$Z$58</c:f>
              <c:numCache>
                <c:formatCode>\$#,##0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200000</c:v>
                </c:pt>
                <c:pt idx="11">
                  <c:v>200000</c:v>
                </c:pt>
                <c:pt idx="12">
                  <c:v>200000</c:v>
                </c:pt>
                <c:pt idx="13">
                  <c:v>200000</c:v>
                </c:pt>
                <c:pt idx="14">
                  <c:v>200000</c:v>
                </c:pt>
                <c:pt idx="15">
                  <c:v>200000</c:v>
                </c:pt>
                <c:pt idx="16">
                  <c:v>200000</c:v>
                </c:pt>
                <c:pt idx="17">
                  <c:v>200000</c:v>
                </c:pt>
                <c:pt idx="18">
                  <c:v>200000</c:v>
                </c:pt>
                <c:pt idx="19">
                  <c:v>200000</c:v>
                </c:pt>
                <c:pt idx="20">
                  <c:v>200000</c:v>
                </c:pt>
                <c:pt idx="21">
                  <c:v>200000</c:v>
                </c:pt>
                <c:pt idx="22">
                  <c:v>200000</c:v>
                </c:pt>
                <c:pt idx="23">
                  <c:v>200000</c:v>
                </c:pt>
                <c:pt idx="24">
                  <c:v>200000</c:v>
                </c:pt>
                <c:pt idx="25">
                  <c:v>200000</c:v>
                </c:pt>
                <c:pt idx="26">
                  <c:v>200000</c:v>
                </c:pt>
                <c:pt idx="27">
                  <c:v>200000</c:v>
                </c:pt>
                <c:pt idx="28">
                  <c:v>200000</c:v>
                </c:pt>
                <c:pt idx="29">
                  <c:v>200000</c:v>
                </c:pt>
                <c:pt idx="30">
                  <c:v>200000</c:v>
                </c:pt>
                <c:pt idx="31">
                  <c:v>200000</c:v>
                </c:pt>
                <c:pt idx="32">
                  <c:v>200000</c:v>
                </c:pt>
                <c:pt idx="33">
                  <c:v>200000</c:v>
                </c:pt>
                <c:pt idx="34">
                  <c:v>200000</c:v>
                </c:pt>
                <c:pt idx="35">
                  <c:v>200000</c:v>
                </c:pt>
                <c:pt idx="36">
                  <c:v>200000</c:v>
                </c:pt>
                <c:pt idx="37">
                  <c:v>200000</c:v>
                </c:pt>
                <c:pt idx="38">
                  <c:v>200000</c:v>
                </c:pt>
                <c:pt idx="39">
                  <c:v>200000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E5A5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65F-D041-9FFC-B3F742F87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tickLblSkip val="8"/>
        <c:tickMarkSkip val="8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out"/>
        <c:minorTickMark val="none"/>
        <c:tickLblPos val="nextTo"/>
        <c:crossAx val="10"/>
        <c:crosses val="autoZero"/>
        <c:crossBetween val="between"/>
        <c:majorUnit val="250000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BF8F3"/>
    </a:solidFill>
    <a:ln>
      <a:solidFill>
        <a:srgbClr val="DDD5CA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96A8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96-F04F-B9C8-50CFE70E35FE}"/>
              </c:ext>
            </c:extLst>
          </c:dPt>
          <c:dPt>
            <c:idx val="1"/>
            <c:bubble3D val="0"/>
            <c:spPr>
              <a:solidFill>
                <a:srgbClr val="4E767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96-F04F-B9C8-50CFE70E35FE}"/>
              </c:ext>
            </c:extLst>
          </c:dPt>
          <c:dPt>
            <c:idx val="2"/>
            <c:bubble3D val="0"/>
            <c:spPr>
              <a:solidFill>
                <a:srgbClr val="617B6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96-F04F-B9C8-50CFE70E35FE}"/>
              </c:ext>
            </c:extLst>
          </c:dPt>
          <c:dPt>
            <c:idx val="3"/>
            <c:bubble3D val="0"/>
            <c:spPr>
              <a:solidFill>
                <a:srgbClr val="A7834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D96-F04F-B9C8-50CFE70E35FE}"/>
              </c:ext>
            </c:extLst>
          </c:dPt>
          <c:cat>
            <c:strRef>
              <c:f>'Financial Dashboard'!$A$56:$A$59</c:f>
              <c:strCache>
                <c:ptCount val="4"/>
                <c:pt idx="0">
                  <c:v>Taxable</c:v>
                </c:pt>
                <c:pt idx="1">
                  <c:v>401(k)</c:v>
                </c:pt>
                <c:pt idx="2">
                  <c:v>Roth</c:v>
                </c:pt>
                <c:pt idx="3">
                  <c:v>HSA</c:v>
                </c:pt>
              </c:strCache>
            </c:strRef>
          </c:cat>
          <c:val>
            <c:numRef>
              <c:f>'Financial Dashboard'!$B$56:$B$59</c:f>
              <c:numCache>
                <c:formatCode>\$#,##0</c:formatCode>
                <c:ptCount val="4"/>
                <c:pt idx="0">
                  <c:v>18697877.917746045</c:v>
                </c:pt>
                <c:pt idx="1">
                  <c:v>1854742.5953868378</c:v>
                </c:pt>
                <c:pt idx="2">
                  <c:v>567778.34552658291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96-F04F-B9C8-50CFE70E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40"/>
      </c:pieChart>
    </c:plotArea>
    <c:plotVisOnly val="1"/>
    <c:dispBlanksAs val="gap"/>
    <c:showDLblsOverMax val="1"/>
  </c:chart>
  <c:spPr>
    <a:solidFill>
      <a:srgbClr val="FBF8F3"/>
    </a:solidFill>
    <a:ln>
      <a:solidFill>
        <a:srgbClr val="DDD5CA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'Scenario Lab'!$L$172</c:f>
              <c:strCache>
                <c:ptCount val="1"/>
                <c:pt idx="0">
                  <c:v>Downside</c:v>
                </c:pt>
              </c:strCache>
            </c:strRef>
          </c:tx>
          <c:spPr>
            <a:ln w="24000">
              <a:solidFill>
                <a:srgbClr val="8E5A5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'Scenario Lab'!$K$173:$K$212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'Scenario Lab'!$L$173:$L$212</c:f>
              <c:numCache>
                <c:formatCode>\$#,##0</c:formatCode>
                <c:ptCount val="40"/>
                <c:pt idx="0">
                  <c:v>289500.76879999996</c:v>
                </c:pt>
                <c:pt idx="1">
                  <c:v>379538.07835199998</c:v>
                </c:pt>
                <c:pt idx="2">
                  <c:v>557953.32028608001</c:v>
                </c:pt>
                <c:pt idx="3">
                  <c:v>767636.42339752312</c:v>
                </c:pt>
                <c:pt idx="4">
                  <c:v>1057322.3634914751</c:v>
                </c:pt>
                <c:pt idx="5">
                  <c:v>1411364.5377450588</c:v>
                </c:pt>
                <c:pt idx="6">
                  <c:v>1882747.0825189699</c:v>
                </c:pt>
                <c:pt idx="7">
                  <c:v>2522984.2120018741</c:v>
                </c:pt>
                <c:pt idx="8">
                  <c:v>3238732.8812221298</c:v>
                </c:pt>
                <c:pt idx="9">
                  <c:v>1797689.4875999922</c:v>
                </c:pt>
                <c:pt idx="10">
                  <c:v>1351167.7623646094</c:v>
                </c:pt>
                <c:pt idx="11">
                  <c:v>883386.16811981122</c:v>
                </c:pt>
                <c:pt idx="12">
                  <c:v>393392.34010522126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E1-3F4B-98A5-7F29F2AB2B93}"/>
            </c:ext>
          </c:extLst>
        </c:ser>
        <c:ser>
          <c:idx val="1"/>
          <c:order val="1"/>
          <c:tx>
            <c:strRef>
              <c:f>'Scenario Lab'!$M$172</c:f>
              <c:strCache>
                <c:ptCount val="1"/>
                <c:pt idx="0">
                  <c:v>Base</c:v>
                </c:pt>
              </c:strCache>
            </c:strRef>
          </c:tx>
          <c:spPr>
            <a:ln w="24000">
              <a:solidFill>
                <a:srgbClr val="1C2B3C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'Scenario Lab'!$K$173:$K$212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'Scenario Lab'!$M$173:$M$212</c:f>
              <c:numCache>
                <c:formatCode>\$#,##0</c:formatCode>
                <c:ptCount val="40"/>
                <c:pt idx="0">
                  <c:v>368165.47</c:v>
                </c:pt>
                <c:pt idx="1">
                  <c:v>524485.36820000003</c:v>
                </c:pt>
                <c:pt idx="2">
                  <c:v>812229.7602919999</c:v>
                </c:pt>
                <c:pt idx="3">
                  <c:v>1150731.9599095201</c:v>
                </c:pt>
                <c:pt idx="4">
                  <c:v>1607112.0601069673</c:v>
                </c:pt>
                <c:pt idx="5">
                  <c:v>2166393.2688241508</c:v>
                </c:pt>
                <c:pt idx="6">
                  <c:v>2895807.8170600096</c:v>
                </c:pt>
                <c:pt idx="7">
                  <c:v>3878220.2465237915</c:v>
                </c:pt>
                <c:pt idx="8">
                  <c:v>4991010.7228063662</c:v>
                </c:pt>
                <c:pt idx="9">
                  <c:v>3736659.1927112164</c:v>
                </c:pt>
                <c:pt idx="10">
                  <c:v>3438976.296521211</c:v>
                </c:pt>
                <c:pt idx="11">
                  <c:v>3120033.4265598059</c:v>
                </c:pt>
                <c:pt idx="12">
                  <c:v>2778453.0144007164</c:v>
                </c:pt>
                <c:pt idx="13">
                  <c:v>2412771.7784120808</c:v>
                </c:pt>
                <c:pt idx="14">
                  <c:v>2021435.4891911282</c:v>
                </c:pt>
                <c:pt idx="15">
                  <c:v>1602793.4181717278</c:v>
                </c:pt>
                <c:pt idx="16">
                  <c:v>1155092.4503126177</c:v>
                </c:pt>
                <c:pt idx="17">
                  <c:v>676470.84062605922</c:v>
                </c:pt>
                <c:pt idx="18">
                  <c:v>164951.59308972783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E1-3F4B-98A5-7F29F2AB2B93}"/>
            </c:ext>
          </c:extLst>
        </c:ser>
        <c:ser>
          <c:idx val="2"/>
          <c:order val="2"/>
          <c:tx>
            <c:strRef>
              <c:f>'Scenario Lab'!$N$172</c:f>
              <c:strCache>
                <c:ptCount val="1"/>
                <c:pt idx="0">
                  <c:v>Upside</c:v>
                </c:pt>
              </c:strCache>
            </c:strRef>
          </c:tx>
          <c:spPr>
            <a:ln w="24000">
              <a:solidFill>
                <a:srgbClr val="617B63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'Scenario Lab'!$K$173:$K$212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'Scenario Lab'!$N$173:$N$212</c:f>
              <c:numCache>
                <c:formatCode>\$#,##0</c:formatCode>
                <c:ptCount val="40"/>
                <c:pt idx="0">
                  <c:v>430953.41389999999</c:v>
                </c:pt>
                <c:pt idx="1">
                  <c:v>645385.27305099997</c:v>
                </c:pt>
                <c:pt idx="2">
                  <c:v>1029397.75152559</c:v>
                </c:pt>
                <c:pt idx="3">
                  <c:v>1489929.7157628932</c:v>
                </c:pt>
                <c:pt idx="4">
                  <c:v>2112307.7352881236</c:v>
                </c:pt>
                <c:pt idx="5">
                  <c:v>2880159.8699628506</c:v>
                </c:pt>
                <c:pt idx="6">
                  <c:v>3887335.9904359151</c:v>
                </c:pt>
                <c:pt idx="7">
                  <c:v>5245522.2665733062</c:v>
                </c:pt>
                <c:pt idx="8">
                  <c:v>6815408.6424131179</c:v>
                </c:pt>
                <c:pt idx="9">
                  <c:v>4726250.9317728337</c:v>
                </c:pt>
                <c:pt idx="10">
                  <c:v>4570769.0271749217</c:v>
                </c:pt>
                <c:pt idx="11">
                  <c:v>4397894.7511631986</c:v>
                </c:pt>
                <c:pt idx="12">
                  <c:v>4205960.8203104194</c:v>
                </c:pt>
                <c:pt idx="13">
                  <c:v>3993146.8365808902</c:v>
                </c:pt>
                <c:pt idx="14">
                  <c:v>3757465.4152427036</c:v>
                </c:pt>
                <c:pt idx="15">
                  <c:v>3496747.0615388909</c:v>
                </c:pt>
                <c:pt idx="16">
                  <c:v>3208623.683423188</c:v>
                </c:pt>
                <c:pt idx="17">
                  <c:v>2890510.6175211705</c:v>
                </c:pt>
                <c:pt idx="18">
                  <c:v>2539587.0344193918</c:v>
                </c:pt>
                <c:pt idx="19">
                  <c:v>2152774.5773318172</c:v>
                </c:pt>
                <c:pt idx="20">
                  <c:v>1726714.0750545254</c:v>
                </c:pt>
                <c:pt idx="21">
                  <c:v>1257740.1557988862</c:v>
                </c:pt>
                <c:pt idx="22">
                  <c:v>741853.57288364717</c:v>
                </c:pt>
                <c:pt idx="23">
                  <c:v>174691.03625164629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0E1-3F4B-98A5-7F29F2AB2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tickLblSkip val="8"/>
        <c:tickMarkSkip val="8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,&quot;M&quot;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solidFill>
      <a:srgbClr val="FBF8F3"/>
    </a:solidFill>
    <a:ln>
      <a:solidFill>
        <a:srgbClr val="DDD5CA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55</xdr:row>
      <xdr:rowOff>0</xdr:rowOff>
    </xdr:from>
    <xdr:to>
      <xdr:col>5</xdr:col>
      <xdr:colOff>0</xdr:colOff>
      <xdr:row>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15</xdr:col>
      <xdr:colOff>0</xdr:colOff>
      <xdr:row>83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17B63"/>
  </sheetPr>
  <dimension ref="A1:P125"/>
  <sheetViews>
    <sheetView showGridLines="0" zoomScale="110" workbookViewId="0">
      <pane ySplit="3" topLeftCell="A54" activePane="bottomLeft" state="frozen"/>
      <selection pane="bottomLeft" sqref="A1:P1"/>
    </sheetView>
  </sheetViews>
  <sheetFormatPr baseColWidth="10" defaultColWidth="8.83203125" defaultRowHeight="15" x14ac:dyDescent="0.2"/>
  <cols>
    <col min="1" max="16" width="14" customWidth="1"/>
  </cols>
  <sheetData>
    <row r="1" spans="1:16" ht="34" customHeight="1" x14ac:dyDescent="0.2">
      <c r="A1" s="286" t="s">
        <v>78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1"/>
    </row>
    <row r="2" spans="1:16" ht="22" customHeight="1" x14ac:dyDescent="0.2">
      <c r="A2" s="313" t="s">
        <v>79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9"/>
    </row>
    <row r="3" spans="1:1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301" t="s">
        <v>80</v>
      </c>
      <c r="B4" s="302"/>
      <c r="C4" s="302"/>
      <c r="D4" s="303"/>
      <c r="E4" s="287" t="s">
        <v>81</v>
      </c>
      <c r="F4" s="288"/>
      <c r="G4" s="288"/>
      <c r="H4" s="289"/>
      <c r="I4" s="246" t="s">
        <v>82</v>
      </c>
      <c r="J4" s="247"/>
      <c r="K4" s="247"/>
      <c r="L4" s="248"/>
      <c r="M4" s="253" t="s">
        <v>83</v>
      </c>
      <c r="N4" s="254"/>
      <c r="O4" s="254"/>
      <c r="P4" s="255"/>
    </row>
    <row r="5" spans="1:16" x14ac:dyDescent="0.2">
      <c r="A5" s="304">
        <f>'Savings Projection'!$B$12</f>
        <v>10</v>
      </c>
      <c r="B5" s="261"/>
      <c r="C5" s="261"/>
      <c r="D5" s="262"/>
      <c r="E5" s="260">
        <f>'Savings Projection'!$B$13</f>
        <v>200000</v>
      </c>
      <c r="F5" s="261"/>
      <c r="G5" s="261"/>
      <c r="H5" s="262"/>
      <c r="I5" s="298">
        <f>'Scenario Lab'!$H$14</f>
        <v>3736659.1927112164</v>
      </c>
      <c r="J5" s="261"/>
      <c r="K5" s="261"/>
      <c r="L5" s="262"/>
      <c r="M5" s="277">
        <f>'Scenario Lab'!$H$18</f>
        <v>0.13878237778929178</v>
      </c>
      <c r="N5" s="261"/>
      <c r="O5" s="261"/>
      <c r="P5" s="262"/>
    </row>
    <row r="6" spans="1:16" x14ac:dyDescent="0.2">
      <c r="A6" s="305"/>
      <c r="B6" s="264"/>
      <c r="C6" s="264"/>
      <c r="D6" s="265"/>
      <c r="E6" s="263"/>
      <c r="F6" s="264"/>
      <c r="G6" s="264"/>
      <c r="H6" s="265"/>
      <c r="I6" s="299"/>
      <c r="J6" s="264"/>
      <c r="K6" s="264"/>
      <c r="L6" s="265"/>
      <c r="M6" s="278"/>
      <c r="N6" s="264"/>
      <c r="O6" s="264"/>
      <c r="P6" s="26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246" t="s">
        <v>84</v>
      </c>
      <c r="B8" s="247"/>
      <c r="C8" s="248"/>
      <c r="D8" s="301" t="s">
        <v>85</v>
      </c>
      <c r="E8" s="302"/>
      <c r="F8" s="303"/>
      <c r="G8" s="293" t="s">
        <v>86</v>
      </c>
      <c r="H8" s="294"/>
      <c r="I8" s="295"/>
      <c r="J8" s="287" t="s">
        <v>87</v>
      </c>
      <c r="K8" s="288"/>
      <c r="L8" s="289"/>
      <c r="M8" s="279" t="s">
        <v>88</v>
      </c>
      <c r="N8" s="280"/>
      <c r="O8" s="280"/>
      <c r="P8" s="281"/>
    </row>
    <row r="9" spans="1:16" x14ac:dyDescent="0.2">
      <c r="A9" s="298">
        <f>'Savings Projection'!$AE$58</f>
        <v>18697877.917746045</v>
      </c>
      <c r="B9" s="261"/>
      <c r="C9" s="262"/>
      <c r="D9" s="308">
        <f>'Savings Projection'!$AF$58</f>
        <v>1854742.5953868378</v>
      </c>
      <c r="E9" s="261"/>
      <c r="F9" s="262"/>
      <c r="G9" s="296">
        <f>'Savings Projection'!$AG$58</f>
        <v>567778.34552658291</v>
      </c>
      <c r="H9" s="261"/>
      <c r="I9" s="262"/>
      <c r="J9" s="260">
        <f>'Savings Projection'!$AH$58</f>
        <v>0</v>
      </c>
      <c r="K9" s="261"/>
      <c r="L9" s="262"/>
      <c r="M9" s="311">
        <f>'Savings Projection'!$AI$58</f>
        <v>21120398.858659465</v>
      </c>
      <c r="N9" s="261"/>
      <c r="O9" s="261"/>
      <c r="P9" s="262"/>
    </row>
    <row r="10" spans="1:16" x14ac:dyDescent="0.2">
      <c r="A10" s="299"/>
      <c r="B10" s="264"/>
      <c r="C10" s="265"/>
      <c r="D10" s="305"/>
      <c r="E10" s="264"/>
      <c r="F10" s="265"/>
      <c r="G10" s="297"/>
      <c r="H10" s="264"/>
      <c r="I10" s="265"/>
      <c r="J10" s="263"/>
      <c r="K10" s="264"/>
      <c r="L10" s="265"/>
      <c r="M10" s="312"/>
      <c r="N10" s="264"/>
      <c r="O10" s="264"/>
      <c r="P10" s="265"/>
    </row>
    <row r="11" spans="1:1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309" t="s">
        <v>89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</row>
    <row r="14" spans="1:16" ht="22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22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22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22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22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22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22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22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22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22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22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22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22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22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22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22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22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22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307" t="s">
        <v>90</v>
      </c>
      <c r="B33" s="270"/>
      <c r="C33" s="270"/>
      <c r="D33" s="270"/>
      <c r="E33" s="270"/>
      <c r="F33" s="270"/>
      <c r="G33" s="270"/>
      <c r="H33" s="270"/>
      <c r="I33" s="306" t="s">
        <v>91</v>
      </c>
      <c r="J33" s="270"/>
      <c r="K33" s="270"/>
      <c r="L33" s="270"/>
      <c r="M33" s="270"/>
      <c r="N33" s="270"/>
      <c r="O33" s="270"/>
      <c r="P33" s="270"/>
    </row>
    <row r="34" spans="1:16" ht="21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21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21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21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21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21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21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21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21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21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21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21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21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21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21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21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21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21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21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">
      <c r="A55" s="249" t="s">
        <v>92</v>
      </c>
      <c r="B55" s="250"/>
      <c r="C55" s="250"/>
      <c r="D55" s="250"/>
      <c r="E55" s="250"/>
      <c r="F55" s="251"/>
      <c r="G55" s="273" t="s">
        <v>93</v>
      </c>
      <c r="H55" s="250"/>
      <c r="I55" s="250"/>
      <c r="J55" s="250"/>
      <c r="K55" s="250"/>
      <c r="L55" s="250"/>
      <c r="M55" s="250"/>
      <c r="N55" s="250"/>
      <c r="O55" s="250"/>
      <c r="P55" s="251"/>
    </row>
    <row r="56" spans="1:16" ht="20" customHeight="1" x14ac:dyDescent="0.2">
      <c r="A56" s="9" t="s">
        <v>94</v>
      </c>
      <c r="B56" s="10">
        <f>'Savings Projection'!$AE$58</f>
        <v>18697877.917746045</v>
      </c>
      <c r="C56" s="11">
        <f>IF($B$60=0,0,B56/$B$60)</f>
        <v>0.88529947009404253</v>
      </c>
      <c r="D56" s="5"/>
      <c r="E56" s="5"/>
      <c r="F56" s="5"/>
      <c r="G56" s="252" t="s">
        <v>95</v>
      </c>
      <c r="H56" s="244"/>
      <c r="I56" s="244"/>
      <c r="J56" s="244"/>
      <c r="K56" s="244"/>
      <c r="L56" s="245"/>
      <c r="M56" s="243">
        <f>'Scenario Lab'!$H$8</f>
        <v>200000</v>
      </c>
      <c r="N56" s="244"/>
      <c r="O56" s="244"/>
      <c r="P56" s="245"/>
    </row>
    <row r="57" spans="1:16" ht="20" customHeight="1" x14ac:dyDescent="0.2">
      <c r="A57" s="9" t="s">
        <v>62</v>
      </c>
      <c r="B57" s="10">
        <f>'Savings Projection'!$AF$58</f>
        <v>1854742.5953868378</v>
      </c>
      <c r="C57" s="11">
        <f>IF($B$60=0,0,B57/$B$60)</f>
        <v>8.7817593209248715E-2</v>
      </c>
      <c r="D57" s="5"/>
      <c r="E57" s="5"/>
      <c r="F57" s="5"/>
      <c r="G57" s="252" t="s">
        <v>96</v>
      </c>
      <c r="H57" s="244"/>
      <c r="I57" s="244"/>
      <c r="J57" s="244"/>
      <c r="K57" s="244"/>
      <c r="L57" s="245"/>
      <c r="M57" s="243">
        <f>'Scenario Lab'!$H$14</f>
        <v>3736659.1927112164</v>
      </c>
      <c r="N57" s="244"/>
      <c r="O57" s="244"/>
      <c r="P57" s="245"/>
    </row>
    <row r="58" spans="1:16" ht="20" customHeight="1" x14ac:dyDescent="0.2">
      <c r="A58" s="9" t="s">
        <v>69</v>
      </c>
      <c r="B58" s="10">
        <f>'Savings Projection'!$AG$58</f>
        <v>567778.34552658291</v>
      </c>
      <c r="C58" s="11">
        <f>IF($B$60=0,0,B58/$B$60)</f>
        <v>2.6882936696708788E-2</v>
      </c>
      <c r="D58" s="5"/>
      <c r="E58" s="5"/>
      <c r="F58" s="5"/>
      <c r="G58" s="252" t="s">
        <v>97</v>
      </c>
      <c r="H58" s="244"/>
      <c r="I58" s="244"/>
      <c r="J58" s="244"/>
      <c r="K58" s="244"/>
      <c r="L58" s="245"/>
      <c r="M58" s="243">
        <f>'Scenario Lab'!$H$15</f>
        <v>318582.44775267807</v>
      </c>
      <c r="N58" s="244"/>
      <c r="O58" s="244"/>
      <c r="P58" s="245"/>
    </row>
    <row r="59" spans="1:16" ht="20" customHeight="1" x14ac:dyDescent="0.2">
      <c r="A59" s="9" t="s">
        <v>98</v>
      </c>
      <c r="B59" s="10">
        <f>'Savings Projection'!$AH$58</f>
        <v>0</v>
      </c>
      <c r="C59" s="11">
        <f>IF($B$60=0,0,B59/$B$60)</f>
        <v>0</v>
      </c>
      <c r="D59" s="5"/>
      <c r="E59" s="5"/>
      <c r="F59" s="5"/>
      <c r="G59" s="252" t="s">
        <v>99</v>
      </c>
      <c r="H59" s="244"/>
      <c r="I59" s="244"/>
      <c r="J59" s="244"/>
      <c r="K59" s="244"/>
      <c r="L59" s="245"/>
      <c r="M59" s="243">
        <f>'Scenario Lab'!$H$16</f>
        <v>518582.44775267807</v>
      </c>
      <c r="N59" s="244"/>
      <c r="O59" s="244"/>
      <c r="P59" s="245"/>
    </row>
    <row r="60" spans="1:16" ht="20" customHeight="1" x14ac:dyDescent="0.2">
      <c r="A60" s="13" t="s">
        <v>100</v>
      </c>
      <c r="B60" s="14">
        <f>SUM(B56:B59)</f>
        <v>21120398.858659465</v>
      </c>
      <c r="C60" s="15"/>
      <c r="D60" s="5"/>
      <c r="E60" s="5"/>
      <c r="F60" s="5"/>
      <c r="G60" s="252" t="s">
        <v>101</v>
      </c>
      <c r="H60" s="244"/>
      <c r="I60" s="244"/>
      <c r="J60" s="244"/>
      <c r="K60" s="244"/>
      <c r="L60" s="245"/>
      <c r="M60" s="290">
        <f>'Scenario Lab'!$H$18</f>
        <v>0.13878237778929178</v>
      </c>
      <c r="N60" s="244"/>
      <c r="O60" s="244"/>
      <c r="P60" s="245"/>
    </row>
    <row r="61" spans="1:16" ht="20" customHeight="1" x14ac:dyDescent="0.2">
      <c r="A61" s="5"/>
      <c r="B61" s="5"/>
      <c r="C61" s="5"/>
      <c r="D61" s="5"/>
      <c r="E61" s="5"/>
      <c r="F61" s="5"/>
      <c r="G61" s="252" t="s">
        <v>102</v>
      </c>
      <c r="H61" s="244"/>
      <c r="I61" s="244"/>
      <c r="J61" s="244"/>
      <c r="K61" s="244"/>
      <c r="L61" s="245"/>
      <c r="M61" s="243">
        <f>'Scenario Lab'!$H$19</f>
        <v>0</v>
      </c>
      <c r="N61" s="244"/>
      <c r="O61" s="244"/>
      <c r="P61" s="245"/>
    </row>
    <row r="62" spans="1:16" ht="20" customHeight="1" x14ac:dyDescent="0.2">
      <c r="A62" s="5"/>
      <c r="B62" s="5"/>
      <c r="C62" s="5"/>
      <c r="D62" s="5"/>
      <c r="E62" s="5"/>
      <c r="F62" s="5"/>
      <c r="G62" s="276" t="s">
        <v>103</v>
      </c>
      <c r="H62" s="258"/>
      <c r="I62" s="258"/>
      <c r="J62" s="258"/>
      <c r="K62" s="258"/>
      <c r="L62" s="259"/>
      <c r="M62" s="284">
        <f>'Scenario Lab'!$H$22</f>
        <v>1690179.5508820903</v>
      </c>
      <c r="N62" s="258"/>
      <c r="O62" s="258"/>
      <c r="P62" s="259"/>
    </row>
    <row r="63" spans="1:16" ht="20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20" customHeight="1" x14ac:dyDescent="0.2">
      <c r="A64" s="5"/>
      <c r="B64" s="5"/>
      <c r="C64" s="5"/>
      <c r="D64" s="5"/>
      <c r="E64" s="5"/>
      <c r="F64" s="5"/>
      <c r="G64" s="282" t="s">
        <v>104</v>
      </c>
      <c r="H64" s="250"/>
      <c r="I64" s="250"/>
      <c r="J64" s="250"/>
      <c r="K64" s="250"/>
      <c r="L64" s="250"/>
      <c r="M64" s="250"/>
      <c r="N64" s="250"/>
      <c r="O64" s="250"/>
      <c r="P64" s="251"/>
    </row>
    <row r="65" spans="1:16" ht="20" customHeight="1" x14ac:dyDescent="0.2">
      <c r="A65" s="5"/>
      <c r="B65" s="5"/>
      <c r="C65" s="5"/>
      <c r="D65" s="5"/>
      <c r="E65" s="5"/>
      <c r="F65" s="5"/>
      <c r="G65" s="256" t="s">
        <v>105</v>
      </c>
      <c r="H65" s="244"/>
      <c r="I65" s="245"/>
      <c r="J65" s="300">
        <f>MAX(1,MIN(ROUND('Model Inputs'!$B$15,0),ROWS('Savings Projection'!$A$19:$A$58)))</f>
        <v>10</v>
      </c>
      <c r="K65" s="245"/>
      <c r="L65" s="291" t="s">
        <v>106</v>
      </c>
      <c r="M65" s="244"/>
      <c r="N65" s="245"/>
      <c r="O65" s="285" t="str">
        <f>INDEX('Savings Projection'!$C$19:$C$58,MAX(1,MIN(ROUND('Model Inputs'!$B$15,0),ROWS('Savings Projection'!$A$19:$A$58))))</f>
        <v>Working</v>
      </c>
      <c r="P65" s="245"/>
    </row>
    <row r="66" spans="1:16" ht="20" customHeight="1" x14ac:dyDescent="0.2">
      <c r="A66" s="5"/>
      <c r="B66" s="5"/>
      <c r="C66" s="5"/>
      <c r="D66" s="5"/>
      <c r="E66" s="5"/>
      <c r="F66" s="5"/>
      <c r="G66" s="256" t="s">
        <v>107</v>
      </c>
      <c r="H66" s="244"/>
      <c r="I66" s="245"/>
      <c r="J66" s="243">
        <f>INDEX('Savings Projection'!$B$19:$B$58,MAX(1,MIN(ROUND('Model Inputs'!$B$15,0),ROWS('Savings Projection'!$A$19:$A$58))))</f>
        <v>2595495.7626410057</v>
      </c>
      <c r="K66" s="245"/>
      <c r="L66" s="291" t="s">
        <v>108</v>
      </c>
      <c r="M66" s="244"/>
      <c r="N66" s="245"/>
      <c r="O66" s="243">
        <f>INDEX('Savings Projection'!$Q$19:$Q$58,MAX(1,MIN(ROUND('Model Inputs'!$B$15,0),ROWS('Savings Projection'!$A$19:$A$58))))</f>
        <v>1286104.9744540581</v>
      </c>
      <c r="P66" s="245"/>
    </row>
    <row r="67" spans="1:16" ht="20" customHeight="1" x14ac:dyDescent="0.2">
      <c r="A67" s="5"/>
      <c r="B67" s="5"/>
      <c r="C67" s="5"/>
      <c r="D67" s="5"/>
      <c r="E67" s="5"/>
      <c r="F67" s="5"/>
      <c r="G67" s="256" t="s">
        <v>109</v>
      </c>
      <c r="H67" s="244"/>
      <c r="I67" s="245"/>
      <c r="J67" s="243">
        <f>INDEX('Savings Projection'!$AJ$19:$AJ$58,MAX(1,MIN(ROUND('Model Inputs'!$B$15,0),ROWS('Savings Projection'!$A$19:$A$58))))</f>
        <v>5317592.2400405239</v>
      </c>
      <c r="K67" s="245"/>
      <c r="L67" s="291" t="s">
        <v>110</v>
      </c>
      <c r="M67" s="244"/>
      <c r="N67" s="245"/>
      <c r="O67" s="243">
        <f>INDEX('Savings Projection'!$AI$19:$AI$58,MAX(1,MIN(ROUND('Model Inputs'!$B$15,0),ROWS('Savings Projection'!$A$19:$A$58))))</f>
        <v>6430241.6404638942</v>
      </c>
      <c r="P67" s="245"/>
    </row>
    <row r="68" spans="1:16" ht="20" customHeight="1" x14ac:dyDescent="0.2">
      <c r="A68" s="5"/>
      <c r="B68" s="5"/>
      <c r="C68" s="5"/>
      <c r="D68" s="5"/>
      <c r="E68" s="5"/>
      <c r="F68" s="5"/>
      <c r="G68" s="256" t="s">
        <v>111</v>
      </c>
      <c r="H68" s="244"/>
      <c r="I68" s="245"/>
      <c r="J68" s="243">
        <f>INDEX('Savings Projection'!$AK$19:$AK$58,MAX(1,MIN(ROUND('Model Inputs'!$B$15,0),ROWS('Savings Projection'!$A$19:$A$58))))</f>
        <v>6876892.300575953</v>
      </c>
      <c r="K68" s="245"/>
      <c r="L68" s="291" t="s">
        <v>112</v>
      </c>
      <c r="M68" s="244"/>
      <c r="N68" s="245"/>
      <c r="O68" s="243">
        <f>INDEX('Savings Projection'!$AE$19:$AE$58,MAX(1,MIN(ROUND('Model Inputs'!$B$15,0),ROWS('Savings Projection'!$A$19:$A$58))))</f>
        <v>6008456.2023077058</v>
      </c>
      <c r="P68" s="245"/>
    </row>
    <row r="69" spans="1:16" x14ac:dyDescent="0.2">
      <c r="A69" s="5"/>
      <c r="B69" s="5"/>
      <c r="C69" s="5"/>
      <c r="D69" s="5"/>
      <c r="E69" s="5"/>
      <c r="F69" s="5"/>
      <c r="G69" s="283" t="s">
        <v>113</v>
      </c>
      <c r="H69" s="258"/>
      <c r="I69" s="259"/>
      <c r="J69" s="284">
        <f>INDEX('Savings Projection'!$X$19:$X$58,MAX(1,MIN(ROUND('Model Inputs'!$B$15,0),ROWS('Savings Projection'!$A$19:$A$58))))</f>
        <v>1139770.2742891458</v>
      </c>
      <c r="K69" s="259"/>
      <c r="L69" s="257" t="s">
        <v>114</v>
      </c>
      <c r="M69" s="258"/>
      <c r="N69" s="259"/>
      <c r="O69" s="284">
        <f>INDEX('Savings Projection'!$Z$19:$Z$58,MAX(1,MIN(ROUND('Model Inputs'!$B$15,0),ROWS('Savings Projection'!$A$19:$A$58))))</f>
        <v>0</v>
      </c>
      <c r="P69" s="259"/>
    </row>
    <row r="70" spans="1:16" ht="16" customHeight="1" x14ac:dyDescent="0.2">
      <c r="A70" s="310" t="s">
        <v>115</v>
      </c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</row>
    <row r="71" spans="1:16" ht="20" customHeight="1" x14ac:dyDescent="0.2">
      <c r="A71" s="17" t="s">
        <v>116</v>
      </c>
      <c r="B71" s="18" t="s">
        <v>117</v>
      </c>
      <c r="C71" s="19" t="s">
        <v>118</v>
      </c>
      <c r="D71" s="20" t="s">
        <v>119</v>
      </c>
      <c r="E71" s="5"/>
      <c r="F71" s="275" t="s">
        <v>120</v>
      </c>
      <c r="G71" s="270"/>
      <c r="H71" s="270"/>
      <c r="I71" s="270"/>
      <c r="J71" s="270"/>
      <c r="K71" s="270"/>
      <c r="L71" s="270"/>
      <c r="M71" s="270"/>
      <c r="N71" s="270"/>
      <c r="O71" s="270"/>
      <c r="P71" s="270"/>
    </row>
    <row r="72" spans="1:16" ht="20" customHeight="1" x14ac:dyDescent="0.2">
      <c r="A72" s="9" t="s">
        <v>121</v>
      </c>
      <c r="B72" s="21">
        <f>'Scenario Lab'!G6</f>
        <v>0.75</v>
      </c>
      <c r="C72" s="21">
        <f>'Scenario Lab'!H6</f>
        <v>1</v>
      </c>
      <c r="D72" s="22">
        <f>'Scenario Lab'!I6</f>
        <v>1.2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20" customHeight="1" x14ac:dyDescent="0.2">
      <c r="A73" s="9" t="s">
        <v>122</v>
      </c>
      <c r="B73" s="21">
        <f>'Scenario Lab'!G7</f>
        <v>0.04</v>
      </c>
      <c r="C73" s="21">
        <f>'Scenario Lab'!H7</f>
        <v>0.06</v>
      </c>
      <c r="D73" s="22">
        <f>'Scenario Lab'!I7</f>
        <v>0.09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20" customHeight="1" x14ac:dyDescent="0.2">
      <c r="A74" s="9" t="s">
        <v>95</v>
      </c>
      <c r="B74" s="23">
        <f>'Scenario Lab'!G8</f>
        <v>170000</v>
      </c>
      <c r="C74" s="23">
        <f>'Scenario Lab'!H8</f>
        <v>200000</v>
      </c>
      <c r="D74" s="24">
        <f>'Scenario Lab'!I8</f>
        <v>240000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20" customHeight="1" x14ac:dyDescent="0.2">
      <c r="A75" s="9" t="s">
        <v>123</v>
      </c>
      <c r="B75" s="23">
        <f>'Scenario Lab'!G10</f>
        <v>5000000</v>
      </c>
      <c r="C75" s="23">
        <f>'Scenario Lab'!H10</f>
        <v>5000000</v>
      </c>
      <c r="D75" s="24">
        <f>'Scenario Lab'!I10</f>
        <v>5000000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20" customHeight="1" x14ac:dyDescent="0.2">
      <c r="A76" s="9" t="s">
        <v>124</v>
      </c>
      <c r="B76" s="23">
        <f>'Scenario Lab'!G11</f>
        <v>2025000.0000000002</v>
      </c>
      <c r="C76" s="23">
        <f>'Scenario Lab'!H11</f>
        <v>2375000</v>
      </c>
      <c r="D76" s="24">
        <f>'Scenario Lab'!I11</f>
        <v>2125000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20" customHeight="1" x14ac:dyDescent="0.2">
      <c r="A77" s="9" t="s">
        <v>96</v>
      </c>
      <c r="B77" s="23">
        <f>'Scenario Lab'!G14</f>
        <v>1797689.4875999922</v>
      </c>
      <c r="C77" s="23">
        <f>'Scenario Lab'!H14</f>
        <v>3736659.1927112164</v>
      </c>
      <c r="D77" s="24">
        <f>'Scenario Lab'!I14</f>
        <v>4726250.9317728337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20" customHeight="1" x14ac:dyDescent="0.2">
      <c r="A78" s="9" t="s">
        <v>125</v>
      </c>
      <c r="B78" s="23">
        <f>'Scenario Lab'!G15</f>
        <v>345129.30473938253</v>
      </c>
      <c r="C78" s="23">
        <f>'Scenario Lab'!H15</f>
        <v>318582.44775267807</v>
      </c>
      <c r="D78" s="24">
        <f>'Scenario Lab'!I15</f>
        <v>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20" customHeight="1" x14ac:dyDescent="0.2">
      <c r="A79" s="9" t="s">
        <v>99</v>
      </c>
      <c r="B79" s="23">
        <f>'Scenario Lab'!G16</f>
        <v>515129.30473938253</v>
      </c>
      <c r="C79" s="23">
        <f>'Scenario Lab'!H16</f>
        <v>518582.44775267807</v>
      </c>
      <c r="D79" s="24">
        <f>'Scenario Lab'!I16</f>
        <v>240000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20" customHeight="1" x14ac:dyDescent="0.2">
      <c r="A80" s="9" t="s">
        <v>126</v>
      </c>
      <c r="B80" s="21">
        <f>'Scenario Lab'!G18</f>
        <v>0.28655076880218427</v>
      </c>
      <c r="C80" s="21">
        <f>'Scenario Lab'!H18</f>
        <v>0.13878237778929178</v>
      </c>
      <c r="D80" s="22">
        <f>'Scenario Lab'!I18</f>
        <v>3.5214322807652465E-2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20" customHeight="1" x14ac:dyDescent="0.2">
      <c r="A81" s="9" t="s">
        <v>102</v>
      </c>
      <c r="B81" s="23">
        <f>'Scenario Lab'!G19</f>
        <v>0</v>
      </c>
      <c r="C81" s="23">
        <f>'Scenario Lab'!H19</f>
        <v>0</v>
      </c>
      <c r="D81" s="24">
        <f>'Scenario Lab'!I19</f>
        <v>238539.30248445916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20" customHeight="1" x14ac:dyDescent="0.2">
      <c r="A82" s="9" t="s">
        <v>127</v>
      </c>
      <c r="B82" s="23">
        <f>'Scenario Lab'!G22</f>
        <v>1326147.3349471868</v>
      </c>
      <c r="C82" s="23">
        <f>'Scenario Lab'!H22</f>
        <v>1690179.5508820903</v>
      </c>
      <c r="D82" s="24">
        <f>'Scenario Lab'!I22</f>
        <v>1914277.5789546515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20" customHeight="1" x14ac:dyDescent="0.2">
      <c r="A83" s="9" t="s">
        <v>128</v>
      </c>
      <c r="B83" s="25">
        <f>'Scenario Lab'!G23</f>
        <v>3</v>
      </c>
      <c r="C83" s="25">
        <f>'Scenario Lab'!H23</f>
        <v>9</v>
      </c>
      <c r="D83" s="26">
        <f>'Scenario Lab'!I23</f>
        <v>15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20" customHeight="1" x14ac:dyDescent="0.2">
      <c r="A84" s="16" t="s">
        <v>129</v>
      </c>
      <c r="B84" s="27">
        <f>'Scenario Lab'!G24</f>
        <v>14</v>
      </c>
      <c r="C84" s="27">
        <f>'Scenario Lab'!H24</f>
        <v>20</v>
      </c>
      <c r="D84" s="28">
        <f>'Scenario Lab'!I24</f>
        <v>25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">
      <c r="A85" s="29" t="s">
        <v>130</v>
      </c>
      <c r="B85" s="30">
        <f>'Scenario Lab'!G25</f>
        <v>0</v>
      </c>
      <c r="C85" s="30">
        <f>'Scenario Lab'!H25</f>
        <v>0</v>
      </c>
      <c r="D85" s="30">
        <f>'Scenario Lab'!I25</f>
        <v>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9" customHeight="1" x14ac:dyDescent="0.2">
      <c r="A86" s="273" t="s">
        <v>131</v>
      </c>
      <c r="B86" s="250"/>
      <c r="C86" s="250"/>
      <c r="D86" s="250"/>
      <c r="E86" s="250"/>
      <c r="F86" s="250"/>
      <c r="G86" s="250"/>
      <c r="H86" s="251"/>
      <c r="I86" s="282" t="s">
        <v>132</v>
      </c>
      <c r="J86" s="250"/>
      <c r="K86" s="250"/>
      <c r="L86" s="250"/>
      <c r="M86" s="250"/>
      <c r="N86" s="250"/>
      <c r="O86" s="250"/>
      <c r="P86" s="251"/>
    </row>
    <row r="87" spans="1:16" ht="19" customHeight="1" x14ac:dyDescent="0.2">
      <c r="A87" s="252" t="s">
        <v>133</v>
      </c>
      <c r="B87" s="244"/>
      <c r="C87" s="244"/>
      <c r="D87" s="244"/>
      <c r="E87" s="245"/>
      <c r="F87" s="274">
        <f>'Scenario Lab'!$N$217</f>
        <v>4519714.0461025937</v>
      </c>
      <c r="G87" s="244"/>
      <c r="H87" s="245"/>
      <c r="I87" s="292" t="s">
        <v>134</v>
      </c>
      <c r="J87" s="261"/>
      <c r="K87" s="261"/>
      <c r="L87" s="261"/>
      <c r="M87" s="261"/>
      <c r="N87" s="261"/>
      <c r="O87" s="261"/>
      <c r="P87" s="262"/>
    </row>
    <row r="88" spans="1:16" ht="19" customHeight="1" x14ac:dyDescent="0.2">
      <c r="A88" s="252" t="s">
        <v>135</v>
      </c>
      <c r="B88" s="244"/>
      <c r="C88" s="244"/>
      <c r="D88" s="244"/>
      <c r="E88" s="245"/>
      <c r="F88" s="243">
        <f>'Scenario Lab'!$N$218</f>
        <v>2028215.4610585084</v>
      </c>
      <c r="G88" s="244"/>
      <c r="H88" s="245"/>
      <c r="I88" s="269"/>
      <c r="J88" s="270"/>
      <c r="K88" s="270"/>
      <c r="L88" s="270"/>
      <c r="M88" s="270"/>
      <c r="N88" s="270"/>
      <c r="O88" s="270"/>
      <c r="P88" s="271"/>
    </row>
    <row r="89" spans="1:16" ht="19" customHeight="1" x14ac:dyDescent="0.2">
      <c r="A89" s="252" t="s">
        <v>136</v>
      </c>
      <c r="B89" s="244"/>
      <c r="C89" s="244"/>
      <c r="D89" s="244"/>
      <c r="E89" s="245"/>
      <c r="F89" s="243">
        <f>'Scenario Lab'!$N$219</f>
        <v>260000</v>
      </c>
      <c r="G89" s="244"/>
      <c r="H89" s="245"/>
      <c r="I89" s="269"/>
      <c r="J89" s="270"/>
      <c r="K89" s="270"/>
      <c r="L89" s="270"/>
      <c r="M89" s="270"/>
      <c r="N89" s="270"/>
      <c r="O89" s="270"/>
      <c r="P89" s="271"/>
    </row>
    <row r="90" spans="1:16" ht="19" customHeight="1" x14ac:dyDescent="0.2">
      <c r="A90" s="252" t="s">
        <v>137</v>
      </c>
      <c r="B90" s="244"/>
      <c r="C90" s="244"/>
      <c r="D90" s="244"/>
      <c r="E90" s="245"/>
      <c r="F90" s="274">
        <f>'Scenario Lab'!$N$220</f>
        <v>4883925.0838471139</v>
      </c>
      <c r="G90" s="244"/>
      <c r="H90" s="245"/>
      <c r="I90" s="269"/>
      <c r="J90" s="270"/>
      <c r="K90" s="270"/>
      <c r="L90" s="270"/>
      <c r="M90" s="270"/>
      <c r="N90" s="270"/>
      <c r="O90" s="270"/>
      <c r="P90" s="271"/>
    </row>
    <row r="91" spans="1:16" ht="19" customHeight="1" x14ac:dyDescent="0.2">
      <c r="A91" s="252" t="s">
        <v>138</v>
      </c>
      <c r="B91" s="244"/>
      <c r="C91" s="244"/>
      <c r="D91" s="244"/>
      <c r="E91" s="245"/>
      <c r="F91" s="274">
        <f>'Scenario Lab'!$N$221</f>
        <v>-836524.6397693418</v>
      </c>
      <c r="G91" s="244"/>
      <c r="H91" s="245"/>
      <c r="I91" s="269"/>
      <c r="J91" s="270"/>
      <c r="K91" s="270"/>
      <c r="L91" s="270"/>
      <c r="M91" s="270"/>
      <c r="N91" s="270"/>
      <c r="O91" s="270"/>
      <c r="P91" s="271"/>
    </row>
    <row r="92" spans="1:16" ht="19" customHeight="1" x14ac:dyDescent="0.2">
      <c r="A92" s="252" t="s">
        <v>139</v>
      </c>
      <c r="B92" s="244"/>
      <c r="C92" s="244"/>
      <c r="D92" s="244"/>
      <c r="E92" s="245"/>
      <c r="F92" s="243">
        <f>'Scenario Lab'!$N$222</f>
        <v>6153377.2489859434</v>
      </c>
      <c r="G92" s="244"/>
      <c r="H92" s="245"/>
      <c r="I92" s="269"/>
      <c r="J92" s="270"/>
      <c r="K92" s="270"/>
      <c r="L92" s="270"/>
      <c r="M92" s="270"/>
      <c r="N92" s="270"/>
      <c r="O92" s="270"/>
      <c r="P92" s="271"/>
    </row>
    <row r="93" spans="1:16" ht="19" customHeight="1" x14ac:dyDescent="0.2">
      <c r="A93" s="276" t="s">
        <v>140</v>
      </c>
      <c r="B93" s="258"/>
      <c r="C93" s="258"/>
      <c r="D93" s="258"/>
      <c r="E93" s="259"/>
      <c r="F93" s="284">
        <f>'Scenario Lab'!$N$223</f>
        <v>10255886.642414235</v>
      </c>
      <c r="G93" s="258"/>
      <c r="H93" s="259"/>
      <c r="I93" s="272"/>
      <c r="J93" s="264"/>
      <c r="K93" s="264"/>
      <c r="L93" s="264"/>
      <c r="M93" s="264"/>
      <c r="N93" s="264"/>
      <c r="O93" s="264"/>
      <c r="P93" s="265"/>
    </row>
    <row r="94" spans="1:16" ht="19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9" customHeight="1" x14ac:dyDescent="0.2">
      <c r="A95" s="266" t="s">
        <v>141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8"/>
    </row>
    <row r="96" spans="1:16" ht="19" customHeight="1" x14ac:dyDescent="0.2">
      <c r="A96" s="269"/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1"/>
    </row>
    <row r="97" spans="1:16" ht="19" customHeight="1" x14ac:dyDescent="0.2">
      <c r="A97" s="269"/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1"/>
    </row>
    <row r="98" spans="1:16" ht="19" customHeight="1" x14ac:dyDescent="0.2">
      <c r="A98" s="272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5"/>
    </row>
    <row r="99" spans="1:1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</sheetData>
  <mergeCells count="80">
    <mergeCell ref="A2:P2"/>
    <mergeCell ref="A4:D4"/>
    <mergeCell ref="A88:E88"/>
    <mergeCell ref="J69:K69"/>
    <mergeCell ref="A13:P13"/>
    <mergeCell ref="M58:P58"/>
    <mergeCell ref="A8:C8"/>
    <mergeCell ref="O69:P69"/>
    <mergeCell ref="A70:P70"/>
    <mergeCell ref="G56:L56"/>
    <mergeCell ref="F88:H88"/>
    <mergeCell ref="G67:I67"/>
    <mergeCell ref="O67:P67"/>
    <mergeCell ref="M9:P10"/>
    <mergeCell ref="I5:L6"/>
    <mergeCell ref="A5:D6"/>
    <mergeCell ref="L65:N65"/>
    <mergeCell ref="G60:L60"/>
    <mergeCell ref="I33:P33"/>
    <mergeCell ref="J8:L8"/>
    <mergeCell ref="A33:H33"/>
    <mergeCell ref="G59:L59"/>
    <mergeCell ref="G61:L61"/>
    <mergeCell ref="D9:F10"/>
    <mergeCell ref="A1:P1"/>
    <mergeCell ref="E4:H4"/>
    <mergeCell ref="M60:P60"/>
    <mergeCell ref="L67:N67"/>
    <mergeCell ref="I87:P93"/>
    <mergeCell ref="G8:I8"/>
    <mergeCell ref="G66:I66"/>
    <mergeCell ref="G62:L62"/>
    <mergeCell ref="I86:P86"/>
    <mergeCell ref="G9:I10"/>
    <mergeCell ref="A9:C10"/>
    <mergeCell ref="G68:I68"/>
    <mergeCell ref="F90:H90"/>
    <mergeCell ref="J65:K65"/>
    <mergeCell ref="D8:F8"/>
    <mergeCell ref="E5:H6"/>
    <mergeCell ref="M8:P8"/>
    <mergeCell ref="O68:P68"/>
    <mergeCell ref="G55:P55"/>
    <mergeCell ref="G64:P64"/>
    <mergeCell ref="G69:I69"/>
    <mergeCell ref="M62:P62"/>
    <mergeCell ref="G58:L58"/>
    <mergeCell ref="O65:P65"/>
    <mergeCell ref="J66:K66"/>
    <mergeCell ref="L66:N66"/>
    <mergeCell ref="L68:N68"/>
    <mergeCell ref="J67:K67"/>
    <mergeCell ref="A89:E89"/>
    <mergeCell ref="F92:H92"/>
    <mergeCell ref="A95:P98"/>
    <mergeCell ref="A86:H86"/>
    <mergeCell ref="F87:H87"/>
    <mergeCell ref="A91:E91"/>
    <mergeCell ref="F89:H89"/>
    <mergeCell ref="A93:E93"/>
    <mergeCell ref="F91:H91"/>
    <mergeCell ref="F93:H93"/>
    <mergeCell ref="A90:E90"/>
    <mergeCell ref="A92:E92"/>
    <mergeCell ref="M61:P61"/>
    <mergeCell ref="M57:P57"/>
    <mergeCell ref="I4:L4"/>
    <mergeCell ref="A55:F55"/>
    <mergeCell ref="A87:E87"/>
    <mergeCell ref="J68:K68"/>
    <mergeCell ref="M4:P4"/>
    <mergeCell ref="M56:P56"/>
    <mergeCell ref="G65:I65"/>
    <mergeCell ref="L69:N69"/>
    <mergeCell ref="J9:L10"/>
    <mergeCell ref="M59:P59"/>
    <mergeCell ref="F71:P71"/>
    <mergeCell ref="O66:P66"/>
    <mergeCell ref="M5:P6"/>
    <mergeCell ref="G57:L5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591A0"/>
  </sheetPr>
  <dimension ref="A1:P59"/>
  <sheetViews>
    <sheetView showGridLines="0" zoomScale="95" workbookViewId="0">
      <pane ySplit="3" topLeftCell="A4" activePane="bottomLeft" state="frozen"/>
      <selection pane="bottomLeft" activeCell="G14" sqref="G14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4" width="4" customWidth="1"/>
    <col min="5" max="5" width="24" customWidth="1"/>
    <col min="6" max="8" width="14" customWidth="1"/>
    <col min="9" max="9" width="4" customWidth="1"/>
    <col min="10" max="16" width="18" customWidth="1"/>
  </cols>
  <sheetData>
    <row r="1" spans="1:16" ht="30" customHeight="1" x14ac:dyDescent="0.2">
      <c r="A1" s="314" t="s">
        <v>142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22" customHeight="1" x14ac:dyDescent="0.2">
      <c r="A2" s="315" t="s">
        <v>143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</row>
    <row r="3" spans="1:1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7" t="s">
        <v>144</v>
      </c>
      <c r="B4" s="33"/>
      <c r="C4" s="5"/>
      <c r="D4" s="5"/>
      <c r="E4" s="34" t="s">
        <v>145</v>
      </c>
      <c r="F4" s="35"/>
      <c r="G4" s="35"/>
      <c r="H4" s="33"/>
      <c r="I4" s="5"/>
      <c r="J4" s="266" t="s">
        <v>146</v>
      </c>
      <c r="K4" s="267"/>
      <c r="L4" s="267"/>
      <c r="M4" s="267"/>
      <c r="N4" s="267"/>
      <c r="O4" s="267"/>
      <c r="P4" s="268"/>
    </row>
    <row r="5" spans="1:16" x14ac:dyDescent="0.2">
      <c r="A5" s="9" t="s">
        <v>147</v>
      </c>
      <c r="B5" s="36" t="s">
        <v>148</v>
      </c>
      <c r="C5" s="5"/>
      <c r="D5" s="5"/>
      <c r="E5" s="9" t="s">
        <v>27</v>
      </c>
      <c r="F5" s="37" t="s">
        <v>117</v>
      </c>
      <c r="G5" s="38" t="s">
        <v>118</v>
      </c>
      <c r="H5" s="39" t="s">
        <v>119</v>
      </c>
      <c r="I5" s="5"/>
      <c r="J5" s="269"/>
      <c r="K5" s="270"/>
      <c r="L5" s="270"/>
      <c r="M5" s="270"/>
      <c r="N5" s="270"/>
      <c r="O5" s="270"/>
      <c r="P5" s="271"/>
    </row>
    <row r="6" spans="1:16" x14ac:dyDescent="0.2">
      <c r="A6" s="9" t="s">
        <v>149</v>
      </c>
      <c r="B6" s="36" t="s">
        <v>150</v>
      </c>
      <c r="C6" s="5"/>
      <c r="D6" s="5"/>
      <c r="E6" s="9" t="s">
        <v>121</v>
      </c>
      <c r="F6" s="40">
        <v>0.75</v>
      </c>
      <c r="G6" s="41">
        <v>1</v>
      </c>
      <c r="H6" s="42">
        <v>1.2</v>
      </c>
      <c r="I6" s="5"/>
      <c r="J6" s="269"/>
      <c r="K6" s="270"/>
      <c r="L6" s="270"/>
      <c r="M6" s="270"/>
      <c r="N6" s="270"/>
      <c r="O6" s="270"/>
      <c r="P6" s="271"/>
    </row>
    <row r="7" spans="1:16" x14ac:dyDescent="0.2">
      <c r="A7" s="9" t="s">
        <v>151</v>
      </c>
      <c r="B7" s="43">
        <v>150000</v>
      </c>
      <c r="C7" s="5"/>
      <c r="D7" s="5"/>
      <c r="E7" s="9" t="s">
        <v>152</v>
      </c>
      <c r="F7" s="40">
        <v>1.04</v>
      </c>
      <c r="G7" s="41">
        <v>1</v>
      </c>
      <c r="H7" s="42">
        <v>0.97</v>
      </c>
      <c r="I7" s="5"/>
      <c r="J7" s="269"/>
      <c r="K7" s="270"/>
      <c r="L7" s="270"/>
      <c r="M7" s="270"/>
      <c r="N7" s="270"/>
      <c r="O7" s="270"/>
      <c r="P7" s="271"/>
    </row>
    <row r="8" spans="1:16" x14ac:dyDescent="0.2">
      <c r="A8" s="9" t="s">
        <v>153</v>
      </c>
      <c r="B8" s="43">
        <v>0</v>
      </c>
      <c r="C8" s="5"/>
      <c r="D8" s="5"/>
      <c r="E8" s="9" t="s">
        <v>154</v>
      </c>
      <c r="F8" s="40">
        <v>1</v>
      </c>
      <c r="G8" s="41">
        <v>1</v>
      </c>
      <c r="H8" s="42">
        <v>1.05</v>
      </c>
      <c r="I8" s="5"/>
      <c r="J8" s="269"/>
      <c r="K8" s="270"/>
      <c r="L8" s="270"/>
      <c r="M8" s="270"/>
      <c r="N8" s="270"/>
      <c r="O8" s="270"/>
      <c r="P8" s="271"/>
    </row>
    <row r="9" spans="1:16" x14ac:dyDescent="0.2">
      <c r="A9" s="9" t="s">
        <v>155</v>
      </c>
      <c r="B9" s="43">
        <v>0</v>
      </c>
      <c r="C9" s="5"/>
      <c r="D9" s="5"/>
      <c r="E9" s="9" t="s">
        <v>156</v>
      </c>
      <c r="F9" s="40">
        <v>0.95</v>
      </c>
      <c r="G9" s="41">
        <v>1</v>
      </c>
      <c r="H9" s="42">
        <v>1.08</v>
      </c>
      <c r="I9" s="5"/>
      <c r="J9" s="269"/>
      <c r="K9" s="270"/>
      <c r="L9" s="270"/>
      <c r="M9" s="270"/>
      <c r="N9" s="270"/>
      <c r="O9" s="270"/>
      <c r="P9" s="271"/>
    </row>
    <row r="10" spans="1:16" x14ac:dyDescent="0.2">
      <c r="A10" s="9" t="s">
        <v>157</v>
      </c>
      <c r="B10" s="43">
        <v>0</v>
      </c>
      <c r="C10" s="5"/>
      <c r="D10" s="5"/>
      <c r="E10" s="9" t="s">
        <v>122</v>
      </c>
      <c r="F10" s="40">
        <v>0.04</v>
      </c>
      <c r="G10" s="41">
        <v>0.06</v>
      </c>
      <c r="H10" s="42">
        <v>0.09</v>
      </c>
      <c r="I10" s="5"/>
      <c r="J10" s="269"/>
      <c r="K10" s="270"/>
      <c r="L10" s="270"/>
      <c r="M10" s="270"/>
      <c r="N10" s="270"/>
      <c r="O10" s="270"/>
      <c r="P10" s="271"/>
    </row>
    <row r="11" spans="1:16" x14ac:dyDescent="0.2">
      <c r="A11" s="9" t="s">
        <v>158</v>
      </c>
      <c r="B11" s="43">
        <v>200000</v>
      </c>
      <c r="C11" s="5"/>
      <c r="D11" s="5"/>
      <c r="E11" s="9" t="s">
        <v>159</v>
      </c>
      <c r="F11" s="44">
        <f>MAX(1,$B$19+2)</f>
        <v>12</v>
      </c>
      <c r="G11" s="44">
        <f>$B$19</f>
        <v>10</v>
      </c>
      <c r="H11" s="44">
        <f>MAX(1,$B$19-1)</f>
        <v>9</v>
      </c>
      <c r="I11" s="5"/>
      <c r="J11" s="269"/>
      <c r="K11" s="270"/>
      <c r="L11" s="270"/>
      <c r="M11" s="270"/>
      <c r="N11" s="270"/>
      <c r="O11" s="270"/>
      <c r="P11" s="271"/>
    </row>
    <row r="12" spans="1:16" x14ac:dyDescent="0.2">
      <c r="A12" s="9" t="s">
        <v>160</v>
      </c>
      <c r="B12" s="47">
        <v>0</v>
      </c>
      <c r="C12" s="5"/>
      <c r="D12" s="5"/>
      <c r="E12" s="9" t="s">
        <v>158</v>
      </c>
      <c r="F12" s="48">
        <v>170000</v>
      </c>
      <c r="G12" s="49">
        <v>200000</v>
      </c>
      <c r="H12" s="50">
        <v>240000</v>
      </c>
      <c r="I12" s="5"/>
      <c r="J12" s="272"/>
      <c r="K12" s="264"/>
      <c r="L12" s="264"/>
      <c r="M12" s="264"/>
      <c r="N12" s="264"/>
      <c r="O12" s="264"/>
      <c r="P12" s="265"/>
    </row>
    <row r="13" spans="1:16" x14ac:dyDescent="0.2">
      <c r="A13" s="9" t="s">
        <v>161</v>
      </c>
      <c r="B13" s="47">
        <v>0.06</v>
      </c>
      <c r="C13" s="5"/>
      <c r="D13" s="5"/>
      <c r="E13" s="9" t="s">
        <v>162</v>
      </c>
      <c r="F13" s="44">
        <v>10</v>
      </c>
      <c r="G13" s="45">
        <v>10</v>
      </c>
      <c r="H13" s="46">
        <v>10</v>
      </c>
      <c r="I13" s="5"/>
      <c r="J13" s="266" t="s">
        <v>163</v>
      </c>
      <c r="K13" s="267"/>
      <c r="L13" s="267"/>
      <c r="M13" s="267"/>
      <c r="N13" s="267"/>
      <c r="O13" s="267"/>
      <c r="P13" s="268"/>
    </row>
    <row r="14" spans="1:16" x14ac:dyDescent="0.2">
      <c r="A14" s="9" t="s">
        <v>164</v>
      </c>
      <c r="B14" s="47">
        <v>0.08</v>
      </c>
      <c r="C14" s="5"/>
      <c r="D14" s="5"/>
      <c r="E14" s="9" t="s">
        <v>123</v>
      </c>
      <c r="F14" s="48">
        <v>5000000</v>
      </c>
      <c r="G14" s="48">
        <v>5000000</v>
      </c>
      <c r="H14" s="48">
        <v>5000000</v>
      </c>
      <c r="I14" s="5"/>
      <c r="J14" s="269"/>
      <c r="K14" s="270"/>
      <c r="L14" s="270"/>
      <c r="M14" s="270"/>
      <c r="N14" s="270"/>
      <c r="O14" s="270"/>
      <c r="P14" s="271"/>
    </row>
    <row r="15" spans="1:16" x14ac:dyDescent="0.2">
      <c r="A15" s="9" t="s">
        <v>165</v>
      </c>
      <c r="B15" s="51">
        <v>10</v>
      </c>
      <c r="C15" s="5"/>
      <c r="D15" s="5"/>
      <c r="E15" s="9" t="s">
        <v>166</v>
      </c>
      <c r="F15" s="40">
        <v>0.2</v>
      </c>
      <c r="G15" s="41">
        <v>0.2</v>
      </c>
      <c r="H15" s="42">
        <v>0.2</v>
      </c>
      <c r="I15" s="5"/>
      <c r="J15" s="269"/>
      <c r="K15" s="270"/>
      <c r="L15" s="270"/>
      <c r="M15" s="270"/>
      <c r="N15" s="270"/>
      <c r="O15" s="270"/>
      <c r="P15" s="271"/>
    </row>
    <row r="16" spans="1:16" x14ac:dyDescent="0.2">
      <c r="A16" s="9" t="s">
        <v>167</v>
      </c>
      <c r="B16" s="47">
        <v>3.5000000000000003E-2</v>
      </c>
      <c r="C16" s="5"/>
      <c r="D16" s="5"/>
      <c r="E16" s="9" t="s">
        <v>168</v>
      </c>
      <c r="F16" s="40">
        <v>6.5000000000000002E-2</v>
      </c>
      <c r="G16" s="41">
        <v>6.5000000000000002E-2</v>
      </c>
      <c r="H16" s="42">
        <v>6.5000000000000002E-2</v>
      </c>
      <c r="I16" s="5"/>
      <c r="J16" s="269"/>
      <c r="K16" s="270"/>
      <c r="L16" s="270"/>
      <c r="M16" s="270"/>
      <c r="N16" s="270"/>
      <c r="O16" s="270"/>
      <c r="P16" s="271"/>
    </row>
    <row r="17" spans="1:16" x14ac:dyDescent="0.2">
      <c r="A17" s="9" t="s">
        <v>169</v>
      </c>
      <c r="B17" s="47">
        <v>0.35</v>
      </c>
      <c r="C17" s="5"/>
      <c r="D17" s="5"/>
      <c r="E17" s="9" t="s">
        <v>170</v>
      </c>
      <c r="F17" s="44">
        <v>30</v>
      </c>
      <c r="G17" s="45">
        <v>30</v>
      </c>
      <c r="H17" s="46">
        <v>30</v>
      </c>
      <c r="I17" s="5"/>
      <c r="J17" s="269"/>
      <c r="K17" s="270"/>
      <c r="L17" s="270"/>
      <c r="M17" s="270"/>
      <c r="N17" s="270"/>
      <c r="O17" s="270"/>
      <c r="P17" s="271"/>
    </row>
    <row r="18" spans="1:16" x14ac:dyDescent="0.2">
      <c r="A18" s="9" t="s">
        <v>171</v>
      </c>
      <c r="B18" s="43">
        <v>1000000</v>
      </c>
      <c r="C18" s="5"/>
      <c r="D18" s="5"/>
      <c r="E18" s="9" t="s">
        <v>172</v>
      </c>
      <c r="F18" s="40">
        <v>2.5000000000000001E-2</v>
      </c>
      <c r="G18" s="41">
        <v>2.5000000000000001E-2</v>
      </c>
      <c r="H18" s="42">
        <v>2.5000000000000001E-2</v>
      </c>
      <c r="I18" s="5"/>
      <c r="J18" s="269"/>
      <c r="K18" s="270"/>
      <c r="L18" s="270"/>
      <c r="M18" s="270"/>
      <c r="N18" s="270"/>
      <c r="O18" s="270"/>
      <c r="P18" s="271"/>
    </row>
    <row r="19" spans="1:16" x14ac:dyDescent="0.2">
      <c r="A19" s="16" t="s">
        <v>173</v>
      </c>
      <c r="B19" s="52">
        <f>'Savings Projection'!$B$12</f>
        <v>10</v>
      </c>
      <c r="C19" s="5"/>
      <c r="D19" s="5"/>
      <c r="E19" s="9" t="s">
        <v>174</v>
      </c>
      <c r="F19" s="40">
        <v>0.01</v>
      </c>
      <c r="G19" s="41">
        <v>0.01</v>
      </c>
      <c r="H19" s="42">
        <v>0.01</v>
      </c>
      <c r="I19" s="5"/>
      <c r="J19" s="269"/>
      <c r="K19" s="270"/>
      <c r="L19" s="270"/>
      <c r="M19" s="270"/>
      <c r="N19" s="270"/>
      <c r="O19" s="270"/>
      <c r="P19" s="271"/>
    </row>
    <row r="20" spans="1:16" x14ac:dyDescent="0.2">
      <c r="A20" s="5"/>
      <c r="B20" s="5"/>
      <c r="C20" s="5"/>
      <c r="D20" s="5"/>
      <c r="E20" s="9" t="s">
        <v>175</v>
      </c>
      <c r="F20" s="40">
        <v>2E-3</v>
      </c>
      <c r="G20" s="41">
        <v>2E-3</v>
      </c>
      <c r="H20" s="42">
        <v>2E-3</v>
      </c>
      <c r="I20" s="5"/>
      <c r="J20" s="269"/>
      <c r="K20" s="270"/>
      <c r="L20" s="270"/>
      <c r="M20" s="270"/>
      <c r="N20" s="270"/>
      <c r="O20" s="270"/>
      <c r="P20" s="271"/>
    </row>
    <row r="21" spans="1:16" x14ac:dyDescent="0.2">
      <c r="A21" s="249" t="s">
        <v>176</v>
      </c>
      <c r="B21" s="251"/>
      <c r="C21" s="5"/>
      <c r="D21" s="5"/>
      <c r="E21" s="9" t="s">
        <v>177</v>
      </c>
      <c r="F21" s="40">
        <v>0.01</v>
      </c>
      <c r="G21" s="41">
        <v>0.01</v>
      </c>
      <c r="H21" s="42">
        <v>0.01</v>
      </c>
      <c r="I21" s="5"/>
      <c r="J21" s="269"/>
      <c r="K21" s="270"/>
      <c r="L21" s="270"/>
      <c r="M21" s="270"/>
      <c r="N21" s="270"/>
      <c r="O21" s="270"/>
      <c r="P21" s="271"/>
    </row>
    <row r="22" spans="1:16" x14ac:dyDescent="0.2">
      <c r="A22" s="9" t="s">
        <v>178</v>
      </c>
      <c r="B22" s="51">
        <v>2026</v>
      </c>
      <c r="C22" s="5"/>
      <c r="D22" s="5"/>
      <c r="E22" s="9" t="s">
        <v>179</v>
      </c>
      <c r="F22" s="48">
        <v>0</v>
      </c>
      <c r="G22" s="49">
        <v>0</v>
      </c>
      <c r="H22" s="50">
        <v>0</v>
      </c>
      <c r="I22" s="5"/>
      <c r="J22" s="272"/>
      <c r="K22" s="264"/>
      <c r="L22" s="264"/>
      <c r="M22" s="264"/>
      <c r="N22" s="264"/>
      <c r="O22" s="264"/>
      <c r="P22" s="265"/>
    </row>
    <row r="23" spans="1:16" x14ac:dyDescent="0.2">
      <c r="A23" s="9" t="s">
        <v>180</v>
      </c>
      <c r="B23" s="51">
        <v>9</v>
      </c>
      <c r="C23" s="5"/>
      <c r="D23" s="5"/>
      <c r="E23" s="9" t="s">
        <v>181</v>
      </c>
      <c r="F23" s="48">
        <v>0</v>
      </c>
      <c r="G23" s="49">
        <v>0</v>
      </c>
      <c r="H23" s="50">
        <v>0</v>
      </c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9" t="s">
        <v>182</v>
      </c>
      <c r="B24" s="51">
        <v>10</v>
      </c>
      <c r="C24" s="5"/>
      <c r="D24" s="5"/>
      <c r="E24" s="9" t="s">
        <v>183</v>
      </c>
      <c r="F24" s="48">
        <v>0</v>
      </c>
      <c r="G24" s="49">
        <v>0</v>
      </c>
      <c r="H24" s="50">
        <v>0</v>
      </c>
      <c r="I24" s="5"/>
      <c r="J24" s="266" t="s">
        <v>184</v>
      </c>
      <c r="K24" s="267"/>
      <c r="L24" s="267"/>
      <c r="M24" s="267"/>
      <c r="N24" s="267"/>
      <c r="O24" s="267"/>
      <c r="P24" s="268"/>
    </row>
    <row r="25" spans="1:16" x14ac:dyDescent="0.2">
      <c r="A25" s="9" t="s">
        <v>185</v>
      </c>
      <c r="B25" s="43">
        <v>300000</v>
      </c>
      <c r="C25" s="5"/>
      <c r="D25" s="5"/>
      <c r="E25" s="16" t="s">
        <v>186</v>
      </c>
      <c r="F25" s="53">
        <v>0.03</v>
      </c>
      <c r="G25" s="54">
        <v>0.03</v>
      </c>
      <c r="H25" s="55">
        <v>0.03</v>
      </c>
      <c r="I25" s="5"/>
      <c r="J25" s="269"/>
      <c r="K25" s="270"/>
      <c r="L25" s="270"/>
      <c r="M25" s="270"/>
      <c r="N25" s="270"/>
      <c r="O25" s="270"/>
      <c r="P25" s="271"/>
    </row>
    <row r="26" spans="1:16" x14ac:dyDescent="0.2">
      <c r="A26" s="9" t="s">
        <v>187</v>
      </c>
      <c r="B26" s="43">
        <v>450000</v>
      </c>
      <c r="C26" s="5"/>
      <c r="D26" s="5"/>
      <c r="E26" s="9" t="s">
        <v>188</v>
      </c>
      <c r="F26" s="40">
        <v>0.5</v>
      </c>
      <c r="G26" s="40">
        <v>0.45</v>
      </c>
      <c r="H26" s="40">
        <v>0.4</v>
      </c>
      <c r="I26" s="5"/>
      <c r="J26" s="269"/>
      <c r="K26" s="270"/>
      <c r="L26" s="270"/>
      <c r="M26" s="270"/>
      <c r="N26" s="270"/>
      <c r="O26" s="270"/>
      <c r="P26" s="271"/>
    </row>
    <row r="27" spans="1:16" x14ac:dyDescent="0.2">
      <c r="A27" s="9" t="s">
        <v>189</v>
      </c>
      <c r="B27" s="43">
        <v>450000</v>
      </c>
      <c r="C27" s="5"/>
      <c r="D27" s="5"/>
      <c r="E27" s="9" t="s">
        <v>190</v>
      </c>
      <c r="F27" s="44">
        <v>5</v>
      </c>
      <c r="G27" s="44">
        <v>5</v>
      </c>
      <c r="H27" s="44">
        <v>4</v>
      </c>
      <c r="I27" s="5"/>
      <c r="J27" s="269"/>
      <c r="K27" s="270"/>
      <c r="L27" s="270"/>
      <c r="M27" s="270"/>
      <c r="N27" s="270"/>
      <c r="O27" s="270"/>
      <c r="P27" s="271"/>
    </row>
    <row r="28" spans="1:16" x14ac:dyDescent="0.2">
      <c r="A28" s="9" t="s">
        <v>191</v>
      </c>
      <c r="B28" s="47">
        <v>0.45296631451355779</v>
      </c>
      <c r="C28" s="5"/>
      <c r="D28" s="5"/>
      <c r="E28" s="9" t="s">
        <v>192</v>
      </c>
      <c r="F28" s="40"/>
      <c r="G28" s="40"/>
      <c r="H28" s="40"/>
      <c r="I28" s="5"/>
      <c r="J28" s="269"/>
      <c r="K28" s="270"/>
      <c r="L28" s="270"/>
      <c r="M28" s="270"/>
      <c r="N28" s="270"/>
      <c r="O28" s="270"/>
      <c r="P28" s="271"/>
    </row>
    <row r="29" spans="1:16" x14ac:dyDescent="0.2">
      <c r="A29" s="9" t="s">
        <v>193</v>
      </c>
      <c r="B29" s="47">
        <v>0.27087743505121059</v>
      </c>
      <c r="C29" s="5"/>
      <c r="D29" s="5"/>
      <c r="E29" s="5"/>
      <c r="F29" s="5"/>
      <c r="G29" s="5"/>
      <c r="H29" s="5"/>
      <c r="I29" s="5"/>
      <c r="J29" s="269"/>
      <c r="K29" s="270"/>
      <c r="L29" s="270"/>
      <c r="M29" s="270"/>
      <c r="N29" s="270"/>
      <c r="O29" s="270"/>
      <c r="P29" s="271"/>
    </row>
    <row r="30" spans="1:16" x14ac:dyDescent="0.2">
      <c r="A30" s="9" t="s">
        <v>194</v>
      </c>
      <c r="B30" s="51">
        <v>4</v>
      </c>
      <c r="C30" s="5"/>
      <c r="D30" s="5"/>
      <c r="E30" s="5"/>
      <c r="F30" s="5"/>
      <c r="G30" s="5"/>
      <c r="H30" s="5"/>
      <c r="I30" s="5"/>
      <c r="J30" s="269"/>
      <c r="K30" s="270"/>
      <c r="L30" s="270"/>
      <c r="M30" s="270"/>
      <c r="N30" s="270"/>
      <c r="O30" s="270"/>
      <c r="P30" s="271"/>
    </row>
    <row r="31" spans="1:16" x14ac:dyDescent="0.2">
      <c r="A31" s="9" t="s">
        <v>195</v>
      </c>
      <c r="B31" s="47">
        <v>0</v>
      </c>
      <c r="C31" s="5"/>
      <c r="D31" s="5"/>
      <c r="E31" s="5"/>
      <c r="F31" s="5"/>
      <c r="G31" s="5"/>
      <c r="H31" s="5"/>
      <c r="I31" s="5"/>
      <c r="J31" s="272"/>
      <c r="K31" s="264"/>
      <c r="L31" s="264"/>
      <c r="M31" s="264"/>
      <c r="N31" s="264"/>
      <c r="O31" s="264"/>
      <c r="P31" s="265"/>
    </row>
    <row r="32" spans="1:16" x14ac:dyDescent="0.2">
      <c r="A32" s="9" t="s">
        <v>196</v>
      </c>
      <c r="B32" s="47">
        <v>0.12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9" t="s">
        <v>197</v>
      </c>
      <c r="B33" s="204">
        <v>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9" t="s">
        <v>198</v>
      </c>
      <c r="B34" s="204">
        <v>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">
      <c r="A35" s="9" t="s">
        <v>199</v>
      </c>
      <c r="B35" s="47">
        <v>0.03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">
      <c r="A36" s="9" t="s">
        <v>200</v>
      </c>
      <c r="B36" s="47">
        <v>0.03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</sheetData>
  <mergeCells count="6">
    <mergeCell ref="A21:B21"/>
    <mergeCell ref="J13:P22"/>
    <mergeCell ref="A1:P1"/>
    <mergeCell ref="J4:P12"/>
    <mergeCell ref="J24:P31"/>
    <mergeCell ref="A2:P2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E7672"/>
  </sheetPr>
  <dimension ref="A1:BM59"/>
  <sheetViews>
    <sheetView showGridLines="0" zoomScale="90" workbookViewId="0">
      <pane ySplit="18" topLeftCell="A19" activePane="bottomLeft" state="frozen"/>
      <selection pane="bottomLeft" activeCell="AK28" sqref="AK28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12" customWidth="1"/>
    <col min="4" max="4" width="14" customWidth="1"/>
    <col min="5" max="5" width="12" customWidth="1"/>
    <col min="6" max="6" width="14" customWidth="1"/>
    <col min="7" max="7" width="15" customWidth="1"/>
    <col min="8" max="8" width="14" customWidth="1"/>
    <col min="9" max="10" width="12" customWidth="1"/>
    <col min="11" max="11" width="13" customWidth="1"/>
    <col min="12" max="13" width="11" customWidth="1"/>
    <col min="14" max="14" width="15" customWidth="1"/>
    <col min="15" max="15" width="13" customWidth="1"/>
    <col min="16" max="16" width="12" customWidth="1"/>
    <col min="17" max="17" width="15" customWidth="1"/>
    <col min="18" max="18" width="14" customWidth="1"/>
    <col min="19" max="19" width="11" customWidth="1"/>
    <col min="20" max="21" width="14" customWidth="1"/>
    <col min="22" max="23" width="16" customWidth="1"/>
    <col min="24" max="24" width="15" customWidth="1"/>
    <col min="25" max="25" width="16" customWidth="1"/>
    <col min="26" max="26" width="14" customWidth="1"/>
    <col min="27" max="28" width="15" customWidth="1"/>
    <col min="29" max="30" width="13" customWidth="1"/>
    <col min="31" max="32" width="15" customWidth="1"/>
    <col min="33" max="33" width="14" customWidth="1"/>
    <col min="34" max="34" width="13" customWidth="1"/>
    <col min="35" max="35" width="16" customWidth="1"/>
    <col min="36" max="37" width="14" customWidth="1"/>
    <col min="38" max="39" width="12" customWidth="1"/>
    <col min="40" max="40" width="8" customWidth="1"/>
    <col min="41" max="41" width="12" customWidth="1"/>
    <col min="42" max="42" width="11" customWidth="1"/>
    <col min="43" max="45" width="14" customWidth="1"/>
    <col min="46" max="46" width="13" customWidth="1"/>
    <col min="47" max="47" width="14" customWidth="1"/>
    <col min="48" max="49" width="12" customWidth="1"/>
    <col min="50" max="50" width="13" customWidth="1"/>
    <col min="51" max="53" width="14" customWidth="1"/>
    <col min="54" max="54" width="16" customWidth="1"/>
    <col min="55" max="55" width="15" customWidth="1"/>
    <col min="56" max="56" width="18" customWidth="1"/>
    <col min="57" max="57" width="22" customWidth="1"/>
    <col min="58" max="58" width="18" customWidth="1"/>
    <col min="59" max="59" width="22" customWidth="1"/>
    <col min="60" max="60" width="14" customWidth="1"/>
    <col min="61" max="61" width="28" customWidth="1"/>
    <col min="62" max="62" width="19" customWidth="1"/>
    <col min="63" max="63" width="22" customWidth="1"/>
    <col min="64" max="64" width="16" customWidth="1"/>
    <col min="65" max="65" width="18" customWidth="1"/>
  </cols>
  <sheetData>
    <row r="1" spans="1:54" ht="30" customHeight="1" x14ac:dyDescent="0.2">
      <c r="A1" s="317" t="s">
        <v>201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</row>
    <row r="2" spans="1:54" ht="22" customHeight="1" x14ac:dyDescent="0.2">
      <c r="A2" s="315" t="s">
        <v>202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</row>
    <row r="4" spans="1:54" ht="25" customHeight="1" x14ac:dyDescent="0.2">
      <c r="A4" s="7" t="s">
        <v>203</v>
      </c>
      <c r="B4" s="1"/>
      <c r="C4" s="1"/>
      <c r="D4" s="2"/>
      <c r="F4" s="8" t="s">
        <v>204</v>
      </c>
      <c r="G4" s="1"/>
      <c r="H4" s="1"/>
      <c r="I4" s="1"/>
      <c r="J4" s="1"/>
      <c r="K4" s="2"/>
      <c r="M4" s="56" t="s">
        <v>205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  <c r="AN4" s="318" t="s">
        <v>206</v>
      </c>
      <c r="AO4" s="270"/>
      <c r="AP4" s="270"/>
      <c r="AQ4" s="270"/>
      <c r="AR4" s="270"/>
      <c r="AS4" s="270"/>
      <c r="AT4" s="270"/>
      <c r="AU4" s="270"/>
      <c r="AV4" s="270"/>
      <c r="AW4" s="270"/>
      <c r="AX4" s="270"/>
      <c r="AY4" s="270"/>
      <c r="AZ4" s="270"/>
      <c r="BA4" s="270"/>
      <c r="BB4" s="270"/>
    </row>
    <row r="5" spans="1:54" x14ac:dyDescent="0.2">
      <c r="A5" s="57" t="s">
        <v>147</v>
      </c>
      <c r="B5" s="58" t="str">
        <f>'Model Inputs'!$B$5</f>
        <v>Single</v>
      </c>
      <c r="C5" s="6"/>
      <c r="D5" s="12"/>
      <c r="F5" s="316" t="s">
        <v>207</v>
      </c>
      <c r="G5" s="244"/>
      <c r="H5" s="244"/>
      <c r="I5" s="244"/>
      <c r="J5" s="244"/>
      <c r="K5" s="245"/>
      <c r="M5" s="316" t="s">
        <v>208</v>
      </c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5"/>
      <c r="AN5" s="315" t="s">
        <v>209</v>
      </c>
      <c r="AO5" s="270"/>
      <c r="AP5" s="270"/>
      <c r="AQ5" s="270"/>
      <c r="AR5" s="270"/>
      <c r="AS5" s="270"/>
      <c r="AT5" s="270"/>
      <c r="AU5" s="270"/>
      <c r="AV5" s="270"/>
      <c r="AW5" s="270"/>
      <c r="AX5" s="270"/>
      <c r="AY5" s="270"/>
      <c r="AZ5" s="270"/>
      <c r="BA5" s="270"/>
      <c r="BB5" s="270"/>
    </row>
    <row r="6" spans="1:54" x14ac:dyDescent="0.2">
      <c r="A6" s="57" t="s">
        <v>149</v>
      </c>
      <c r="B6" s="58" t="str">
        <f>'Model Inputs'!$B$6</f>
        <v>New York City</v>
      </c>
      <c r="C6" s="6"/>
      <c r="D6" s="12"/>
      <c r="F6" s="316" t="s">
        <v>210</v>
      </c>
      <c r="G6" s="244"/>
      <c r="H6" s="244"/>
      <c r="I6" s="244"/>
      <c r="J6" s="244"/>
      <c r="K6" s="245"/>
      <c r="M6" s="316" t="s">
        <v>211</v>
      </c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5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0"/>
      <c r="AZ6" s="270"/>
      <c r="BA6" s="270"/>
      <c r="BB6" s="270"/>
    </row>
    <row r="7" spans="1:54" x14ac:dyDescent="0.2">
      <c r="A7" s="57" t="s">
        <v>151</v>
      </c>
      <c r="B7" s="59">
        <f>'Model Inputs'!$B$7</f>
        <v>150000</v>
      </c>
      <c r="C7" s="6"/>
      <c r="D7" s="12"/>
      <c r="F7" s="316" t="s">
        <v>212</v>
      </c>
      <c r="G7" s="244"/>
      <c r="H7" s="244"/>
      <c r="I7" s="244"/>
      <c r="J7" s="244"/>
      <c r="K7" s="245"/>
      <c r="M7" s="316" t="s">
        <v>213</v>
      </c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5"/>
    </row>
    <row r="8" spans="1:54" x14ac:dyDescent="0.2">
      <c r="A8" s="57" t="s">
        <v>153</v>
      </c>
      <c r="B8" s="59">
        <f>'Model Inputs'!$B$8</f>
        <v>0</v>
      </c>
      <c r="C8" s="6"/>
      <c r="D8" s="12"/>
      <c r="F8" s="316" t="s">
        <v>214</v>
      </c>
      <c r="G8" s="244"/>
      <c r="H8" s="244"/>
      <c r="I8" s="244"/>
      <c r="J8" s="244"/>
      <c r="K8" s="245"/>
      <c r="M8" s="316" t="s">
        <v>215</v>
      </c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5"/>
    </row>
    <row r="9" spans="1:54" x14ac:dyDescent="0.2">
      <c r="A9" s="57" t="s">
        <v>155</v>
      </c>
      <c r="B9" s="59">
        <f>'Model Inputs'!$B$9</f>
        <v>0</v>
      </c>
      <c r="C9" s="6"/>
      <c r="D9" s="12"/>
      <c r="F9" s="316" t="s">
        <v>216</v>
      </c>
      <c r="G9" s="244"/>
      <c r="H9" s="244"/>
      <c r="I9" s="244"/>
      <c r="J9" s="244"/>
      <c r="K9" s="245"/>
      <c r="M9" s="316" t="s">
        <v>217</v>
      </c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5"/>
    </row>
    <row r="10" spans="1:54" x14ac:dyDescent="0.2">
      <c r="A10" s="57" t="s">
        <v>157</v>
      </c>
      <c r="B10" s="59">
        <f>'Model Inputs'!$B$10</f>
        <v>0</v>
      </c>
      <c r="C10" s="6"/>
      <c r="D10" s="12"/>
      <c r="F10" s="316" t="s">
        <v>218</v>
      </c>
      <c r="G10" s="244"/>
      <c r="H10" s="244"/>
      <c r="I10" s="244"/>
      <c r="J10" s="244"/>
      <c r="K10" s="245"/>
      <c r="M10" s="316" t="s">
        <v>219</v>
      </c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5"/>
    </row>
    <row r="11" spans="1:54" x14ac:dyDescent="0.2">
      <c r="A11" s="57" t="s">
        <v>220</v>
      </c>
      <c r="B11" s="59">
        <f>SUM(B7:B10)</f>
        <v>150000</v>
      </c>
      <c r="C11" s="6"/>
      <c r="D11" s="12"/>
      <c r="F11" s="316" t="s">
        <v>221</v>
      </c>
      <c r="G11" s="244"/>
      <c r="H11" s="244"/>
      <c r="I11" s="244"/>
      <c r="J11" s="244"/>
      <c r="K11" s="245"/>
      <c r="M11" s="316" t="s">
        <v>222</v>
      </c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5"/>
    </row>
    <row r="12" spans="1:54" x14ac:dyDescent="0.2">
      <c r="A12" s="57" t="s">
        <v>223</v>
      </c>
      <c r="B12" s="60">
        <f>IFERROR(LOOKUP(2,1/($C$19:$C$58="Working"),$A$19:$A$58),0)</f>
        <v>10</v>
      </c>
      <c r="C12" s="6"/>
      <c r="D12" s="12"/>
      <c r="F12" s="31"/>
      <c r="G12" s="6"/>
      <c r="H12" s="6"/>
      <c r="I12" s="6"/>
      <c r="J12" s="6"/>
      <c r="K12" s="12"/>
      <c r="M12" s="31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2"/>
    </row>
    <row r="13" spans="1:54" x14ac:dyDescent="0.2">
      <c r="A13" s="57" t="s">
        <v>158</v>
      </c>
      <c r="B13" s="59">
        <f>'Model Inputs'!$B$11</f>
        <v>200000</v>
      </c>
      <c r="C13" s="6"/>
      <c r="D13" s="12"/>
      <c r="F13" s="31"/>
      <c r="G13" s="6"/>
      <c r="H13" s="6"/>
      <c r="I13" s="6"/>
      <c r="J13" s="6"/>
      <c r="K13" s="12"/>
      <c r="M13" s="31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2"/>
    </row>
    <row r="14" spans="1:54" x14ac:dyDescent="0.2">
      <c r="A14" s="57" t="s">
        <v>160</v>
      </c>
      <c r="B14" s="61">
        <f>'Model Inputs'!$B$12</f>
        <v>0</v>
      </c>
      <c r="C14" s="6"/>
      <c r="D14" s="12"/>
      <c r="F14" s="31"/>
      <c r="G14" s="6"/>
      <c r="H14" s="6"/>
      <c r="I14" s="6"/>
      <c r="J14" s="6"/>
      <c r="K14" s="12"/>
      <c r="M14" s="31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2"/>
    </row>
    <row r="15" spans="1:54" x14ac:dyDescent="0.2">
      <c r="A15" s="57" t="s">
        <v>161</v>
      </c>
      <c r="B15" s="61">
        <f>'Model Inputs'!$B$13</f>
        <v>0.06</v>
      </c>
      <c r="C15" s="6"/>
      <c r="D15" s="12"/>
      <c r="F15" s="31"/>
      <c r="G15" s="6"/>
      <c r="H15" s="6"/>
      <c r="I15" s="6"/>
      <c r="J15" s="6"/>
      <c r="K15" s="12"/>
      <c r="M15" s="31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2"/>
    </row>
    <row r="16" spans="1:54" x14ac:dyDescent="0.2">
      <c r="A16" s="57" t="s">
        <v>164</v>
      </c>
      <c r="B16" s="61">
        <f>'Model Inputs'!$B$14</f>
        <v>0.08</v>
      </c>
      <c r="C16" s="6"/>
      <c r="D16" s="12"/>
      <c r="F16" s="31"/>
      <c r="G16" s="6"/>
      <c r="H16" s="6"/>
      <c r="I16" s="6"/>
      <c r="J16" s="6"/>
      <c r="K16" s="12"/>
      <c r="M16" s="3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2"/>
    </row>
    <row r="17" spans="1:65" x14ac:dyDescent="0.2">
      <c r="A17" s="62" t="s">
        <v>165</v>
      </c>
      <c r="B17" s="63">
        <f>'Model Inputs'!$B$15</f>
        <v>10</v>
      </c>
      <c r="C17" s="3"/>
      <c r="D17" s="4"/>
      <c r="F17" s="32"/>
      <c r="G17" s="3"/>
      <c r="H17" s="3"/>
      <c r="I17" s="3"/>
      <c r="J17" s="3"/>
      <c r="K17" s="4"/>
      <c r="M17" s="3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4"/>
    </row>
    <row r="18" spans="1:65" ht="42" customHeight="1" x14ac:dyDescent="0.2">
      <c r="A18" s="64" t="s">
        <v>224</v>
      </c>
      <c r="B18" s="64" t="s">
        <v>225</v>
      </c>
      <c r="C18" s="64" t="s">
        <v>106</v>
      </c>
      <c r="D18" s="64" t="s">
        <v>226</v>
      </c>
      <c r="E18" s="64" t="s">
        <v>98</v>
      </c>
      <c r="F18" s="64" t="s">
        <v>227</v>
      </c>
      <c r="G18" s="64" t="s">
        <v>228</v>
      </c>
      <c r="H18" s="64" t="s">
        <v>229</v>
      </c>
      <c r="I18" s="64" t="s">
        <v>230</v>
      </c>
      <c r="J18" s="64" t="s">
        <v>231</v>
      </c>
      <c r="K18" s="64" t="s">
        <v>232</v>
      </c>
      <c r="L18" s="64" t="s">
        <v>233</v>
      </c>
      <c r="M18" s="64" t="s">
        <v>234</v>
      </c>
      <c r="N18" s="64" t="s">
        <v>235</v>
      </c>
      <c r="O18" s="64" t="s">
        <v>236</v>
      </c>
      <c r="P18" s="64" t="s">
        <v>237</v>
      </c>
      <c r="Q18" s="64" t="s">
        <v>65</v>
      </c>
      <c r="R18" s="64" t="s">
        <v>66</v>
      </c>
      <c r="S18" s="64" t="s">
        <v>238</v>
      </c>
      <c r="T18" s="64" t="s">
        <v>239</v>
      </c>
      <c r="U18" s="64" t="s">
        <v>68</v>
      </c>
      <c r="V18" s="64" t="s">
        <v>240</v>
      </c>
      <c r="W18" s="64" t="s">
        <v>241</v>
      </c>
      <c r="X18" s="64" t="s">
        <v>242</v>
      </c>
      <c r="Y18" s="64" t="s">
        <v>243</v>
      </c>
      <c r="Z18" s="64" t="s">
        <v>244</v>
      </c>
      <c r="AA18" s="64" t="s">
        <v>245</v>
      </c>
      <c r="AB18" s="64" t="s">
        <v>246</v>
      </c>
      <c r="AC18" s="64" t="s">
        <v>247</v>
      </c>
      <c r="AD18" s="64" t="s">
        <v>248</v>
      </c>
      <c r="AE18" s="64" t="s">
        <v>71</v>
      </c>
      <c r="AF18" s="64" t="s">
        <v>249</v>
      </c>
      <c r="AG18" s="64" t="s">
        <v>250</v>
      </c>
      <c r="AH18" s="64" t="s">
        <v>251</v>
      </c>
      <c r="AI18" s="64" t="s">
        <v>252</v>
      </c>
      <c r="AJ18" s="64" t="s">
        <v>253</v>
      </c>
      <c r="AK18" s="64" t="s">
        <v>254</v>
      </c>
      <c r="AL18" s="64" t="s">
        <v>255</v>
      </c>
      <c r="AM18" s="64" t="s">
        <v>256</v>
      </c>
      <c r="AN18" s="64" t="s">
        <v>257</v>
      </c>
      <c r="AO18" s="64" t="s">
        <v>54</v>
      </c>
      <c r="AP18" s="64" t="s">
        <v>258</v>
      </c>
      <c r="AQ18" s="64" t="s">
        <v>259</v>
      </c>
      <c r="AR18" s="64" t="s">
        <v>260</v>
      </c>
      <c r="AS18" s="64" t="s">
        <v>261</v>
      </c>
      <c r="AT18" s="64" t="s">
        <v>55</v>
      </c>
      <c r="AU18" s="64" t="s">
        <v>56</v>
      </c>
      <c r="AV18" s="64" t="s">
        <v>262</v>
      </c>
      <c r="AW18" s="64" t="s">
        <v>263</v>
      </c>
      <c r="AX18" s="64" t="s">
        <v>264</v>
      </c>
      <c r="AY18" s="64" t="s">
        <v>58</v>
      </c>
      <c r="AZ18" s="64" t="s">
        <v>265</v>
      </c>
      <c r="BA18" s="64" t="s">
        <v>266</v>
      </c>
      <c r="BB18" s="64" t="s">
        <v>267</v>
      </c>
      <c r="BC18" s="64" t="s">
        <v>268</v>
      </c>
      <c r="BD18" s="64" t="s">
        <v>269</v>
      </c>
      <c r="BE18" s="64" t="s">
        <v>270</v>
      </c>
      <c r="BF18" s="64" t="s">
        <v>271</v>
      </c>
      <c r="BG18" s="64" t="s">
        <v>272</v>
      </c>
      <c r="BH18" s="64" t="s">
        <v>273</v>
      </c>
      <c r="BI18" s="64" t="s">
        <v>20</v>
      </c>
      <c r="BJ18" s="64" t="s">
        <v>59</v>
      </c>
      <c r="BK18" s="64" t="s">
        <v>274</v>
      </c>
      <c r="BL18" s="64" t="s">
        <v>275</v>
      </c>
      <c r="BM18" s="64" t="s">
        <v>276</v>
      </c>
    </row>
    <row r="19" spans="1:65" x14ac:dyDescent="0.2">
      <c r="A19" s="65">
        <v>1</v>
      </c>
      <c r="B19" s="66">
        <f t="shared" ref="B19:B58" si="0">IF(BB19="","",BB19)</f>
        <v>550000</v>
      </c>
      <c r="C19" s="65" t="str">
        <f t="shared" ref="C19:C58" si="1">IF(B19="","Retired","Working")</f>
        <v>Working</v>
      </c>
      <c r="D19" s="66">
        <f>IF(OR(C19="Retired",B19=""),0,MIN(B19,'Tax Assumptions'!$B$19))</f>
        <v>24500</v>
      </c>
      <c r="E19" s="49">
        <v>0</v>
      </c>
      <c r="F19" s="49">
        <v>0</v>
      </c>
      <c r="G19" s="66">
        <f>IF(C19="Working",MAX(B19-D19-E19-'Tax Assumptions'!$B$8,0),0)</f>
        <v>509400</v>
      </c>
      <c r="H19" s="66">
        <f>IF(G19=0,0,LOOKUP(G19,'Tax Assumptions'!$F$9:$F$15,'Tax Assumptions'!$I$9:$I$15)+(G19-LOOKUP(G19,'Tax Assumptions'!$F$9:$F$15,'Tax Assumptions'!$F$9:$F$15))*LOOKUP(G19,'Tax Assumptions'!$F$9:$F$15,'Tax Assumptions'!$H$9:$H$15))</f>
        <v>147059.25</v>
      </c>
      <c r="I19" s="66">
        <f>IF(C19="Working",MIN(MAX(B19-E19,0),'Tax Assumptions'!$B$11)*'Tax Assumptions'!$B$10,0)</f>
        <v>11439</v>
      </c>
      <c r="J19" s="66">
        <f>IF(C19="Working",MAX(B19-E19,0)*'Tax Assumptions'!$B$12,0)</f>
        <v>7975</v>
      </c>
      <c r="K19" s="66">
        <f>IF(C19="Working",MAX(MAX(B19-E19,0)-'Tax Assumptions'!$B$14,0)*'Tax Assumptions'!$B$13,0)</f>
        <v>3149.9999999999995</v>
      </c>
      <c r="L19" s="67">
        <f>IF(C19="Working",MIN(B19*'Tax Assumptions'!$B$15,'Tax Assumptions'!$B$16),0)</f>
        <v>411.91</v>
      </c>
      <c r="M19" s="67">
        <f>IF(C19="Working",MIN(B19*'Tax Assumptions'!$B$17,'Tax Assumptions'!$B$18),0)</f>
        <v>31.2</v>
      </c>
      <c r="N19" s="66">
        <f>IF(C19="Working",MAX(B19-D19-'Tax Assumptions'!$B$9,0),0)</f>
        <v>517500</v>
      </c>
      <c r="O19" s="66">
        <f>IF(N19=0,0,LOOKUP(N19,'Tax Assumptions'!$K$9:$K$17,'Tax Assumptions'!$N$9:$N$17)+(N19-LOOKUP(N19,'Tax Assumptions'!$K$9:$K$17,'Tax Assumptions'!$K$9:$K$17))*LOOKUP(N19,'Tax Assumptions'!$K$9:$K$17,'Tax Assumptions'!$M$9:$M$17))</f>
        <v>32834.700000000004</v>
      </c>
      <c r="P19" s="66">
        <f>IF(N19=0,0,LOOKUP(N19,'Tax Assumptions'!$P$9:$P$12,'Tax Assumptions'!$S$9:$S$12)+(N19-LOOKUP(N19,'Tax Assumptions'!$P$9:$P$12,'Tax Assumptions'!$P$9:$P$12))*LOOKUP(N19,'Tax Assumptions'!$P$9:$P$12,'Tax Assumptions'!$R$9:$R$12))</f>
        <v>19933.47</v>
      </c>
      <c r="Q19" s="66">
        <f t="shared" ref="Q19:Q58" si="2">H19+I19+J19+K19+L19+M19+O19+P19</f>
        <v>222834.53000000003</v>
      </c>
      <c r="R19" s="66">
        <f t="shared" ref="R19:R58" si="3">IF(C19="Working",B19-D19-E19-F19-Q19,0)</f>
        <v>302665.46999999997</v>
      </c>
      <c r="S19" s="49">
        <f>IF(C19="Working",IF(BL19="","",BL19*(1+'Model Inputs'!$B$35)^(AN19-1)),"")</f>
        <v>78000</v>
      </c>
      <c r="T19" s="49">
        <f>IF(C19="Working",IF(BM19="","",BM19*(1+'Model Inputs'!$B$36)^(AN19-1)),"")</f>
        <v>40000</v>
      </c>
      <c r="U19" s="66">
        <f t="shared" ref="U19:U58" si="4">IF(C19="Working",R19-S19-T19,0)</f>
        <v>184665.46999999997</v>
      </c>
      <c r="V19" s="66">
        <f>IF(C19="Working",MIN(MAX(U19,0),'Tax Assumptions'!$B$20),0)</f>
        <v>7500</v>
      </c>
      <c r="W19" s="66">
        <f t="shared" ref="W19:W58" si="5">IF(C19="Working",U19-V19,0)</f>
        <v>177165.46999999997</v>
      </c>
      <c r="X19" s="66">
        <f t="shared" ref="X19:X58" si="6">IF(C19="Working",W19+V19+D19+E19,0)</f>
        <v>209165.46999999997</v>
      </c>
      <c r="Y19" s="66">
        <f t="shared" ref="Y19:Y58" si="7">IF(C19="Retired",$B$13,0)</f>
        <v>0</v>
      </c>
      <c r="Z19" s="66">
        <f t="shared" ref="Z19:Z58" si="8">AA19+AB19+AC19+AD19</f>
        <v>0</v>
      </c>
      <c r="AA19" s="66">
        <f>IF(C19="Retired",MIN(Y19,(($B$7)*(1+$B$15)+IF(C19="Working",W19,0))),0)</f>
        <v>0</v>
      </c>
      <c r="AB19" s="66">
        <f>IF(C19="Retired",MIN(MAX(Y19-AA19,0),(($B$8)*(1+$B$15)+IF(C19="Working",D19,0))),0)</f>
        <v>0</v>
      </c>
      <c r="AC19" s="66">
        <f>IF(C19="Retired",MIN(MAX(Y19-AA19-AB19,0),(($B$9)*(1+$B$15)+IF(C19="Working",V19,0))),0)</f>
        <v>0</v>
      </c>
      <c r="AD19" s="66">
        <f>IF(C19="Retired",MIN(MAX(Y19-AA19-AB19-AC19,0),(($B$10)*(1+$B$15)+IF(C19="Working",E19,0))),0)</f>
        <v>0</v>
      </c>
      <c r="AE19" s="68">
        <f>MAX((($B$7)*(1+$B$15)+IF(C19="Working",W19,0))-AA19,0)</f>
        <v>336165.47</v>
      </c>
      <c r="AF19" s="68">
        <f>MAX((($B$8)*(1+$B$15)+IF(C19="Working",D19,0))-AB19,0)</f>
        <v>24500</v>
      </c>
      <c r="AG19" s="68">
        <f>MAX((($B$9)*(1+$B$15)+IF(C19="Working",V19,0))-AC19,0)</f>
        <v>7500</v>
      </c>
      <c r="AH19" s="68">
        <f>MAX((($B$10)*(1+$B$15)+IF(C19="Working",E19,0))-AD19,0)</f>
        <v>0</v>
      </c>
      <c r="AI19" s="68">
        <f t="shared" ref="AI19:AI58" si="9">AE19+AF19+AG19+AH19</f>
        <v>368165.47</v>
      </c>
      <c r="AJ19" s="68">
        <f>IF(C19="Working",SUM($B$7:$B$10)+X19,MAX(SUM($B$7:$B$10)-MIN(Y19,SUM($B$7:$B$10)),0))</f>
        <v>359165.47</v>
      </c>
      <c r="AK19" s="68">
        <f>IF(C19="Working",SUM($B$7:$B$10)*(1+$B$16)+X19,MAX(SUM($B$7:$B$10)*(1+$B$16)-MIN(Y19,SUM($B$7:$B$10)*(1+$B$16)),0))</f>
        <v>371165.47</v>
      </c>
      <c r="AL19" s="69">
        <f t="shared" ref="AL19:AL58" si="10">IF(C19="Working",IF(B19=0,0,W19/B19),0)</f>
        <v>0.32211903636363631</v>
      </c>
      <c r="AM19" s="69">
        <f t="shared" ref="AM19:AM58" si="11">IF(C19="Working",IF(B19=0,0,X19/B19),0)</f>
        <v>0.38030085454545448</v>
      </c>
      <c r="AN19" s="203">
        <f t="shared" ref="AN19:AN58" si="12">A19</f>
        <v>1</v>
      </c>
      <c r="AO19" s="203">
        <f>'Model Inputs'!$B$22+AN19-1</f>
        <v>2026</v>
      </c>
      <c r="AP19" s="41">
        <f>IF(AND(AQ19="",AR19="",AX19="",BA19="",BC19=""),"",IF(AN19=1,(13-'Model Inputs'!$B$23)/12,1))</f>
        <v>0.33333333333333331</v>
      </c>
      <c r="AQ19" s="49">
        <f>IF(OR(AN19&lt;='Model Inputs'!$B$24,AR19&lt;&gt;"",AX19&lt;&gt;"",BA19&lt;&gt;"",BC19&lt;&gt;""),'Model Inputs'!$B$25*(1+'Model Inputs'!$B$31)^(AN19-1),"")</f>
        <v>300000</v>
      </c>
      <c r="AR19" s="49"/>
      <c r="AS19" s="49">
        <f t="shared" ref="AS19:AS58" si="13">IF(AP19="","",IF(AR19="",AQ19,AR19))</f>
        <v>300000</v>
      </c>
      <c r="AT19" s="49">
        <f t="shared" ref="AT19:AT58" si="14">IF(AS19="","",AP19*AS19)</f>
        <v>100000</v>
      </c>
      <c r="AU19" s="49">
        <f>IF(AP19="","",IF(AN19=1,(13-'Model Inputs'!$B$23)/12*'Model Inputs'!$B$27,IF(AN19=2,'Model Inputs'!$B$27,IF(AN19&lt;=MAX(3,'Model Inputs'!$B$30+1),'Model Inputs'!$B$27*(1+'Model Inputs'!$B$28)^(AN19-3),'Model Inputs'!$B$27*(1+'Model Inputs'!$B$28)^(MAX(3,'Model Inputs'!$B$30+1)-3)*(1+'Model Inputs'!$B$29)^(AN19-MAX(3,'Model Inputs'!$B$30+1))))))</f>
        <v>150000</v>
      </c>
      <c r="AV19" s="41">
        <f>IF(AU19="","",IF(AN19&lt;=2,0,'Model Inputs'!$B$32*SIN(2*PI()*(AN19-3+'Model Inputs'!$B$34)/MAX(1,'Model Inputs'!$B$33))))</f>
        <v>0</v>
      </c>
      <c r="AW19" s="41"/>
      <c r="AX19" s="49">
        <v>150000</v>
      </c>
      <c r="AY19" s="49">
        <f t="shared" ref="AY19:AY30" si="15">IF(AP19="","",IF(AX19&lt;&gt;"",AX19,AU19*(1+IF(AW19="",AV19,AW19))))</f>
        <v>150000</v>
      </c>
      <c r="AZ19" s="49">
        <f>IF(AN19=1,'Model Inputs'!$B$26,"")</f>
        <v>450000</v>
      </c>
      <c r="BA19" s="49">
        <v>0</v>
      </c>
      <c r="BB19" s="49">
        <f t="shared" ref="BB19:BB30" si="16">IF(AND(AS19="",BJ19="",AZ19="",BA19="",BC19="",BD19=""),"",IF(BD19&lt;&gt;"",BD19,IF(BC19&lt;&gt;"",BC19,AT19+IF(BJ19="",0,BJ19)+IF(AZ19="",0,AZ19)+IF(BA19="",0,BA19))))</f>
        <v>550000</v>
      </c>
      <c r="BC19" s="49"/>
      <c r="BD19" s="207" t="str">
        <f>IF(AND(BF19="",BG19=""),"",IF(BF19&lt;&gt;"",BF19,IF(AT19="",0,AT19))+IF(BG19&lt;&gt;"",BG19,IF(AZ19="",0,AZ19)+IF(BA19="",0,BA19)))</f>
        <v/>
      </c>
      <c r="BE19" s="208"/>
      <c r="BF19" s="208"/>
      <c r="BG19" s="208"/>
      <c r="BH19" s="209"/>
      <c r="BI19" s="210"/>
      <c r="BJ19" s="207">
        <f>IF(AP19="","",0)</f>
        <v>0</v>
      </c>
      <c r="BK19" s="207">
        <f>IF(AP19="","",IF(AY19="",0,AY19))</f>
        <v>150000</v>
      </c>
      <c r="BL19" s="211">
        <v>78000</v>
      </c>
      <c r="BM19" s="211">
        <v>40000</v>
      </c>
    </row>
    <row r="20" spans="1:65" x14ac:dyDescent="0.2">
      <c r="A20" s="70">
        <v>2</v>
      </c>
      <c r="B20" s="71">
        <f t="shared" si="0"/>
        <v>412500</v>
      </c>
      <c r="C20" s="70" t="str">
        <f t="shared" si="1"/>
        <v>Working</v>
      </c>
      <c r="D20" s="71">
        <f>IF(OR(C20="Retired",B20=""),0,MIN(B20,'Tax Assumptions'!$B$19))</f>
        <v>24500</v>
      </c>
      <c r="E20" s="49">
        <v>0</v>
      </c>
      <c r="F20" s="49">
        <v>0</v>
      </c>
      <c r="G20" s="71">
        <f>IF(C20="Working",MAX(B20-D20-E20-'Tax Assumptions'!$B$8,0),0)</f>
        <v>371900</v>
      </c>
      <c r="H20" s="71">
        <f>IF(G20=0,0,LOOKUP(G20,'Tax Assumptions'!$F$9:$F$15,'Tax Assumptions'!$I$9:$I$15)+(G20-LOOKUP(G20,'Tax Assumptions'!$F$9:$F$15,'Tax Assumptions'!$F$9:$F$15))*LOOKUP(G20,'Tax Assumptions'!$F$9:$F$15,'Tax Assumptions'!$H$9:$H$15))</f>
        <v>98934.25</v>
      </c>
      <c r="I20" s="71">
        <f>IF(C20="Working",MIN(MAX(B20-E20,0),'Tax Assumptions'!$B$11)*'Tax Assumptions'!$B$10,0)</f>
        <v>11439</v>
      </c>
      <c r="J20" s="71">
        <f>IF(C20="Working",MAX(B20-E20,0)*'Tax Assumptions'!$B$12,0)</f>
        <v>5981.25</v>
      </c>
      <c r="K20" s="71">
        <f>IF(C20="Working",MAX(MAX(B20-E20,0)-'Tax Assumptions'!$B$14,0)*'Tax Assumptions'!$B$13,0)</f>
        <v>1912.4999999999998</v>
      </c>
      <c r="L20" s="72">
        <f>IF(C20="Working",MIN(B20*'Tax Assumptions'!$B$15,'Tax Assumptions'!$B$16),0)</f>
        <v>411.91</v>
      </c>
      <c r="M20" s="72">
        <f>IF(C20="Working",MIN(B20*'Tax Assumptions'!$B$17,'Tax Assumptions'!$B$18),0)</f>
        <v>31.2</v>
      </c>
      <c r="N20" s="71">
        <f>IF(C20="Working",MAX(B20-D20-'Tax Assumptions'!$B$9,0),0)</f>
        <v>380000</v>
      </c>
      <c r="O20" s="71">
        <f>IF(N20=0,0,LOOKUP(N20,'Tax Assumptions'!$K$9:$K$17,'Tax Assumptions'!$N$9:$N$17)+(N20-LOOKUP(N20,'Tax Assumptions'!$K$9:$K$17,'Tax Assumptions'!$K$9:$K$17))*LOOKUP(N20,'Tax Assumptions'!$K$9:$K$17,'Tax Assumptions'!$M$9:$M$17))</f>
        <v>23415.95</v>
      </c>
      <c r="P20" s="71">
        <f>IF(N20=0,0,LOOKUP(N20,'Tax Assumptions'!$P$9:$P$12,'Tax Assumptions'!$S$9:$S$12)+(N20-LOOKUP(N20,'Tax Assumptions'!$P$9:$P$12,'Tax Assumptions'!$P$9:$P$12))*LOOKUP(N20,'Tax Assumptions'!$P$9:$P$12,'Tax Assumptions'!$R$9:$R$12))</f>
        <v>14603.970000000001</v>
      </c>
      <c r="Q20" s="71">
        <f t="shared" si="2"/>
        <v>156730.03</v>
      </c>
      <c r="R20" s="71">
        <f t="shared" si="3"/>
        <v>231269.97</v>
      </c>
      <c r="S20" s="49">
        <f>IF(C20="Working",IF(BL20="","",BL20*(1+'Model Inputs'!$B$35)^(AN20-1)),"")</f>
        <v>80340</v>
      </c>
      <c r="T20" s="49">
        <f>IF(C20="Working",IF(BM20="","",BM20*(1+'Model Inputs'!$B$36)^(AN20-1)),"")</f>
        <v>41200</v>
      </c>
      <c r="U20" s="71">
        <f t="shared" si="4"/>
        <v>109729.97</v>
      </c>
      <c r="V20" s="71">
        <f>IF(C20="Working",MIN(MAX(U20,0),'Tax Assumptions'!$B$20),0)</f>
        <v>7500</v>
      </c>
      <c r="W20" s="71">
        <f t="shared" si="5"/>
        <v>102229.97</v>
      </c>
      <c r="X20" s="71">
        <f t="shared" si="6"/>
        <v>134229.97</v>
      </c>
      <c r="Y20" s="71">
        <f t="shared" si="7"/>
        <v>0</v>
      </c>
      <c r="Z20" s="71">
        <f t="shared" si="8"/>
        <v>0</v>
      </c>
      <c r="AA20" s="71">
        <f t="shared" ref="AA20:AA58" si="17">IF(C20="Retired",MIN(Y20,((AE19)*(1+$B$15)+IF(C20="Working",W20,0))),0)</f>
        <v>0</v>
      </c>
      <c r="AB20" s="71">
        <f t="shared" ref="AB20:AB58" si="18">IF(C20="Retired",MIN(MAX(Y20-AA20,0),((AF19)*(1+$B$15)+IF(C20="Working",D20,0))),0)</f>
        <v>0</v>
      </c>
      <c r="AC20" s="71">
        <f t="shared" ref="AC20:AC58" si="19">IF(C20="Retired",MIN(MAX(Y20-AA20-AB20,0),((AG19)*(1+$B$15)+IF(C20="Working",V20,0))),0)</f>
        <v>0</v>
      </c>
      <c r="AD20" s="71">
        <f t="shared" ref="AD20:AD58" si="20">IF(C20="Retired",MIN(MAX(Y20-AA20-AB20-AC20,0),((AH19)*(1+$B$15)+IF(C20="Working",E20,0))),0)</f>
        <v>0</v>
      </c>
      <c r="AE20" s="68">
        <f t="shared" ref="AE20:AE58" si="21">MAX(((AE19)*(1+$B$15)+IF(C20="Working",W20,0))-AA20,0)</f>
        <v>458565.36820000003</v>
      </c>
      <c r="AF20" s="68">
        <f t="shared" ref="AF20:AF58" si="22">MAX(((AF19)*(1+$B$15)+IF(C20="Working",D20,0))-AB20,0)</f>
        <v>50470</v>
      </c>
      <c r="AG20" s="68">
        <f t="shared" ref="AG20:AG58" si="23">MAX(((AG19)*(1+$B$15)+IF(C20="Working",V20,0))-AC20,0)</f>
        <v>15450</v>
      </c>
      <c r="AH20" s="68">
        <f t="shared" ref="AH20:AH58" si="24">MAX(((AH19)*(1+$B$15)+IF(C20="Working",E20,0))-AD20,0)</f>
        <v>0</v>
      </c>
      <c r="AI20" s="68">
        <f t="shared" si="9"/>
        <v>524485.36820000003</v>
      </c>
      <c r="AJ20" s="68">
        <f t="shared" ref="AJ20:AJ58" si="25">IF(C20="Working",AJ19+X20,MAX(AJ19-MIN(Y20,AJ19),0))</f>
        <v>493395.43999999994</v>
      </c>
      <c r="AK20" s="68">
        <f t="shared" ref="AK20:AK58" si="26">IF(C20="Working",AK19*(1+$B$16)+X20,MAX(AK19*(1+$B$16)-MIN(Y20,AK19*(1+$B$16)),0))</f>
        <v>535088.67760000005</v>
      </c>
      <c r="AL20" s="73">
        <f t="shared" si="10"/>
        <v>0.24783023030303031</v>
      </c>
      <c r="AM20" s="73">
        <f t="shared" si="11"/>
        <v>0.32540598787878788</v>
      </c>
      <c r="AN20" s="203">
        <f t="shared" si="12"/>
        <v>2</v>
      </c>
      <c r="AO20" s="203">
        <f>'Model Inputs'!$B$22+AN20-1</f>
        <v>2027</v>
      </c>
      <c r="AP20" s="41">
        <f>IF(AND(AQ20="",AR20="",AX20="",BA20="",BC20=""),"",IF(AN20=1,(13-'Model Inputs'!$B$23)/12,1))</f>
        <v>1</v>
      </c>
      <c r="AQ20" s="49">
        <f>IF(OR(AN20&lt;='Model Inputs'!$B$24,AR20&lt;&gt;"",AX20&lt;&gt;"",BA20&lt;&gt;"",BC20&lt;&gt;""),'Model Inputs'!$B$25*(1+'Model Inputs'!$B$31)^(AN20-1),"")</f>
        <v>300000</v>
      </c>
      <c r="AR20" s="49"/>
      <c r="AS20" s="49">
        <f t="shared" si="13"/>
        <v>300000</v>
      </c>
      <c r="AT20" s="49">
        <f t="shared" si="14"/>
        <v>300000</v>
      </c>
      <c r="AU20" s="49">
        <f>IF(AP20="","",IF(AN20=1,(13-'Model Inputs'!$B$23)/12*'Model Inputs'!$B$27,IF(AN20=2,'Model Inputs'!$B$27,IF(AN20&lt;=MAX(3,'Model Inputs'!$B$30+1),'Model Inputs'!$B$27*(1+'Model Inputs'!$B$28)^(AN20-3),'Model Inputs'!$B$27*(1+'Model Inputs'!$B$28)^(MAX(3,'Model Inputs'!$B$30+1)-3)*(1+'Model Inputs'!$B$29)^(AN20-MAX(3,'Model Inputs'!$B$30+1))))))</f>
        <v>450000</v>
      </c>
      <c r="AV20" s="41">
        <f>IF(AU20="","",IF(AN20&lt;=2,0,'Model Inputs'!$B$32*SIN(2*PI()*(AN20-3+'Model Inputs'!$B$34)/MAX(1,'Model Inputs'!$B$33))))</f>
        <v>0</v>
      </c>
      <c r="AW20" s="41"/>
      <c r="AX20" s="49">
        <v>450000</v>
      </c>
      <c r="AY20" s="49">
        <f t="shared" si="15"/>
        <v>450000</v>
      </c>
      <c r="AZ20" s="49" t="str">
        <f>IF(AN20=1,'Model Inputs'!$B$26,"")</f>
        <v/>
      </c>
      <c r="BA20" s="49">
        <v>0</v>
      </c>
      <c r="BB20" s="49">
        <f t="shared" si="16"/>
        <v>412500</v>
      </c>
      <c r="BC20" s="49"/>
      <c r="BD20" s="207" t="str">
        <f>IF(AND(BF20="",BG20="",BE19=""),"",IF(BF20&lt;&gt;"",BF20,IF(AT20="",0,AT20))+0.75*IF(BE19&lt;&gt;"",BE19,IF(AY19="",0,AY19))+IF(BG20&lt;&gt;"",BG20,IF(AZ20="",0,AZ20)+IF(BA20="",0,BA20)))</f>
        <v/>
      </c>
      <c r="BE20" s="208"/>
      <c r="BF20" s="208"/>
      <c r="BG20" s="208"/>
      <c r="BH20" s="209"/>
      <c r="BI20" s="210"/>
      <c r="BJ20" s="207">
        <f>IF(AP20="","",0.75*IF(AY19="",0,AY19))</f>
        <v>112500</v>
      </c>
      <c r="BK20" s="207">
        <f t="shared" ref="BK20:BK30" si="27">IF(AP20="","",IF(AY20="",0,AY20)+0.25*IF(AY19="",0,AY19))</f>
        <v>487500</v>
      </c>
      <c r="BL20" s="211">
        <v>78000</v>
      </c>
      <c r="BM20" s="211">
        <v>40000</v>
      </c>
    </row>
    <row r="21" spans="1:65" x14ac:dyDescent="0.2">
      <c r="A21" s="65">
        <v>3</v>
      </c>
      <c r="B21" s="66">
        <f t="shared" si="0"/>
        <v>675000</v>
      </c>
      <c r="C21" s="65" t="str">
        <f t="shared" si="1"/>
        <v>Working</v>
      </c>
      <c r="D21" s="66">
        <f>IF(OR(C21="Retired",B21=""),0,MIN(B21,'Tax Assumptions'!$B$19))</f>
        <v>24500</v>
      </c>
      <c r="E21" s="49">
        <v>0</v>
      </c>
      <c r="F21" s="49">
        <v>0</v>
      </c>
      <c r="G21" s="66">
        <f>IF(C21="Working",MAX(B21-D21-E21-'Tax Assumptions'!$B$8,0),0)</f>
        <v>634400</v>
      </c>
      <c r="H21" s="66">
        <f>IF(G21=0,0,LOOKUP(G21,'Tax Assumptions'!$F$9:$F$15,'Tax Assumptions'!$I$9:$I$15)+(G21-LOOKUP(G21,'Tax Assumptions'!$F$9:$F$15,'Tax Assumptions'!$F$9:$F$15))*LOOKUP(G21,'Tax Assumptions'!$F$9:$F$15,'Tax Assumptions'!$H$9:$H$15))</f>
        <v>190809.25</v>
      </c>
      <c r="I21" s="66">
        <f>IF(C21="Working",MIN(MAX(B21-E21,0),'Tax Assumptions'!$B$11)*'Tax Assumptions'!$B$10,0)</f>
        <v>11439</v>
      </c>
      <c r="J21" s="66">
        <f>IF(C21="Working",MAX(B21-E21,0)*'Tax Assumptions'!$B$12,0)</f>
        <v>9787.5</v>
      </c>
      <c r="K21" s="66">
        <f>IF(C21="Working",MAX(MAX(B21-E21,0)-'Tax Assumptions'!$B$14,0)*'Tax Assumptions'!$B$13,0)</f>
        <v>4275</v>
      </c>
      <c r="L21" s="67">
        <f>IF(C21="Working",MIN(B21*'Tax Assumptions'!$B$15,'Tax Assumptions'!$B$16),0)</f>
        <v>411.91</v>
      </c>
      <c r="M21" s="67">
        <f>IF(C21="Working",MIN(B21*'Tax Assumptions'!$B$17,'Tax Assumptions'!$B$18),0)</f>
        <v>31.2</v>
      </c>
      <c r="N21" s="66">
        <f>IF(C21="Working",MAX(B21-D21-'Tax Assumptions'!$B$9,0),0)</f>
        <v>642500</v>
      </c>
      <c r="O21" s="66">
        <f>IF(N21=0,0,LOOKUP(N21,'Tax Assumptions'!$K$9:$K$17,'Tax Assumptions'!$N$9:$N$17)+(N21-LOOKUP(N21,'Tax Assumptions'!$K$9:$K$17,'Tax Assumptions'!$K$9:$K$17))*LOOKUP(N21,'Tax Assumptions'!$K$9:$K$17,'Tax Assumptions'!$M$9:$M$17))</f>
        <v>41397.200000000004</v>
      </c>
      <c r="P21" s="66">
        <f>IF(N21=0,0,LOOKUP(N21,'Tax Assumptions'!$P$9:$P$12,'Tax Assumptions'!$S$9:$S$12)+(N21-LOOKUP(N21,'Tax Assumptions'!$P$9:$P$12,'Tax Assumptions'!$P$9:$P$12))*LOOKUP(N21,'Tax Assumptions'!$P$9:$P$12,'Tax Assumptions'!$R$9:$R$12))</f>
        <v>24778.47</v>
      </c>
      <c r="Q21" s="66">
        <f t="shared" si="2"/>
        <v>282929.53000000003</v>
      </c>
      <c r="R21" s="66">
        <f t="shared" si="3"/>
        <v>367570.47</v>
      </c>
      <c r="S21" s="49">
        <f>IF(C21="Working",IF(BL21="","",BL21*(1+'Model Inputs'!$B$35)^(AN21-1)),"")</f>
        <v>82750.2</v>
      </c>
      <c r="T21" s="49">
        <f>IF(C21="Working",IF(BM21="","",BM21*(1+'Model Inputs'!$B$36)^(AN21-1)),"")</f>
        <v>53045</v>
      </c>
      <c r="U21" s="66">
        <f t="shared" si="4"/>
        <v>231775.26999999996</v>
      </c>
      <c r="V21" s="66">
        <f>IF(C21="Working",MIN(MAX(U21,0),'Tax Assumptions'!$B$20),0)</f>
        <v>7500</v>
      </c>
      <c r="W21" s="66">
        <f t="shared" si="5"/>
        <v>224275.26999999996</v>
      </c>
      <c r="X21" s="66">
        <f t="shared" si="6"/>
        <v>256275.26999999996</v>
      </c>
      <c r="Y21" s="66">
        <f t="shared" si="7"/>
        <v>0</v>
      </c>
      <c r="Z21" s="66">
        <f t="shared" si="8"/>
        <v>0</v>
      </c>
      <c r="AA21" s="66">
        <f t="shared" si="17"/>
        <v>0</v>
      </c>
      <c r="AB21" s="66">
        <f t="shared" si="18"/>
        <v>0</v>
      </c>
      <c r="AC21" s="66">
        <f t="shared" si="19"/>
        <v>0</v>
      </c>
      <c r="AD21" s="66">
        <f t="shared" si="20"/>
        <v>0</v>
      </c>
      <c r="AE21" s="68">
        <f t="shared" si="21"/>
        <v>710354.56029199995</v>
      </c>
      <c r="AF21" s="68">
        <f t="shared" si="22"/>
        <v>77998.200000000012</v>
      </c>
      <c r="AG21" s="68">
        <f t="shared" si="23"/>
        <v>23877</v>
      </c>
      <c r="AH21" s="68">
        <f t="shared" si="24"/>
        <v>0</v>
      </c>
      <c r="AI21" s="68">
        <f t="shared" si="9"/>
        <v>812229.7602919999</v>
      </c>
      <c r="AJ21" s="68">
        <f t="shared" si="25"/>
        <v>749670.71</v>
      </c>
      <c r="AK21" s="68">
        <f t="shared" si="26"/>
        <v>834171.04180800007</v>
      </c>
      <c r="AL21" s="69">
        <f t="shared" si="10"/>
        <v>0.33225965925925921</v>
      </c>
      <c r="AM21" s="69">
        <f t="shared" si="11"/>
        <v>0.37966706666666661</v>
      </c>
      <c r="AN21" s="203">
        <f t="shared" si="12"/>
        <v>3</v>
      </c>
      <c r="AO21" s="203">
        <f>'Model Inputs'!$B$22+AN21-1</f>
        <v>2028</v>
      </c>
      <c r="AP21" s="41">
        <f>IF(AND(AQ21="",AR21="",AX21="",BA21="",BC21=""),"",IF(AN21=1,(13-'Model Inputs'!$B$23)/12,1))</f>
        <v>1</v>
      </c>
      <c r="AQ21" s="49">
        <f>IF(OR(AN21&lt;='Model Inputs'!$B$24,AR21&lt;&gt;"",AX21&lt;&gt;"",BA21&lt;&gt;"",BC21&lt;&gt;""),'Model Inputs'!$B$25*(1+'Model Inputs'!$B$31)^(AN21-1),"")</f>
        <v>300000</v>
      </c>
      <c r="AR21" s="49"/>
      <c r="AS21" s="49">
        <f t="shared" si="13"/>
        <v>300000</v>
      </c>
      <c r="AT21" s="49">
        <f t="shared" si="14"/>
        <v>300000</v>
      </c>
      <c r="AU21" s="49">
        <f>IF(AP21="","",IF(AN21=1,(13-'Model Inputs'!$B$23)/12*'Model Inputs'!$B$27,IF(AN21=2,'Model Inputs'!$B$27,IF(AN21&lt;=MAX(3,'Model Inputs'!$B$30+1),'Model Inputs'!$B$27*(1+'Model Inputs'!$B$28)^(AN21-3),'Model Inputs'!$B$27*(1+'Model Inputs'!$B$28)^(MAX(3,'Model Inputs'!$B$30+1)-3)*(1+'Model Inputs'!$B$29)^(AN21-MAX(3,'Model Inputs'!$B$30+1))))))</f>
        <v>450000</v>
      </c>
      <c r="AV21" s="41">
        <f>IF(AU21="","",IF(AN21&lt;=2,0,'Model Inputs'!$B$32*SIN(2*PI()*(AN21-3+'Model Inputs'!$B$34)/MAX(1,'Model Inputs'!$B$33))))</f>
        <v>0</v>
      </c>
      <c r="AW21" s="41"/>
      <c r="AX21" s="49"/>
      <c r="AY21" s="49">
        <f t="shared" si="15"/>
        <v>450000</v>
      </c>
      <c r="AZ21" s="49" t="str">
        <f>IF(AN21=1,'Model Inputs'!$B$26,"")</f>
        <v/>
      </c>
      <c r="BA21" s="49">
        <v>0</v>
      </c>
      <c r="BB21" s="49">
        <f t="shared" si="16"/>
        <v>675000</v>
      </c>
      <c r="BC21" s="49"/>
      <c r="BD21" s="207" t="str">
        <f t="shared" ref="BD21:BD30" si="28">IF(AND(BF21="",BG21="",BE20="",BE19=""),"",IF(BF21&lt;&gt;"",BF21,IF(AT21="",0,AT21))+0.75*IF(BE20&lt;&gt;"",BE20,IF(AY20="",0,AY20))+0.25*IF(BE19&lt;&gt;"",BE19,IF(AY19="",0,AY19))+IF(BG21&lt;&gt;"",BG21,IF(AZ21="",0,AZ21)+IF(BA21="",0,BA21)))</f>
        <v/>
      </c>
      <c r="BE21" s="208"/>
      <c r="BF21" s="208"/>
      <c r="BG21" s="208"/>
      <c r="BH21" s="209"/>
      <c r="BI21" s="210"/>
      <c r="BJ21" s="207">
        <f t="shared" ref="BJ21:BJ30" si="29">IF(AP21="","",0.75*IF(AY20="",0,AY20)+0.25*IF(AY19="",0,AY19))</f>
        <v>375000</v>
      </c>
      <c r="BK21" s="207">
        <f t="shared" si="27"/>
        <v>562500</v>
      </c>
      <c r="BL21" s="211">
        <v>78000</v>
      </c>
      <c r="BM21" s="211">
        <v>50000</v>
      </c>
    </row>
    <row r="22" spans="1:65" x14ac:dyDescent="0.2">
      <c r="A22" s="70">
        <v>4</v>
      </c>
      <c r="B22" s="71">
        <f t="shared" si="0"/>
        <v>750000</v>
      </c>
      <c r="C22" s="70" t="str">
        <f t="shared" si="1"/>
        <v>Working</v>
      </c>
      <c r="D22" s="71">
        <f>IF(OR(C22="Retired",B22=""),0,MIN(B22,'Tax Assumptions'!$B$19))</f>
        <v>24500</v>
      </c>
      <c r="E22" s="49">
        <v>0</v>
      </c>
      <c r="F22" s="49">
        <v>0</v>
      </c>
      <c r="G22" s="71">
        <f>IF(C22="Working",MAX(B22-D22-E22-'Tax Assumptions'!$B$8,0),0)</f>
        <v>709400</v>
      </c>
      <c r="H22" s="71">
        <f>IF(G22=0,0,LOOKUP(G22,'Tax Assumptions'!$F$9:$F$15,'Tax Assumptions'!$I$9:$I$15)+(G22-LOOKUP(G22,'Tax Assumptions'!$F$9:$F$15,'Tax Assumptions'!$F$9:$F$15))*LOOKUP(G22,'Tax Assumptions'!$F$9:$F$15,'Tax Assumptions'!$H$9:$H$15))</f>
        <v>218435.25</v>
      </c>
      <c r="I22" s="71">
        <f>IF(C22="Working",MIN(MAX(B22-E22,0),'Tax Assumptions'!$B$11)*'Tax Assumptions'!$B$10,0)</f>
        <v>11439</v>
      </c>
      <c r="J22" s="71">
        <f>IF(C22="Working",MAX(B22-E22,0)*'Tax Assumptions'!$B$12,0)</f>
        <v>10875</v>
      </c>
      <c r="K22" s="71">
        <f>IF(C22="Working",MAX(MAX(B22-E22,0)-'Tax Assumptions'!$B$14,0)*'Tax Assumptions'!$B$13,0)</f>
        <v>4950</v>
      </c>
      <c r="L22" s="72">
        <f>IF(C22="Working",MIN(B22*'Tax Assumptions'!$B$15,'Tax Assumptions'!$B$16),0)</f>
        <v>411.91</v>
      </c>
      <c r="M22" s="72">
        <f>IF(C22="Working",MIN(B22*'Tax Assumptions'!$B$17,'Tax Assumptions'!$B$18),0)</f>
        <v>31.2</v>
      </c>
      <c r="N22" s="71">
        <f>IF(C22="Working",MAX(B22-D22-'Tax Assumptions'!$B$9,0),0)</f>
        <v>717500</v>
      </c>
      <c r="O22" s="71">
        <f>IF(N22=0,0,LOOKUP(N22,'Tax Assumptions'!$K$9:$K$17,'Tax Assumptions'!$N$9:$N$17)+(N22-LOOKUP(N22,'Tax Assumptions'!$K$9:$K$17,'Tax Assumptions'!$K$9:$K$17))*LOOKUP(N22,'Tax Assumptions'!$K$9:$K$17,'Tax Assumptions'!$M$9:$M$17))</f>
        <v>46534.700000000004</v>
      </c>
      <c r="P22" s="71">
        <f>IF(N22=0,0,LOOKUP(N22,'Tax Assumptions'!$P$9:$P$12,'Tax Assumptions'!$S$9:$S$12)+(N22-LOOKUP(N22,'Tax Assumptions'!$P$9:$P$12,'Tax Assumptions'!$P$9:$P$12))*LOOKUP(N22,'Tax Assumptions'!$P$9:$P$12,'Tax Assumptions'!$R$9:$R$12))</f>
        <v>27685.47</v>
      </c>
      <c r="Q22" s="71">
        <f t="shared" si="2"/>
        <v>320362.53000000003</v>
      </c>
      <c r="R22" s="71">
        <f t="shared" si="3"/>
        <v>405137.47</v>
      </c>
      <c r="S22" s="49">
        <f>IF(C22="Working",IF(BL22="","",BL22*(1+'Model Inputs'!$B$35)^(AN22-1)),"")</f>
        <v>85232.706000000006</v>
      </c>
      <c r="T22" s="49">
        <f>IF(C22="Working",IF(BM22="","",BM22*(1+'Model Inputs'!$B$36)^(AN22-1)),"")</f>
        <v>54636.35</v>
      </c>
      <c r="U22" s="71">
        <f t="shared" si="4"/>
        <v>265268.41399999999</v>
      </c>
      <c r="V22" s="71">
        <f>IF(C22="Working",MIN(MAX(U22,0),'Tax Assumptions'!$B$20),0)</f>
        <v>7500</v>
      </c>
      <c r="W22" s="71">
        <f t="shared" si="5"/>
        <v>257768.41399999999</v>
      </c>
      <c r="X22" s="71">
        <f t="shared" si="6"/>
        <v>289768.41399999999</v>
      </c>
      <c r="Y22" s="71">
        <f t="shared" si="7"/>
        <v>0</v>
      </c>
      <c r="Z22" s="71">
        <f t="shared" si="8"/>
        <v>0</v>
      </c>
      <c r="AA22" s="71">
        <f t="shared" si="17"/>
        <v>0</v>
      </c>
      <c r="AB22" s="71">
        <f t="shared" si="18"/>
        <v>0</v>
      </c>
      <c r="AC22" s="71">
        <f t="shared" si="19"/>
        <v>0</v>
      </c>
      <c r="AD22" s="71">
        <f t="shared" si="20"/>
        <v>0</v>
      </c>
      <c r="AE22" s="68">
        <f t="shared" si="21"/>
        <v>1010744.2479095199</v>
      </c>
      <c r="AF22" s="68">
        <f t="shared" si="22"/>
        <v>107178.09200000002</v>
      </c>
      <c r="AG22" s="68">
        <f t="shared" si="23"/>
        <v>32809.620000000003</v>
      </c>
      <c r="AH22" s="68">
        <f t="shared" si="24"/>
        <v>0</v>
      </c>
      <c r="AI22" s="68">
        <f t="shared" si="9"/>
        <v>1150731.9599095201</v>
      </c>
      <c r="AJ22" s="68">
        <f t="shared" si="25"/>
        <v>1039439.124</v>
      </c>
      <c r="AK22" s="68">
        <f t="shared" si="26"/>
        <v>1190673.13915264</v>
      </c>
      <c r="AL22" s="73">
        <f t="shared" si="10"/>
        <v>0.34369121866666663</v>
      </c>
      <c r="AM22" s="73">
        <f t="shared" si="11"/>
        <v>0.38635788533333332</v>
      </c>
      <c r="AN22" s="203">
        <f t="shared" si="12"/>
        <v>4</v>
      </c>
      <c r="AO22" s="203">
        <f>'Model Inputs'!$B$22+AN22-1</f>
        <v>2029</v>
      </c>
      <c r="AP22" s="41">
        <f>IF(AND(AQ22="",AR22="",AX22="",BA22="",BC22=""),"",IF(AN22=1,(13-'Model Inputs'!$B$23)/12,1))</f>
        <v>1</v>
      </c>
      <c r="AQ22" s="49">
        <f>IF(OR(AN22&lt;='Model Inputs'!$B$24,AR22&lt;&gt;"",AX22&lt;&gt;"",BA22&lt;&gt;"",BC22&lt;&gt;""),'Model Inputs'!$B$25*(1+'Model Inputs'!$B$31)^(AN22-1),"")</f>
        <v>300000</v>
      </c>
      <c r="AR22" s="49"/>
      <c r="AS22" s="49">
        <f t="shared" si="13"/>
        <v>300000</v>
      </c>
      <c r="AT22" s="49">
        <f t="shared" si="14"/>
        <v>300000</v>
      </c>
      <c r="AU22" s="49">
        <f>IF(AP22="","",IF(AN22=1,(13-'Model Inputs'!$B$23)/12*'Model Inputs'!$B$27,IF(AN22=2,'Model Inputs'!$B$27,IF(AN22&lt;=MAX(3,'Model Inputs'!$B$30+1),'Model Inputs'!$B$27*(1+'Model Inputs'!$B$28)^(AN22-3),'Model Inputs'!$B$27*(1+'Model Inputs'!$B$28)^(MAX(3,'Model Inputs'!$B$30+1)-3)*(1+'Model Inputs'!$B$29)^(AN22-MAX(3,'Model Inputs'!$B$30+1))))))</f>
        <v>653834.84153110103</v>
      </c>
      <c r="AV22" s="41">
        <f>IF(AU22="","",IF(AN22&lt;=2,0,'Model Inputs'!$B$32*SIN(2*PI()*(AN22-3+'Model Inputs'!$B$34)/MAX(1,'Model Inputs'!$B$33))))</f>
        <v>0.10392304845413264</v>
      </c>
      <c r="AW22" s="41"/>
      <c r="AX22" s="49"/>
      <c r="AY22" s="49">
        <f t="shared" si="15"/>
        <v>721783.35144853778</v>
      </c>
      <c r="AZ22" s="49" t="str">
        <f>IF(AN22=1,'Model Inputs'!$B$26,"")</f>
        <v/>
      </c>
      <c r="BA22" s="49">
        <v>0</v>
      </c>
      <c r="BB22" s="49">
        <f t="shared" si="16"/>
        <v>750000</v>
      </c>
      <c r="BC22" s="49"/>
      <c r="BD22" s="207" t="str">
        <f t="shared" si="28"/>
        <v/>
      </c>
      <c r="BE22" s="208"/>
      <c r="BF22" s="208"/>
      <c r="BG22" s="208"/>
      <c r="BH22" s="209"/>
      <c r="BI22" s="210"/>
      <c r="BJ22" s="207">
        <f t="shared" si="29"/>
        <v>450000</v>
      </c>
      <c r="BK22" s="207">
        <f t="shared" si="27"/>
        <v>834283.35144853778</v>
      </c>
      <c r="BL22" s="211">
        <v>78000</v>
      </c>
      <c r="BM22" s="211">
        <v>50000</v>
      </c>
    </row>
    <row r="23" spans="1:65" x14ac:dyDescent="0.2">
      <c r="A23" s="65">
        <v>5</v>
      </c>
      <c r="B23" s="66">
        <f t="shared" si="0"/>
        <v>953837.51358640334</v>
      </c>
      <c r="C23" s="65" t="str">
        <f t="shared" si="1"/>
        <v>Working</v>
      </c>
      <c r="D23" s="66">
        <f>IF(OR(C23="Retired",B23=""),0,MIN(B23,'Tax Assumptions'!$B$19))</f>
        <v>24500</v>
      </c>
      <c r="E23" s="49">
        <v>0</v>
      </c>
      <c r="F23" s="49">
        <v>0</v>
      </c>
      <c r="G23" s="66">
        <f>IF(C23="Working",MAX(B23-D23-E23-'Tax Assumptions'!$B$8,0),0)</f>
        <v>913237.51358640334</v>
      </c>
      <c r="H23" s="66">
        <f>IF(G23=0,0,LOOKUP(G23,'Tax Assumptions'!$F$9:$F$15,'Tax Assumptions'!$I$9:$I$15)+(G23-LOOKUP(G23,'Tax Assumptions'!$F$9:$F$15,'Tax Assumptions'!$F$9:$F$15))*LOOKUP(G23,'Tax Assumptions'!$F$9:$F$15,'Tax Assumptions'!$H$9:$H$15))</f>
        <v>293855.13002696924</v>
      </c>
      <c r="I23" s="66">
        <f>IF(C23="Working",MIN(MAX(B23-E23,0),'Tax Assumptions'!$B$11)*'Tax Assumptions'!$B$10,0)</f>
        <v>11439</v>
      </c>
      <c r="J23" s="66">
        <f>IF(C23="Working",MAX(B23-E23,0)*'Tax Assumptions'!$B$12,0)</f>
        <v>13830.643947002849</v>
      </c>
      <c r="K23" s="66">
        <f>IF(C23="Working",MAX(MAX(B23-E23,0)-'Tax Assumptions'!$B$14,0)*'Tax Assumptions'!$B$13,0)</f>
        <v>6784.5376222776295</v>
      </c>
      <c r="L23" s="67">
        <f>IF(C23="Working",MIN(B23*'Tax Assumptions'!$B$15,'Tax Assumptions'!$B$16),0)</f>
        <v>411.91</v>
      </c>
      <c r="M23" s="67">
        <f>IF(C23="Working",MIN(B23*'Tax Assumptions'!$B$17,'Tax Assumptions'!$B$18),0)</f>
        <v>31.2</v>
      </c>
      <c r="N23" s="66">
        <f>IF(C23="Working",MAX(B23-D23-'Tax Assumptions'!$B$9,0),0)</f>
        <v>921337.51358640334</v>
      </c>
      <c r="O23" s="66">
        <f>IF(N23=0,0,LOOKUP(N23,'Tax Assumptions'!$K$9:$K$17,'Tax Assumptions'!$N$9:$N$17)+(N23-LOOKUP(N23,'Tax Assumptions'!$K$9:$K$17,'Tax Assumptions'!$K$9:$K$17))*LOOKUP(N23,'Tax Assumptions'!$K$9:$K$17,'Tax Assumptions'!$M$9:$M$17))</f>
        <v>60497.569680668632</v>
      </c>
      <c r="P23" s="66">
        <f>IF(N23=0,0,LOOKUP(N23,'Tax Assumptions'!$P$9:$P$12,'Tax Assumptions'!$S$9:$S$12)+(N23-LOOKUP(N23,'Tax Assumptions'!$P$9:$P$12,'Tax Assumptions'!$P$9:$P$12))*LOOKUP(N23,'Tax Assumptions'!$P$9:$P$12,'Tax Assumptions'!$R$9:$R$12))</f>
        <v>35586.212026608991</v>
      </c>
      <c r="Q23" s="66">
        <f t="shared" si="2"/>
        <v>422436.20330352732</v>
      </c>
      <c r="R23" s="66">
        <f t="shared" si="3"/>
        <v>506901.31028287602</v>
      </c>
      <c r="S23" s="49">
        <f>IF(C23="Working",IF(BL23="","",BL23*(1+'Model Inputs'!$B$35)^(AN23-1)),"")</f>
        <v>87789.687179999994</v>
      </c>
      <c r="T23" s="49">
        <f>IF(C23="Working",IF(BM23="","",BM23*(1+'Model Inputs'!$B$36)^(AN23-1)),"")</f>
        <v>56275.440499999997</v>
      </c>
      <c r="U23" s="66">
        <f t="shared" si="4"/>
        <v>362836.18260287598</v>
      </c>
      <c r="V23" s="66">
        <f>IF(C23="Working",MIN(MAX(U23,0),'Tax Assumptions'!$B$20),0)</f>
        <v>7500</v>
      </c>
      <c r="W23" s="66">
        <f t="shared" si="5"/>
        <v>355336.18260287598</v>
      </c>
      <c r="X23" s="66">
        <f t="shared" si="6"/>
        <v>387336.18260287598</v>
      </c>
      <c r="Y23" s="66">
        <f t="shared" si="7"/>
        <v>0</v>
      </c>
      <c r="Z23" s="66">
        <f t="shared" si="8"/>
        <v>0</v>
      </c>
      <c r="AA23" s="66">
        <f t="shared" si="17"/>
        <v>0</v>
      </c>
      <c r="AB23" s="66">
        <f t="shared" si="18"/>
        <v>0</v>
      </c>
      <c r="AC23" s="66">
        <f t="shared" si="19"/>
        <v>0</v>
      </c>
      <c r="AD23" s="66">
        <f t="shared" si="20"/>
        <v>0</v>
      </c>
      <c r="AE23" s="68">
        <f t="shared" si="21"/>
        <v>1426725.0853869673</v>
      </c>
      <c r="AF23" s="68">
        <f t="shared" si="22"/>
        <v>138108.77752000003</v>
      </c>
      <c r="AG23" s="68">
        <f t="shared" si="23"/>
        <v>42278.197200000002</v>
      </c>
      <c r="AH23" s="68">
        <f t="shared" si="24"/>
        <v>0</v>
      </c>
      <c r="AI23" s="68">
        <f t="shared" si="9"/>
        <v>1607112.0601069673</v>
      </c>
      <c r="AJ23" s="68">
        <f t="shared" si="25"/>
        <v>1426775.3066028759</v>
      </c>
      <c r="AK23" s="68">
        <f t="shared" si="26"/>
        <v>1673263.1728877272</v>
      </c>
      <c r="AL23" s="69">
        <f t="shared" si="10"/>
        <v>0.37253324338945482</v>
      </c>
      <c r="AM23" s="69">
        <f t="shared" si="11"/>
        <v>0.40608193438157236</v>
      </c>
      <c r="AN23" s="203">
        <f t="shared" si="12"/>
        <v>5</v>
      </c>
      <c r="AO23" s="203">
        <f>'Model Inputs'!$B$22+AN23-1</f>
        <v>2030</v>
      </c>
      <c r="AP23" s="41">
        <f>IF(AND(AQ23="",AR23="",AX23="",BA23="",BC23=""),"",IF(AN23=1,(13-'Model Inputs'!$B$23)/12,1))</f>
        <v>1</v>
      </c>
      <c r="AQ23" s="49">
        <f>IF(OR(AN23&lt;='Model Inputs'!$B$24,AR23&lt;&gt;"",AX23&lt;&gt;"",BA23&lt;&gt;"",BC23&lt;&gt;""),'Model Inputs'!$B$25*(1+'Model Inputs'!$B$31)^(AN23-1),"")</f>
        <v>300000</v>
      </c>
      <c r="AR23" s="49"/>
      <c r="AS23" s="49">
        <f t="shared" si="13"/>
        <v>300000</v>
      </c>
      <c r="AT23" s="49">
        <f t="shared" si="14"/>
        <v>300000</v>
      </c>
      <c r="AU23" s="49">
        <f>IF(AP23="","",IF(AN23=1,(13-'Model Inputs'!$B$23)/12*'Model Inputs'!$B$27,IF(AN23=2,'Model Inputs'!$B$27,IF(AN23&lt;=MAX(3,'Model Inputs'!$B$30+1),'Model Inputs'!$B$27*(1+'Model Inputs'!$B$28)^(AN23-3),'Model Inputs'!$B$27*(1+'Model Inputs'!$B$28)^(MAX(3,'Model Inputs'!$B$30+1)-3)*(1+'Model Inputs'!$B$29)^(AN23-MAX(3,'Model Inputs'!$B$30+1))))))</f>
        <v>950000</v>
      </c>
      <c r="AV23" s="41">
        <f>IF(AU23="","",IF(AN23&lt;=2,0,'Model Inputs'!$B$32*SIN(2*PI()*(AN23-3+'Model Inputs'!$B$34)/MAX(1,'Model Inputs'!$B$33))))</f>
        <v>-0.1039230484541326</v>
      </c>
      <c r="AW23" s="41"/>
      <c r="AX23" s="49"/>
      <c r="AY23" s="49">
        <f t="shared" si="15"/>
        <v>851273.10396857408</v>
      </c>
      <c r="AZ23" s="49" t="str">
        <f>IF(AN23=1,'Model Inputs'!$B$26,"")</f>
        <v/>
      </c>
      <c r="BA23" s="49">
        <v>0</v>
      </c>
      <c r="BB23" s="49">
        <f t="shared" si="16"/>
        <v>953837.51358640334</v>
      </c>
      <c r="BC23" s="49"/>
      <c r="BD23" s="207" t="str">
        <f t="shared" si="28"/>
        <v/>
      </c>
      <c r="BE23" s="208"/>
      <c r="BF23" s="208"/>
      <c r="BG23" s="208"/>
      <c r="BH23" s="209"/>
      <c r="BI23" s="210"/>
      <c r="BJ23" s="207">
        <f t="shared" si="29"/>
        <v>653837.51358640334</v>
      </c>
      <c r="BK23" s="207">
        <f t="shared" si="27"/>
        <v>1031718.9418307085</v>
      </c>
      <c r="BL23" s="211">
        <v>78000</v>
      </c>
      <c r="BM23" s="211">
        <v>50000</v>
      </c>
    </row>
    <row r="24" spans="1:65" x14ac:dyDescent="0.2">
      <c r="A24" s="70">
        <v>6</v>
      </c>
      <c r="B24" s="71">
        <f t="shared" si="0"/>
        <v>1118900.665838565</v>
      </c>
      <c r="C24" s="70" t="str">
        <f t="shared" si="1"/>
        <v>Working</v>
      </c>
      <c r="D24" s="71">
        <f>IF(OR(C24="Retired",B24=""),0,MIN(B24,'Tax Assumptions'!$B$19))</f>
        <v>24500</v>
      </c>
      <c r="E24" s="49">
        <v>0</v>
      </c>
      <c r="F24" s="49">
        <v>0</v>
      </c>
      <c r="G24" s="71">
        <f>IF(C24="Working",MAX(B24-D24-E24-'Tax Assumptions'!$B$8,0),0)</f>
        <v>1078300.665838565</v>
      </c>
      <c r="H24" s="71">
        <f>IF(G24=0,0,LOOKUP(G24,'Tax Assumptions'!$F$9:$F$15,'Tax Assumptions'!$I$9:$I$15)+(G24-LOOKUP(G24,'Tax Assumptions'!$F$9:$F$15,'Tax Assumptions'!$F$9:$F$15))*LOOKUP(G24,'Tax Assumptions'!$F$9:$F$15,'Tax Assumptions'!$H$9:$H$15))</f>
        <v>354928.49636026903</v>
      </c>
      <c r="I24" s="71">
        <f>IF(C24="Working",MIN(MAX(B24-E24,0),'Tax Assumptions'!$B$11)*'Tax Assumptions'!$B$10,0)</f>
        <v>11439</v>
      </c>
      <c r="J24" s="71">
        <f>IF(C24="Working",MAX(B24-E24,0)*'Tax Assumptions'!$B$12,0)</f>
        <v>16224.059654659193</v>
      </c>
      <c r="K24" s="71">
        <f>IF(C24="Working",MAX(MAX(B24-E24,0)-'Tax Assumptions'!$B$14,0)*'Tax Assumptions'!$B$13,0)</f>
        <v>8270.1059925470836</v>
      </c>
      <c r="L24" s="72">
        <f>IF(C24="Working",MIN(B24*'Tax Assumptions'!$B$15,'Tax Assumptions'!$B$16),0)</f>
        <v>411.91</v>
      </c>
      <c r="M24" s="72">
        <f>IF(C24="Working",MIN(B24*'Tax Assumptions'!$B$17,'Tax Assumptions'!$B$18),0)</f>
        <v>31.2</v>
      </c>
      <c r="N24" s="71">
        <f>IF(C24="Working",MAX(B24-D24-'Tax Assumptions'!$B$9,0),0)</f>
        <v>1086400.665838565</v>
      </c>
      <c r="O24" s="71">
        <f>IF(N24=0,0,LOOKUP(N24,'Tax Assumptions'!$K$9:$K$17,'Tax Assumptions'!$N$9:$N$17)+(N24-LOOKUP(N24,'Tax Assumptions'!$K$9:$K$17,'Tax Assumptions'!$K$9:$K$17))*LOOKUP(N24,'Tax Assumptions'!$K$9:$K$17,'Tax Assumptions'!$M$9:$M$17))</f>
        <v>72051.719253421528</v>
      </c>
      <c r="P24" s="71">
        <f>IF(N24=0,0,LOOKUP(N24,'Tax Assumptions'!$P$9:$P$12,'Tax Assumptions'!$S$9:$S$12)+(N24-LOOKUP(N24,'Tax Assumptions'!$P$9:$P$12,'Tax Assumptions'!$P$9:$P$12))*LOOKUP(N24,'Tax Assumptions'!$P$9:$P$12,'Tax Assumptions'!$R$9:$R$12))</f>
        <v>41984.059807902777</v>
      </c>
      <c r="Q24" s="71">
        <f t="shared" si="2"/>
        <v>505340.55106879957</v>
      </c>
      <c r="R24" s="71">
        <f t="shared" si="3"/>
        <v>589060.11476976541</v>
      </c>
      <c r="S24" s="49">
        <f>IF(C24="Working",IF(BL24="","",BL24*(1+'Model Inputs'!$B$35)^(AN24-1)),"")</f>
        <v>92741.925943999988</v>
      </c>
      <c r="T24" s="49">
        <f>IF(C24="Working",IF(BM24="","",BM24*(1+'Model Inputs'!$B$36)^(AN24-1)),"")</f>
        <v>57963.703714999989</v>
      </c>
      <c r="U24" s="71">
        <f t="shared" si="4"/>
        <v>438354.48511076538</v>
      </c>
      <c r="V24" s="71">
        <f>IF(C24="Working",MIN(MAX(U24,0),'Tax Assumptions'!$B$20),0)</f>
        <v>7500</v>
      </c>
      <c r="W24" s="71">
        <f t="shared" si="5"/>
        <v>430854.48511076538</v>
      </c>
      <c r="X24" s="71">
        <f t="shared" si="6"/>
        <v>462854.48511076538</v>
      </c>
      <c r="Y24" s="71">
        <f t="shared" si="7"/>
        <v>0</v>
      </c>
      <c r="Z24" s="71">
        <f t="shared" si="8"/>
        <v>0</v>
      </c>
      <c r="AA24" s="71">
        <f t="shared" si="17"/>
        <v>0</v>
      </c>
      <c r="AB24" s="71">
        <f t="shared" si="18"/>
        <v>0</v>
      </c>
      <c r="AC24" s="71">
        <f t="shared" si="19"/>
        <v>0</v>
      </c>
      <c r="AD24" s="71">
        <f t="shared" si="20"/>
        <v>0</v>
      </c>
      <c r="AE24" s="68">
        <f t="shared" si="21"/>
        <v>1943183.0756209507</v>
      </c>
      <c r="AF24" s="68">
        <f t="shared" si="22"/>
        <v>170895.30417120006</v>
      </c>
      <c r="AG24" s="68">
        <f t="shared" si="23"/>
        <v>52314.889032000006</v>
      </c>
      <c r="AH24" s="68">
        <f t="shared" si="24"/>
        <v>0</v>
      </c>
      <c r="AI24" s="68">
        <f t="shared" si="9"/>
        <v>2166393.2688241508</v>
      </c>
      <c r="AJ24" s="68">
        <f t="shared" si="25"/>
        <v>1889629.7917136413</v>
      </c>
      <c r="AK24" s="68">
        <f t="shared" si="26"/>
        <v>2269978.711829511</v>
      </c>
      <c r="AL24" s="73">
        <f t="shared" si="10"/>
        <v>0.38506946886823024</v>
      </c>
      <c r="AM24" s="73">
        <f t="shared" si="11"/>
        <v>0.4136689692322929</v>
      </c>
      <c r="AN24" s="203">
        <f t="shared" si="12"/>
        <v>6</v>
      </c>
      <c r="AO24" s="203">
        <f>'Model Inputs'!$B$22+AN24-1</f>
        <v>2031</v>
      </c>
      <c r="AP24" s="41">
        <f>IF(AND(AQ24="",AR24="",AX24="",BA24="",BC24=""),"",IF(AN24=1,(13-'Model Inputs'!$B$23)/12,1))</f>
        <v>1</v>
      </c>
      <c r="AQ24" s="49">
        <f>IF(OR(AN24&lt;='Model Inputs'!$B$24,AR24&lt;&gt;"",AX24&lt;&gt;"",BA24&lt;&gt;"",BC24&lt;&gt;""),'Model Inputs'!$B$25*(1+'Model Inputs'!$B$31)^(AN24-1),"")</f>
        <v>300000</v>
      </c>
      <c r="AR24" s="49"/>
      <c r="AS24" s="49">
        <f t="shared" si="13"/>
        <v>300000</v>
      </c>
      <c r="AT24" s="49">
        <f t="shared" si="14"/>
        <v>300000</v>
      </c>
      <c r="AU24" s="49">
        <f>IF(AP24="","",IF(AN24=1,(13-'Model Inputs'!$B$23)/12*'Model Inputs'!$B$27,IF(AN24=2,'Model Inputs'!$B$27,IF(AN24&lt;=MAX(3,'Model Inputs'!$B$30+1),'Model Inputs'!$B$27*(1+'Model Inputs'!$B$28)^(AN24-3),'Model Inputs'!$B$27*(1+'Model Inputs'!$B$28)^(MAX(3,'Model Inputs'!$B$30+1)-3)*(1+'Model Inputs'!$B$29)^(AN24-MAX(3,'Model Inputs'!$B$30+1))))))</f>
        <v>1207333.5632986501</v>
      </c>
      <c r="AV24" s="41">
        <f>IF(AU24="","",IF(AN24&lt;=2,0,'Model Inputs'!$B$32*SIN(2*PI()*(AN24-3+'Model Inputs'!$B$34)/MAX(1,'Model Inputs'!$B$33))))</f>
        <v>-2.9391523179536474E-17</v>
      </c>
      <c r="AW24" s="41"/>
      <c r="AX24" s="49"/>
      <c r="AY24" s="49">
        <f t="shared" si="15"/>
        <v>1207333.5632986501</v>
      </c>
      <c r="AZ24" s="49" t="str">
        <f>IF(AN24=1,'Model Inputs'!$B$26,"")</f>
        <v/>
      </c>
      <c r="BA24" s="49">
        <v>0</v>
      </c>
      <c r="BB24" s="49">
        <f t="shared" si="16"/>
        <v>1118900.665838565</v>
      </c>
      <c r="BC24" s="49"/>
      <c r="BD24" s="207" t="str">
        <f t="shared" si="28"/>
        <v/>
      </c>
      <c r="BE24" s="208"/>
      <c r="BF24" s="208"/>
      <c r="BG24" s="208"/>
      <c r="BH24" s="209"/>
      <c r="BI24" s="210"/>
      <c r="BJ24" s="207">
        <f t="shared" si="29"/>
        <v>818900.66583856498</v>
      </c>
      <c r="BK24" s="207">
        <f t="shared" si="27"/>
        <v>1420151.8392907935</v>
      </c>
      <c r="BL24" s="211">
        <v>80000</v>
      </c>
      <c r="BM24" s="211">
        <v>50000</v>
      </c>
    </row>
    <row r="25" spans="1:65" x14ac:dyDescent="0.2">
      <c r="A25" s="65">
        <v>7</v>
      </c>
      <c r="B25" s="66">
        <f t="shared" si="0"/>
        <v>1418318.448466131</v>
      </c>
      <c r="C25" s="65" t="str">
        <f t="shared" si="1"/>
        <v>Working</v>
      </c>
      <c r="D25" s="66">
        <f>IF(OR(C25="Retired",B25=""),0,MIN(B25,'Tax Assumptions'!$B$19))</f>
        <v>24500</v>
      </c>
      <c r="E25" s="49">
        <v>0</v>
      </c>
      <c r="F25" s="49">
        <v>0</v>
      </c>
      <c r="G25" s="66">
        <f>IF(C25="Working",MAX(B25-D25-E25-'Tax Assumptions'!$B$8,0),0)</f>
        <v>1377718.448466131</v>
      </c>
      <c r="H25" s="66">
        <f>IF(G25=0,0,LOOKUP(G25,'Tax Assumptions'!$F$9:$F$15,'Tax Assumptions'!$I$9:$I$15)+(G25-LOOKUP(G25,'Tax Assumptions'!$F$9:$F$15,'Tax Assumptions'!$F$9:$F$15))*LOOKUP(G25,'Tax Assumptions'!$F$9:$F$15,'Tax Assumptions'!$H$9:$H$15))</f>
        <v>465713.07593246846</v>
      </c>
      <c r="I25" s="66">
        <f>IF(C25="Working",MIN(MAX(B25-E25,0),'Tax Assumptions'!$B$11)*'Tax Assumptions'!$B$10,0)</f>
        <v>11439</v>
      </c>
      <c r="J25" s="66">
        <f>IF(C25="Working",MAX(B25-E25,0)*'Tax Assumptions'!$B$12,0)</f>
        <v>20565.617502758902</v>
      </c>
      <c r="K25" s="66">
        <f>IF(C25="Working",MAX(MAX(B25-E25,0)-'Tax Assumptions'!$B$14,0)*'Tax Assumptions'!$B$13,0)</f>
        <v>10964.866036195179</v>
      </c>
      <c r="L25" s="67">
        <f>IF(C25="Working",MIN(B25*'Tax Assumptions'!$B$15,'Tax Assumptions'!$B$16),0)</f>
        <v>411.91</v>
      </c>
      <c r="M25" s="67">
        <f>IF(C25="Working",MIN(B25*'Tax Assumptions'!$B$17,'Tax Assumptions'!$B$18),0)</f>
        <v>31.2</v>
      </c>
      <c r="N25" s="66">
        <f>IF(C25="Working",MAX(B25-D25-'Tax Assumptions'!$B$9,0),0)</f>
        <v>1385818.448466131</v>
      </c>
      <c r="O25" s="66">
        <f>IF(N25=0,0,LOOKUP(N25,'Tax Assumptions'!$K$9:$K$17,'Tax Assumptions'!$N$9:$N$17)+(N25-LOOKUP(N25,'Tax Assumptions'!$K$9:$K$17,'Tax Assumptions'!$K$9:$K$17))*LOOKUP(N25,'Tax Assumptions'!$K$9:$K$17,'Tax Assumptions'!$M$9:$M$17))</f>
        <v>100945.53527698165</v>
      </c>
      <c r="P25" s="66">
        <f>IF(N25=0,0,LOOKUP(N25,'Tax Assumptions'!$P$9:$P$12,'Tax Assumptions'!$S$9:$S$12)+(N25-LOOKUP(N25,'Tax Assumptions'!$P$9:$P$12,'Tax Assumptions'!$P$9:$P$12))*LOOKUP(N25,'Tax Assumptions'!$P$9:$P$12,'Tax Assumptions'!$R$9:$R$12))</f>
        <v>53589.493062547241</v>
      </c>
      <c r="Q25" s="66">
        <f t="shared" si="2"/>
        <v>663660.6978109515</v>
      </c>
      <c r="R25" s="66">
        <f t="shared" si="3"/>
        <v>730157.75065517949</v>
      </c>
      <c r="S25" s="49">
        <f>IF(C25="Working",IF(BL25="","",BL25*(1+'Model Inputs'!$B$35)^(AN25-1)),"")</f>
        <v>95524.183722319998</v>
      </c>
      <c r="T25" s="49">
        <f>IF(C25="Working",IF(BM25="","",BM25*(1+'Model Inputs'!$B$36)^(AN25-1)),"")</f>
        <v>59702.614826449993</v>
      </c>
      <c r="U25" s="66">
        <f t="shared" si="4"/>
        <v>574930.95210640947</v>
      </c>
      <c r="V25" s="66">
        <f>IF(C25="Working",MIN(MAX(U25,0),'Tax Assumptions'!$B$20),0)</f>
        <v>7500</v>
      </c>
      <c r="W25" s="66">
        <f t="shared" si="5"/>
        <v>567430.95210640947</v>
      </c>
      <c r="X25" s="66">
        <f t="shared" si="6"/>
        <v>599430.95210640947</v>
      </c>
      <c r="Y25" s="66">
        <f t="shared" si="7"/>
        <v>0</v>
      </c>
      <c r="Z25" s="66">
        <f t="shared" si="8"/>
        <v>0</v>
      </c>
      <c r="AA25" s="66">
        <f t="shared" si="17"/>
        <v>0</v>
      </c>
      <c r="AB25" s="66">
        <f t="shared" si="18"/>
        <v>0</v>
      </c>
      <c r="AC25" s="66">
        <f t="shared" si="19"/>
        <v>0</v>
      </c>
      <c r="AD25" s="66">
        <f t="shared" si="20"/>
        <v>0</v>
      </c>
      <c r="AE25" s="68">
        <f t="shared" si="21"/>
        <v>2627205.0122646173</v>
      </c>
      <c r="AF25" s="68">
        <f t="shared" si="22"/>
        <v>205649.02242147207</v>
      </c>
      <c r="AG25" s="68">
        <f t="shared" si="23"/>
        <v>62953.78237392001</v>
      </c>
      <c r="AH25" s="68">
        <f t="shared" si="24"/>
        <v>0</v>
      </c>
      <c r="AI25" s="68">
        <f t="shared" si="9"/>
        <v>2895807.8170600096</v>
      </c>
      <c r="AJ25" s="68">
        <f t="shared" si="25"/>
        <v>2489060.7438200507</v>
      </c>
      <c r="AK25" s="68">
        <f t="shared" si="26"/>
        <v>3051007.9608822819</v>
      </c>
      <c r="AL25" s="69">
        <f t="shared" si="10"/>
        <v>0.4000730250107577</v>
      </c>
      <c r="AM25" s="69">
        <f t="shared" si="11"/>
        <v>0.42263495391650313</v>
      </c>
      <c r="AN25" s="203">
        <f t="shared" si="12"/>
        <v>7</v>
      </c>
      <c r="AO25" s="203">
        <f>'Model Inputs'!$B$22+AN25-1</f>
        <v>2032</v>
      </c>
      <c r="AP25" s="41">
        <f>IF(AND(AQ25="",AR25="",AX25="",BA25="",BC25=""),"",IF(AN25=1,(13-'Model Inputs'!$B$23)/12,1))</f>
        <v>1</v>
      </c>
      <c r="AQ25" s="49">
        <f>IF(OR(AN25&lt;='Model Inputs'!$B$24,AR25&lt;&gt;"",AX25&lt;&gt;"",BA25&lt;&gt;"",BC25&lt;&gt;""),'Model Inputs'!$B$25*(1+'Model Inputs'!$B$31)^(AN25-1),"")</f>
        <v>300000</v>
      </c>
      <c r="AR25" s="49"/>
      <c r="AS25" s="49">
        <f t="shared" si="13"/>
        <v>300000</v>
      </c>
      <c r="AT25" s="49">
        <f t="shared" si="14"/>
        <v>300000</v>
      </c>
      <c r="AU25" s="49">
        <f>IF(AP25="","",IF(AN25=1,(13-'Model Inputs'!$B$23)/12*'Model Inputs'!$B$27,IF(AN25=2,'Model Inputs'!$B$27,IF(AN25&lt;=MAX(3,'Model Inputs'!$B$30+1),'Model Inputs'!$B$27*(1+'Model Inputs'!$B$28)^(AN25-3),'Model Inputs'!$B$27*(1+'Model Inputs'!$B$28)^(MAX(3,'Model Inputs'!$B$30+1)-3)*(1+'Model Inputs'!$B$29)^(AN25-MAX(3,'Model Inputs'!$B$30+1))))))</f>
        <v>1534372.9821762268</v>
      </c>
      <c r="AV25" s="41">
        <f>IF(AU25="","",IF(AN25&lt;=2,0,'Model Inputs'!$B$32*SIN(2*PI()*(AN25-3+'Model Inputs'!$B$34)/MAX(1,'Model Inputs'!$B$33))))</f>
        <v>0.10392304845413269</v>
      </c>
      <c r="AW25" s="41"/>
      <c r="AX25" s="49"/>
      <c r="AY25" s="49">
        <f t="shared" si="15"/>
        <v>1693829.6999496389</v>
      </c>
      <c r="AZ25" s="49" t="str">
        <f>IF(AN25=1,'Model Inputs'!$B$26,"")</f>
        <v/>
      </c>
      <c r="BA25" s="49">
        <v>0</v>
      </c>
      <c r="BB25" s="49">
        <f t="shared" si="16"/>
        <v>1418318.448466131</v>
      </c>
      <c r="BC25" s="49"/>
      <c r="BD25" s="207" t="str">
        <f t="shared" si="28"/>
        <v/>
      </c>
      <c r="BE25" s="208"/>
      <c r="BF25" s="208"/>
      <c r="BG25" s="208"/>
      <c r="BH25" s="209"/>
      <c r="BI25" s="210"/>
      <c r="BJ25" s="207">
        <f t="shared" si="29"/>
        <v>1118318.448466131</v>
      </c>
      <c r="BK25" s="207">
        <f t="shared" si="27"/>
        <v>1995663.0907743014</v>
      </c>
      <c r="BL25" s="211">
        <v>80000</v>
      </c>
      <c r="BM25" s="211">
        <v>50000</v>
      </c>
    </row>
    <row r="26" spans="1:65" x14ac:dyDescent="0.2">
      <c r="A26" s="70">
        <v>8</v>
      </c>
      <c r="B26" s="71">
        <f t="shared" si="0"/>
        <v>1872205.6657868917</v>
      </c>
      <c r="C26" s="70" t="str">
        <f t="shared" si="1"/>
        <v>Working</v>
      </c>
      <c r="D26" s="71">
        <f>IF(OR(C26="Retired",B26=""),0,MIN(B26,'Tax Assumptions'!$B$19))</f>
        <v>24500</v>
      </c>
      <c r="E26" s="49">
        <v>0</v>
      </c>
      <c r="F26" s="49">
        <v>0</v>
      </c>
      <c r="G26" s="71">
        <f>IF(C26="Working",MAX(B26-D26-E26-'Tax Assumptions'!$B$8,0),0)</f>
        <v>1831605.6657868917</v>
      </c>
      <c r="H26" s="71">
        <f>IF(G26=0,0,LOOKUP(G26,'Tax Assumptions'!$F$9:$F$15,'Tax Assumptions'!$I$9:$I$15)+(G26-LOOKUP(G26,'Tax Assumptions'!$F$9:$F$15,'Tax Assumptions'!$F$9:$F$15))*LOOKUP(G26,'Tax Assumptions'!$F$9:$F$15,'Tax Assumptions'!$H$9:$H$15))</f>
        <v>633651.34634114988</v>
      </c>
      <c r="I26" s="71">
        <f>IF(C26="Working",MIN(MAX(B26-E26,0),'Tax Assumptions'!$B$11)*'Tax Assumptions'!$B$10,0)</f>
        <v>11439</v>
      </c>
      <c r="J26" s="71">
        <f>IF(C26="Working",MAX(B26-E26,0)*'Tax Assumptions'!$B$12,0)</f>
        <v>27146.982153909932</v>
      </c>
      <c r="K26" s="71">
        <f>IF(C26="Working",MAX(MAX(B26-E26,0)-'Tax Assumptions'!$B$14,0)*'Tax Assumptions'!$B$13,0)</f>
        <v>15049.850992082023</v>
      </c>
      <c r="L26" s="72">
        <f>IF(C26="Working",MIN(B26*'Tax Assumptions'!$B$15,'Tax Assumptions'!$B$16),0)</f>
        <v>411.91</v>
      </c>
      <c r="M26" s="72">
        <f>IF(C26="Working",MIN(B26*'Tax Assumptions'!$B$17,'Tax Assumptions'!$B$18),0)</f>
        <v>31.2</v>
      </c>
      <c r="N26" s="71">
        <f>IF(C26="Working",MAX(B26-D26-'Tax Assumptions'!$B$9,0),0)</f>
        <v>1839705.6657868917</v>
      </c>
      <c r="O26" s="71">
        <f>IF(N26=0,0,LOOKUP(N26,'Tax Assumptions'!$K$9:$K$17,'Tax Assumptions'!$N$9:$N$17)+(N26-LOOKUP(N26,'Tax Assumptions'!$K$9:$K$17,'Tax Assumptions'!$K$9:$K$17))*LOOKUP(N26,'Tax Assumptions'!$K$9:$K$17,'Tax Assumptions'!$M$9:$M$17))</f>
        <v>144745.65174843505</v>
      </c>
      <c r="P26" s="71">
        <f>IF(N26=0,0,LOOKUP(N26,'Tax Assumptions'!$P$9:$P$12,'Tax Assumptions'!$S$9:$S$12)+(N26-LOOKUP(N26,'Tax Assumptions'!$P$9:$P$12,'Tax Assumptions'!$P$9:$P$12))*LOOKUP(N26,'Tax Assumptions'!$P$9:$P$12,'Tax Assumptions'!$R$9:$R$12))</f>
        <v>71182.161605899921</v>
      </c>
      <c r="Q26" s="71">
        <f t="shared" si="2"/>
        <v>903658.10284147691</v>
      </c>
      <c r="R26" s="71">
        <f t="shared" si="3"/>
        <v>944047.5629454148</v>
      </c>
      <c r="S26" s="49">
        <f>IF(C26="Working",IF(BL26="","",BL26*(1+'Model Inputs'!$B$35)^(AN26-1)),"")</f>
        <v>98389.909233989601</v>
      </c>
      <c r="T26" s="49">
        <f>IF(C26="Working",IF(BM26="","",BM26*(1+'Model Inputs'!$B$36)^(AN26-1)),"")</f>
        <v>61493.693271243501</v>
      </c>
      <c r="U26" s="71">
        <f t="shared" si="4"/>
        <v>784163.96044018166</v>
      </c>
      <c r="V26" s="71">
        <f>IF(C26="Working",MIN(MAX(U26,0),'Tax Assumptions'!$B$20),0)</f>
        <v>7500</v>
      </c>
      <c r="W26" s="71">
        <f t="shared" si="5"/>
        <v>776663.96044018166</v>
      </c>
      <c r="X26" s="71">
        <f t="shared" si="6"/>
        <v>808663.96044018166</v>
      </c>
      <c r="Y26" s="71">
        <f t="shared" si="7"/>
        <v>0</v>
      </c>
      <c r="Z26" s="71">
        <f t="shared" si="8"/>
        <v>0</v>
      </c>
      <c r="AA26" s="71">
        <f t="shared" si="17"/>
        <v>0</v>
      </c>
      <c r="AB26" s="71">
        <f t="shared" si="18"/>
        <v>0</v>
      </c>
      <c r="AC26" s="71">
        <f t="shared" si="19"/>
        <v>0</v>
      </c>
      <c r="AD26" s="71">
        <f t="shared" si="20"/>
        <v>0</v>
      </c>
      <c r="AE26" s="68">
        <f t="shared" si="21"/>
        <v>3561501.2734406763</v>
      </c>
      <c r="AF26" s="68">
        <f t="shared" si="22"/>
        <v>242487.9637667604</v>
      </c>
      <c r="AG26" s="68">
        <f t="shared" si="23"/>
        <v>74231.009316355208</v>
      </c>
      <c r="AH26" s="68">
        <f t="shared" si="24"/>
        <v>0</v>
      </c>
      <c r="AI26" s="68">
        <f t="shared" si="9"/>
        <v>3878220.2465237915</v>
      </c>
      <c r="AJ26" s="68">
        <f t="shared" si="25"/>
        <v>3297724.7042602324</v>
      </c>
      <c r="AK26" s="68">
        <f t="shared" si="26"/>
        <v>4103752.5581930461</v>
      </c>
      <c r="AL26" s="73">
        <f t="shared" si="10"/>
        <v>0.4148390182943647</v>
      </c>
      <c r="AM26" s="73">
        <f t="shared" si="11"/>
        <v>0.43193115757413253</v>
      </c>
      <c r="AN26" s="203">
        <f t="shared" si="12"/>
        <v>8</v>
      </c>
      <c r="AO26" s="203">
        <f>'Model Inputs'!$B$22+AN26-1</f>
        <v>2033</v>
      </c>
      <c r="AP26" s="41">
        <f>IF(AND(AQ26="",AR26="",AX26="",BA26="",BC26=""),"",IF(AN26=1,(13-'Model Inputs'!$B$23)/12,1))</f>
        <v>1</v>
      </c>
      <c r="AQ26" s="49">
        <f>IF(OR(AN26&lt;='Model Inputs'!$B$24,AR26&lt;&gt;"",AX26&lt;&gt;"",BA26&lt;&gt;"",BC26&lt;&gt;""),'Model Inputs'!$B$25*(1+'Model Inputs'!$B$31)^(AN26-1),"")</f>
        <v>300000</v>
      </c>
      <c r="AR26" s="49"/>
      <c r="AS26" s="49">
        <f t="shared" si="13"/>
        <v>300000</v>
      </c>
      <c r="AT26" s="49">
        <f t="shared" si="14"/>
        <v>300000</v>
      </c>
      <c r="AU26" s="49">
        <f>IF(AP26="","",IF(AN26=1,(13-'Model Inputs'!$B$23)/12*'Model Inputs'!$B$27,IF(AN26=2,'Model Inputs'!$B$27,IF(AN26&lt;=MAX(3,'Model Inputs'!$B$30+1),'Model Inputs'!$B$27*(1+'Model Inputs'!$B$28)^(AN26-3),'Model Inputs'!$B$27*(1+'Model Inputs'!$B$28)^(MAX(3,'Model Inputs'!$B$30+1)-3)*(1+'Model Inputs'!$B$29)^(AN26-MAX(3,'Model Inputs'!$B$30+1))))))</f>
        <v>1950000.0000000002</v>
      </c>
      <c r="AV26" s="41">
        <f>IF(AU26="","",IF(AN26&lt;=2,0,'Model Inputs'!$B$32*SIN(2*PI()*(AN26-3+'Model Inputs'!$B$34)/MAX(1,'Model Inputs'!$B$33))))</f>
        <v>-0.10392304845413264</v>
      </c>
      <c r="AW26" s="41"/>
      <c r="AX26" s="49"/>
      <c r="AY26" s="49">
        <f t="shared" si="15"/>
        <v>1747350.0555144416</v>
      </c>
      <c r="AZ26" s="49" t="str">
        <f>IF(AN26=1,'Model Inputs'!$B$26,"")</f>
        <v/>
      </c>
      <c r="BA26" s="49">
        <v>0</v>
      </c>
      <c r="BB26" s="49">
        <f t="shared" si="16"/>
        <v>1872205.6657868917</v>
      </c>
      <c r="BC26" s="49"/>
      <c r="BD26" s="207" t="str">
        <f t="shared" si="28"/>
        <v/>
      </c>
      <c r="BE26" s="208"/>
      <c r="BF26" s="208"/>
      <c r="BG26" s="208"/>
      <c r="BH26" s="209"/>
      <c r="BI26" s="210"/>
      <c r="BJ26" s="207">
        <f t="shared" si="29"/>
        <v>1572205.6657868917</v>
      </c>
      <c r="BK26" s="207">
        <f t="shared" si="27"/>
        <v>2170807.4805018511</v>
      </c>
      <c r="BL26" s="211">
        <v>80000</v>
      </c>
      <c r="BM26" s="211">
        <v>50000</v>
      </c>
    </row>
    <row r="27" spans="1:65" x14ac:dyDescent="0.2">
      <c r="A27" s="65">
        <v>9</v>
      </c>
      <c r="B27" s="66">
        <f t="shared" si="0"/>
        <v>2033969.9666232408</v>
      </c>
      <c r="C27" s="65" t="str">
        <f t="shared" si="1"/>
        <v>Working</v>
      </c>
      <c r="D27" s="66">
        <f>IF(OR(C27="Retired",B27=""),0,MIN(B27,'Tax Assumptions'!$B$19))</f>
        <v>24500</v>
      </c>
      <c r="E27" s="49">
        <v>0</v>
      </c>
      <c r="F27" s="49">
        <v>0</v>
      </c>
      <c r="G27" s="66">
        <f>IF(C27="Working",MAX(B27-D27-E27-'Tax Assumptions'!$B$8,0),0)</f>
        <v>1993369.9666232408</v>
      </c>
      <c r="H27" s="66">
        <f>IF(G27=0,0,LOOKUP(G27,'Tax Assumptions'!$F$9:$F$15,'Tax Assumptions'!$I$9:$I$15)+(G27-LOOKUP(G27,'Tax Assumptions'!$F$9:$F$15,'Tax Assumptions'!$F$9:$F$15))*LOOKUP(G27,'Tax Assumptions'!$F$9:$F$15,'Tax Assumptions'!$H$9:$H$15))</f>
        <v>693504.13765059912</v>
      </c>
      <c r="I27" s="66">
        <f>IF(C27="Working",MIN(MAX(B27-E27,0),'Tax Assumptions'!$B$11)*'Tax Assumptions'!$B$10,0)</f>
        <v>11439</v>
      </c>
      <c r="J27" s="66">
        <f>IF(C27="Working",MAX(B27-E27,0)*'Tax Assumptions'!$B$12,0)</f>
        <v>29492.564516036993</v>
      </c>
      <c r="K27" s="66">
        <f>IF(C27="Working",MAX(MAX(B27-E27,0)-'Tax Assumptions'!$B$14,0)*'Tax Assumptions'!$B$13,0)</f>
        <v>16505.729699609168</v>
      </c>
      <c r="L27" s="67">
        <f>IF(C27="Working",MIN(B27*'Tax Assumptions'!$B$15,'Tax Assumptions'!$B$16),0)</f>
        <v>411.91</v>
      </c>
      <c r="M27" s="67">
        <f>IF(C27="Working",MIN(B27*'Tax Assumptions'!$B$17,'Tax Assumptions'!$B$18),0)</f>
        <v>31.2</v>
      </c>
      <c r="N27" s="66">
        <f>IF(C27="Working",MAX(B27-D27-'Tax Assumptions'!$B$9,0),0)</f>
        <v>2001469.9666232408</v>
      </c>
      <c r="O27" s="66">
        <f>IF(N27=0,0,LOOKUP(N27,'Tax Assumptions'!$K$9:$K$17,'Tax Assumptions'!$N$9:$N$17)+(N27-LOOKUP(N27,'Tax Assumptions'!$K$9:$K$17,'Tax Assumptions'!$K$9:$K$17))*LOOKUP(N27,'Tax Assumptions'!$K$9:$K$17,'Tax Assumptions'!$M$9:$M$17))</f>
        <v>160355.90677914274</v>
      </c>
      <c r="P27" s="66">
        <f>IF(N27=0,0,LOOKUP(N27,'Tax Assumptions'!$P$9:$P$12,'Tax Assumptions'!$S$9:$S$12)+(N27-LOOKUP(N27,'Tax Assumptions'!$P$9:$P$12,'Tax Assumptions'!$P$9:$P$12))*LOOKUP(N27,'Tax Assumptions'!$P$9:$P$12,'Tax Assumptions'!$R$9:$R$12))</f>
        <v>77452.145906316815</v>
      </c>
      <c r="Q27" s="66">
        <f t="shared" si="2"/>
        <v>989192.59455170482</v>
      </c>
      <c r="R27" s="66">
        <f t="shared" si="3"/>
        <v>1020277.372071536</v>
      </c>
      <c r="S27" s="49">
        <f>IF(C27="Working",IF(BL27="","",BL27*(1+'Model Inputs'!$B$35)^(AN27-1)),"")</f>
        <v>101341.60651100927</v>
      </c>
      <c r="T27" s="49">
        <f>IF(C27="Working",IF(BM27="","",BM27*(1+'Model Inputs'!$B$36)^(AN27-1)),"")</f>
        <v>63338.504069380797</v>
      </c>
      <c r="U27" s="66">
        <f t="shared" si="4"/>
        <v>855597.26149114594</v>
      </c>
      <c r="V27" s="66">
        <f>IF(C27="Working",MIN(MAX(U27,0),'Tax Assumptions'!$B$20),0)</f>
        <v>7500</v>
      </c>
      <c r="W27" s="66">
        <f t="shared" si="5"/>
        <v>848097.26149114594</v>
      </c>
      <c r="X27" s="66">
        <f t="shared" si="6"/>
        <v>880097.26149114594</v>
      </c>
      <c r="Y27" s="66">
        <f t="shared" si="7"/>
        <v>0</v>
      </c>
      <c r="Z27" s="66">
        <f t="shared" si="8"/>
        <v>0</v>
      </c>
      <c r="AA27" s="66">
        <f t="shared" si="17"/>
        <v>0</v>
      </c>
      <c r="AB27" s="66">
        <f t="shared" si="18"/>
        <v>0</v>
      </c>
      <c r="AC27" s="66">
        <f t="shared" si="19"/>
        <v>0</v>
      </c>
      <c r="AD27" s="66">
        <f t="shared" si="20"/>
        <v>0</v>
      </c>
      <c r="AE27" s="68">
        <f t="shared" si="21"/>
        <v>4623288.6113382634</v>
      </c>
      <c r="AF27" s="68">
        <f t="shared" si="22"/>
        <v>281537.24159276602</v>
      </c>
      <c r="AG27" s="68">
        <f t="shared" si="23"/>
        <v>86184.869875336532</v>
      </c>
      <c r="AH27" s="68">
        <f t="shared" si="24"/>
        <v>0</v>
      </c>
      <c r="AI27" s="68">
        <f t="shared" si="9"/>
        <v>4991010.7228063662</v>
      </c>
      <c r="AJ27" s="68">
        <f t="shared" si="25"/>
        <v>4177821.9657513783</v>
      </c>
      <c r="AK27" s="68">
        <f t="shared" si="26"/>
        <v>5312150.0243396359</v>
      </c>
      <c r="AL27" s="69">
        <f t="shared" si="10"/>
        <v>0.41696646234120222</v>
      </c>
      <c r="AM27" s="69">
        <f t="shared" si="11"/>
        <v>0.43269924135225413</v>
      </c>
      <c r="AN27" s="203">
        <f t="shared" si="12"/>
        <v>9</v>
      </c>
      <c r="AO27" s="203">
        <f>'Model Inputs'!$B$22+AN27-1</f>
        <v>2034</v>
      </c>
      <c r="AP27" s="41">
        <f>IF(AND(AQ27="",AR27="",AX27="",BA27="",BC27=""),"",IF(AN27=1,(13-'Model Inputs'!$B$23)/12,1))</f>
        <v>1</v>
      </c>
      <c r="AQ27" s="49">
        <f>IF(OR(AN27&lt;='Model Inputs'!$B$24,AR27&lt;&gt;"",AX27&lt;&gt;"",BA27&lt;&gt;"",BC27&lt;&gt;""),'Model Inputs'!$B$25*(1+'Model Inputs'!$B$31)^(AN27-1),"")</f>
        <v>300000</v>
      </c>
      <c r="AR27" s="49"/>
      <c r="AS27" s="49">
        <f t="shared" si="13"/>
        <v>300000</v>
      </c>
      <c r="AT27" s="49">
        <f t="shared" si="14"/>
        <v>300000</v>
      </c>
      <c r="AU27" s="49">
        <f>IF(AP27="","",IF(AN27=1,(13-'Model Inputs'!$B$23)/12*'Model Inputs'!$B$27,IF(AN27=2,'Model Inputs'!$B$27,IF(AN27&lt;=MAX(3,'Model Inputs'!$B$30+1),'Model Inputs'!$B$27*(1+'Model Inputs'!$B$28)^(AN27-3),'Model Inputs'!$B$27*(1+'Model Inputs'!$B$28)^(MAX(3,'Model Inputs'!$B$30+1)-3)*(1+'Model Inputs'!$B$29)^(AN27-MAX(3,'Model Inputs'!$B$30+1))))))</f>
        <v>2478210.9983498608</v>
      </c>
      <c r="AV27" s="41">
        <f>IF(AU27="","",IF(AN27&lt;=2,0,'Model Inputs'!$B$32*SIN(2*PI()*(AN27-3+'Model Inputs'!$B$34)/MAX(1,'Model Inputs'!$B$33))))</f>
        <v>-5.8783046359072947E-17</v>
      </c>
      <c r="AW27" s="41"/>
      <c r="AX27" s="49"/>
      <c r="AY27" s="49">
        <f t="shared" si="15"/>
        <v>2478210.9983498603</v>
      </c>
      <c r="AZ27" s="49" t="str">
        <f>IF(AN27=1,'Model Inputs'!$B$26,"")</f>
        <v/>
      </c>
      <c r="BA27" s="49">
        <v>0</v>
      </c>
      <c r="BB27" s="49">
        <f t="shared" si="16"/>
        <v>2033969.9666232408</v>
      </c>
      <c r="BC27" s="49"/>
      <c r="BD27" s="207" t="str">
        <f t="shared" si="28"/>
        <v/>
      </c>
      <c r="BE27" s="208"/>
      <c r="BF27" s="208"/>
      <c r="BG27" s="208"/>
      <c r="BH27" s="209"/>
      <c r="BI27" s="210"/>
      <c r="BJ27" s="207">
        <f t="shared" si="29"/>
        <v>1733969.9666232408</v>
      </c>
      <c r="BK27" s="207">
        <f t="shared" si="27"/>
        <v>2915048.5122284708</v>
      </c>
      <c r="BL27" s="211">
        <v>80000</v>
      </c>
      <c r="BM27" s="211">
        <v>50000</v>
      </c>
    </row>
    <row r="28" spans="1:65" x14ac:dyDescent="0.2">
      <c r="A28" s="70">
        <v>10</v>
      </c>
      <c r="B28" s="71">
        <f t="shared" si="0"/>
        <v>2595495.7626410057</v>
      </c>
      <c r="C28" s="70" t="str">
        <f t="shared" si="1"/>
        <v>Working</v>
      </c>
      <c r="D28" s="71">
        <f>IF(OR(C28="Retired",B28=""),0,MIN(B28,'Tax Assumptions'!$B$19))</f>
        <v>24500</v>
      </c>
      <c r="E28" s="49">
        <v>0</v>
      </c>
      <c r="F28" s="49">
        <v>0</v>
      </c>
      <c r="G28" s="71">
        <f>IF(C28="Working",MAX(B28-D28-E28-'Tax Assumptions'!$B$8,0),0)</f>
        <v>2554895.7626410057</v>
      </c>
      <c r="H28" s="71">
        <f>IF(G28=0,0,LOOKUP(G28,'Tax Assumptions'!$F$9:$F$15,'Tax Assumptions'!$I$9:$I$15)+(G28-LOOKUP(G28,'Tax Assumptions'!$F$9:$F$15,'Tax Assumptions'!$F$9:$F$15))*LOOKUP(G28,'Tax Assumptions'!$F$9:$F$15,'Tax Assumptions'!$H$9:$H$15))</f>
        <v>901268.68217717204</v>
      </c>
      <c r="I28" s="71">
        <f>IF(C28="Working",MIN(MAX(B28-E28,0),'Tax Assumptions'!$B$11)*'Tax Assumptions'!$B$10,0)</f>
        <v>11439</v>
      </c>
      <c r="J28" s="71">
        <f>IF(C28="Working",MAX(B28-E28,0)*'Tax Assumptions'!$B$12,0)</f>
        <v>37634.688558294583</v>
      </c>
      <c r="K28" s="71">
        <f>IF(C28="Working",MAX(MAX(B28-E28,0)-'Tax Assumptions'!$B$14,0)*'Tax Assumptions'!$B$13,0)</f>
        <v>21559.461863769051</v>
      </c>
      <c r="L28" s="72">
        <f>IF(C28="Working",MIN(B28*'Tax Assumptions'!$B$15,'Tax Assumptions'!$B$16),0)</f>
        <v>411.91</v>
      </c>
      <c r="M28" s="72">
        <f>IF(C28="Working",MIN(B28*'Tax Assumptions'!$B$17,'Tax Assumptions'!$B$18),0)</f>
        <v>31.2</v>
      </c>
      <c r="N28" s="71">
        <f>IF(C28="Working",MAX(B28-D28-'Tax Assumptions'!$B$9,0),0)</f>
        <v>2562995.7626410057</v>
      </c>
      <c r="O28" s="71">
        <f>IF(N28=0,0,LOOKUP(N28,'Tax Assumptions'!$K$9:$K$17,'Tax Assumptions'!$N$9:$N$17)+(N28-LOOKUP(N28,'Tax Assumptions'!$K$9:$K$17,'Tax Assumptions'!$K$9:$K$17))*LOOKUP(N28,'Tax Assumptions'!$K$9:$K$17,'Tax Assumptions'!$M$9:$M$17))</f>
        <v>214543.14609485705</v>
      </c>
      <c r="P28" s="71">
        <f>IF(N28=0,0,LOOKUP(N28,'Tax Assumptions'!$P$9:$P$12,'Tax Assumptions'!$S$9:$S$12)+(N28-LOOKUP(N28,'Tax Assumptions'!$P$9:$P$12,'Tax Assumptions'!$P$9:$P$12))*LOOKUP(N28,'Tax Assumptions'!$P$9:$P$12,'Tax Assumptions'!$R$9:$R$12))</f>
        <v>99216.885759965386</v>
      </c>
      <c r="Q28" s="71">
        <f t="shared" si="2"/>
        <v>1286104.9744540581</v>
      </c>
      <c r="R28" s="71">
        <f t="shared" si="3"/>
        <v>1284890.7881869476</v>
      </c>
      <c r="S28" s="49">
        <f>IF(C28="Working",IF(BL28="","",BL28*(1+'Model Inputs'!$B$35)^(AN28-1)),"")</f>
        <v>104381.85470633955</v>
      </c>
      <c r="T28" s="49">
        <f>IF(C28="Working",IF(BM28="","",BM28*(1+'Model Inputs'!$B$36)^(AN28-1)),"")</f>
        <v>65238.659191462226</v>
      </c>
      <c r="U28" s="71">
        <f t="shared" si="4"/>
        <v>1115270.2742891458</v>
      </c>
      <c r="V28" s="71">
        <f>IF(C28="Working",MIN(MAX(U28,0),'Tax Assumptions'!$B$20),0)</f>
        <v>7500</v>
      </c>
      <c r="W28" s="71">
        <f t="shared" si="5"/>
        <v>1107770.2742891458</v>
      </c>
      <c r="X28" s="71">
        <f t="shared" si="6"/>
        <v>1139770.2742891458</v>
      </c>
      <c r="Y28" s="71">
        <f t="shared" si="7"/>
        <v>0</v>
      </c>
      <c r="Z28" s="71">
        <f t="shared" si="8"/>
        <v>0</v>
      </c>
      <c r="AA28" s="71">
        <f t="shared" si="17"/>
        <v>0</v>
      </c>
      <c r="AB28" s="71">
        <f t="shared" si="18"/>
        <v>0</v>
      </c>
      <c r="AC28" s="71">
        <f t="shared" si="19"/>
        <v>0</v>
      </c>
      <c r="AD28" s="71">
        <f t="shared" si="20"/>
        <v>0</v>
      </c>
      <c r="AE28" s="68">
        <f t="shared" si="21"/>
        <v>6008456.2023077058</v>
      </c>
      <c r="AF28" s="68">
        <f t="shared" si="22"/>
        <v>322929.47608833201</v>
      </c>
      <c r="AG28" s="68">
        <f t="shared" si="23"/>
        <v>98855.96206785673</v>
      </c>
      <c r="AH28" s="68">
        <f t="shared" si="24"/>
        <v>0</v>
      </c>
      <c r="AI28" s="68">
        <f t="shared" si="9"/>
        <v>6430241.6404638942</v>
      </c>
      <c r="AJ28" s="68">
        <f t="shared" si="25"/>
        <v>5317592.2400405239</v>
      </c>
      <c r="AK28" s="68">
        <f t="shared" si="26"/>
        <v>6876892.300575953</v>
      </c>
      <c r="AL28" s="73">
        <f t="shared" si="10"/>
        <v>0.4268048864629822</v>
      </c>
      <c r="AM28" s="73">
        <f t="shared" si="11"/>
        <v>0.43913393760635178</v>
      </c>
      <c r="AN28" s="203">
        <f t="shared" si="12"/>
        <v>10</v>
      </c>
      <c r="AO28" s="203">
        <f>'Model Inputs'!$B$22+AN28-1</f>
        <v>2035</v>
      </c>
      <c r="AP28" s="41">
        <f>IF(AND(AQ28="",AR28="",AX28="",BA28="",BC28=""),"",IF(AN28=1,(13-'Model Inputs'!$B$23)/12,1))</f>
        <v>1</v>
      </c>
      <c r="AQ28" s="49">
        <f>IF(OR(AN28&lt;='Model Inputs'!$B$24,AR28&lt;&gt;"",AX28&lt;&gt;"",BA28&lt;&gt;"",BC28&lt;&gt;""),'Model Inputs'!$B$25*(1+'Model Inputs'!$B$31)^(AN28-1),"")</f>
        <v>300000</v>
      </c>
      <c r="AR28" s="49"/>
      <c r="AS28" s="49">
        <f t="shared" si="13"/>
        <v>300000</v>
      </c>
      <c r="AT28" s="49">
        <f t="shared" si="14"/>
        <v>300000</v>
      </c>
      <c r="AU28" s="49">
        <f>IF(AP28="","",IF(AN28=1,(13-'Model Inputs'!$B$23)/12*'Model Inputs'!$B$27,IF(AN28=2,'Model Inputs'!$B$27,IF(AN28&lt;=MAX(3,'Model Inputs'!$B$30+1),'Model Inputs'!$B$27*(1+'Model Inputs'!$B$28)^(AN28-3),'Model Inputs'!$B$27*(1+'Model Inputs'!$B$28)^(MAX(3,'Model Inputs'!$B$30+1)-3)*(1+'Model Inputs'!$B$29)^(AN28-MAX(3,'Model Inputs'!$B$30+1))))))</f>
        <v>3149502.4370985711</v>
      </c>
      <c r="AV28" s="41">
        <f>IF(AU28="","",IF(AN28&lt;=2,0,'Model Inputs'!$B$32*SIN(2*PI()*(AN28-3+'Model Inputs'!$B$34)/MAX(1,'Model Inputs'!$B$33))))</f>
        <v>0.10392304845413271</v>
      </c>
      <c r="AW28" s="41"/>
      <c r="AX28" s="49"/>
      <c r="AY28" s="49">
        <f t="shared" si="15"/>
        <v>3476808.331475575</v>
      </c>
      <c r="AZ28" s="49" t="str">
        <f>IF(AN28=1,'Model Inputs'!$B$26,"")</f>
        <v/>
      </c>
      <c r="BA28" s="49">
        <v>0</v>
      </c>
      <c r="BB28" s="49">
        <f t="shared" si="16"/>
        <v>2595495.7626410057</v>
      </c>
      <c r="BC28" s="49"/>
      <c r="BD28" s="207" t="str">
        <f t="shared" si="28"/>
        <v/>
      </c>
      <c r="BE28" s="208"/>
      <c r="BF28" s="208"/>
      <c r="BG28" s="208"/>
      <c r="BH28" s="209"/>
      <c r="BI28" s="210"/>
      <c r="BJ28" s="207">
        <f t="shared" si="29"/>
        <v>2295495.7626410057</v>
      </c>
      <c r="BK28" s="207">
        <f t="shared" si="27"/>
        <v>4096361.0810630401</v>
      </c>
      <c r="BL28" s="211">
        <v>80000</v>
      </c>
      <c r="BM28" s="211">
        <v>50000</v>
      </c>
    </row>
    <row r="29" spans="1:65" x14ac:dyDescent="0.2">
      <c r="A29" s="65">
        <v>11</v>
      </c>
      <c r="B29" s="71" t="str">
        <f t="shared" si="0"/>
        <v/>
      </c>
      <c r="C29" s="65" t="str">
        <f t="shared" si="1"/>
        <v>Retired</v>
      </c>
      <c r="D29" s="66">
        <f>IF(OR(C29="Retired",B29=""),0,MIN(B29,'Tax Assumptions'!$B$19))</f>
        <v>0</v>
      </c>
      <c r="E29" s="49"/>
      <c r="F29" s="49"/>
      <c r="G29" s="66">
        <f>IF(C29="Working",MAX(B29-D29-E29-'Tax Assumptions'!$B$8,0),0)</f>
        <v>0</v>
      </c>
      <c r="H29" s="66">
        <f>IF(G29=0,0,LOOKUP(G29,'Tax Assumptions'!$F$9:$F$15,'Tax Assumptions'!$I$9:$I$15)+(G29-LOOKUP(G29,'Tax Assumptions'!$F$9:$F$15,'Tax Assumptions'!$F$9:$F$15))*LOOKUP(G29,'Tax Assumptions'!$F$9:$F$15,'Tax Assumptions'!$H$9:$H$15))</f>
        <v>0</v>
      </c>
      <c r="I29" s="66">
        <f>IF(C29="Working",MIN(MAX(B29-E29,0),'Tax Assumptions'!$B$11)*'Tax Assumptions'!$B$10,0)</f>
        <v>0</v>
      </c>
      <c r="J29" s="66">
        <f>IF(C29="Working",MAX(B29-E29,0)*'Tax Assumptions'!$B$12,0)</f>
        <v>0</v>
      </c>
      <c r="K29" s="66">
        <f>IF(C29="Working",MAX(MAX(B29-E29,0)-'Tax Assumptions'!$B$14,0)*'Tax Assumptions'!$B$13,0)</f>
        <v>0</v>
      </c>
      <c r="L29" s="67">
        <f>IF(C29="Working",MIN(B29*'Tax Assumptions'!$B$15,'Tax Assumptions'!$B$16),0)</f>
        <v>0</v>
      </c>
      <c r="M29" s="67">
        <f>IF(C29="Working",MIN(B29*'Tax Assumptions'!$B$17,'Tax Assumptions'!$B$18),0)</f>
        <v>0</v>
      </c>
      <c r="N29" s="66">
        <f>IF(C29="Working",MAX(B29-D29-'Tax Assumptions'!$B$9,0),0)</f>
        <v>0</v>
      </c>
      <c r="O29" s="66">
        <f>IF(N29=0,0,LOOKUP(N29,'Tax Assumptions'!$K$9:$K$17,'Tax Assumptions'!$N$9:$N$17)+(N29-LOOKUP(N29,'Tax Assumptions'!$K$9:$K$17,'Tax Assumptions'!$K$9:$K$17))*LOOKUP(N29,'Tax Assumptions'!$K$9:$K$17,'Tax Assumptions'!$M$9:$M$17))</f>
        <v>0</v>
      </c>
      <c r="P29" s="66">
        <f>IF(N29=0,0,LOOKUP(N29,'Tax Assumptions'!$P$9:$P$12,'Tax Assumptions'!$S$9:$S$12)+(N29-LOOKUP(N29,'Tax Assumptions'!$P$9:$P$12,'Tax Assumptions'!$P$9:$P$12))*LOOKUP(N29,'Tax Assumptions'!$P$9:$P$12,'Tax Assumptions'!$R$9:$R$12))</f>
        <v>0</v>
      </c>
      <c r="Q29" s="66">
        <f t="shared" si="2"/>
        <v>0</v>
      </c>
      <c r="R29" s="66">
        <f t="shared" si="3"/>
        <v>0</v>
      </c>
      <c r="S29" s="49" t="str">
        <f>IF(C29="Working",IF(BL29="","",BL29*(1+'Model Inputs'!$B$35)^(AN29-1)),"")</f>
        <v/>
      </c>
      <c r="T29" s="49" t="str">
        <f>IF(C29="Working",IF(BM29="","",BM29*(1+'Model Inputs'!$B$36)^(AN29-1)),"")</f>
        <v/>
      </c>
      <c r="U29" s="66">
        <f t="shared" si="4"/>
        <v>0</v>
      </c>
      <c r="V29" s="66">
        <f>IF(C29="Working",MIN(MAX(U29,0),'Tax Assumptions'!$B$20),0)</f>
        <v>0</v>
      </c>
      <c r="W29" s="66">
        <f t="shared" si="5"/>
        <v>0</v>
      </c>
      <c r="X29" s="66">
        <f t="shared" si="6"/>
        <v>0</v>
      </c>
      <c r="Y29" s="66">
        <f t="shared" si="7"/>
        <v>200000</v>
      </c>
      <c r="Z29" s="66">
        <f t="shared" si="8"/>
        <v>200000</v>
      </c>
      <c r="AA29" s="66">
        <f t="shared" si="17"/>
        <v>200000</v>
      </c>
      <c r="AB29" s="66">
        <f t="shared" si="18"/>
        <v>0</v>
      </c>
      <c r="AC29" s="66">
        <f t="shared" si="19"/>
        <v>0</v>
      </c>
      <c r="AD29" s="66">
        <f t="shared" si="20"/>
        <v>0</v>
      </c>
      <c r="AE29" s="68">
        <f t="shared" si="21"/>
        <v>6168963.5744461687</v>
      </c>
      <c r="AF29" s="68">
        <f t="shared" si="22"/>
        <v>342305.24465363193</v>
      </c>
      <c r="AG29" s="68">
        <f t="shared" si="23"/>
        <v>104787.31979192814</v>
      </c>
      <c r="AH29" s="68">
        <f t="shared" si="24"/>
        <v>0</v>
      </c>
      <c r="AI29" s="68">
        <f t="shared" si="9"/>
        <v>6616056.1388917286</v>
      </c>
      <c r="AJ29" s="68">
        <f t="shared" si="25"/>
        <v>5117592.2400405239</v>
      </c>
      <c r="AK29" s="68">
        <f t="shared" si="26"/>
        <v>7227043.6846220298</v>
      </c>
      <c r="AL29" s="69">
        <f t="shared" si="10"/>
        <v>0</v>
      </c>
      <c r="AM29" s="69">
        <f t="shared" si="11"/>
        <v>0</v>
      </c>
      <c r="AN29" s="203">
        <f t="shared" si="12"/>
        <v>11</v>
      </c>
      <c r="AO29" s="203">
        <f>'Model Inputs'!$B$22+AN29-1</f>
        <v>2036</v>
      </c>
      <c r="AP29" s="41" t="str">
        <f>IF(AND(AQ29="",AR29="",AX29="",BA29="",BC29=""),"",IF(AN29=1,(13-'Model Inputs'!$B$23)/12,1))</f>
        <v/>
      </c>
      <c r="AQ29" s="49" t="str">
        <f>IF(OR(AN29&lt;='Model Inputs'!$B$24,AR29&lt;&gt;"",AX29&lt;&gt;"",BA29&lt;&gt;"",BC29&lt;&gt;""),'Model Inputs'!$B$25*(1+'Model Inputs'!$B$31)^(AN29-1),"")</f>
        <v/>
      </c>
      <c r="AR29" s="49"/>
      <c r="AS29" s="49" t="str">
        <f t="shared" si="13"/>
        <v/>
      </c>
      <c r="AT29" s="49" t="str">
        <f t="shared" si="14"/>
        <v/>
      </c>
      <c r="AU29" s="49" t="str">
        <f>IF(AP29="","",IF(AN29=1,(13-'Model Inputs'!$B$23)/12*'Model Inputs'!$B$27,IF(AN29=2,'Model Inputs'!$B$27,IF(AN29&lt;=MAX(3,'Model Inputs'!$B$30+1),'Model Inputs'!$B$27*(1+'Model Inputs'!$B$28)^(AN29-3),'Model Inputs'!$B$27*(1+'Model Inputs'!$B$28)^(MAX(3,'Model Inputs'!$B$30+1)-3)*(1+'Model Inputs'!$B$29)^(AN29-MAX(3,'Model Inputs'!$B$30+1))))))</f>
        <v/>
      </c>
      <c r="AV29" s="41" t="str">
        <f>IF(AU29="","",IF(AN29&lt;=2,0,'Model Inputs'!$B$32*SIN(2*PI()*(AN29-3+'Model Inputs'!$B$34)/MAX(1,'Model Inputs'!$B$33))))</f>
        <v/>
      </c>
      <c r="AW29" s="41"/>
      <c r="AX29" s="49"/>
      <c r="AY29" s="49" t="str">
        <f t="shared" si="15"/>
        <v/>
      </c>
      <c r="AZ29" s="49" t="str">
        <f>IF(AN29=1,'Model Inputs'!$B$26,"")</f>
        <v/>
      </c>
      <c r="BA29" s="49"/>
      <c r="BB29" s="49" t="str">
        <f t="shared" si="16"/>
        <v/>
      </c>
      <c r="BC29" s="49"/>
      <c r="BD29" s="207" t="str">
        <f t="shared" si="28"/>
        <v/>
      </c>
      <c r="BE29" s="208"/>
      <c r="BF29" s="208"/>
      <c r="BG29" s="208"/>
      <c r="BH29" s="209"/>
      <c r="BI29" s="210"/>
      <c r="BJ29" s="207" t="str">
        <f t="shared" si="29"/>
        <v/>
      </c>
      <c r="BK29" s="207" t="str">
        <f t="shared" si="27"/>
        <v/>
      </c>
      <c r="BL29" s="49" t="str">
        <f>IF(C29="Working",LOOKUP(2,1/($BL$19:BL28&lt;&gt;""),$BL$19:BL28),"")</f>
        <v/>
      </c>
      <c r="BM29" s="49" t="str">
        <f>IF(C29="Working",LOOKUP(2,1/($BM$19:BM28&lt;&gt;""),$BM$19:BM28),"")</f>
        <v/>
      </c>
    </row>
    <row r="30" spans="1:65" x14ac:dyDescent="0.2">
      <c r="A30" s="70">
        <v>12</v>
      </c>
      <c r="B30" s="71" t="str">
        <f t="shared" si="0"/>
        <v/>
      </c>
      <c r="C30" s="70" t="str">
        <f t="shared" si="1"/>
        <v>Retired</v>
      </c>
      <c r="D30" s="71">
        <f>IF(OR(C30="Retired",B30=""),0,MIN(B30,'Tax Assumptions'!$B$19))</f>
        <v>0</v>
      </c>
      <c r="E30" s="49"/>
      <c r="F30" s="49"/>
      <c r="G30" s="71">
        <f>IF(C30="Working",MAX(B30-D30-E30-'Tax Assumptions'!$B$8,0),0)</f>
        <v>0</v>
      </c>
      <c r="H30" s="71">
        <f>IF(G30=0,0,LOOKUP(G30,'Tax Assumptions'!$F$9:$F$15,'Tax Assumptions'!$I$9:$I$15)+(G30-LOOKUP(G30,'Tax Assumptions'!$F$9:$F$15,'Tax Assumptions'!$F$9:$F$15))*LOOKUP(G30,'Tax Assumptions'!$F$9:$F$15,'Tax Assumptions'!$H$9:$H$15))</f>
        <v>0</v>
      </c>
      <c r="I30" s="71">
        <f>IF(C30="Working",MIN(MAX(B30-E30,0),'Tax Assumptions'!$B$11)*'Tax Assumptions'!$B$10,0)</f>
        <v>0</v>
      </c>
      <c r="J30" s="71">
        <f>IF(C30="Working",MAX(B30-E30,0)*'Tax Assumptions'!$B$12,0)</f>
        <v>0</v>
      </c>
      <c r="K30" s="71">
        <f>IF(C30="Working",MAX(MAX(B30-E30,0)-'Tax Assumptions'!$B$14,0)*'Tax Assumptions'!$B$13,0)</f>
        <v>0</v>
      </c>
      <c r="L30" s="72">
        <f>IF(C30="Working",MIN(B30*'Tax Assumptions'!$B$15,'Tax Assumptions'!$B$16),0)</f>
        <v>0</v>
      </c>
      <c r="M30" s="72">
        <f>IF(C30="Working",MIN(B30*'Tax Assumptions'!$B$17,'Tax Assumptions'!$B$18),0)</f>
        <v>0</v>
      </c>
      <c r="N30" s="71">
        <f>IF(C30="Working",MAX(B30-D30-'Tax Assumptions'!$B$9,0),0)</f>
        <v>0</v>
      </c>
      <c r="O30" s="71">
        <f>IF(N30=0,0,LOOKUP(N30,'Tax Assumptions'!$K$9:$K$17,'Tax Assumptions'!$N$9:$N$17)+(N30-LOOKUP(N30,'Tax Assumptions'!$K$9:$K$17,'Tax Assumptions'!$K$9:$K$17))*LOOKUP(N30,'Tax Assumptions'!$K$9:$K$17,'Tax Assumptions'!$M$9:$M$17))</f>
        <v>0</v>
      </c>
      <c r="P30" s="71">
        <f>IF(N30=0,0,LOOKUP(N30,'Tax Assumptions'!$P$9:$P$12,'Tax Assumptions'!$S$9:$S$12)+(N30-LOOKUP(N30,'Tax Assumptions'!$P$9:$P$12,'Tax Assumptions'!$P$9:$P$12))*LOOKUP(N30,'Tax Assumptions'!$P$9:$P$12,'Tax Assumptions'!$R$9:$R$12))</f>
        <v>0</v>
      </c>
      <c r="Q30" s="71">
        <f t="shared" si="2"/>
        <v>0</v>
      </c>
      <c r="R30" s="71">
        <f t="shared" si="3"/>
        <v>0</v>
      </c>
      <c r="S30" s="49" t="str">
        <f>IF(C30="Working",IF(BL30="","",BL30*(1+'Model Inputs'!$B$35)^(AN30-1)),"")</f>
        <v/>
      </c>
      <c r="T30" s="49" t="str">
        <f>IF(C30="Working",IF(BM30="","",BM30*(1+'Model Inputs'!$B$36)^(AN30-1)),"")</f>
        <v/>
      </c>
      <c r="U30" s="71">
        <f t="shared" si="4"/>
        <v>0</v>
      </c>
      <c r="V30" s="71">
        <f>IF(C30="Working",MIN(MAX(U30,0),'Tax Assumptions'!$B$20),0)</f>
        <v>0</v>
      </c>
      <c r="W30" s="71">
        <f t="shared" si="5"/>
        <v>0</v>
      </c>
      <c r="X30" s="71">
        <f t="shared" si="6"/>
        <v>0</v>
      </c>
      <c r="Y30" s="71">
        <f t="shared" si="7"/>
        <v>200000</v>
      </c>
      <c r="Z30" s="71">
        <f t="shared" si="8"/>
        <v>200000</v>
      </c>
      <c r="AA30" s="71">
        <f t="shared" si="17"/>
        <v>200000</v>
      </c>
      <c r="AB30" s="71">
        <f t="shared" si="18"/>
        <v>0</v>
      </c>
      <c r="AC30" s="71">
        <f t="shared" si="19"/>
        <v>0</v>
      </c>
      <c r="AD30" s="71">
        <f t="shared" si="20"/>
        <v>0</v>
      </c>
      <c r="AE30" s="68">
        <f t="shared" si="21"/>
        <v>6339101.3889129395</v>
      </c>
      <c r="AF30" s="68">
        <f t="shared" si="22"/>
        <v>362843.55933284987</v>
      </c>
      <c r="AG30" s="68">
        <f t="shared" si="23"/>
        <v>111074.55897944383</v>
      </c>
      <c r="AH30" s="68">
        <f t="shared" si="24"/>
        <v>0</v>
      </c>
      <c r="AI30" s="68">
        <f t="shared" si="9"/>
        <v>6813019.5072252331</v>
      </c>
      <c r="AJ30" s="68">
        <f t="shared" si="25"/>
        <v>4917592.2400405239</v>
      </c>
      <c r="AK30" s="68">
        <f t="shared" si="26"/>
        <v>7605207.179391793</v>
      </c>
      <c r="AL30" s="73">
        <f t="shared" si="10"/>
        <v>0</v>
      </c>
      <c r="AM30" s="73">
        <f t="shared" si="11"/>
        <v>0</v>
      </c>
      <c r="AN30" s="203">
        <f t="shared" si="12"/>
        <v>12</v>
      </c>
      <c r="AO30" s="203">
        <f>'Model Inputs'!$B$22+AN30-1</f>
        <v>2037</v>
      </c>
      <c r="AP30" s="41" t="str">
        <f>IF(AND(AQ30="",AR30="",AX30="",BA30="",BC30=""),"",IF(AN30=1,(13-'Model Inputs'!$B$23)/12,1))</f>
        <v/>
      </c>
      <c r="AQ30" s="49" t="str">
        <f>IF(OR(AN30&lt;='Model Inputs'!$B$24,AR30&lt;&gt;"",AX30&lt;&gt;"",BA30&lt;&gt;"",BC30&lt;&gt;""),'Model Inputs'!$B$25*(1+'Model Inputs'!$B$31)^(AN30-1),"")</f>
        <v/>
      </c>
      <c r="AR30" s="49"/>
      <c r="AS30" s="49" t="str">
        <f t="shared" si="13"/>
        <v/>
      </c>
      <c r="AT30" s="49" t="str">
        <f t="shared" si="14"/>
        <v/>
      </c>
      <c r="AU30" s="49" t="str">
        <f>IF(AP30="","",IF(AN30=1,(13-'Model Inputs'!$B$23)/12*'Model Inputs'!$B$27,IF(AN30=2,'Model Inputs'!$B$27,IF(AN30&lt;=MAX(3,'Model Inputs'!$B$30+1),'Model Inputs'!$B$27*(1+'Model Inputs'!$B$28)^(AN30-3),'Model Inputs'!$B$27*(1+'Model Inputs'!$B$28)^(MAX(3,'Model Inputs'!$B$30+1)-3)*(1+'Model Inputs'!$B$29)^(AN30-MAX(3,'Model Inputs'!$B$30+1))))))</f>
        <v/>
      </c>
      <c r="AV30" s="41" t="str">
        <f>IF(AU30="","",IF(AN30&lt;=2,0,'Model Inputs'!$B$32*SIN(2*PI()*(AN30-3+'Model Inputs'!$B$34)/MAX(1,'Model Inputs'!$B$33))))</f>
        <v/>
      </c>
      <c r="AW30" s="41"/>
      <c r="AX30" s="49"/>
      <c r="AY30" s="49" t="str">
        <f t="shared" si="15"/>
        <v/>
      </c>
      <c r="AZ30" s="49" t="str">
        <f>IF(AN30=1,'Model Inputs'!$B$26,"")</f>
        <v/>
      </c>
      <c r="BA30" s="49"/>
      <c r="BB30" s="49" t="str">
        <f t="shared" si="16"/>
        <v/>
      </c>
      <c r="BC30" s="49"/>
      <c r="BD30" s="207" t="str">
        <f t="shared" si="28"/>
        <v/>
      </c>
      <c r="BE30" s="208"/>
      <c r="BF30" s="208"/>
      <c r="BG30" s="208"/>
      <c r="BH30" s="209"/>
      <c r="BI30" s="210"/>
      <c r="BJ30" s="207" t="str">
        <f t="shared" si="29"/>
        <v/>
      </c>
      <c r="BK30" s="207" t="str">
        <f t="shared" si="27"/>
        <v/>
      </c>
      <c r="BL30" s="49" t="str">
        <f>IF(C30="Working",LOOKUP(2,1/($BL$19:BL29&lt;&gt;""),$BL$19:BL29),"")</f>
        <v/>
      </c>
      <c r="BM30" s="49" t="str">
        <f>IF(C30="Working",LOOKUP(2,1/($BM$19:BM29&lt;&gt;""),$BM$19:BM29),"")</f>
        <v/>
      </c>
    </row>
    <row r="31" spans="1:65" x14ac:dyDescent="0.2">
      <c r="A31" s="65">
        <v>13</v>
      </c>
      <c r="B31" s="66" t="str">
        <f t="shared" si="0"/>
        <v/>
      </c>
      <c r="C31" s="65" t="str">
        <f t="shared" si="1"/>
        <v>Retired</v>
      </c>
      <c r="D31" s="66">
        <f>IF(OR(C31="Retired",B31=""),0,MIN(B31,'Tax Assumptions'!$B$19))</f>
        <v>0</v>
      </c>
      <c r="E31" s="49"/>
      <c r="F31" s="49"/>
      <c r="G31" s="66">
        <f>IF(C31="Working",MAX(B31-D31-E31-'Tax Assumptions'!$B$8,0),0)</f>
        <v>0</v>
      </c>
      <c r="H31" s="66">
        <f>IF(G31=0,0,LOOKUP(G31,'Tax Assumptions'!$F$9:$F$15,'Tax Assumptions'!$I$9:$I$15)+(G31-LOOKUP(G31,'Tax Assumptions'!$F$9:$F$15,'Tax Assumptions'!$F$9:$F$15))*LOOKUP(G31,'Tax Assumptions'!$F$9:$F$15,'Tax Assumptions'!$H$9:$H$15))</f>
        <v>0</v>
      </c>
      <c r="I31" s="66">
        <f>IF(C31="Working",MIN(MAX(B31-E31,0),'Tax Assumptions'!$B$11)*'Tax Assumptions'!$B$10,0)</f>
        <v>0</v>
      </c>
      <c r="J31" s="66">
        <f>IF(C31="Working",MAX(B31-E31,0)*'Tax Assumptions'!$B$12,0)</f>
        <v>0</v>
      </c>
      <c r="K31" s="66">
        <f>IF(C31="Working",MAX(MAX(B31-E31,0)-'Tax Assumptions'!$B$14,0)*'Tax Assumptions'!$B$13,0)</f>
        <v>0</v>
      </c>
      <c r="L31" s="67">
        <f>IF(C31="Working",MIN(B31*'Tax Assumptions'!$B$15,'Tax Assumptions'!$B$16),0)</f>
        <v>0</v>
      </c>
      <c r="M31" s="67">
        <f>IF(C31="Working",MIN(B31*'Tax Assumptions'!$B$17,'Tax Assumptions'!$B$18),0)</f>
        <v>0</v>
      </c>
      <c r="N31" s="66">
        <f>IF(C31="Working",MAX(B31-D31-'Tax Assumptions'!$B$9,0),0)</f>
        <v>0</v>
      </c>
      <c r="O31" s="66">
        <f>IF(N31=0,0,LOOKUP(N31,'Tax Assumptions'!$K$9:$K$17,'Tax Assumptions'!$N$9:$N$17)+(N31-LOOKUP(N31,'Tax Assumptions'!$K$9:$K$17,'Tax Assumptions'!$K$9:$K$17))*LOOKUP(N31,'Tax Assumptions'!$K$9:$K$17,'Tax Assumptions'!$M$9:$M$17))</f>
        <v>0</v>
      </c>
      <c r="P31" s="66">
        <f>IF(N31=0,0,LOOKUP(N31,'Tax Assumptions'!$P$9:$P$12,'Tax Assumptions'!$S$9:$S$12)+(N31-LOOKUP(N31,'Tax Assumptions'!$P$9:$P$12,'Tax Assumptions'!$P$9:$P$12))*LOOKUP(N31,'Tax Assumptions'!$P$9:$P$12,'Tax Assumptions'!$R$9:$R$12))</f>
        <v>0</v>
      </c>
      <c r="Q31" s="66">
        <f t="shared" si="2"/>
        <v>0</v>
      </c>
      <c r="R31" s="66">
        <f t="shared" si="3"/>
        <v>0</v>
      </c>
      <c r="S31" s="49" t="str">
        <f>IF(C31="Working",IF(BL31="","",BL31*(1+'Model Inputs'!$B$35)^(AN31-1)),"")</f>
        <v/>
      </c>
      <c r="T31" s="49" t="str">
        <f>IF(C31="Working",IF(BM31="","",BM31*(1+'Model Inputs'!$B$36)^(AN31-1)),"")</f>
        <v/>
      </c>
      <c r="U31" s="66">
        <f t="shared" si="4"/>
        <v>0</v>
      </c>
      <c r="V31" s="66">
        <f>IF(C31="Working",MIN(MAX(U31,0),'Tax Assumptions'!$B$20),0)</f>
        <v>0</v>
      </c>
      <c r="W31" s="66">
        <f t="shared" si="5"/>
        <v>0</v>
      </c>
      <c r="X31" s="66">
        <f t="shared" si="6"/>
        <v>0</v>
      </c>
      <c r="Y31" s="66">
        <f t="shared" si="7"/>
        <v>200000</v>
      </c>
      <c r="Z31" s="66">
        <f t="shared" si="8"/>
        <v>200000</v>
      </c>
      <c r="AA31" s="66">
        <f t="shared" si="17"/>
        <v>200000</v>
      </c>
      <c r="AB31" s="66">
        <f t="shared" si="18"/>
        <v>0</v>
      </c>
      <c r="AC31" s="66">
        <f t="shared" si="19"/>
        <v>0</v>
      </c>
      <c r="AD31" s="66">
        <f t="shared" si="20"/>
        <v>0</v>
      </c>
      <c r="AE31" s="68">
        <f t="shared" si="21"/>
        <v>6519447.472247716</v>
      </c>
      <c r="AF31" s="68">
        <f t="shared" si="22"/>
        <v>384614.1728928209</v>
      </c>
      <c r="AG31" s="68">
        <f t="shared" si="23"/>
        <v>117739.03251821046</v>
      </c>
      <c r="AH31" s="68">
        <f t="shared" si="24"/>
        <v>0</v>
      </c>
      <c r="AI31" s="68">
        <f t="shared" si="9"/>
        <v>7021800.6776587479</v>
      </c>
      <c r="AJ31" s="68">
        <f t="shared" si="25"/>
        <v>4717592.2400405239</v>
      </c>
      <c r="AK31" s="68">
        <f t="shared" si="26"/>
        <v>8013623.7537431372</v>
      </c>
      <c r="AL31" s="69">
        <f t="shared" si="10"/>
        <v>0</v>
      </c>
      <c r="AM31" s="69">
        <f t="shared" si="11"/>
        <v>0</v>
      </c>
      <c r="AN31" s="203">
        <f t="shared" si="12"/>
        <v>13</v>
      </c>
      <c r="AO31" s="203">
        <f>'Model Inputs'!$B$22+AN31-1</f>
        <v>2038</v>
      </c>
      <c r="AP31" s="41" t="str">
        <f>IF(AND(AQ31="",AR31="",AX31="",BA31="",BC31=""),"",IF(AN31=1,(13-'Model Inputs'!$B$23)/12,1))</f>
        <v/>
      </c>
      <c r="AQ31" s="49" t="str">
        <f>IF(OR(AN31&lt;='Model Inputs'!$B$24,AR31&lt;&gt;"",AX31&lt;&gt;"",BA31&lt;&gt;"",BC31&lt;&gt;""),'Model Inputs'!$B$25*(1+'Model Inputs'!$B$31)^(AN31-1),"")</f>
        <v/>
      </c>
      <c r="AR31" s="49"/>
      <c r="AS31" s="49" t="str">
        <f t="shared" si="13"/>
        <v/>
      </c>
      <c r="AT31" s="49" t="str">
        <f t="shared" si="14"/>
        <v/>
      </c>
      <c r="AU31" s="49" t="str">
        <f>IF(AP31="","",IF(AN31=1,AP31*'Model Inputs'!$B$27,IF(AN31&lt;=MAX(2,'Model Inputs'!$B$30),'Model Inputs'!$B$27*(1+'Model Inputs'!$B$28)^(AN31-2),'Model Inputs'!$B$27*(1+'Model Inputs'!$B$28)^(MAX(2,'Model Inputs'!$B$30)-2)*(1+'Model Inputs'!$B$29)^(AN31-MAX(2,'Model Inputs'!$B$30)))))</f>
        <v/>
      </c>
      <c r="AV31" s="41" t="str">
        <f>IF(AU31="","",IF(AN31&lt;=2,0,'Model Inputs'!$B$32*SIN(2*PI()*(AN31-2+'Model Inputs'!$B$34)/MAX(1,'Model Inputs'!$B$33))))</f>
        <v/>
      </c>
      <c r="AW31" s="41"/>
      <c r="AX31" s="49"/>
      <c r="AY31" s="49" t="str">
        <f t="shared" ref="AY31:AY58" si="30">IF(AP31="","",IF(BC31&lt;&gt;"",MAX(BC31-AT31-IF(AZ31="",0,AZ31)-IF(BA31="",0,BA31),0),IF(AX31&lt;&gt;"",AX31,AU31*(1+IF(AW31="",AV31,AW31)))))</f>
        <v/>
      </c>
      <c r="AZ31" s="49" t="str">
        <f>IF(AN31=1,'Model Inputs'!$B$26,"")</f>
        <v/>
      </c>
      <c r="BA31" s="49"/>
      <c r="BB31" s="49" t="str">
        <f t="shared" ref="BB31:BB58" si="31">IF(AND(AS31="",AY31="",AZ31="",BA31="",BC31=""),"",IF(BC31&lt;&gt;"",BC31,AT31+IF(AY31="",0,AY31)+IF(AZ31="",0,AZ31)+IF(BA31="",0,BA31)))</f>
        <v/>
      </c>
      <c r="BC31" s="49"/>
      <c r="BL31" s="49" t="str">
        <f>IF(C31="Working",LOOKUP(2,1/($BL$19:BL30&lt;&gt;""),$BL$19:BL30),"")</f>
        <v/>
      </c>
      <c r="BM31" s="49" t="str">
        <f>IF(C31="Working",LOOKUP(2,1/($BM$19:BM30&lt;&gt;""),$BM$19:BM30),"")</f>
        <v/>
      </c>
    </row>
    <row r="32" spans="1:65" x14ac:dyDescent="0.2">
      <c r="A32" s="70">
        <v>14</v>
      </c>
      <c r="B32" s="71" t="str">
        <f t="shared" si="0"/>
        <v/>
      </c>
      <c r="C32" s="70" t="str">
        <f t="shared" si="1"/>
        <v>Retired</v>
      </c>
      <c r="D32" s="71">
        <f>IF(OR(C32="Retired",B32=""),0,MIN(B32,'Tax Assumptions'!$B$19))</f>
        <v>0</v>
      </c>
      <c r="E32" s="49"/>
      <c r="F32" s="49"/>
      <c r="G32" s="71">
        <f>IF(C32="Working",MAX(B32-D32-E32-'Tax Assumptions'!$B$8,0),0)</f>
        <v>0</v>
      </c>
      <c r="H32" s="71">
        <f>IF(G32=0,0,LOOKUP(G32,'Tax Assumptions'!$F$9:$F$15,'Tax Assumptions'!$I$9:$I$15)+(G32-LOOKUP(G32,'Tax Assumptions'!$F$9:$F$15,'Tax Assumptions'!$F$9:$F$15))*LOOKUP(G32,'Tax Assumptions'!$F$9:$F$15,'Tax Assumptions'!$H$9:$H$15))</f>
        <v>0</v>
      </c>
      <c r="I32" s="71">
        <f>IF(C32="Working",MIN(MAX(B32-E32,0),'Tax Assumptions'!$B$11)*'Tax Assumptions'!$B$10,0)</f>
        <v>0</v>
      </c>
      <c r="J32" s="71">
        <f>IF(C32="Working",MAX(B32-E32,0)*'Tax Assumptions'!$B$12,0)</f>
        <v>0</v>
      </c>
      <c r="K32" s="71">
        <f>IF(C32="Working",MAX(MAX(B32-E32,0)-'Tax Assumptions'!$B$14,0)*'Tax Assumptions'!$B$13,0)</f>
        <v>0</v>
      </c>
      <c r="L32" s="72">
        <f>IF(C32="Working",MIN(B32*'Tax Assumptions'!$B$15,'Tax Assumptions'!$B$16),0)</f>
        <v>0</v>
      </c>
      <c r="M32" s="72">
        <f>IF(C32="Working",MIN(B32*'Tax Assumptions'!$B$17,'Tax Assumptions'!$B$18),0)</f>
        <v>0</v>
      </c>
      <c r="N32" s="71">
        <f>IF(C32="Working",MAX(B32-D32-'Tax Assumptions'!$B$9,0),0)</f>
        <v>0</v>
      </c>
      <c r="O32" s="71">
        <f>IF(N32=0,0,LOOKUP(N32,'Tax Assumptions'!$K$9:$K$17,'Tax Assumptions'!$N$9:$N$17)+(N32-LOOKUP(N32,'Tax Assumptions'!$K$9:$K$17,'Tax Assumptions'!$K$9:$K$17))*LOOKUP(N32,'Tax Assumptions'!$K$9:$K$17,'Tax Assumptions'!$M$9:$M$17))</f>
        <v>0</v>
      </c>
      <c r="P32" s="71">
        <f>IF(N32=0,0,LOOKUP(N32,'Tax Assumptions'!$P$9:$P$12,'Tax Assumptions'!$S$9:$S$12)+(N32-LOOKUP(N32,'Tax Assumptions'!$P$9:$P$12,'Tax Assumptions'!$P$9:$P$12))*LOOKUP(N32,'Tax Assumptions'!$P$9:$P$12,'Tax Assumptions'!$R$9:$R$12))</f>
        <v>0</v>
      </c>
      <c r="Q32" s="71">
        <f t="shared" si="2"/>
        <v>0</v>
      </c>
      <c r="R32" s="71">
        <f t="shared" si="3"/>
        <v>0</v>
      </c>
      <c r="S32" s="49" t="str">
        <f>IF(C32="Working",IF(BL32="","",BL32*(1+'Model Inputs'!$B$35)^(AN32-1)),"")</f>
        <v/>
      </c>
      <c r="T32" s="49" t="str">
        <f>IF(C32="Working",IF(BM32="","",BM32*(1+'Model Inputs'!$B$36)^(AN32-1)),"")</f>
        <v/>
      </c>
      <c r="U32" s="71">
        <f t="shared" si="4"/>
        <v>0</v>
      </c>
      <c r="V32" s="71">
        <f>IF(C32="Working",MIN(MAX(U32,0),'Tax Assumptions'!$B$20),0)</f>
        <v>0</v>
      </c>
      <c r="W32" s="71">
        <f t="shared" si="5"/>
        <v>0</v>
      </c>
      <c r="X32" s="71">
        <f t="shared" si="6"/>
        <v>0</v>
      </c>
      <c r="Y32" s="71">
        <f t="shared" si="7"/>
        <v>200000</v>
      </c>
      <c r="Z32" s="71">
        <f t="shared" si="8"/>
        <v>200000</v>
      </c>
      <c r="AA32" s="71">
        <f t="shared" si="17"/>
        <v>200000</v>
      </c>
      <c r="AB32" s="71">
        <f t="shared" si="18"/>
        <v>0</v>
      </c>
      <c r="AC32" s="71">
        <f t="shared" si="19"/>
        <v>0</v>
      </c>
      <c r="AD32" s="71">
        <f t="shared" si="20"/>
        <v>0</v>
      </c>
      <c r="AE32" s="68">
        <f t="shared" si="21"/>
        <v>6710614.3205825789</v>
      </c>
      <c r="AF32" s="68">
        <f t="shared" si="22"/>
        <v>407691.0232663902</v>
      </c>
      <c r="AG32" s="68">
        <f t="shared" si="23"/>
        <v>124803.37446930309</v>
      </c>
      <c r="AH32" s="68">
        <f t="shared" si="24"/>
        <v>0</v>
      </c>
      <c r="AI32" s="68">
        <f t="shared" si="9"/>
        <v>7243108.7183182724</v>
      </c>
      <c r="AJ32" s="68">
        <f t="shared" si="25"/>
        <v>4517592.2400405239</v>
      </c>
      <c r="AK32" s="68">
        <f t="shared" si="26"/>
        <v>8454713.6540425885</v>
      </c>
      <c r="AL32" s="73">
        <f t="shared" si="10"/>
        <v>0</v>
      </c>
      <c r="AM32" s="73">
        <f t="shared" si="11"/>
        <v>0</v>
      </c>
      <c r="AN32" s="203">
        <f t="shared" si="12"/>
        <v>14</v>
      </c>
      <c r="AO32" s="203">
        <f>'Model Inputs'!$B$22+AN32-1</f>
        <v>2039</v>
      </c>
      <c r="AP32" s="41" t="str">
        <f>IF(AND(AQ32="",AR32="",AX32="",BA32="",BC32=""),"",IF(AN32=1,(13-'Model Inputs'!$B$23)/12,1))</f>
        <v/>
      </c>
      <c r="AQ32" s="49" t="str">
        <f>IF(OR(AN32&lt;='Model Inputs'!$B$24,AR32&lt;&gt;"",AX32&lt;&gt;"",BA32&lt;&gt;"",BC32&lt;&gt;""),'Model Inputs'!$B$25*(1+'Model Inputs'!$B$31)^(AN32-1),"")</f>
        <v/>
      </c>
      <c r="AR32" s="49"/>
      <c r="AS32" s="49" t="str">
        <f t="shared" si="13"/>
        <v/>
      </c>
      <c r="AT32" s="49" t="str">
        <f t="shared" si="14"/>
        <v/>
      </c>
      <c r="AU32" s="49" t="str">
        <f>IF(AP32="","",IF(AN32=1,AP32*'Model Inputs'!$B$27,IF(AN32&lt;=MAX(2,'Model Inputs'!$B$30),'Model Inputs'!$B$27*(1+'Model Inputs'!$B$28)^(AN32-2),'Model Inputs'!$B$27*(1+'Model Inputs'!$B$28)^(MAX(2,'Model Inputs'!$B$30)-2)*(1+'Model Inputs'!$B$29)^(AN32-MAX(2,'Model Inputs'!$B$30)))))</f>
        <v/>
      </c>
      <c r="AV32" s="41" t="str">
        <f>IF(AU32="","",IF(AN32&lt;=2,0,'Model Inputs'!$B$32*SIN(2*PI()*(AN32-2+'Model Inputs'!$B$34)/MAX(1,'Model Inputs'!$B$33))))</f>
        <v/>
      </c>
      <c r="AW32" s="41"/>
      <c r="AX32" s="49"/>
      <c r="AY32" s="49" t="str">
        <f t="shared" si="30"/>
        <v/>
      </c>
      <c r="AZ32" s="49" t="str">
        <f>IF(AN32=1,'Model Inputs'!$B$26,"")</f>
        <v/>
      </c>
      <c r="BA32" s="49"/>
      <c r="BB32" s="49" t="str">
        <f t="shared" si="31"/>
        <v/>
      </c>
      <c r="BC32" s="49"/>
      <c r="BL32" s="49" t="str">
        <f>IF(C32="Working",LOOKUP(2,1/($BL$19:BL31&lt;&gt;""),$BL$19:BL31),"")</f>
        <v/>
      </c>
      <c r="BM32" s="49" t="str">
        <f>IF(C32="Working",LOOKUP(2,1/($BM$19:BM31&lt;&gt;""),$BM$19:BM31),"")</f>
        <v/>
      </c>
    </row>
    <row r="33" spans="1:65" x14ac:dyDescent="0.2">
      <c r="A33" s="65">
        <v>15</v>
      </c>
      <c r="B33" s="66" t="str">
        <f t="shared" si="0"/>
        <v/>
      </c>
      <c r="C33" s="65" t="str">
        <f t="shared" si="1"/>
        <v>Retired</v>
      </c>
      <c r="D33" s="66">
        <f>IF(OR(C33="Retired",B33=""),0,MIN(B33,'Tax Assumptions'!$B$19))</f>
        <v>0</v>
      </c>
      <c r="E33" s="49"/>
      <c r="F33" s="49"/>
      <c r="G33" s="66">
        <f>IF(C33="Working",MAX(B33-D33-E33-'Tax Assumptions'!$B$8,0),0)</f>
        <v>0</v>
      </c>
      <c r="H33" s="66">
        <f>IF(G33=0,0,LOOKUP(G33,'Tax Assumptions'!$F$9:$F$15,'Tax Assumptions'!$I$9:$I$15)+(G33-LOOKUP(G33,'Tax Assumptions'!$F$9:$F$15,'Tax Assumptions'!$F$9:$F$15))*LOOKUP(G33,'Tax Assumptions'!$F$9:$F$15,'Tax Assumptions'!$H$9:$H$15))</f>
        <v>0</v>
      </c>
      <c r="I33" s="66">
        <f>IF(C33="Working",MIN(MAX(B33-E33,0),'Tax Assumptions'!$B$11)*'Tax Assumptions'!$B$10,0)</f>
        <v>0</v>
      </c>
      <c r="J33" s="66">
        <f>IF(C33="Working",MAX(B33-E33,0)*'Tax Assumptions'!$B$12,0)</f>
        <v>0</v>
      </c>
      <c r="K33" s="66">
        <f>IF(C33="Working",MAX(MAX(B33-E33,0)-'Tax Assumptions'!$B$14,0)*'Tax Assumptions'!$B$13,0)</f>
        <v>0</v>
      </c>
      <c r="L33" s="67">
        <f>IF(C33="Working",MIN(B33*'Tax Assumptions'!$B$15,'Tax Assumptions'!$B$16),0)</f>
        <v>0</v>
      </c>
      <c r="M33" s="67">
        <f>IF(C33="Working",MIN(B33*'Tax Assumptions'!$B$17,'Tax Assumptions'!$B$18),0)</f>
        <v>0</v>
      </c>
      <c r="N33" s="66">
        <f>IF(C33="Working",MAX(B33-D33-'Tax Assumptions'!$B$9,0),0)</f>
        <v>0</v>
      </c>
      <c r="O33" s="66">
        <f>IF(N33=0,0,LOOKUP(N33,'Tax Assumptions'!$K$9:$K$17,'Tax Assumptions'!$N$9:$N$17)+(N33-LOOKUP(N33,'Tax Assumptions'!$K$9:$K$17,'Tax Assumptions'!$K$9:$K$17))*LOOKUP(N33,'Tax Assumptions'!$K$9:$K$17,'Tax Assumptions'!$M$9:$M$17))</f>
        <v>0</v>
      </c>
      <c r="P33" s="66">
        <f>IF(N33=0,0,LOOKUP(N33,'Tax Assumptions'!$P$9:$P$12,'Tax Assumptions'!$S$9:$S$12)+(N33-LOOKUP(N33,'Tax Assumptions'!$P$9:$P$12,'Tax Assumptions'!$P$9:$P$12))*LOOKUP(N33,'Tax Assumptions'!$P$9:$P$12,'Tax Assumptions'!$R$9:$R$12))</f>
        <v>0</v>
      </c>
      <c r="Q33" s="66">
        <f t="shared" si="2"/>
        <v>0</v>
      </c>
      <c r="R33" s="66">
        <f t="shared" si="3"/>
        <v>0</v>
      </c>
      <c r="S33" s="49" t="str">
        <f>IF(C33="Working",IF(BL33="","",BL33*(1+'Model Inputs'!$B$35)^(AN33-1)),"")</f>
        <v/>
      </c>
      <c r="T33" s="49" t="str">
        <f>IF(C33="Working",IF(BM33="","",BM33*(1+'Model Inputs'!$B$36)^(AN33-1)),"")</f>
        <v/>
      </c>
      <c r="U33" s="66">
        <f t="shared" si="4"/>
        <v>0</v>
      </c>
      <c r="V33" s="66">
        <f>IF(C33="Working",MIN(MAX(U33,0),'Tax Assumptions'!$B$20),0)</f>
        <v>0</v>
      </c>
      <c r="W33" s="66">
        <f t="shared" si="5"/>
        <v>0</v>
      </c>
      <c r="X33" s="66">
        <f t="shared" si="6"/>
        <v>0</v>
      </c>
      <c r="Y33" s="66">
        <f t="shared" si="7"/>
        <v>200000</v>
      </c>
      <c r="Z33" s="66">
        <f t="shared" si="8"/>
        <v>200000</v>
      </c>
      <c r="AA33" s="66">
        <f t="shared" si="17"/>
        <v>200000</v>
      </c>
      <c r="AB33" s="66">
        <f t="shared" si="18"/>
        <v>0</v>
      </c>
      <c r="AC33" s="66">
        <f t="shared" si="19"/>
        <v>0</v>
      </c>
      <c r="AD33" s="66">
        <f t="shared" si="20"/>
        <v>0</v>
      </c>
      <c r="AE33" s="68">
        <f t="shared" si="21"/>
        <v>6913251.1798175341</v>
      </c>
      <c r="AF33" s="68">
        <f t="shared" si="22"/>
        <v>432152.48466237361</v>
      </c>
      <c r="AG33" s="68">
        <f t="shared" si="23"/>
        <v>132291.57693746127</v>
      </c>
      <c r="AH33" s="68">
        <f t="shared" si="24"/>
        <v>0</v>
      </c>
      <c r="AI33" s="68">
        <f t="shared" si="9"/>
        <v>7477695.2414173689</v>
      </c>
      <c r="AJ33" s="68">
        <f t="shared" si="25"/>
        <v>4317592.2400405239</v>
      </c>
      <c r="AK33" s="68">
        <f t="shared" si="26"/>
        <v>8931090.7463659961</v>
      </c>
      <c r="AL33" s="69">
        <f t="shared" si="10"/>
        <v>0</v>
      </c>
      <c r="AM33" s="69">
        <f t="shared" si="11"/>
        <v>0</v>
      </c>
      <c r="AN33" s="203">
        <f t="shared" si="12"/>
        <v>15</v>
      </c>
      <c r="AO33" s="203">
        <f>'Model Inputs'!$B$22+AN33-1</f>
        <v>2040</v>
      </c>
      <c r="AP33" s="41" t="str">
        <f>IF(AND(AQ33="",AR33="",AX33="",BA33="",BC33=""),"",IF(AN33=1,(13-'Model Inputs'!$B$23)/12,1))</f>
        <v/>
      </c>
      <c r="AQ33" s="49" t="str">
        <f>IF(OR(AN33&lt;='Model Inputs'!$B$24,AR33&lt;&gt;"",AX33&lt;&gt;"",BA33&lt;&gt;"",BC33&lt;&gt;""),'Model Inputs'!$B$25*(1+'Model Inputs'!$B$31)^(AN33-1),"")</f>
        <v/>
      </c>
      <c r="AR33" s="49"/>
      <c r="AS33" s="49" t="str">
        <f t="shared" si="13"/>
        <v/>
      </c>
      <c r="AT33" s="49" t="str">
        <f t="shared" si="14"/>
        <v/>
      </c>
      <c r="AU33" s="49" t="str">
        <f>IF(AP33="","",IF(AN33=1,AP33*'Model Inputs'!$B$27,IF(AN33&lt;=MAX(2,'Model Inputs'!$B$30),'Model Inputs'!$B$27*(1+'Model Inputs'!$B$28)^(AN33-2),'Model Inputs'!$B$27*(1+'Model Inputs'!$B$28)^(MAX(2,'Model Inputs'!$B$30)-2)*(1+'Model Inputs'!$B$29)^(AN33-MAX(2,'Model Inputs'!$B$30)))))</f>
        <v/>
      </c>
      <c r="AV33" s="41" t="str">
        <f>IF(AU33="","",IF(AN33&lt;=2,0,'Model Inputs'!$B$32*SIN(2*PI()*(AN33-2+'Model Inputs'!$B$34)/MAX(1,'Model Inputs'!$B$33))))</f>
        <v/>
      </c>
      <c r="AW33" s="41"/>
      <c r="AX33" s="49"/>
      <c r="AY33" s="49" t="str">
        <f t="shared" si="30"/>
        <v/>
      </c>
      <c r="AZ33" s="49" t="str">
        <f>IF(AN33=1,'Model Inputs'!$B$26,"")</f>
        <v/>
      </c>
      <c r="BA33" s="49"/>
      <c r="BB33" s="49" t="str">
        <f t="shared" si="31"/>
        <v/>
      </c>
      <c r="BC33" s="49"/>
      <c r="BL33" s="49" t="str">
        <f>IF(C33="Working",LOOKUP(2,1/($BL$19:BL32&lt;&gt;""),$BL$19:BL32),"")</f>
        <v/>
      </c>
      <c r="BM33" s="49" t="str">
        <f>IF(C33="Working",LOOKUP(2,1/($BM$19:BM32&lt;&gt;""),$BM$19:BM32),"")</f>
        <v/>
      </c>
    </row>
    <row r="34" spans="1:65" x14ac:dyDescent="0.2">
      <c r="A34" s="70">
        <v>16</v>
      </c>
      <c r="B34" s="71" t="str">
        <f t="shared" si="0"/>
        <v/>
      </c>
      <c r="C34" s="70" t="str">
        <f t="shared" si="1"/>
        <v>Retired</v>
      </c>
      <c r="D34" s="71">
        <f>IF(OR(C34="Retired",B34=""),0,MIN(B34,'Tax Assumptions'!$B$19))</f>
        <v>0</v>
      </c>
      <c r="E34" s="49"/>
      <c r="F34" s="49"/>
      <c r="G34" s="71">
        <v>0</v>
      </c>
      <c r="H34" s="71">
        <f>IF(G34=0,0,LOOKUP(G34,'Tax Assumptions'!$F$9:$F$15,'Tax Assumptions'!$I$9:$I$15)+(G34-LOOKUP(G34,'Tax Assumptions'!$F$9:$F$15,'Tax Assumptions'!$F$9:$F$15))*LOOKUP(G34,'Tax Assumptions'!$F$9:$F$15,'Tax Assumptions'!$H$9:$H$15))</f>
        <v>0</v>
      </c>
      <c r="I34" s="71">
        <f>IF(C34="Working",MIN(MAX(B34-E34,0),'Tax Assumptions'!$B$11)*'Tax Assumptions'!$B$10,0)</f>
        <v>0</v>
      </c>
      <c r="J34" s="71">
        <f>IF(C34="Working",MAX(B34-E34,0)*'Tax Assumptions'!$B$12,0)</f>
        <v>0</v>
      </c>
      <c r="K34" s="71">
        <f>IF(C34="Working",MAX(MAX(B34-E34,0)-'Tax Assumptions'!$B$14,0)*'Tax Assumptions'!$B$13,0)</f>
        <v>0</v>
      </c>
      <c r="L34" s="72">
        <f>IF(C34="Working",MIN(B34*'Tax Assumptions'!$B$15,'Tax Assumptions'!$B$16),0)</f>
        <v>0</v>
      </c>
      <c r="M34" s="72">
        <f>IF(C34="Working",MIN(B34*'Tax Assumptions'!$B$17,'Tax Assumptions'!$B$18),0)</f>
        <v>0</v>
      </c>
      <c r="N34" s="71">
        <f>IF(C34="Working",MAX(B34-D34-'Tax Assumptions'!$B$9,0),0)</f>
        <v>0</v>
      </c>
      <c r="O34" s="71">
        <f>IF(N34=0,0,LOOKUP(N34,'Tax Assumptions'!$K$9:$K$17,'Tax Assumptions'!$N$9:$N$17)+(N34-LOOKUP(N34,'Tax Assumptions'!$K$9:$K$17,'Tax Assumptions'!$K$9:$K$17))*LOOKUP(N34,'Tax Assumptions'!$K$9:$K$17,'Tax Assumptions'!$M$9:$M$17))</f>
        <v>0</v>
      </c>
      <c r="P34" s="71">
        <f>IF(N34=0,0,LOOKUP(N34,'Tax Assumptions'!$P$9:$P$12,'Tax Assumptions'!$S$9:$S$12)+(N34-LOOKUP(N34,'Tax Assumptions'!$P$9:$P$12,'Tax Assumptions'!$P$9:$P$12))*LOOKUP(N34,'Tax Assumptions'!$P$9:$P$12,'Tax Assumptions'!$R$9:$R$12))</f>
        <v>0</v>
      </c>
      <c r="Q34" s="71">
        <f t="shared" si="2"/>
        <v>0</v>
      </c>
      <c r="R34" s="71">
        <f t="shared" si="3"/>
        <v>0</v>
      </c>
      <c r="S34" s="49" t="str">
        <f>IF(C34="Working",IF(BL34="","",BL34*(1+'Model Inputs'!$B$35)^(AN34-1)),"")</f>
        <v/>
      </c>
      <c r="T34" s="49" t="str">
        <f>IF(C34="Working",IF(BM34="","",BM34*(1+'Model Inputs'!$B$36)^(AN34-1)),"")</f>
        <v/>
      </c>
      <c r="U34" s="71">
        <f t="shared" si="4"/>
        <v>0</v>
      </c>
      <c r="V34" s="71">
        <f>IF(C34="Working",MIN(MAX(U34,0),'Tax Assumptions'!$B$20),0)</f>
        <v>0</v>
      </c>
      <c r="W34" s="71">
        <f t="shared" si="5"/>
        <v>0</v>
      </c>
      <c r="X34" s="71">
        <f t="shared" si="6"/>
        <v>0</v>
      </c>
      <c r="Y34" s="71">
        <f t="shared" si="7"/>
        <v>200000</v>
      </c>
      <c r="Z34" s="71">
        <f t="shared" si="8"/>
        <v>200000</v>
      </c>
      <c r="AA34" s="71">
        <f t="shared" si="17"/>
        <v>200000</v>
      </c>
      <c r="AB34" s="71">
        <f t="shared" si="18"/>
        <v>0</v>
      </c>
      <c r="AC34" s="71">
        <f t="shared" si="19"/>
        <v>0</v>
      </c>
      <c r="AD34" s="71">
        <f t="shared" si="20"/>
        <v>0</v>
      </c>
      <c r="AE34" s="68">
        <f t="shared" si="21"/>
        <v>7128046.2506065862</v>
      </c>
      <c r="AF34" s="68">
        <f t="shared" si="22"/>
        <v>458081.63374211604</v>
      </c>
      <c r="AG34" s="68">
        <f t="shared" si="23"/>
        <v>140229.07155370896</v>
      </c>
      <c r="AH34" s="68">
        <f t="shared" si="24"/>
        <v>0</v>
      </c>
      <c r="AI34" s="68">
        <f t="shared" si="9"/>
        <v>7726356.9559024116</v>
      </c>
      <c r="AJ34" s="68">
        <f t="shared" si="25"/>
        <v>4117592.2400405239</v>
      </c>
      <c r="AK34" s="68">
        <f t="shared" si="26"/>
        <v>9445578.0060752761</v>
      </c>
      <c r="AL34" s="73">
        <f t="shared" si="10"/>
        <v>0</v>
      </c>
      <c r="AM34" s="73">
        <f t="shared" si="11"/>
        <v>0</v>
      </c>
      <c r="AN34" s="203">
        <f t="shared" si="12"/>
        <v>16</v>
      </c>
      <c r="AO34" s="203">
        <f>'Model Inputs'!$B$22+AN34-1</f>
        <v>2041</v>
      </c>
      <c r="AP34" s="41" t="str">
        <f>IF(AND(AQ34="",AR34="",AX34="",BA34="",BC34=""),"",IF(AN34=1,(13-'Model Inputs'!$B$23)/12,1))</f>
        <v/>
      </c>
      <c r="AQ34" s="49" t="str">
        <f>IF(OR(AN34&lt;='Model Inputs'!$B$24,AR34&lt;&gt;"",AX34&lt;&gt;"",BA34&lt;&gt;"",BC34&lt;&gt;""),'Model Inputs'!$B$25*(1+'Model Inputs'!$B$31)^(AN34-1),"")</f>
        <v/>
      </c>
      <c r="AR34" s="49"/>
      <c r="AS34" s="49" t="str">
        <f t="shared" si="13"/>
        <v/>
      </c>
      <c r="AT34" s="49" t="str">
        <f t="shared" si="14"/>
        <v/>
      </c>
      <c r="AU34" s="49" t="str">
        <f>IF(AP34="","",IF(AN34=1,AP34*'Model Inputs'!$B$27,IF(AN34&lt;=MAX(2,'Model Inputs'!$B$30),'Model Inputs'!$B$27*(1+'Model Inputs'!$B$28)^(AN34-2),'Model Inputs'!$B$27*(1+'Model Inputs'!$B$28)^(MAX(2,'Model Inputs'!$B$30)-2)*(1+'Model Inputs'!$B$29)^(AN34-MAX(2,'Model Inputs'!$B$30)))))</f>
        <v/>
      </c>
      <c r="AV34" s="41" t="str">
        <f>IF(AU34="","",IF(AN34&lt;=2,0,'Model Inputs'!$B$32*SIN(2*PI()*(AN34-2+'Model Inputs'!$B$34)/MAX(1,'Model Inputs'!$B$33))))</f>
        <v/>
      </c>
      <c r="AW34" s="41"/>
      <c r="AX34" s="49"/>
      <c r="AY34" s="49" t="str">
        <f t="shared" si="30"/>
        <v/>
      </c>
      <c r="AZ34" s="49" t="str">
        <f>IF(AN34=1,'Model Inputs'!$B$26,"")</f>
        <v/>
      </c>
      <c r="BA34" s="49"/>
      <c r="BB34" s="49" t="str">
        <f t="shared" si="31"/>
        <v/>
      </c>
      <c r="BC34" s="49"/>
      <c r="BL34" s="49" t="str">
        <f>IF(C34="Working",LOOKUP(2,1/($BL$19:BL33&lt;&gt;""),$BL$19:BL33),"")</f>
        <v/>
      </c>
      <c r="BM34" s="49" t="str">
        <f>IF(C34="Working",LOOKUP(2,1/($BM$19:BM33&lt;&gt;""),$BM$19:BM33),"")</f>
        <v/>
      </c>
    </row>
    <row r="35" spans="1:65" x14ac:dyDescent="0.2">
      <c r="A35" s="65">
        <v>17</v>
      </c>
      <c r="B35" s="66" t="str">
        <f t="shared" si="0"/>
        <v/>
      </c>
      <c r="C35" s="65" t="str">
        <f t="shared" si="1"/>
        <v>Retired</v>
      </c>
      <c r="D35" s="66">
        <f>IF(OR(C35="Retired",B35=""),0,MIN(B35,'Tax Assumptions'!$B$19))</f>
        <v>0</v>
      </c>
      <c r="E35" s="49"/>
      <c r="F35" s="49"/>
      <c r="G35" s="66">
        <f>IF(C35="Working",MAX(B35-D35-E35-'Tax Assumptions'!$B$8,0),0)</f>
        <v>0</v>
      </c>
      <c r="H35" s="66">
        <f>IF(G35=0,0,LOOKUP(G35,'Tax Assumptions'!$F$9:$F$15,'Tax Assumptions'!$I$9:$I$15)+(G35-LOOKUP(G35,'Tax Assumptions'!$F$9:$F$15,'Tax Assumptions'!$F$9:$F$15))*LOOKUP(G35,'Tax Assumptions'!$F$9:$F$15,'Tax Assumptions'!$H$9:$H$15))</f>
        <v>0</v>
      </c>
      <c r="I35" s="66">
        <f>IF(C35="Working",MIN(MAX(B35-E35,0),'Tax Assumptions'!$B$11)*'Tax Assumptions'!$B$10,0)</f>
        <v>0</v>
      </c>
      <c r="J35" s="66">
        <f>IF(C35="Working",MAX(B35-E35,0)*'Tax Assumptions'!$B$12,0)</f>
        <v>0</v>
      </c>
      <c r="K35" s="66">
        <f>IF(C35="Working",MAX(MAX(B35-E35,0)-'Tax Assumptions'!$B$14,0)*'Tax Assumptions'!$B$13,0)</f>
        <v>0</v>
      </c>
      <c r="L35" s="67">
        <f>IF(C35="Working",MIN(B35*'Tax Assumptions'!$B$15,'Tax Assumptions'!$B$16),0)</f>
        <v>0</v>
      </c>
      <c r="M35" s="67">
        <f>IF(C35="Working",MIN(B35*'Tax Assumptions'!$B$17,'Tax Assumptions'!$B$18),0)</f>
        <v>0</v>
      </c>
      <c r="N35" s="66">
        <f>IF(C35="Working",MAX(B35-D35-'Tax Assumptions'!$B$9,0),0)</f>
        <v>0</v>
      </c>
      <c r="O35" s="66">
        <f>IF(N35=0,0,LOOKUP(N35,'Tax Assumptions'!$K$9:$K$17,'Tax Assumptions'!$N$9:$N$17)+(N35-LOOKUP(N35,'Tax Assumptions'!$K$9:$K$17,'Tax Assumptions'!$K$9:$K$17))*LOOKUP(N35,'Tax Assumptions'!$K$9:$K$17,'Tax Assumptions'!$M$9:$M$17))</f>
        <v>0</v>
      </c>
      <c r="P35" s="66">
        <f>IF(N35=0,0,LOOKUP(N35,'Tax Assumptions'!$P$9:$P$12,'Tax Assumptions'!$S$9:$S$12)+(N35-LOOKUP(N35,'Tax Assumptions'!$P$9:$P$12,'Tax Assumptions'!$P$9:$P$12))*LOOKUP(N35,'Tax Assumptions'!$P$9:$P$12,'Tax Assumptions'!$R$9:$R$12))</f>
        <v>0</v>
      </c>
      <c r="Q35" s="66">
        <f t="shared" si="2"/>
        <v>0</v>
      </c>
      <c r="R35" s="66">
        <f t="shared" si="3"/>
        <v>0</v>
      </c>
      <c r="S35" s="49" t="str">
        <f>IF(C35="Working",IF(BL35="","",BL35*(1+'Model Inputs'!$B$35)^(AN35-1)),"")</f>
        <v/>
      </c>
      <c r="T35" s="49" t="str">
        <f>IF(C35="Working",IF(BM35="","",BM35*(1+'Model Inputs'!$B$36)^(AN35-1)),"")</f>
        <v/>
      </c>
      <c r="U35" s="66">
        <f t="shared" si="4"/>
        <v>0</v>
      </c>
      <c r="V35" s="66">
        <f>IF(C35="Working",MIN(MAX(U35,0),'Tax Assumptions'!$B$20),0)</f>
        <v>0</v>
      </c>
      <c r="W35" s="66">
        <f t="shared" si="5"/>
        <v>0</v>
      </c>
      <c r="X35" s="66">
        <f t="shared" si="6"/>
        <v>0</v>
      </c>
      <c r="Y35" s="66">
        <f t="shared" si="7"/>
        <v>200000</v>
      </c>
      <c r="Z35" s="66">
        <f t="shared" si="8"/>
        <v>200000</v>
      </c>
      <c r="AA35" s="66">
        <f t="shared" si="17"/>
        <v>200000</v>
      </c>
      <c r="AB35" s="66">
        <f t="shared" si="18"/>
        <v>0</v>
      </c>
      <c r="AC35" s="66">
        <f t="shared" si="19"/>
        <v>0</v>
      </c>
      <c r="AD35" s="66">
        <f t="shared" si="20"/>
        <v>0</v>
      </c>
      <c r="AE35" s="68">
        <f t="shared" si="21"/>
        <v>7355729.0256429818</v>
      </c>
      <c r="AF35" s="68">
        <f t="shared" si="22"/>
        <v>485566.53176664305</v>
      </c>
      <c r="AG35" s="68">
        <f t="shared" si="23"/>
        <v>148642.81584693151</v>
      </c>
      <c r="AH35" s="68">
        <f t="shared" si="24"/>
        <v>0</v>
      </c>
      <c r="AI35" s="68">
        <f t="shared" si="9"/>
        <v>7989938.3732565558</v>
      </c>
      <c r="AJ35" s="68">
        <f t="shared" si="25"/>
        <v>3917592.2400405239</v>
      </c>
      <c r="AK35" s="68">
        <f t="shared" si="26"/>
        <v>10001224.246561298</v>
      </c>
      <c r="AL35" s="69">
        <f t="shared" si="10"/>
        <v>0</v>
      </c>
      <c r="AM35" s="69">
        <f t="shared" si="11"/>
        <v>0</v>
      </c>
      <c r="AN35" s="203">
        <f t="shared" si="12"/>
        <v>17</v>
      </c>
      <c r="AO35" s="203">
        <f>'Model Inputs'!$B$22+AN35-1</f>
        <v>2042</v>
      </c>
      <c r="AP35" s="41" t="str">
        <f>IF(AND(AQ35="",AR35="",AX35="",BA35="",BC35=""),"",IF(AN35=1,(13-'Model Inputs'!$B$23)/12,1))</f>
        <v/>
      </c>
      <c r="AQ35" s="49" t="str">
        <f>IF(OR(AN35&lt;='Model Inputs'!$B$24,AR35&lt;&gt;"",AX35&lt;&gt;"",BA35&lt;&gt;"",BC35&lt;&gt;""),'Model Inputs'!$B$25*(1+'Model Inputs'!$B$31)^(AN35-1),"")</f>
        <v/>
      </c>
      <c r="AR35" s="49"/>
      <c r="AS35" s="49" t="str">
        <f t="shared" si="13"/>
        <v/>
      </c>
      <c r="AT35" s="49" t="str">
        <f t="shared" si="14"/>
        <v/>
      </c>
      <c r="AU35" s="49" t="str">
        <f>IF(AP35="","",IF(AN35=1,AP35*'Model Inputs'!$B$27,IF(AN35&lt;=MAX(2,'Model Inputs'!$B$30),'Model Inputs'!$B$27*(1+'Model Inputs'!$B$28)^(AN35-2),'Model Inputs'!$B$27*(1+'Model Inputs'!$B$28)^(MAX(2,'Model Inputs'!$B$30)-2)*(1+'Model Inputs'!$B$29)^(AN35-MAX(2,'Model Inputs'!$B$30)))))</f>
        <v/>
      </c>
      <c r="AV35" s="41" t="str">
        <f>IF(AU35="","",IF(AN35&lt;=2,0,'Model Inputs'!$B$32*SIN(2*PI()*(AN35-2+'Model Inputs'!$B$34)/MAX(1,'Model Inputs'!$B$33))))</f>
        <v/>
      </c>
      <c r="AW35" s="41"/>
      <c r="AX35" s="49"/>
      <c r="AY35" s="49" t="str">
        <f t="shared" si="30"/>
        <v/>
      </c>
      <c r="AZ35" s="49" t="str">
        <f>IF(AN35=1,'Model Inputs'!$B$26,"")</f>
        <v/>
      </c>
      <c r="BA35" s="49"/>
      <c r="BB35" s="49" t="str">
        <f t="shared" si="31"/>
        <v/>
      </c>
      <c r="BC35" s="49"/>
      <c r="BL35" s="49" t="str">
        <f>IF(C35="Working",LOOKUP(2,1/($BL$19:BL34&lt;&gt;""),$BL$19:BL34),"")</f>
        <v/>
      </c>
      <c r="BM35" s="49" t="str">
        <f>IF(C35="Working",LOOKUP(2,1/($BM$19:BM34&lt;&gt;""),$BM$19:BM34),"")</f>
        <v/>
      </c>
    </row>
    <row r="36" spans="1:65" x14ac:dyDescent="0.2">
      <c r="A36" s="70">
        <v>18</v>
      </c>
      <c r="B36" s="71" t="str">
        <f t="shared" si="0"/>
        <v/>
      </c>
      <c r="C36" s="70" t="str">
        <f t="shared" si="1"/>
        <v>Retired</v>
      </c>
      <c r="D36" s="71">
        <f>IF(OR(C36="Retired",B36=""),0,MIN(B36,'Tax Assumptions'!$B$19))</f>
        <v>0</v>
      </c>
      <c r="E36" s="49"/>
      <c r="F36" s="49"/>
      <c r="G36" s="71">
        <f>IF(C36="Working",MAX(B36-D36-E36-'Tax Assumptions'!$B$8,0),0)</f>
        <v>0</v>
      </c>
      <c r="H36" s="71">
        <f>IF(G36=0,0,LOOKUP(G36,'Tax Assumptions'!$F$9:$F$15,'Tax Assumptions'!$I$9:$I$15)+(G36-LOOKUP(G36,'Tax Assumptions'!$F$9:$F$15,'Tax Assumptions'!$F$9:$F$15))*LOOKUP(G36,'Tax Assumptions'!$F$9:$F$15,'Tax Assumptions'!$H$9:$H$15))</f>
        <v>0</v>
      </c>
      <c r="I36" s="71">
        <f>IF(C36="Working",MIN(MAX(B36-E36,0),'Tax Assumptions'!$B$11)*'Tax Assumptions'!$B$10,0)</f>
        <v>0</v>
      </c>
      <c r="J36" s="71">
        <f>IF(C36="Working",MAX(B36-E36,0)*'Tax Assumptions'!$B$12,0)</f>
        <v>0</v>
      </c>
      <c r="K36" s="71">
        <f>IF(C36="Working",MAX(MAX(B36-E36,0)-'Tax Assumptions'!$B$14,0)*'Tax Assumptions'!$B$13,0)</f>
        <v>0</v>
      </c>
      <c r="L36" s="72">
        <f>IF(C36="Working",MIN(B36*'Tax Assumptions'!$B$15,'Tax Assumptions'!$B$16),0)</f>
        <v>0</v>
      </c>
      <c r="M36" s="72">
        <f>IF(C36="Working",MIN(B36*'Tax Assumptions'!$B$17,'Tax Assumptions'!$B$18),0)</f>
        <v>0</v>
      </c>
      <c r="N36" s="71">
        <f>IF(C36="Working",MAX(B36-D36-'Tax Assumptions'!$B$9,0),0)</f>
        <v>0</v>
      </c>
      <c r="O36" s="71">
        <f>IF(N36=0,0,LOOKUP(N36,'Tax Assumptions'!$K$9:$K$17,'Tax Assumptions'!$N$9:$N$17)+(N36-LOOKUP(N36,'Tax Assumptions'!$K$9:$K$17,'Tax Assumptions'!$K$9:$K$17))*LOOKUP(N36,'Tax Assumptions'!$K$9:$K$17,'Tax Assumptions'!$M$9:$M$17))</f>
        <v>0</v>
      </c>
      <c r="P36" s="71">
        <f>IF(N36=0,0,LOOKUP(N36,'Tax Assumptions'!$P$9:$P$12,'Tax Assumptions'!$S$9:$S$12)+(N36-LOOKUP(N36,'Tax Assumptions'!$P$9:$P$12,'Tax Assumptions'!$P$9:$P$12))*LOOKUP(N36,'Tax Assumptions'!$P$9:$P$12,'Tax Assumptions'!$R$9:$R$12))</f>
        <v>0</v>
      </c>
      <c r="Q36" s="71">
        <f t="shared" si="2"/>
        <v>0</v>
      </c>
      <c r="R36" s="71">
        <f t="shared" si="3"/>
        <v>0</v>
      </c>
      <c r="S36" s="49" t="str">
        <f>IF(C36="Working",IF(BL36="","",BL36*(1+'Model Inputs'!$B$35)^(AN36-1)),"")</f>
        <v/>
      </c>
      <c r="T36" s="49" t="str">
        <f>IF(C36="Working",IF(BM36="","",BM36*(1+'Model Inputs'!$B$36)^(AN36-1)),"")</f>
        <v/>
      </c>
      <c r="U36" s="71">
        <f t="shared" si="4"/>
        <v>0</v>
      </c>
      <c r="V36" s="71">
        <f>IF(C36="Working",MIN(MAX(U36,0),'Tax Assumptions'!$B$20),0)</f>
        <v>0</v>
      </c>
      <c r="W36" s="71">
        <f t="shared" si="5"/>
        <v>0</v>
      </c>
      <c r="X36" s="71">
        <f t="shared" si="6"/>
        <v>0</v>
      </c>
      <c r="Y36" s="71">
        <f t="shared" si="7"/>
        <v>200000</v>
      </c>
      <c r="Z36" s="71">
        <f t="shared" si="8"/>
        <v>200000</v>
      </c>
      <c r="AA36" s="71">
        <f t="shared" si="17"/>
        <v>200000</v>
      </c>
      <c r="AB36" s="71">
        <f t="shared" si="18"/>
        <v>0</v>
      </c>
      <c r="AC36" s="71">
        <f t="shared" si="19"/>
        <v>0</v>
      </c>
      <c r="AD36" s="71">
        <f t="shared" si="20"/>
        <v>0</v>
      </c>
      <c r="AE36" s="68">
        <f t="shared" si="21"/>
        <v>7597072.7671815613</v>
      </c>
      <c r="AF36" s="68">
        <f t="shared" si="22"/>
        <v>514700.52367264166</v>
      </c>
      <c r="AG36" s="68">
        <f t="shared" si="23"/>
        <v>157561.38479774742</v>
      </c>
      <c r="AH36" s="68">
        <f t="shared" si="24"/>
        <v>0</v>
      </c>
      <c r="AI36" s="68">
        <f t="shared" si="9"/>
        <v>8269334.6756519498</v>
      </c>
      <c r="AJ36" s="68">
        <f t="shared" si="25"/>
        <v>3717592.2400405239</v>
      </c>
      <c r="AK36" s="68">
        <f t="shared" si="26"/>
        <v>10601322.186286204</v>
      </c>
      <c r="AL36" s="73">
        <f t="shared" si="10"/>
        <v>0</v>
      </c>
      <c r="AM36" s="73">
        <f t="shared" si="11"/>
        <v>0</v>
      </c>
      <c r="AN36" s="203">
        <f t="shared" si="12"/>
        <v>18</v>
      </c>
      <c r="AO36" s="203">
        <f>'Model Inputs'!$B$22+AN36-1</f>
        <v>2043</v>
      </c>
      <c r="AP36" s="41" t="str">
        <f>IF(AND(AQ36="",AR36="",AX36="",BA36="",BC36=""),"",IF(AN36=1,(13-'Model Inputs'!$B$23)/12,1))</f>
        <v/>
      </c>
      <c r="AQ36" s="49" t="str">
        <f>IF(OR(AN36&lt;='Model Inputs'!$B$24,AR36&lt;&gt;"",AX36&lt;&gt;"",BA36&lt;&gt;"",BC36&lt;&gt;""),'Model Inputs'!$B$25*(1+'Model Inputs'!$B$31)^(AN36-1),"")</f>
        <v/>
      </c>
      <c r="AR36" s="49"/>
      <c r="AS36" s="49" t="str">
        <f t="shared" si="13"/>
        <v/>
      </c>
      <c r="AT36" s="49" t="str">
        <f t="shared" si="14"/>
        <v/>
      </c>
      <c r="AU36" s="49" t="str">
        <f>IF(AP36="","",IF(AN36=1,AP36*'Model Inputs'!$B$27,IF(AN36&lt;=MAX(2,'Model Inputs'!$B$30),'Model Inputs'!$B$27*(1+'Model Inputs'!$B$28)^(AN36-2),'Model Inputs'!$B$27*(1+'Model Inputs'!$B$28)^(MAX(2,'Model Inputs'!$B$30)-2)*(1+'Model Inputs'!$B$29)^(AN36-MAX(2,'Model Inputs'!$B$30)))))</f>
        <v/>
      </c>
      <c r="AV36" s="41" t="str">
        <f>IF(AU36="","",IF(AN36&lt;=2,0,'Model Inputs'!$B$32*SIN(2*PI()*(AN36-2+'Model Inputs'!$B$34)/MAX(1,'Model Inputs'!$B$33))))</f>
        <v/>
      </c>
      <c r="AW36" s="41"/>
      <c r="AX36" s="49"/>
      <c r="AY36" s="49" t="str">
        <f t="shared" si="30"/>
        <v/>
      </c>
      <c r="AZ36" s="49" t="str">
        <f>IF(AN36=1,'Model Inputs'!$B$26,"")</f>
        <v/>
      </c>
      <c r="BA36" s="49"/>
      <c r="BB36" s="49" t="str">
        <f t="shared" si="31"/>
        <v/>
      </c>
      <c r="BC36" s="49"/>
      <c r="BL36" s="49" t="str">
        <f>IF(C36="Working",LOOKUP(2,1/($BL$19:BL35&lt;&gt;""),$BL$19:BL35),"")</f>
        <v/>
      </c>
      <c r="BM36" s="49" t="str">
        <f>IF(C36="Working",LOOKUP(2,1/($BM$19:BM35&lt;&gt;""),$BM$19:BM35),"")</f>
        <v/>
      </c>
    </row>
    <row r="37" spans="1:65" x14ac:dyDescent="0.2">
      <c r="A37" s="65">
        <v>19</v>
      </c>
      <c r="B37" s="66" t="str">
        <f t="shared" si="0"/>
        <v/>
      </c>
      <c r="C37" s="65" t="str">
        <f t="shared" si="1"/>
        <v>Retired</v>
      </c>
      <c r="D37" s="66">
        <f>IF(OR(C37="Retired",B37=""),0,MIN(B37,'Tax Assumptions'!$B$19))</f>
        <v>0</v>
      </c>
      <c r="E37" s="49"/>
      <c r="F37" s="49"/>
      <c r="G37" s="66">
        <f>IF(C37="Working",MAX(B37-D37-E37-'Tax Assumptions'!$B$8,0),0)</f>
        <v>0</v>
      </c>
      <c r="H37" s="66">
        <f>IF(G37=0,0,LOOKUP(G37,'Tax Assumptions'!$F$9:$F$15,'Tax Assumptions'!$I$9:$I$15)+(G37-LOOKUP(G37,'Tax Assumptions'!$F$9:$F$15,'Tax Assumptions'!$F$9:$F$15))*LOOKUP(G37,'Tax Assumptions'!$F$9:$F$15,'Tax Assumptions'!$H$9:$H$15))</f>
        <v>0</v>
      </c>
      <c r="I37" s="66">
        <f>IF(C37="Working",MIN(MAX(B37-E37,0),'Tax Assumptions'!$B$11)*'Tax Assumptions'!$B$10,0)</f>
        <v>0</v>
      </c>
      <c r="J37" s="66">
        <f>IF(C37="Working",MAX(B37-E37,0)*'Tax Assumptions'!$B$12,0)</f>
        <v>0</v>
      </c>
      <c r="K37" s="66">
        <f>IF(C37="Working",MAX(MAX(B37-E37,0)-'Tax Assumptions'!$B$14,0)*'Tax Assumptions'!$B$13,0)</f>
        <v>0</v>
      </c>
      <c r="L37" s="67">
        <f>IF(C37="Working",MIN(B37*'Tax Assumptions'!$B$15,'Tax Assumptions'!$B$16),0)</f>
        <v>0</v>
      </c>
      <c r="M37" s="67">
        <f>IF(C37="Working",MIN(B37*'Tax Assumptions'!$B$17,'Tax Assumptions'!$B$18),0)</f>
        <v>0</v>
      </c>
      <c r="N37" s="66">
        <f>IF(C37="Working",MAX(B37-D37-'Tax Assumptions'!$B$9,0),0)</f>
        <v>0</v>
      </c>
      <c r="O37" s="66">
        <f>IF(N37=0,0,LOOKUP(N37,'Tax Assumptions'!$K$9:$K$17,'Tax Assumptions'!$N$9:$N$17)+(N37-LOOKUP(N37,'Tax Assumptions'!$K$9:$K$17,'Tax Assumptions'!$K$9:$K$17))*LOOKUP(N37,'Tax Assumptions'!$K$9:$K$17,'Tax Assumptions'!$M$9:$M$17))</f>
        <v>0</v>
      </c>
      <c r="P37" s="66">
        <f>IF(N37=0,0,LOOKUP(N37,'Tax Assumptions'!$P$9:$P$12,'Tax Assumptions'!$S$9:$S$12)+(N37-LOOKUP(N37,'Tax Assumptions'!$P$9:$P$12,'Tax Assumptions'!$P$9:$P$12))*LOOKUP(N37,'Tax Assumptions'!$P$9:$P$12,'Tax Assumptions'!$R$9:$R$12))</f>
        <v>0</v>
      </c>
      <c r="Q37" s="66">
        <f t="shared" si="2"/>
        <v>0</v>
      </c>
      <c r="R37" s="66">
        <f t="shared" si="3"/>
        <v>0</v>
      </c>
      <c r="S37" s="49" t="str">
        <f>IF(C37="Working",IF(BL37="","",BL37*(1+'Model Inputs'!$B$35)^(AN37-1)),"")</f>
        <v/>
      </c>
      <c r="T37" s="49" t="str">
        <f>IF(C37="Working",IF(BM37="","",BM37*(1+'Model Inputs'!$B$36)^(AN37-1)),"")</f>
        <v/>
      </c>
      <c r="U37" s="66">
        <f t="shared" si="4"/>
        <v>0</v>
      </c>
      <c r="V37" s="66">
        <f>IF(C37="Working",MIN(MAX(U37,0),'Tax Assumptions'!$B$20),0)</f>
        <v>0</v>
      </c>
      <c r="W37" s="66">
        <f t="shared" si="5"/>
        <v>0</v>
      </c>
      <c r="X37" s="66">
        <f t="shared" si="6"/>
        <v>0</v>
      </c>
      <c r="Y37" s="66">
        <f t="shared" si="7"/>
        <v>200000</v>
      </c>
      <c r="Z37" s="66">
        <f t="shared" si="8"/>
        <v>200000</v>
      </c>
      <c r="AA37" s="66">
        <f t="shared" si="17"/>
        <v>200000</v>
      </c>
      <c r="AB37" s="66">
        <f t="shared" si="18"/>
        <v>0</v>
      </c>
      <c r="AC37" s="66">
        <f t="shared" si="19"/>
        <v>0</v>
      </c>
      <c r="AD37" s="66">
        <f t="shared" si="20"/>
        <v>0</v>
      </c>
      <c r="AE37" s="68">
        <f t="shared" si="21"/>
        <v>7852897.1332124555</v>
      </c>
      <c r="AF37" s="68">
        <f t="shared" si="22"/>
        <v>545582.55509300018</v>
      </c>
      <c r="AG37" s="68">
        <f t="shared" si="23"/>
        <v>167015.06788561228</v>
      </c>
      <c r="AH37" s="68">
        <f t="shared" si="24"/>
        <v>0</v>
      </c>
      <c r="AI37" s="68">
        <f t="shared" si="9"/>
        <v>8565494.7561910693</v>
      </c>
      <c r="AJ37" s="68">
        <f t="shared" si="25"/>
        <v>3517592.2400405239</v>
      </c>
      <c r="AK37" s="68">
        <f t="shared" si="26"/>
        <v>11249427.961189101</v>
      </c>
      <c r="AL37" s="69">
        <f t="shared" si="10"/>
        <v>0</v>
      </c>
      <c r="AM37" s="69">
        <f t="shared" si="11"/>
        <v>0</v>
      </c>
      <c r="AN37" s="203">
        <f t="shared" si="12"/>
        <v>19</v>
      </c>
      <c r="AO37" s="203">
        <f>'Model Inputs'!$B$22+AN37-1</f>
        <v>2044</v>
      </c>
      <c r="AP37" s="41" t="str">
        <f>IF(AND(AQ37="",AR37="",AX37="",BA37="",BC37=""),"",IF(AN37=1,(13-'Model Inputs'!$B$23)/12,1))</f>
        <v/>
      </c>
      <c r="AQ37" s="49" t="str">
        <f>IF(OR(AN37&lt;='Model Inputs'!$B$24,AR37&lt;&gt;"",AX37&lt;&gt;"",BA37&lt;&gt;"",BC37&lt;&gt;""),'Model Inputs'!$B$25*(1+'Model Inputs'!$B$31)^(AN37-1),"")</f>
        <v/>
      </c>
      <c r="AR37" s="49"/>
      <c r="AS37" s="49" t="str">
        <f t="shared" si="13"/>
        <v/>
      </c>
      <c r="AT37" s="49" t="str">
        <f t="shared" si="14"/>
        <v/>
      </c>
      <c r="AU37" s="49" t="str">
        <f>IF(AP37="","",IF(AN37=1,AP37*'Model Inputs'!$B$27,IF(AN37&lt;=MAX(2,'Model Inputs'!$B$30),'Model Inputs'!$B$27*(1+'Model Inputs'!$B$28)^(AN37-2),'Model Inputs'!$B$27*(1+'Model Inputs'!$B$28)^(MAX(2,'Model Inputs'!$B$30)-2)*(1+'Model Inputs'!$B$29)^(AN37-MAX(2,'Model Inputs'!$B$30)))))</f>
        <v/>
      </c>
      <c r="AV37" s="41" t="str">
        <f>IF(AU37="","",IF(AN37&lt;=2,0,'Model Inputs'!$B$32*SIN(2*PI()*(AN37-2+'Model Inputs'!$B$34)/MAX(1,'Model Inputs'!$B$33))))</f>
        <v/>
      </c>
      <c r="AW37" s="41"/>
      <c r="AX37" s="49"/>
      <c r="AY37" s="49" t="str">
        <f t="shared" si="30"/>
        <v/>
      </c>
      <c r="AZ37" s="49" t="str">
        <f>IF(AN37=1,'Model Inputs'!$B$26,"")</f>
        <v/>
      </c>
      <c r="BA37" s="49"/>
      <c r="BB37" s="49" t="str">
        <f t="shared" si="31"/>
        <v/>
      </c>
      <c r="BC37" s="49"/>
      <c r="BL37" s="49" t="str">
        <f>IF(C37="Working",LOOKUP(2,1/($BL$19:BL36&lt;&gt;""),$BL$19:BL36),"")</f>
        <v/>
      </c>
      <c r="BM37" s="49" t="str">
        <f>IF(C37="Working",LOOKUP(2,1/($BM$19:BM36&lt;&gt;""),$BM$19:BM36),"")</f>
        <v/>
      </c>
    </row>
    <row r="38" spans="1:65" x14ac:dyDescent="0.2">
      <c r="A38" s="70">
        <v>20</v>
      </c>
      <c r="B38" s="71" t="str">
        <f t="shared" si="0"/>
        <v/>
      </c>
      <c r="C38" s="70" t="str">
        <f t="shared" si="1"/>
        <v>Retired</v>
      </c>
      <c r="D38" s="71">
        <f>IF(OR(C38="Retired",B38=""),0,MIN(B38,'Tax Assumptions'!$B$19))</f>
        <v>0</v>
      </c>
      <c r="E38" s="49"/>
      <c r="F38" s="49"/>
      <c r="G38" s="71">
        <f>IF(C38="Working",MAX(B38-D38-E38-'Tax Assumptions'!$B$8,0),0)</f>
        <v>0</v>
      </c>
      <c r="H38" s="71">
        <f>IF(G38=0,0,LOOKUP(G38,'Tax Assumptions'!$F$9:$F$15,'Tax Assumptions'!$I$9:$I$15)+(G38-LOOKUP(G38,'Tax Assumptions'!$F$9:$F$15,'Tax Assumptions'!$F$9:$F$15))*LOOKUP(G38,'Tax Assumptions'!$F$9:$F$15,'Tax Assumptions'!$H$9:$H$15))</f>
        <v>0</v>
      </c>
      <c r="I38" s="71">
        <f>IF(C38="Working",MIN(MAX(B38-E38,0),'Tax Assumptions'!$B$11)*'Tax Assumptions'!$B$10,0)</f>
        <v>0</v>
      </c>
      <c r="J38" s="71">
        <f>IF(C38="Working",MAX(B38-E38,0)*'Tax Assumptions'!$B$12,0)</f>
        <v>0</v>
      </c>
      <c r="K38" s="71">
        <f>IF(C38="Working",MAX(MAX(B38-E38,0)-'Tax Assumptions'!$B$14,0)*'Tax Assumptions'!$B$13,0)</f>
        <v>0</v>
      </c>
      <c r="L38" s="72">
        <f>IF(C38="Working",MIN(B38*'Tax Assumptions'!$B$15,'Tax Assumptions'!$B$16),0)</f>
        <v>0</v>
      </c>
      <c r="M38" s="72">
        <f>IF(C38="Working",MIN(B38*'Tax Assumptions'!$B$17,'Tax Assumptions'!$B$18),0)</f>
        <v>0</v>
      </c>
      <c r="N38" s="71">
        <f>IF(C38="Working",MAX(B38-D38-'Tax Assumptions'!$B$9,0),0)</f>
        <v>0</v>
      </c>
      <c r="O38" s="71">
        <f>IF(N38=0,0,LOOKUP(N38,'Tax Assumptions'!$K$9:$K$17,'Tax Assumptions'!$N$9:$N$17)+(N38-LOOKUP(N38,'Tax Assumptions'!$K$9:$K$17,'Tax Assumptions'!$K$9:$K$17))*LOOKUP(N38,'Tax Assumptions'!$K$9:$K$17,'Tax Assumptions'!$M$9:$M$17))</f>
        <v>0</v>
      </c>
      <c r="P38" s="71">
        <f>IF(N38=0,0,LOOKUP(N38,'Tax Assumptions'!$P$9:$P$12,'Tax Assumptions'!$S$9:$S$12)+(N38-LOOKUP(N38,'Tax Assumptions'!$P$9:$P$12,'Tax Assumptions'!$P$9:$P$12))*LOOKUP(N38,'Tax Assumptions'!$P$9:$P$12,'Tax Assumptions'!$R$9:$R$12))</f>
        <v>0</v>
      </c>
      <c r="Q38" s="71">
        <f t="shared" si="2"/>
        <v>0</v>
      </c>
      <c r="R38" s="71">
        <f t="shared" si="3"/>
        <v>0</v>
      </c>
      <c r="S38" s="49" t="str">
        <f>IF(C38="Working",IF(BL38="","",BL38*(1+'Model Inputs'!$B$35)^(AN38-1)),"")</f>
        <v/>
      </c>
      <c r="T38" s="49" t="str">
        <f>IF(C38="Working",IF(BM38="","",BM38*(1+'Model Inputs'!$B$36)^(AN38-1)),"")</f>
        <v/>
      </c>
      <c r="U38" s="71">
        <f t="shared" si="4"/>
        <v>0</v>
      </c>
      <c r="V38" s="71">
        <f>IF(C38="Working",MIN(MAX(U38,0),'Tax Assumptions'!$B$20),0)</f>
        <v>0</v>
      </c>
      <c r="W38" s="71">
        <f t="shared" si="5"/>
        <v>0</v>
      </c>
      <c r="X38" s="71">
        <f t="shared" si="6"/>
        <v>0</v>
      </c>
      <c r="Y38" s="71">
        <f t="shared" si="7"/>
        <v>200000</v>
      </c>
      <c r="Z38" s="71">
        <f t="shared" si="8"/>
        <v>200000</v>
      </c>
      <c r="AA38" s="71">
        <f t="shared" si="17"/>
        <v>200000</v>
      </c>
      <c r="AB38" s="71">
        <f t="shared" si="18"/>
        <v>0</v>
      </c>
      <c r="AC38" s="71">
        <f t="shared" si="19"/>
        <v>0</v>
      </c>
      <c r="AD38" s="71">
        <f t="shared" si="20"/>
        <v>0</v>
      </c>
      <c r="AE38" s="68">
        <f t="shared" si="21"/>
        <v>8124070.9612052031</v>
      </c>
      <c r="AF38" s="68">
        <f t="shared" si="22"/>
        <v>578317.50839858025</v>
      </c>
      <c r="AG38" s="68">
        <f t="shared" si="23"/>
        <v>177035.97195874903</v>
      </c>
      <c r="AH38" s="68">
        <f t="shared" si="24"/>
        <v>0</v>
      </c>
      <c r="AI38" s="68">
        <f t="shared" si="9"/>
        <v>8879424.4415625315</v>
      </c>
      <c r="AJ38" s="68">
        <f t="shared" si="25"/>
        <v>3317592.2400405239</v>
      </c>
      <c r="AK38" s="68">
        <f t="shared" si="26"/>
        <v>11949382.19808423</v>
      </c>
      <c r="AL38" s="73">
        <f t="shared" si="10"/>
        <v>0</v>
      </c>
      <c r="AM38" s="73">
        <f t="shared" si="11"/>
        <v>0</v>
      </c>
      <c r="AN38" s="203">
        <f t="shared" si="12"/>
        <v>20</v>
      </c>
      <c r="AO38" s="203">
        <f>'Model Inputs'!$B$22+AN38-1</f>
        <v>2045</v>
      </c>
      <c r="AP38" s="41" t="str">
        <f>IF(AND(AQ38="",AR38="",AX38="",BA38="",BC38=""),"",IF(AN38=1,(13-'Model Inputs'!$B$23)/12,1))</f>
        <v/>
      </c>
      <c r="AQ38" s="49" t="str">
        <f>IF(OR(AN38&lt;='Model Inputs'!$B$24,AR38&lt;&gt;"",AX38&lt;&gt;"",BA38&lt;&gt;"",BC38&lt;&gt;""),'Model Inputs'!$B$25*(1+'Model Inputs'!$B$31)^(AN38-1),"")</f>
        <v/>
      </c>
      <c r="AR38" s="49"/>
      <c r="AS38" s="49" t="str">
        <f t="shared" si="13"/>
        <v/>
      </c>
      <c r="AT38" s="49" t="str">
        <f t="shared" si="14"/>
        <v/>
      </c>
      <c r="AU38" s="49" t="str">
        <f>IF(AP38="","",IF(AN38=1,AP38*'Model Inputs'!$B$27,IF(AN38&lt;=MAX(2,'Model Inputs'!$B$30),'Model Inputs'!$B$27*(1+'Model Inputs'!$B$28)^(AN38-2),'Model Inputs'!$B$27*(1+'Model Inputs'!$B$28)^(MAX(2,'Model Inputs'!$B$30)-2)*(1+'Model Inputs'!$B$29)^(AN38-MAX(2,'Model Inputs'!$B$30)))))</f>
        <v/>
      </c>
      <c r="AV38" s="41" t="str">
        <f>IF(AU38="","",IF(AN38&lt;=2,0,'Model Inputs'!$B$32*SIN(2*PI()*(AN38-2+'Model Inputs'!$B$34)/MAX(1,'Model Inputs'!$B$33))))</f>
        <v/>
      </c>
      <c r="AW38" s="41"/>
      <c r="AX38" s="49"/>
      <c r="AY38" s="49" t="str">
        <f t="shared" si="30"/>
        <v/>
      </c>
      <c r="AZ38" s="49" t="str">
        <f>IF(AN38=1,'Model Inputs'!$B$26,"")</f>
        <v/>
      </c>
      <c r="BA38" s="49"/>
      <c r="BB38" s="49" t="str">
        <f t="shared" si="31"/>
        <v/>
      </c>
      <c r="BC38" s="49"/>
      <c r="BL38" s="49" t="str">
        <f>IF(C38="Working",LOOKUP(2,1/($BL$19:BL37&lt;&gt;""),$BL$19:BL37),"")</f>
        <v/>
      </c>
      <c r="BM38" s="49" t="str">
        <f>IF(C38="Working",LOOKUP(2,1/($BM$19:BM37&lt;&gt;""),$BM$19:BM37),"")</f>
        <v/>
      </c>
    </row>
    <row r="39" spans="1:65" x14ac:dyDescent="0.2">
      <c r="A39" s="65">
        <v>21</v>
      </c>
      <c r="B39" s="66" t="str">
        <f t="shared" si="0"/>
        <v/>
      </c>
      <c r="C39" s="65" t="str">
        <f t="shared" si="1"/>
        <v>Retired</v>
      </c>
      <c r="D39" s="66">
        <f>IF(OR(C39="Retired",B39=""),0,MIN(B39,'Tax Assumptions'!$B$19))</f>
        <v>0</v>
      </c>
      <c r="E39" s="49"/>
      <c r="F39" s="49"/>
      <c r="G39" s="66">
        <f>IF(C39="Working",MAX(B39-D39-E39-'Tax Assumptions'!$B$8,0),0)</f>
        <v>0</v>
      </c>
      <c r="H39" s="66">
        <f>IF(G39=0,0,LOOKUP(G39,'Tax Assumptions'!$F$9:$F$15,'Tax Assumptions'!$I$9:$I$15)+(G39-LOOKUP(G39,'Tax Assumptions'!$F$9:$F$15,'Tax Assumptions'!$F$9:$F$15))*LOOKUP(G39,'Tax Assumptions'!$F$9:$F$15,'Tax Assumptions'!$H$9:$H$15))</f>
        <v>0</v>
      </c>
      <c r="I39" s="66">
        <f>IF(C39="Working",MIN(MAX(B39-E39,0),'Tax Assumptions'!$B$11)*'Tax Assumptions'!$B$10,0)</f>
        <v>0</v>
      </c>
      <c r="J39" s="66">
        <f>IF(C39="Working",MAX(B39-E39,0)*'Tax Assumptions'!$B$12,0)</f>
        <v>0</v>
      </c>
      <c r="K39" s="66">
        <f>IF(C39="Working",MAX(MAX(B39-E39,0)-'Tax Assumptions'!$B$14,0)*'Tax Assumptions'!$B$13,0)</f>
        <v>0</v>
      </c>
      <c r="L39" s="67">
        <f>IF(C39="Working",MIN(B39*'Tax Assumptions'!$B$15,'Tax Assumptions'!$B$16),0)</f>
        <v>0</v>
      </c>
      <c r="M39" s="67">
        <f>IF(C39="Working",MIN(B39*'Tax Assumptions'!$B$17,'Tax Assumptions'!$B$18),0)</f>
        <v>0</v>
      </c>
      <c r="N39" s="66">
        <f>IF(C39="Working",MAX(B39-D39-'Tax Assumptions'!$B$9,0),0)</f>
        <v>0</v>
      </c>
      <c r="O39" s="66">
        <f>IF(N39=0,0,LOOKUP(N39,'Tax Assumptions'!$K$9:$K$17,'Tax Assumptions'!$N$9:$N$17)+(N39-LOOKUP(N39,'Tax Assumptions'!$K$9:$K$17,'Tax Assumptions'!$K$9:$K$17))*LOOKUP(N39,'Tax Assumptions'!$K$9:$K$17,'Tax Assumptions'!$M$9:$M$17))</f>
        <v>0</v>
      </c>
      <c r="P39" s="66">
        <f>IF(N39=0,0,LOOKUP(N39,'Tax Assumptions'!$P$9:$P$12,'Tax Assumptions'!$S$9:$S$12)+(N39-LOOKUP(N39,'Tax Assumptions'!$P$9:$P$12,'Tax Assumptions'!$P$9:$P$12))*LOOKUP(N39,'Tax Assumptions'!$P$9:$P$12,'Tax Assumptions'!$R$9:$R$12))</f>
        <v>0</v>
      </c>
      <c r="Q39" s="66">
        <f t="shared" si="2"/>
        <v>0</v>
      </c>
      <c r="R39" s="66">
        <f t="shared" si="3"/>
        <v>0</v>
      </c>
      <c r="S39" s="49" t="str">
        <f>IF(C39="Working",IF(BL39="","",BL39*(1+'Model Inputs'!$B$35)^(AN39-1)),"")</f>
        <v/>
      </c>
      <c r="T39" s="49" t="str">
        <f>IF(C39="Working",IF(BM39="","",BM39*(1+'Model Inputs'!$B$36)^(AN39-1)),"")</f>
        <v/>
      </c>
      <c r="U39" s="66">
        <f t="shared" si="4"/>
        <v>0</v>
      </c>
      <c r="V39" s="66">
        <f>IF(C39="Working",MIN(MAX(U39,0),'Tax Assumptions'!$B$20),0)</f>
        <v>0</v>
      </c>
      <c r="W39" s="66">
        <f t="shared" si="5"/>
        <v>0</v>
      </c>
      <c r="X39" s="66">
        <f t="shared" si="6"/>
        <v>0</v>
      </c>
      <c r="Y39" s="66">
        <f t="shared" si="7"/>
        <v>200000</v>
      </c>
      <c r="Z39" s="66">
        <f t="shared" si="8"/>
        <v>200000</v>
      </c>
      <c r="AA39" s="66">
        <f t="shared" si="17"/>
        <v>200000</v>
      </c>
      <c r="AB39" s="66">
        <f t="shared" si="18"/>
        <v>0</v>
      </c>
      <c r="AC39" s="66">
        <f t="shared" si="19"/>
        <v>0</v>
      </c>
      <c r="AD39" s="66">
        <f t="shared" si="20"/>
        <v>0</v>
      </c>
      <c r="AE39" s="68">
        <f t="shared" si="21"/>
        <v>8411515.2188775148</v>
      </c>
      <c r="AF39" s="68">
        <f t="shared" si="22"/>
        <v>613016.55890249508</v>
      </c>
      <c r="AG39" s="68">
        <f t="shared" si="23"/>
        <v>187658.13027627397</v>
      </c>
      <c r="AH39" s="68">
        <f t="shared" si="24"/>
        <v>0</v>
      </c>
      <c r="AI39" s="68">
        <f t="shared" si="9"/>
        <v>9212189.9080562834</v>
      </c>
      <c r="AJ39" s="68">
        <f t="shared" si="25"/>
        <v>3117592.2400405239</v>
      </c>
      <c r="AK39" s="68">
        <f t="shared" si="26"/>
        <v>12705332.773930969</v>
      </c>
      <c r="AL39" s="69">
        <f t="shared" si="10"/>
        <v>0</v>
      </c>
      <c r="AM39" s="69">
        <f t="shared" si="11"/>
        <v>0</v>
      </c>
      <c r="AN39" s="203">
        <f t="shared" si="12"/>
        <v>21</v>
      </c>
      <c r="AO39" s="203">
        <f>'Model Inputs'!$B$22+AN39-1</f>
        <v>2046</v>
      </c>
      <c r="AP39" s="41" t="str">
        <f>IF(AND(AQ39="",AR39="",AX39="",BA39="",BC39=""),"",IF(AN39=1,(13-'Model Inputs'!$B$23)/12,1))</f>
        <v/>
      </c>
      <c r="AQ39" s="49" t="str">
        <f>IF(OR(AN39&lt;='Model Inputs'!$B$24,AR39&lt;&gt;"",AX39&lt;&gt;"",BA39&lt;&gt;"",BC39&lt;&gt;""),'Model Inputs'!$B$25*(1+'Model Inputs'!$B$31)^(AN39-1),"")</f>
        <v/>
      </c>
      <c r="AR39" s="49"/>
      <c r="AS39" s="49" t="str">
        <f t="shared" si="13"/>
        <v/>
      </c>
      <c r="AT39" s="49" t="str">
        <f t="shared" si="14"/>
        <v/>
      </c>
      <c r="AU39" s="49" t="str">
        <f>IF(AP39="","",IF(AN39=1,AP39*'Model Inputs'!$B$27,IF(AN39&lt;=MAX(2,'Model Inputs'!$B$30),'Model Inputs'!$B$27*(1+'Model Inputs'!$B$28)^(AN39-2),'Model Inputs'!$B$27*(1+'Model Inputs'!$B$28)^(MAX(2,'Model Inputs'!$B$30)-2)*(1+'Model Inputs'!$B$29)^(AN39-MAX(2,'Model Inputs'!$B$30)))))</f>
        <v/>
      </c>
      <c r="AV39" s="41" t="str">
        <f>IF(AU39="","",IF(AN39&lt;=2,0,'Model Inputs'!$B$32*SIN(2*PI()*(AN39-2+'Model Inputs'!$B$34)/MAX(1,'Model Inputs'!$B$33))))</f>
        <v/>
      </c>
      <c r="AW39" s="41"/>
      <c r="AX39" s="49"/>
      <c r="AY39" s="49" t="str">
        <f t="shared" si="30"/>
        <v/>
      </c>
      <c r="AZ39" s="49" t="str">
        <f>IF(AN39=1,'Model Inputs'!$B$26,"")</f>
        <v/>
      </c>
      <c r="BA39" s="49"/>
      <c r="BB39" s="49" t="str">
        <f t="shared" si="31"/>
        <v/>
      </c>
      <c r="BC39" s="49"/>
      <c r="BL39" s="49" t="str">
        <f>IF(C39="Working",LOOKUP(2,1/($BL$19:BL38&lt;&gt;""),$BL$19:BL38),"")</f>
        <v/>
      </c>
      <c r="BM39" s="49" t="str">
        <f>IF(C39="Working",LOOKUP(2,1/($BM$19:BM38&lt;&gt;""),$BM$19:BM38),"")</f>
        <v/>
      </c>
    </row>
    <row r="40" spans="1:65" x14ac:dyDescent="0.2">
      <c r="A40" s="70">
        <v>22</v>
      </c>
      <c r="B40" s="71" t="str">
        <f t="shared" si="0"/>
        <v/>
      </c>
      <c r="C40" s="70" t="str">
        <f t="shared" si="1"/>
        <v>Retired</v>
      </c>
      <c r="D40" s="71">
        <f>IF(OR(C40="Retired",B40=""),0,MIN(B40,'Tax Assumptions'!$B$19))</f>
        <v>0</v>
      </c>
      <c r="E40" s="49"/>
      <c r="F40" s="49"/>
      <c r="G40" s="71">
        <f>IF(C40="Working",MAX(B40-D40-E40-'Tax Assumptions'!$B$8,0),0)</f>
        <v>0</v>
      </c>
      <c r="H40" s="71">
        <f>IF(G40=0,0,LOOKUP(G40,'Tax Assumptions'!$F$9:$F$15,'Tax Assumptions'!$I$9:$I$15)+(G40-LOOKUP(G40,'Tax Assumptions'!$F$9:$F$15,'Tax Assumptions'!$F$9:$F$15))*LOOKUP(G40,'Tax Assumptions'!$F$9:$F$15,'Tax Assumptions'!$H$9:$H$15))</f>
        <v>0</v>
      </c>
      <c r="I40" s="71">
        <f>IF(C40="Working",MIN(MAX(B40-E40,0),'Tax Assumptions'!$B$11)*'Tax Assumptions'!$B$10,0)</f>
        <v>0</v>
      </c>
      <c r="J40" s="71">
        <f>IF(C40="Working",MAX(B40-E40,0)*'Tax Assumptions'!$B$12,0)</f>
        <v>0</v>
      </c>
      <c r="K40" s="71">
        <f>IF(C40="Working",MAX(MAX(B40-E40,0)-'Tax Assumptions'!$B$14,0)*'Tax Assumptions'!$B$13,0)</f>
        <v>0</v>
      </c>
      <c r="L40" s="72">
        <f>IF(C40="Working",MIN(B40*'Tax Assumptions'!$B$15,'Tax Assumptions'!$B$16),0)</f>
        <v>0</v>
      </c>
      <c r="M40" s="72">
        <f>IF(C40="Working",MIN(B40*'Tax Assumptions'!$B$17,'Tax Assumptions'!$B$18),0)</f>
        <v>0</v>
      </c>
      <c r="N40" s="71">
        <f>IF(C40="Working",MAX(B40-D40-'Tax Assumptions'!$B$9,0),0)</f>
        <v>0</v>
      </c>
      <c r="O40" s="71">
        <f>IF(N40=0,0,LOOKUP(N40,'Tax Assumptions'!$K$9:$K$17,'Tax Assumptions'!$N$9:$N$17)+(N40-LOOKUP(N40,'Tax Assumptions'!$K$9:$K$17,'Tax Assumptions'!$K$9:$K$17))*LOOKUP(N40,'Tax Assumptions'!$K$9:$K$17,'Tax Assumptions'!$M$9:$M$17))</f>
        <v>0</v>
      </c>
      <c r="P40" s="71">
        <f>IF(N40=0,0,LOOKUP(N40,'Tax Assumptions'!$P$9:$P$12,'Tax Assumptions'!$S$9:$S$12)+(N40-LOOKUP(N40,'Tax Assumptions'!$P$9:$P$12,'Tax Assumptions'!$P$9:$P$12))*LOOKUP(N40,'Tax Assumptions'!$P$9:$P$12,'Tax Assumptions'!$R$9:$R$12))</f>
        <v>0</v>
      </c>
      <c r="Q40" s="71">
        <f t="shared" si="2"/>
        <v>0</v>
      </c>
      <c r="R40" s="71">
        <f t="shared" si="3"/>
        <v>0</v>
      </c>
      <c r="S40" s="49" t="str">
        <f>IF(C40="Working",IF(BL40="","",BL40*(1+'Model Inputs'!$B$35)^(AN40-1)),"")</f>
        <v/>
      </c>
      <c r="T40" s="49" t="str">
        <f>IF(C40="Working",IF(BM40="","",BM40*(1+'Model Inputs'!$B$36)^(AN40-1)),"")</f>
        <v/>
      </c>
      <c r="U40" s="71">
        <f t="shared" si="4"/>
        <v>0</v>
      </c>
      <c r="V40" s="71">
        <f>IF(C40="Working",MIN(MAX(U40,0),'Tax Assumptions'!$B$20),0)</f>
        <v>0</v>
      </c>
      <c r="W40" s="71">
        <f t="shared" si="5"/>
        <v>0</v>
      </c>
      <c r="X40" s="71">
        <f t="shared" si="6"/>
        <v>0</v>
      </c>
      <c r="Y40" s="71">
        <f t="shared" si="7"/>
        <v>200000</v>
      </c>
      <c r="Z40" s="71">
        <f t="shared" si="8"/>
        <v>200000</v>
      </c>
      <c r="AA40" s="71">
        <f t="shared" si="17"/>
        <v>200000</v>
      </c>
      <c r="AB40" s="71">
        <f t="shared" si="18"/>
        <v>0</v>
      </c>
      <c r="AC40" s="71">
        <f t="shared" si="19"/>
        <v>0</v>
      </c>
      <c r="AD40" s="71">
        <f t="shared" si="20"/>
        <v>0</v>
      </c>
      <c r="AE40" s="68">
        <f t="shared" si="21"/>
        <v>8716206.1320101656</v>
      </c>
      <c r="AF40" s="68">
        <f t="shared" si="22"/>
        <v>649797.55243664479</v>
      </c>
      <c r="AG40" s="68">
        <f t="shared" si="23"/>
        <v>198917.6180928504</v>
      </c>
      <c r="AH40" s="68">
        <f t="shared" si="24"/>
        <v>0</v>
      </c>
      <c r="AI40" s="68">
        <f t="shared" si="9"/>
        <v>9564921.3025396597</v>
      </c>
      <c r="AJ40" s="68">
        <f t="shared" si="25"/>
        <v>2917592.2400405239</v>
      </c>
      <c r="AK40" s="68">
        <f t="shared" si="26"/>
        <v>13521759.395845447</v>
      </c>
      <c r="AL40" s="73">
        <f t="shared" si="10"/>
        <v>0</v>
      </c>
      <c r="AM40" s="73">
        <f t="shared" si="11"/>
        <v>0</v>
      </c>
      <c r="AN40" s="203">
        <f t="shared" si="12"/>
        <v>22</v>
      </c>
      <c r="AO40" s="203">
        <f>'Model Inputs'!$B$22+AN40-1</f>
        <v>2047</v>
      </c>
      <c r="AP40" s="41" t="str">
        <f>IF(AND(AQ40="",AR40="",AX40="",BA40="",BC40=""),"",IF(AN40=1,(13-'Model Inputs'!$B$23)/12,1))</f>
        <v/>
      </c>
      <c r="AQ40" s="49" t="str">
        <f>IF(OR(AN40&lt;='Model Inputs'!$B$24,AR40&lt;&gt;"",AX40&lt;&gt;"",BA40&lt;&gt;"",BC40&lt;&gt;""),'Model Inputs'!$B$25*(1+'Model Inputs'!$B$31)^(AN40-1),"")</f>
        <v/>
      </c>
      <c r="AR40" s="49"/>
      <c r="AS40" s="49" t="str">
        <f t="shared" si="13"/>
        <v/>
      </c>
      <c r="AT40" s="49" t="str">
        <f t="shared" si="14"/>
        <v/>
      </c>
      <c r="AU40" s="49" t="str">
        <f>IF(AP40="","",IF(AN40=1,AP40*'Model Inputs'!$B$27,IF(AN40&lt;=MAX(2,'Model Inputs'!$B$30),'Model Inputs'!$B$27*(1+'Model Inputs'!$B$28)^(AN40-2),'Model Inputs'!$B$27*(1+'Model Inputs'!$B$28)^(MAX(2,'Model Inputs'!$B$30)-2)*(1+'Model Inputs'!$B$29)^(AN40-MAX(2,'Model Inputs'!$B$30)))))</f>
        <v/>
      </c>
      <c r="AV40" s="41" t="str">
        <f>IF(AU40="","",IF(AN40&lt;=2,0,'Model Inputs'!$B$32*SIN(2*PI()*(AN40-2+'Model Inputs'!$B$34)/MAX(1,'Model Inputs'!$B$33))))</f>
        <v/>
      </c>
      <c r="AW40" s="41"/>
      <c r="AX40" s="49"/>
      <c r="AY40" s="49" t="str">
        <f t="shared" si="30"/>
        <v/>
      </c>
      <c r="AZ40" s="49" t="str">
        <f>IF(AN40=1,'Model Inputs'!$B$26,"")</f>
        <v/>
      </c>
      <c r="BA40" s="49"/>
      <c r="BB40" s="49" t="str">
        <f t="shared" si="31"/>
        <v/>
      </c>
      <c r="BC40" s="49"/>
      <c r="BL40" s="49" t="str">
        <f>IF(C40="Working",LOOKUP(2,1/($BL$19:BL39&lt;&gt;""),$BL$19:BL39),"")</f>
        <v/>
      </c>
      <c r="BM40" s="49" t="str">
        <f>IF(C40="Working",LOOKUP(2,1/($BM$19:BM39&lt;&gt;""),$BM$19:BM39),"")</f>
        <v/>
      </c>
    </row>
    <row r="41" spans="1:65" x14ac:dyDescent="0.2">
      <c r="A41" s="65">
        <v>23</v>
      </c>
      <c r="B41" s="66" t="str">
        <f t="shared" si="0"/>
        <v/>
      </c>
      <c r="C41" s="65" t="str">
        <f t="shared" si="1"/>
        <v>Retired</v>
      </c>
      <c r="D41" s="66">
        <f>IF(OR(C41="Retired",B41=""),0,MIN(B41,'Tax Assumptions'!$B$19))</f>
        <v>0</v>
      </c>
      <c r="E41" s="49"/>
      <c r="F41" s="49"/>
      <c r="G41" s="66">
        <f>IF(C41="Working",MAX(B41-D41-E41-'Tax Assumptions'!$B$8,0),0)</f>
        <v>0</v>
      </c>
      <c r="H41" s="66">
        <f>IF(G41=0,0,LOOKUP(G41,'Tax Assumptions'!$F$9:$F$15,'Tax Assumptions'!$I$9:$I$15)+(G41-LOOKUP(G41,'Tax Assumptions'!$F$9:$F$15,'Tax Assumptions'!$F$9:$F$15))*LOOKUP(G41,'Tax Assumptions'!$F$9:$F$15,'Tax Assumptions'!$H$9:$H$15))</f>
        <v>0</v>
      </c>
      <c r="I41" s="66">
        <f>IF(C41="Working",MIN(MAX(B41-E41,0),'Tax Assumptions'!$B$11)*'Tax Assumptions'!$B$10,0)</f>
        <v>0</v>
      </c>
      <c r="J41" s="66">
        <f>IF(C41="Working",MAX(B41-E41,0)*'Tax Assumptions'!$B$12,0)</f>
        <v>0</v>
      </c>
      <c r="K41" s="66">
        <f>IF(C41="Working",MAX(MAX(B41-E41,0)-'Tax Assumptions'!$B$14,0)*'Tax Assumptions'!$B$13,0)</f>
        <v>0</v>
      </c>
      <c r="L41" s="67">
        <f>IF(C41="Working",MIN(B41*'Tax Assumptions'!$B$15,'Tax Assumptions'!$B$16),0)</f>
        <v>0</v>
      </c>
      <c r="M41" s="67">
        <f>IF(C41="Working",MIN(B41*'Tax Assumptions'!$B$17,'Tax Assumptions'!$B$18),0)</f>
        <v>0</v>
      </c>
      <c r="N41" s="66">
        <f>IF(C41="Working",MAX(B41-D41-'Tax Assumptions'!$B$9,0),0)</f>
        <v>0</v>
      </c>
      <c r="O41" s="66">
        <f>IF(N41=0,0,LOOKUP(N41,'Tax Assumptions'!$K$9:$K$17,'Tax Assumptions'!$N$9:$N$17)+(N41-LOOKUP(N41,'Tax Assumptions'!$K$9:$K$17,'Tax Assumptions'!$K$9:$K$17))*LOOKUP(N41,'Tax Assumptions'!$K$9:$K$17,'Tax Assumptions'!$M$9:$M$17))</f>
        <v>0</v>
      </c>
      <c r="P41" s="66">
        <f>IF(N41=0,0,LOOKUP(N41,'Tax Assumptions'!$P$9:$P$12,'Tax Assumptions'!$S$9:$S$12)+(N41-LOOKUP(N41,'Tax Assumptions'!$P$9:$P$12,'Tax Assumptions'!$P$9:$P$12))*LOOKUP(N41,'Tax Assumptions'!$P$9:$P$12,'Tax Assumptions'!$R$9:$R$12))</f>
        <v>0</v>
      </c>
      <c r="Q41" s="66">
        <f t="shared" si="2"/>
        <v>0</v>
      </c>
      <c r="R41" s="66">
        <f t="shared" si="3"/>
        <v>0</v>
      </c>
      <c r="S41" s="49" t="str">
        <f>IF(C41="Working",IF(BL41="","",BL41*(1+'Model Inputs'!$B$35)^(AN41-1)),"")</f>
        <v/>
      </c>
      <c r="T41" s="49" t="str">
        <f>IF(C41="Working",IF(BM41="","",BM41*(1+'Model Inputs'!$B$36)^(AN41-1)),"")</f>
        <v/>
      </c>
      <c r="U41" s="66">
        <f t="shared" si="4"/>
        <v>0</v>
      </c>
      <c r="V41" s="66">
        <f>IF(C41="Working",MIN(MAX(U41,0),'Tax Assumptions'!$B$20),0)</f>
        <v>0</v>
      </c>
      <c r="W41" s="66">
        <f t="shared" si="5"/>
        <v>0</v>
      </c>
      <c r="X41" s="66">
        <f t="shared" si="6"/>
        <v>0</v>
      </c>
      <c r="Y41" s="66">
        <f t="shared" si="7"/>
        <v>200000</v>
      </c>
      <c r="Z41" s="66">
        <f t="shared" si="8"/>
        <v>200000</v>
      </c>
      <c r="AA41" s="66">
        <f t="shared" si="17"/>
        <v>200000</v>
      </c>
      <c r="AB41" s="66">
        <f t="shared" si="18"/>
        <v>0</v>
      </c>
      <c r="AC41" s="66">
        <f t="shared" si="19"/>
        <v>0</v>
      </c>
      <c r="AD41" s="66">
        <f t="shared" si="20"/>
        <v>0</v>
      </c>
      <c r="AE41" s="68">
        <f t="shared" si="21"/>
        <v>9039178.4999307767</v>
      </c>
      <c r="AF41" s="68">
        <f t="shared" si="22"/>
        <v>688785.40558284346</v>
      </c>
      <c r="AG41" s="68">
        <f t="shared" si="23"/>
        <v>210852.67517842143</v>
      </c>
      <c r="AH41" s="68">
        <f t="shared" si="24"/>
        <v>0</v>
      </c>
      <c r="AI41" s="68">
        <f t="shared" si="9"/>
        <v>9938816.5806920417</v>
      </c>
      <c r="AJ41" s="68">
        <f t="shared" si="25"/>
        <v>2717592.2400405239</v>
      </c>
      <c r="AK41" s="68">
        <f t="shared" si="26"/>
        <v>14403500.147513084</v>
      </c>
      <c r="AL41" s="69">
        <f t="shared" si="10"/>
        <v>0</v>
      </c>
      <c r="AM41" s="69">
        <f t="shared" si="11"/>
        <v>0</v>
      </c>
      <c r="AN41" s="203">
        <f t="shared" si="12"/>
        <v>23</v>
      </c>
      <c r="AO41" s="203">
        <f>'Model Inputs'!$B$22+AN41-1</f>
        <v>2048</v>
      </c>
      <c r="AP41" s="41" t="str">
        <f>IF(AND(AQ41="",AR41="",AX41="",BA41="",BC41=""),"",IF(AN41=1,(13-'Model Inputs'!$B$23)/12,1))</f>
        <v/>
      </c>
      <c r="AQ41" s="49" t="str">
        <f>IF(OR(AN41&lt;='Model Inputs'!$B$24,AR41&lt;&gt;"",AX41&lt;&gt;"",BA41&lt;&gt;"",BC41&lt;&gt;""),'Model Inputs'!$B$25*(1+'Model Inputs'!$B$31)^(AN41-1),"")</f>
        <v/>
      </c>
      <c r="AR41" s="49"/>
      <c r="AS41" s="49" t="str">
        <f t="shared" si="13"/>
        <v/>
      </c>
      <c r="AT41" s="49" t="str">
        <f t="shared" si="14"/>
        <v/>
      </c>
      <c r="AU41" s="49" t="str">
        <f>IF(AP41="","",IF(AN41=1,AP41*'Model Inputs'!$B$27,IF(AN41&lt;=MAX(2,'Model Inputs'!$B$30),'Model Inputs'!$B$27*(1+'Model Inputs'!$B$28)^(AN41-2),'Model Inputs'!$B$27*(1+'Model Inputs'!$B$28)^(MAX(2,'Model Inputs'!$B$30)-2)*(1+'Model Inputs'!$B$29)^(AN41-MAX(2,'Model Inputs'!$B$30)))))</f>
        <v/>
      </c>
      <c r="AV41" s="41" t="str">
        <f>IF(AU41="","",IF(AN41&lt;=2,0,'Model Inputs'!$B$32*SIN(2*PI()*(AN41-2+'Model Inputs'!$B$34)/MAX(1,'Model Inputs'!$B$33))))</f>
        <v/>
      </c>
      <c r="AW41" s="41"/>
      <c r="AX41" s="49"/>
      <c r="AY41" s="49" t="str">
        <f t="shared" si="30"/>
        <v/>
      </c>
      <c r="AZ41" s="49" t="str">
        <f>IF(AN41=1,'Model Inputs'!$B$26,"")</f>
        <v/>
      </c>
      <c r="BA41" s="49"/>
      <c r="BB41" s="49" t="str">
        <f t="shared" si="31"/>
        <v/>
      </c>
      <c r="BC41" s="49"/>
      <c r="BL41" s="49" t="str">
        <f>IF(C41="Working",LOOKUP(2,1/($BL$19:BL40&lt;&gt;""),$BL$19:BL40),"")</f>
        <v/>
      </c>
      <c r="BM41" s="49" t="str">
        <f>IF(C41="Working",LOOKUP(2,1/($BM$19:BM40&lt;&gt;""),$BM$19:BM40),"")</f>
        <v/>
      </c>
    </row>
    <row r="42" spans="1:65" x14ac:dyDescent="0.2">
      <c r="A42" s="70">
        <v>24</v>
      </c>
      <c r="B42" s="71" t="str">
        <f t="shared" si="0"/>
        <v/>
      </c>
      <c r="C42" s="70" t="str">
        <f t="shared" si="1"/>
        <v>Retired</v>
      </c>
      <c r="D42" s="71">
        <f>IF(OR(C42="Retired",B42=""),0,MIN(B42,'Tax Assumptions'!$B$19))</f>
        <v>0</v>
      </c>
      <c r="E42" s="49"/>
      <c r="F42" s="49"/>
      <c r="G42" s="71">
        <f>IF(C42="Working",MAX(B42-D42-E42-'Tax Assumptions'!$B$8,0),0)</f>
        <v>0</v>
      </c>
      <c r="H42" s="71">
        <f>IF(G42=0,0,LOOKUP(G42,'Tax Assumptions'!$F$9:$F$15,'Tax Assumptions'!$I$9:$I$15)+(G42-LOOKUP(G42,'Tax Assumptions'!$F$9:$F$15,'Tax Assumptions'!$F$9:$F$15))*LOOKUP(G42,'Tax Assumptions'!$F$9:$F$15,'Tax Assumptions'!$H$9:$H$15))</f>
        <v>0</v>
      </c>
      <c r="I42" s="71">
        <f>IF(C42="Working",MIN(MAX(B42-E42,0),'Tax Assumptions'!$B$11)*'Tax Assumptions'!$B$10,0)</f>
        <v>0</v>
      </c>
      <c r="J42" s="71">
        <f>IF(C42="Working",MAX(B42-E42,0)*'Tax Assumptions'!$B$12,0)</f>
        <v>0</v>
      </c>
      <c r="K42" s="71">
        <f>IF(C42="Working",MAX(MAX(B42-E42,0)-'Tax Assumptions'!$B$14,0)*'Tax Assumptions'!$B$13,0)</f>
        <v>0</v>
      </c>
      <c r="L42" s="72">
        <f>IF(C42="Working",MIN(B42*'Tax Assumptions'!$B$15,'Tax Assumptions'!$B$16),0)</f>
        <v>0</v>
      </c>
      <c r="M42" s="72">
        <f>IF(C42="Working",MIN(B42*'Tax Assumptions'!$B$17,'Tax Assumptions'!$B$18),0)</f>
        <v>0</v>
      </c>
      <c r="N42" s="71">
        <f>IF(C42="Working",MAX(B42-D42-'Tax Assumptions'!$B$9,0),0)</f>
        <v>0</v>
      </c>
      <c r="O42" s="71">
        <f>IF(N42=0,0,LOOKUP(N42,'Tax Assumptions'!$K$9:$K$17,'Tax Assumptions'!$N$9:$N$17)+(N42-LOOKUP(N42,'Tax Assumptions'!$K$9:$K$17,'Tax Assumptions'!$K$9:$K$17))*LOOKUP(N42,'Tax Assumptions'!$K$9:$K$17,'Tax Assumptions'!$M$9:$M$17))</f>
        <v>0</v>
      </c>
      <c r="P42" s="71">
        <f>IF(N42=0,0,LOOKUP(N42,'Tax Assumptions'!$P$9:$P$12,'Tax Assumptions'!$S$9:$S$12)+(N42-LOOKUP(N42,'Tax Assumptions'!$P$9:$P$12,'Tax Assumptions'!$P$9:$P$12))*LOOKUP(N42,'Tax Assumptions'!$P$9:$P$12,'Tax Assumptions'!$R$9:$R$12))</f>
        <v>0</v>
      </c>
      <c r="Q42" s="71">
        <f t="shared" si="2"/>
        <v>0</v>
      </c>
      <c r="R42" s="71">
        <f t="shared" si="3"/>
        <v>0</v>
      </c>
      <c r="S42" s="49" t="str">
        <f>IF(C42="Working",IF(BL42="","",BL42*(1+'Model Inputs'!$B$35)^(AN42-1)),"")</f>
        <v/>
      </c>
      <c r="T42" s="49" t="str">
        <f>IF(C42="Working",IF(BM42="","",BM42*(1+'Model Inputs'!$B$36)^(AN42-1)),"")</f>
        <v/>
      </c>
      <c r="U42" s="71">
        <f t="shared" si="4"/>
        <v>0</v>
      </c>
      <c r="V42" s="71">
        <f>IF(C42="Working",MIN(MAX(U42,0),'Tax Assumptions'!$B$20),0)</f>
        <v>0</v>
      </c>
      <c r="W42" s="71">
        <f t="shared" si="5"/>
        <v>0</v>
      </c>
      <c r="X42" s="71">
        <f t="shared" si="6"/>
        <v>0</v>
      </c>
      <c r="Y42" s="71">
        <f t="shared" si="7"/>
        <v>200000</v>
      </c>
      <c r="Z42" s="71">
        <f t="shared" si="8"/>
        <v>200000</v>
      </c>
      <c r="AA42" s="71">
        <f t="shared" si="17"/>
        <v>200000</v>
      </c>
      <c r="AB42" s="71">
        <f t="shared" si="18"/>
        <v>0</v>
      </c>
      <c r="AC42" s="71">
        <f t="shared" si="19"/>
        <v>0</v>
      </c>
      <c r="AD42" s="71">
        <f t="shared" si="20"/>
        <v>0</v>
      </c>
      <c r="AE42" s="68">
        <f t="shared" si="21"/>
        <v>9381529.2099266239</v>
      </c>
      <c r="AF42" s="68">
        <f t="shared" si="22"/>
        <v>730112.52991781407</v>
      </c>
      <c r="AG42" s="68">
        <f t="shared" si="23"/>
        <v>223503.83568912672</v>
      </c>
      <c r="AH42" s="68">
        <f t="shared" si="24"/>
        <v>0</v>
      </c>
      <c r="AI42" s="68">
        <f t="shared" si="9"/>
        <v>10335145.575533565</v>
      </c>
      <c r="AJ42" s="68">
        <f t="shared" si="25"/>
        <v>2517592.2400405239</v>
      </c>
      <c r="AK42" s="68">
        <f t="shared" si="26"/>
        <v>15355780.159314131</v>
      </c>
      <c r="AL42" s="73">
        <f t="shared" si="10"/>
        <v>0</v>
      </c>
      <c r="AM42" s="73">
        <f t="shared" si="11"/>
        <v>0</v>
      </c>
      <c r="AN42" s="203">
        <f t="shared" si="12"/>
        <v>24</v>
      </c>
      <c r="AO42" s="203">
        <f>'Model Inputs'!$B$22+AN42-1</f>
        <v>2049</v>
      </c>
      <c r="AP42" s="41" t="str">
        <f>IF(AND(AQ42="",AR42="",AX42="",BA42="",BC42=""),"",IF(AN42=1,(13-'Model Inputs'!$B$23)/12,1))</f>
        <v/>
      </c>
      <c r="AQ42" s="49" t="str">
        <f>IF(OR(AN42&lt;='Model Inputs'!$B$24,AR42&lt;&gt;"",AX42&lt;&gt;"",BA42&lt;&gt;"",BC42&lt;&gt;""),'Model Inputs'!$B$25*(1+'Model Inputs'!$B$31)^(AN42-1),"")</f>
        <v/>
      </c>
      <c r="AR42" s="49"/>
      <c r="AS42" s="49" t="str">
        <f t="shared" si="13"/>
        <v/>
      </c>
      <c r="AT42" s="49" t="str">
        <f t="shared" si="14"/>
        <v/>
      </c>
      <c r="AU42" s="49" t="str">
        <f>IF(AP42="","",IF(AN42=1,AP42*'Model Inputs'!$B$27,IF(AN42&lt;=MAX(2,'Model Inputs'!$B$30),'Model Inputs'!$B$27*(1+'Model Inputs'!$B$28)^(AN42-2),'Model Inputs'!$B$27*(1+'Model Inputs'!$B$28)^(MAX(2,'Model Inputs'!$B$30)-2)*(1+'Model Inputs'!$B$29)^(AN42-MAX(2,'Model Inputs'!$B$30)))))</f>
        <v/>
      </c>
      <c r="AV42" s="41" t="str">
        <f>IF(AU42="","",IF(AN42&lt;=2,0,'Model Inputs'!$B$32*SIN(2*PI()*(AN42-2+'Model Inputs'!$B$34)/MAX(1,'Model Inputs'!$B$33))))</f>
        <v/>
      </c>
      <c r="AW42" s="41"/>
      <c r="AX42" s="49"/>
      <c r="AY42" s="49" t="str">
        <f t="shared" si="30"/>
        <v/>
      </c>
      <c r="AZ42" s="49" t="str">
        <f>IF(AN42=1,'Model Inputs'!$B$26,"")</f>
        <v/>
      </c>
      <c r="BA42" s="49"/>
      <c r="BB42" s="49" t="str">
        <f t="shared" si="31"/>
        <v/>
      </c>
      <c r="BC42" s="49"/>
      <c r="BL42" s="49" t="str">
        <f>IF(C42="Working",LOOKUP(2,1/($BL$19:BL41&lt;&gt;""),$BL$19:BL41),"")</f>
        <v/>
      </c>
      <c r="BM42" s="49" t="str">
        <f>IF(C42="Working",LOOKUP(2,1/($BM$19:BM41&lt;&gt;""),$BM$19:BM41),"")</f>
        <v/>
      </c>
    </row>
    <row r="43" spans="1:65" x14ac:dyDescent="0.2">
      <c r="A43" s="65">
        <v>25</v>
      </c>
      <c r="B43" s="66" t="str">
        <f t="shared" si="0"/>
        <v/>
      </c>
      <c r="C43" s="65" t="str">
        <f t="shared" si="1"/>
        <v>Retired</v>
      </c>
      <c r="D43" s="66">
        <f>IF(OR(C43="Retired",B43=""),0,MIN(B43,'Tax Assumptions'!$B$19))</f>
        <v>0</v>
      </c>
      <c r="E43" s="49"/>
      <c r="F43" s="49"/>
      <c r="G43" s="66">
        <f>IF(C43="Working",MAX(B43-D43-E43-'Tax Assumptions'!$B$8,0),0)</f>
        <v>0</v>
      </c>
      <c r="H43" s="66">
        <f>IF(G43=0,0,LOOKUP(G43,'Tax Assumptions'!$F$9:$F$15,'Tax Assumptions'!$I$9:$I$15)+(G43-LOOKUP(G43,'Tax Assumptions'!$F$9:$F$15,'Tax Assumptions'!$F$9:$F$15))*LOOKUP(G43,'Tax Assumptions'!$F$9:$F$15,'Tax Assumptions'!$H$9:$H$15))</f>
        <v>0</v>
      </c>
      <c r="I43" s="66">
        <f>IF(C43="Working",MIN(MAX(B43-E43,0),'Tax Assumptions'!$B$11)*'Tax Assumptions'!$B$10,0)</f>
        <v>0</v>
      </c>
      <c r="J43" s="66">
        <f>IF(C43="Working",MAX(B43-E43,0)*'Tax Assumptions'!$B$12,0)</f>
        <v>0</v>
      </c>
      <c r="K43" s="66">
        <f>IF(C43="Working",MAX(MAX(B43-E43,0)-'Tax Assumptions'!$B$14,0)*'Tax Assumptions'!$B$13,0)</f>
        <v>0</v>
      </c>
      <c r="L43" s="67">
        <f>IF(C43="Working",MIN(B43*'Tax Assumptions'!$B$15,'Tax Assumptions'!$B$16),0)</f>
        <v>0</v>
      </c>
      <c r="M43" s="67">
        <f>IF(C43="Working",MIN(B43*'Tax Assumptions'!$B$17,'Tax Assumptions'!$B$18),0)</f>
        <v>0</v>
      </c>
      <c r="N43" s="66">
        <f>IF(C43="Working",MAX(B43-D43-'Tax Assumptions'!$B$9,0),0)</f>
        <v>0</v>
      </c>
      <c r="O43" s="66">
        <f>IF(N43=0,0,LOOKUP(N43,'Tax Assumptions'!$K$9:$K$17,'Tax Assumptions'!$N$9:$N$17)+(N43-LOOKUP(N43,'Tax Assumptions'!$K$9:$K$17,'Tax Assumptions'!$K$9:$K$17))*LOOKUP(N43,'Tax Assumptions'!$K$9:$K$17,'Tax Assumptions'!$M$9:$M$17))</f>
        <v>0</v>
      </c>
      <c r="P43" s="66">
        <f>IF(N43=0,0,LOOKUP(N43,'Tax Assumptions'!$P$9:$P$12,'Tax Assumptions'!$S$9:$S$12)+(N43-LOOKUP(N43,'Tax Assumptions'!$P$9:$P$12,'Tax Assumptions'!$P$9:$P$12))*LOOKUP(N43,'Tax Assumptions'!$P$9:$P$12,'Tax Assumptions'!$R$9:$R$12))</f>
        <v>0</v>
      </c>
      <c r="Q43" s="66">
        <f t="shared" si="2"/>
        <v>0</v>
      </c>
      <c r="R43" s="66">
        <f t="shared" si="3"/>
        <v>0</v>
      </c>
      <c r="S43" s="49" t="str">
        <f>IF(C43="Working",IF(BL43="","",BL43*(1+'Model Inputs'!$B$35)^(AN43-1)),"")</f>
        <v/>
      </c>
      <c r="T43" s="49" t="str">
        <f>IF(C43="Working",IF(BM43="","",BM43*(1+'Model Inputs'!$B$36)^(AN43-1)),"")</f>
        <v/>
      </c>
      <c r="U43" s="66">
        <f t="shared" si="4"/>
        <v>0</v>
      </c>
      <c r="V43" s="66">
        <f>IF(C43="Working",MIN(MAX(U43,0),'Tax Assumptions'!$B$20),0)</f>
        <v>0</v>
      </c>
      <c r="W43" s="66">
        <f t="shared" si="5"/>
        <v>0</v>
      </c>
      <c r="X43" s="66">
        <f t="shared" si="6"/>
        <v>0</v>
      </c>
      <c r="Y43" s="66">
        <f t="shared" si="7"/>
        <v>200000</v>
      </c>
      <c r="Z43" s="66">
        <f t="shared" si="8"/>
        <v>200000</v>
      </c>
      <c r="AA43" s="66">
        <f t="shared" si="17"/>
        <v>200000</v>
      </c>
      <c r="AB43" s="66">
        <f t="shared" si="18"/>
        <v>0</v>
      </c>
      <c r="AC43" s="66">
        <f t="shared" si="19"/>
        <v>0</v>
      </c>
      <c r="AD43" s="66">
        <f t="shared" si="20"/>
        <v>0</v>
      </c>
      <c r="AE43" s="68">
        <f t="shared" si="21"/>
        <v>9744420.9625222217</v>
      </c>
      <c r="AF43" s="68">
        <f t="shared" si="22"/>
        <v>773919.28171288292</v>
      </c>
      <c r="AG43" s="68">
        <f t="shared" si="23"/>
        <v>236914.06583047434</v>
      </c>
      <c r="AH43" s="68">
        <f t="shared" si="24"/>
        <v>0</v>
      </c>
      <c r="AI43" s="68">
        <f t="shared" si="9"/>
        <v>10755254.310065579</v>
      </c>
      <c r="AJ43" s="68">
        <f t="shared" si="25"/>
        <v>2317592.2400405239</v>
      </c>
      <c r="AK43" s="68">
        <f t="shared" si="26"/>
        <v>16384242.572059263</v>
      </c>
      <c r="AL43" s="69">
        <f t="shared" si="10"/>
        <v>0</v>
      </c>
      <c r="AM43" s="69">
        <f t="shared" si="11"/>
        <v>0</v>
      </c>
      <c r="AN43" s="203">
        <f t="shared" si="12"/>
        <v>25</v>
      </c>
      <c r="AO43" s="203">
        <f>'Model Inputs'!$B$22+AN43-1</f>
        <v>2050</v>
      </c>
      <c r="AP43" s="41" t="str">
        <f>IF(AND(AQ43="",AR43="",AX43="",BA43="",BC43=""),"",IF(AN43=1,(13-'Model Inputs'!$B$23)/12,1))</f>
        <v/>
      </c>
      <c r="AQ43" s="49" t="str">
        <f>IF(OR(AN43&lt;='Model Inputs'!$B$24,AR43&lt;&gt;"",AX43&lt;&gt;"",BA43&lt;&gt;"",BC43&lt;&gt;""),'Model Inputs'!$B$25*(1+'Model Inputs'!$B$31)^(AN43-1),"")</f>
        <v/>
      </c>
      <c r="AR43" s="49"/>
      <c r="AS43" s="49" t="str">
        <f t="shared" si="13"/>
        <v/>
      </c>
      <c r="AT43" s="49" t="str">
        <f t="shared" si="14"/>
        <v/>
      </c>
      <c r="AU43" s="49" t="str">
        <f>IF(AP43="","",IF(AN43=1,AP43*'Model Inputs'!$B$27,IF(AN43&lt;=MAX(2,'Model Inputs'!$B$30),'Model Inputs'!$B$27*(1+'Model Inputs'!$B$28)^(AN43-2),'Model Inputs'!$B$27*(1+'Model Inputs'!$B$28)^(MAX(2,'Model Inputs'!$B$30)-2)*(1+'Model Inputs'!$B$29)^(AN43-MAX(2,'Model Inputs'!$B$30)))))</f>
        <v/>
      </c>
      <c r="AV43" s="41" t="str">
        <f>IF(AU43="","",IF(AN43&lt;=2,0,'Model Inputs'!$B$32*SIN(2*PI()*(AN43-2+'Model Inputs'!$B$34)/MAX(1,'Model Inputs'!$B$33))))</f>
        <v/>
      </c>
      <c r="AW43" s="41"/>
      <c r="AX43" s="49"/>
      <c r="AY43" s="49" t="str">
        <f t="shared" si="30"/>
        <v/>
      </c>
      <c r="AZ43" s="49" t="str">
        <f>IF(AN43=1,'Model Inputs'!$B$26,"")</f>
        <v/>
      </c>
      <c r="BA43" s="49"/>
      <c r="BB43" s="49" t="str">
        <f t="shared" si="31"/>
        <v/>
      </c>
      <c r="BC43" s="49"/>
      <c r="BL43" s="49" t="str">
        <f>IF(C43="Working",LOOKUP(2,1/($BL$19:BL42&lt;&gt;""),$BL$19:BL42),"")</f>
        <v/>
      </c>
      <c r="BM43" s="49" t="str">
        <f>IF(C43="Working",LOOKUP(2,1/($BM$19:BM42&lt;&gt;""),$BM$19:BM42),"")</f>
        <v/>
      </c>
    </row>
    <row r="44" spans="1:65" x14ac:dyDescent="0.2">
      <c r="A44" s="70">
        <v>26</v>
      </c>
      <c r="B44" s="71" t="str">
        <f t="shared" si="0"/>
        <v/>
      </c>
      <c r="C44" s="70" t="str">
        <f t="shared" si="1"/>
        <v>Retired</v>
      </c>
      <c r="D44" s="71">
        <f>IF(OR(C44="Retired",B44=""),0,MIN(B44,'Tax Assumptions'!$B$19))</f>
        <v>0</v>
      </c>
      <c r="E44" s="49"/>
      <c r="F44" s="49"/>
      <c r="G44" s="71">
        <f>IF(C44="Working",MAX(B44-D44-E44-'Tax Assumptions'!$B$8,0),0)</f>
        <v>0</v>
      </c>
      <c r="H44" s="71">
        <f>IF(G44=0,0,LOOKUP(G44,'Tax Assumptions'!$F$9:$F$15,'Tax Assumptions'!$I$9:$I$15)+(G44-LOOKUP(G44,'Tax Assumptions'!$F$9:$F$15,'Tax Assumptions'!$F$9:$F$15))*LOOKUP(G44,'Tax Assumptions'!$F$9:$F$15,'Tax Assumptions'!$H$9:$H$15))</f>
        <v>0</v>
      </c>
      <c r="I44" s="71">
        <f>IF(C44="Working",MIN(MAX(B44-E44,0),'Tax Assumptions'!$B$11)*'Tax Assumptions'!$B$10,0)</f>
        <v>0</v>
      </c>
      <c r="J44" s="71">
        <f>IF(C44="Working",MAX(B44-E44,0)*'Tax Assumptions'!$B$12,0)</f>
        <v>0</v>
      </c>
      <c r="K44" s="71">
        <f>IF(C44="Working",MAX(MAX(B44-E44,0)-'Tax Assumptions'!$B$14,0)*'Tax Assumptions'!$B$13,0)</f>
        <v>0</v>
      </c>
      <c r="L44" s="72">
        <f>IF(C44="Working",MIN(B44*'Tax Assumptions'!$B$15,'Tax Assumptions'!$B$16),0)</f>
        <v>0</v>
      </c>
      <c r="M44" s="72">
        <f>IF(C44="Working",MIN(B44*'Tax Assumptions'!$B$17,'Tax Assumptions'!$B$18),0)</f>
        <v>0</v>
      </c>
      <c r="N44" s="71">
        <f>IF(C44="Working",MAX(B44-D44-'Tax Assumptions'!$B$9,0),0)</f>
        <v>0</v>
      </c>
      <c r="O44" s="71">
        <f>IF(N44=0,0,LOOKUP(N44,'Tax Assumptions'!$K$9:$K$17,'Tax Assumptions'!$N$9:$N$17)+(N44-LOOKUP(N44,'Tax Assumptions'!$K$9:$K$17,'Tax Assumptions'!$K$9:$K$17))*LOOKUP(N44,'Tax Assumptions'!$K$9:$K$17,'Tax Assumptions'!$M$9:$M$17))</f>
        <v>0</v>
      </c>
      <c r="P44" s="71">
        <f>IF(N44=0,0,LOOKUP(N44,'Tax Assumptions'!$P$9:$P$12,'Tax Assumptions'!$S$9:$S$12)+(N44-LOOKUP(N44,'Tax Assumptions'!$P$9:$P$12,'Tax Assumptions'!$P$9:$P$12))*LOOKUP(N44,'Tax Assumptions'!$P$9:$P$12,'Tax Assumptions'!$R$9:$R$12))</f>
        <v>0</v>
      </c>
      <c r="Q44" s="71">
        <f t="shared" si="2"/>
        <v>0</v>
      </c>
      <c r="R44" s="71">
        <f t="shared" si="3"/>
        <v>0</v>
      </c>
      <c r="S44" s="49" t="str">
        <f>IF(C44="Working",IF(BL44="","",BL44*(1+'Model Inputs'!$B$35)^(AN44-1)),"")</f>
        <v/>
      </c>
      <c r="T44" s="49" t="str">
        <f>IF(C44="Working",IF(BM44="","",BM44*(1+'Model Inputs'!$B$36)^(AN44-1)),"")</f>
        <v/>
      </c>
      <c r="U44" s="71">
        <f t="shared" si="4"/>
        <v>0</v>
      </c>
      <c r="V44" s="71">
        <f>IF(C44="Working",MIN(MAX(U44,0),'Tax Assumptions'!$B$20),0)</f>
        <v>0</v>
      </c>
      <c r="W44" s="71">
        <f t="shared" si="5"/>
        <v>0</v>
      </c>
      <c r="X44" s="71">
        <f t="shared" si="6"/>
        <v>0</v>
      </c>
      <c r="Y44" s="71">
        <f t="shared" si="7"/>
        <v>200000</v>
      </c>
      <c r="Z44" s="71">
        <f t="shared" si="8"/>
        <v>200000</v>
      </c>
      <c r="AA44" s="71">
        <f t="shared" si="17"/>
        <v>200000</v>
      </c>
      <c r="AB44" s="71">
        <f t="shared" si="18"/>
        <v>0</v>
      </c>
      <c r="AC44" s="71">
        <f t="shared" si="19"/>
        <v>0</v>
      </c>
      <c r="AD44" s="71">
        <f t="shared" si="20"/>
        <v>0</v>
      </c>
      <c r="AE44" s="68">
        <f t="shared" si="21"/>
        <v>10129086.220273556</v>
      </c>
      <c r="AF44" s="68">
        <f t="shared" si="22"/>
        <v>820354.43861565599</v>
      </c>
      <c r="AG44" s="68">
        <f t="shared" si="23"/>
        <v>251128.90978030281</v>
      </c>
      <c r="AH44" s="68">
        <f t="shared" si="24"/>
        <v>0</v>
      </c>
      <c r="AI44" s="68">
        <f t="shared" si="9"/>
        <v>11200569.568669515</v>
      </c>
      <c r="AJ44" s="68">
        <f t="shared" si="25"/>
        <v>2117592.2400405239</v>
      </c>
      <c r="AK44" s="68">
        <f t="shared" si="26"/>
        <v>17494981.977824006</v>
      </c>
      <c r="AL44" s="73">
        <f t="shared" si="10"/>
        <v>0</v>
      </c>
      <c r="AM44" s="73">
        <f t="shared" si="11"/>
        <v>0</v>
      </c>
      <c r="AN44" s="203">
        <f t="shared" si="12"/>
        <v>26</v>
      </c>
      <c r="AO44" s="203">
        <f>'Model Inputs'!$B$22+AN44-1</f>
        <v>2051</v>
      </c>
      <c r="AP44" s="41" t="str">
        <f>IF(AND(AQ44="",AR44="",AX44="",BA44="",BC44=""),"",IF(AN44=1,(13-'Model Inputs'!$B$23)/12,1))</f>
        <v/>
      </c>
      <c r="AQ44" s="49" t="str">
        <f>IF(OR(AN44&lt;='Model Inputs'!$B$24,AR44&lt;&gt;"",AX44&lt;&gt;"",BA44&lt;&gt;"",BC44&lt;&gt;""),'Model Inputs'!$B$25*(1+'Model Inputs'!$B$31)^(AN44-1),"")</f>
        <v/>
      </c>
      <c r="AR44" s="49"/>
      <c r="AS44" s="49" t="str">
        <f t="shared" si="13"/>
        <v/>
      </c>
      <c r="AT44" s="49" t="str">
        <f t="shared" si="14"/>
        <v/>
      </c>
      <c r="AU44" s="49" t="str">
        <f>IF(AP44="","",IF(AN44=1,AP44*'Model Inputs'!$B$27,IF(AN44&lt;=MAX(2,'Model Inputs'!$B$30),'Model Inputs'!$B$27*(1+'Model Inputs'!$B$28)^(AN44-2),'Model Inputs'!$B$27*(1+'Model Inputs'!$B$28)^(MAX(2,'Model Inputs'!$B$30)-2)*(1+'Model Inputs'!$B$29)^(AN44-MAX(2,'Model Inputs'!$B$30)))))</f>
        <v/>
      </c>
      <c r="AV44" s="41" t="str">
        <f>IF(AU44="","",IF(AN44&lt;=2,0,'Model Inputs'!$B$32*SIN(2*PI()*(AN44-2+'Model Inputs'!$B$34)/MAX(1,'Model Inputs'!$B$33))))</f>
        <v/>
      </c>
      <c r="AW44" s="41"/>
      <c r="AX44" s="49"/>
      <c r="AY44" s="49" t="str">
        <f t="shared" si="30"/>
        <v/>
      </c>
      <c r="AZ44" s="49" t="str">
        <f>IF(AN44=1,'Model Inputs'!$B$26,"")</f>
        <v/>
      </c>
      <c r="BA44" s="49"/>
      <c r="BB44" s="49" t="str">
        <f t="shared" si="31"/>
        <v/>
      </c>
      <c r="BC44" s="49"/>
      <c r="BL44" s="49" t="str">
        <f>IF(C44="Working",LOOKUP(2,1/($BL$19:BL43&lt;&gt;""),$BL$19:BL43),"")</f>
        <v/>
      </c>
      <c r="BM44" s="49" t="str">
        <f>IF(C44="Working",LOOKUP(2,1/($BM$19:BM43&lt;&gt;""),$BM$19:BM43),"")</f>
        <v/>
      </c>
    </row>
    <row r="45" spans="1:65" x14ac:dyDescent="0.2">
      <c r="A45" s="65">
        <v>27</v>
      </c>
      <c r="B45" s="66" t="str">
        <f t="shared" si="0"/>
        <v/>
      </c>
      <c r="C45" s="65" t="str">
        <f t="shared" si="1"/>
        <v>Retired</v>
      </c>
      <c r="D45" s="66">
        <f>IF(OR(C45="Retired",B45=""),0,MIN(B45,'Tax Assumptions'!$B$19))</f>
        <v>0</v>
      </c>
      <c r="E45" s="49"/>
      <c r="F45" s="49"/>
      <c r="G45" s="66">
        <f>IF(C45="Working",MAX(B45-D45-E45-'Tax Assumptions'!$B$8,0),0)</f>
        <v>0</v>
      </c>
      <c r="H45" s="66">
        <f>IF(G45=0,0,LOOKUP(G45,'Tax Assumptions'!$F$9:$F$15,'Tax Assumptions'!$I$9:$I$15)+(G45-LOOKUP(G45,'Tax Assumptions'!$F$9:$F$15,'Tax Assumptions'!$F$9:$F$15))*LOOKUP(G45,'Tax Assumptions'!$F$9:$F$15,'Tax Assumptions'!$H$9:$H$15))</f>
        <v>0</v>
      </c>
      <c r="I45" s="66">
        <f>IF(C45="Working",MIN(MAX(B45-E45,0),'Tax Assumptions'!$B$11)*'Tax Assumptions'!$B$10,0)</f>
        <v>0</v>
      </c>
      <c r="J45" s="66">
        <f>IF(C45="Working",MAX(B45-E45,0)*'Tax Assumptions'!$B$12,0)</f>
        <v>0</v>
      </c>
      <c r="K45" s="66">
        <f>IF(C45="Working",MAX(MAX(B45-E45,0)-'Tax Assumptions'!$B$14,0)*'Tax Assumptions'!$B$13,0)</f>
        <v>0</v>
      </c>
      <c r="L45" s="67">
        <f>IF(C45="Working",MIN(B45*'Tax Assumptions'!$B$15,'Tax Assumptions'!$B$16),0)</f>
        <v>0</v>
      </c>
      <c r="M45" s="67">
        <f>IF(C45="Working",MIN(B45*'Tax Assumptions'!$B$17,'Tax Assumptions'!$B$18),0)</f>
        <v>0</v>
      </c>
      <c r="N45" s="66">
        <f>IF(C45="Working",MAX(B45-D45-'Tax Assumptions'!$B$9,0),0)</f>
        <v>0</v>
      </c>
      <c r="O45" s="66">
        <f>IF(N45=0,0,LOOKUP(N45,'Tax Assumptions'!$K$9:$K$17,'Tax Assumptions'!$N$9:$N$17)+(N45-LOOKUP(N45,'Tax Assumptions'!$K$9:$K$17,'Tax Assumptions'!$K$9:$K$17))*LOOKUP(N45,'Tax Assumptions'!$K$9:$K$17,'Tax Assumptions'!$M$9:$M$17))</f>
        <v>0</v>
      </c>
      <c r="P45" s="66">
        <f>IF(N45=0,0,LOOKUP(N45,'Tax Assumptions'!$P$9:$P$12,'Tax Assumptions'!$S$9:$S$12)+(N45-LOOKUP(N45,'Tax Assumptions'!$P$9:$P$12,'Tax Assumptions'!$P$9:$P$12))*LOOKUP(N45,'Tax Assumptions'!$P$9:$P$12,'Tax Assumptions'!$R$9:$R$12))</f>
        <v>0</v>
      </c>
      <c r="Q45" s="66">
        <f t="shared" si="2"/>
        <v>0</v>
      </c>
      <c r="R45" s="66">
        <f t="shared" si="3"/>
        <v>0</v>
      </c>
      <c r="S45" s="49" t="str">
        <f>IF(C45="Working",IF(BL45="","",BL45*(1+'Model Inputs'!$B$35)^(AN45-1)),"")</f>
        <v/>
      </c>
      <c r="T45" s="49" t="str">
        <f>IF(C45="Working",IF(BM45="","",BM45*(1+'Model Inputs'!$B$36)^(AN45-1)),"")</f>
        <v/>
      </c>
      <c r="U45" s="66">
        <f t="shared" si="4"/>
        <v>0</v>
      </c>
      <c r="V45" s="66">
        <f>IF(C45="Working",MIN(MAX(U45,0),'Tax Assumptions'!$B$20),0)</f>
        <v>0</v>
      </c>
      <c r="W45" s="66">
        <f t="shared" si="5"/>
        <v>0</v>
      </c>
      <c r="X45" s="66">
        <f t="shared" si="6"/>
        <v>0</v>
      </c>
      <c r="Y45" s="66">
        <f t="shared" si="7"/>
        <v>200000</v>
      </c>
      <c r="Z45" s="66">
        <f t="shared" si="8"/>
        <v>200000</v>
      </c>
      <c r="AA45" s="66">
        <f t="shared" si="17"/>
        <v>200000</v>
      </c>
      <c r="AB45" s="66">
        <f t="shared" si="18"/>
        <v>0</v>
      </c>
      <c r="AC45" s="66">
        <f t="shared" si="19"/>
        <v>0</v>
      </c>
      <c r="AD45" s="66">
        <f t="shared" si="20"/>
        <v>0</v>
      </c>
      <c r="AE45" s="68">
        <f t="shared" si="21"/>
        <v>10536831.39348997</v>
      </c>
      <c r="AF45" s="68">
        <f t="shared" si="22"/>
        <v>869575.70493259537</v>
      </c>
      <c r="AG45" s="68">
        <f t="shared" si="23"/>
        <v>266196.64436712099</v>
      </c>
      <c r="AH45" s="68">
        <f t="shared" si="24"/>
        <v>0</v>
      </c>
      <c r="AI45" s="68">
        <f t="shared" si="9"/>
        <v>11672603.742789686</v>
      </c>
      <c r="AJ45" s="68">
        <f t="shared" si="25"/>
        <v>1917592.2400405239</v>
      </c>
      <c r="AK45" s="68">
        <f t="shared" si="26"/>
        <v>18694580.536049929</v>
      </c>
      <c r="AL45" s="69">
        <f t="shared" si="10"/>
        <v>0</v>
      </c>
      <c r="AM45" s="69">
        <f t="shared" si="11"/>
        <v>0</v>
      </c>
      <c r="AN45" s="203">
        <f t="shared" si="12"/>
        <v>27</v>
      </c>
      <c r="AO45" s="203">
        <f>'Model Inputs'!$B$22+AN45-1</f>
        <v>2052</v>
      </c>
      <c r="AP45" s="41" t="str">
        <f>IF(AND(AQ45="",AR45="",AX45="",BA45="",BC45=""),"",IF(AN45=1,(13-'Model Inputs'!$B$23)/12,1))</f>
        <v/>
      </c>
      <c r="AQ45" s="49" t="str">
        <f>IF(OR(AN45&lt;='Model Inputs'!$B$24,AR45&lt;&gt;"",AX45&lt;&gt;"",BA45&lt;&gt;"",BC45&lt;&gt;""),'Model Inputs'!$B$25*(1+'Model Inputs'!$B$31)^(AN45-1),"")</f>
        <v/>
      </c>
      <c r="AR45" s="49"/>
      <c r="AS45" s="49" t="str">
        <f t="shared" si="13"/>
        <v/>
      </c>
      <c r="AT45" s="49" t="str">
        <f t="shared" si="14"/>
        <v/>
      </c>
      <c r="AU45" s="49" t="str">
        <f>IF(AP45="","",IF(AN45=1,AP45*'Model Inputs'!$B$27,IF(AN45&lt;=MAX(2,'Model Inputs'!$B$30),'Model Inputs'!$B$27*(1+'Model Inputs'!$B$28)^(AN45-2),'Model Inputs'!$B$27*(1+'Model Inputs'!$B$28)^(MAX(2,'Model Inputs'!$B$30)-2)*(1+'Model Inputs'!$B$29)^(AN45-MAX(2,'Model Inputs'!$B$30)))))</f>
        <v/>
      </c>
      <c r="AV45" s="41" t="str">
        <f>IF(AU45="","",IF(AN45&lt;=2,0,'Model Inputs'!$B$32*SIN(2*PI()*(AN45-2+'Model Inputs'!$B$34)/MAX(1,'Model Inputs'!$B$33))))</f>
        <v/>
      </c>
      <c r="AW45" s="41"/>
      <c r="AX45" s="49"/>
      <c r="AY45" s="49" t="str">
        <f t="shared" si="30"/>
        <v/>
      </c>
      <c r="AZ45" s="49" t="str">
        <f>IF(AN45=1,'Model Inputs'!$B$26,"")</f>
        <v/>
      </c>
      <c r="BA45" s="49"/>
      <c r="BB45" s="49" t="str">
        <f t="shared" si="31"/>
        <v/>
      </c>
      <c r="BC45" s="49"/>
      <c r="BL45" s="49" t="str">
        <f>IF(C45="Working",LOOKUP(2,1/($BL$19:BL44&lt;&gt;""),$BL$19:BL44),"")</f>
        <v/>
      </c>
      <c r="BM45" s="49" t="str">
        <f>IF(C45="Working",LOOKUP(2,1/($BM$19:BM44&lt;&gt;""),$BM$19:BM44),"")</f>
        <v/>
      </c>
    </row>
    <row r="46" spans="1:65" x14ac:dyDescent="0.2">
      <c r="A46" s="70">
        <v>28</v>
      </c>
      <c r="B46" s="71" t="str">
        <f t="shared" si="0"/>
        <v/>
      </c>
      <c r="C46" s="70" t="str">
        <f t="shared" si="1"/>
        <v>Retired</v>
      </c>
      <c r="D46" s="71">
        <f>IF(OR(C46="Retired",B46=""),0,MIN(B46,'Tax Assumptions'!$B$19))</f>
        <v>0</v>
      </c>
      <c r="E46" s="49"/>
      <c r="F46" s="49"/>
      <c r="G46" s="71">
        <f>IF(C46="Working",MAX(B46-D46-E46-'Tax Assumptions'!$B$8,0),0)</f>
        <v>0</v>
      </c>
      <c r="H46" s="71">
        <f>IF(G46=0,0,LOOKUP(G46,'Tax Assumptions'!$F$9:$F$15,'Tax Assumptions'!$I$9:$I$15)+(G46-LOOKUP(G46,'Tax Assumptions'!$F$9:$F$15,'Tax Assumptions'!$F$9:$F$15))*LOOKUP(G46,'Tax Assumptions'!$F$9:$F$15,'Tax Assumptions'!$H$9:$H$15))</f>
        <v>0</v>
      </c>
      <c r="I46" s="71">
        <f>IF(C46="Working",MIN(MAX(B46-E46,0),'Tax Assumptions'!$B$11)*'Tax Assumptions'!$B$10,0)</f>
        <v>0</v>
      </c>
      <c r="J46" s="71">
        <f>IF(C46="Working",MAX(B46-E46,0)*'Tax Assumptions'!$B$12,0)</f>
        <v>0</v>
      </c>
      <c r="K46" s="71">
        <f>IF(C46="Working",MAX(MAX(B46-E46,0)-'Tax Assumptions'!$B$14,0)*'Tax Assumptions'!$B$13,0)</f>
        <v>0</v>
      </c>
      <c r="L46" s="72">
        <f>IF(C46="Working",MIN(B46*'Tax Assumptions'!$B$15,'Tax Assumptions'!$B$16),0)</f>
        <v>0</v>
      </c>
      <c r="M46" s="72">
        <f>IF(C46="Working",MIN(B46*'Tax Assumptions'!$B$17,'Tax Assumptions'!$B$18),0)</f>
        <v>0</v>
      </c>
      <c r="N46" s="71">
        <f>IF(C46="Working",MAX(B46-D46-'Tax Assumptions'!$B$9,0),0)</f>
        <v>0</v>
      </c>
      <c r="O46" s="71">
        <f>IF(N46=0,0,LOOKUP(N46,'Tax Assumptions'!$K$9:$K$17,'Tax Assumptions'!$N$9:$N$17)+(N46-LOOKUP(N46,'Tax Assumptions'!$K$9:$K$17,'Tax Assumptions'!$K$9:$K$17))*LOOKUP(N46,'Tax Assumptions'!$K$9:$K$17,'Tax Assumptions'!$M$9:$M$17))</f>
        <v>0</v>
      </c>
      <c r="P46" s="71">
        <f>IF(N46=0,0,LOOKUP(N46,'Tax Assumptions'!$P$9:$P$12,'Tax Assumptions'!$S$9:$S$12)+(N46-LOOKUP(N46,'Tax Assumptions'!$P$9:$P$12,'Tax Assumptions'!$P$9:$P$12))*LOOKUP(N46,'Tax Assumptions'!$P$9:$P$12,'Tax Assumptions'!$R$9:$R$12))</f>
        <v>0</v>
      </c>
      <c r="Q46" s="71">
        <f t="shared" si="2"/>
        <v>0</v>
      </c>
      <c r="R46" s="71">
        <f t="shared" si="3"/>
        <v>0</v>
      </c>
      <c r="S46" s="49" t="str">
        <f>IF(C46="Working",IF(BL46="","",BL46*(1+'Model Inputs'!$B$35)^(AN46-1)),"")</f>
        <v/>
      </c>
      <c r="T46" s="49" t="str">
        <f>IF(C46="Working",IF(BM46="","",BM46*(1+'Model Inputs'!$B$36)^(AN46-1)),"")</f>
        <v/>
      </c>
      <c r="U46" s="71">
        <f t="shared" si="4"/>
        <v>0</v>
      </c>
      <c r="V46" s="71">
        <f>IF(C46="Working",MIN(MAX(U46,0),'Tax Assumptions'!$B$20),0)</f>
        <v>0</v>
      </c>
      <c r="W46" s="71">
        <f t="shared" si="5"/>
        <v>0</v>
      </c>
      <c r="X46" s="71">
        <f t="shared" si="6"/>
        <v>0</v>
      </c>
      <c r="Y46" s="71">
        <f t="shared" si="7"/>
        <v>200000</v>
      </c>
      <c r="Z46" s="71">
        <f t="shared" si="8"/>
        <v>200000</v>
      </c>
      <c r="AA46" s="71">
        <f t="shared" si="17"/>
        <v>200000</v>
      </c>
      <c r="AB46" s="71">
        <f t="shared" si="18"/>
        <v>0</v>
      </c>
      <c r="AC46" s="71">
        <f t="shared" si="19"/>
        <v>0</v>
      </c>
      <c r="AD46" s="71">
        <f t="shared" si="20"/>
        <v>0</v>
      </c>
      <c r="AE46" s="68">
        <f t="shared" si="21"/>
        <v>10969041.277099369</v>
      </c>
      <c r="AF46" s="68">
        <f t="shared" si="22"/>
        <v>921750.24722855119</v>
      </c>
      <c r="AG46" s="68">
        <f t="shared" si="23"/>
        <v>282168.44302914827</v>
      </c>
      <c r="AH46" s="68">
        <f t="shared" si="24"/>
        <v>0</v>
      </c>
      <c r="AI46" s="68">
        <f t="shared" si="9"/>
        <v>12172959.967357069</v>
      </c>
      <c r="AJ46" s="68">
        <f t="shared" si="25"/>
        <v>1717592.2400405239</v>
      </c>
      <c r="AK46" s="68">
        <f t="shared" si="26"/>
        <v>19990146.978933923</v>
      </c>
      <c r="AL46" s="73">
        <f t="shared" si="10"/>
        <v>0</v>
      </c>
      <c r="AM46" s="73">
        <f t="shared" si="11"/>
        <v>0</v>
      </c>
      <c r="AN46" s="203">
        <f t="shared" si="12"/>
        <v>28</v>
      </c>
      <c r="AO46" s="203">
        <f>'Model Inputs'!$B$22+AN46-1</f>
        <v>2053</v>
      </c>
      <c r="AP46" s="41" t="str">
        <f>IF(AND(AQ46="",AR46="",AX46="",BA46="",BC46=""),"",IF(AN46=1,(13-'Model Inputs'!$B$23)/12,1))</f>
        <v/>
      </c>
      <c r="AQ46" s="49" t="str">
        <f>IF(OR(AN46&lt;='Model Inputs'!$B$24,AR46&lt;&gt;"",AX46&lt;&gt;"",BA46&lt;&gt;"",BC46&lt;&gt;""),'Model Inputs'!$B$25*(1+'Model Inputs'!$B$31)^(AN46-1),"")</f>
        <v/>
      </c>
      <c r="AR46" s="49"/>
      <c r="AS46" s="49" t="str">
        <f t="shared" si="13"/>
        <v/>
      </c>
      <c r="AT46" s="49" t="str">
        <f t="shared" si="14"/>
        <v/>
      </c>
      <c r="AU46" s="49" t="str">
        <f>IF(AP46="","",IF(AN46=1,AP46*'Model Inputs'!$B$27,IF(AN46&lt;=MAX(2,'Model Inputs'!$B$30),'Model Inputs'!$B$27*(1+'Model Inputs'!$B$28)^(AN46-2),'Model Inputs'!$B$27*(1+'Model Inputs'!$B$28)^(MAX(2,'Model Inputs'!$B$30)-2)*(1+'Model Inputs'!$B$29)^(AN46-MAX(2,'Model Inputs'!$B$30)))))</f>
        <v/>
      </c>
      <c r="AV46" s="41" t="str">
        <f>IF(AU46="","",IF(AN46&lt;=2,0,'Model Inputs'!$B$32*SIN(2*PI()*(AN46-2+'Model Inputs'!$B$34)/MAX(1,'Model Inputs'!$B$33))))</f>
        <v/>
      </c>
      <c r="AW46" s="41"/>
      <c r="AX46" s="49"/>
      <c r="AY46" s="49" t="str">
        <f t="shared" si="30"/>
        <v/>
      </c>
      <c r="AZ46" s="49" t="str">
        <f>IF(AN46=1,'Model Inputs'!$B$26,"")</f>
        <v/>
      </c>
      <c r="BA46" s="49"/>
      <c r="BB46" s="49" t="str">
        <f t="shared" si="31"/>
        <v/>
      </c>
      <c r="BC46" s="49"/>
      <c r="BL46" s="49" t="str">
        <f>IF(C46="Working",LOOKUP(2,1/($BL$19:BL45&lt;&gt;""),$BL$19:BL45),"")</f>
        <v/>
      </c>
      <c r="BM46" s="49" t="str">
        <f>IF(C46="Working",LOOKUP(2,1/($BM$19:BM45&lt;&gt;""),$BM$19:BM45),"")</f>
        <v/>
      </c>
    </row>
    <row r="47" spans="1:65" x14ac:dyDescent="0.2">
      <c r="A47" s="65">
        <v>29</v>
      </c>
      <c r="B47" s="66" t="str">
        <f t="shared" si="0"/>
        <v/>
      </c>
      <c r="C47" s="65" t="str">
        <f t="shared" si="1"/>
        <v>Retired</v>
      </c>
      <c r="D47" s="66">
        <f>IF(OR(C47="Retired",B47=""),0,MIN(B47,'Tax Assumptions'!$B$19))</f>
        <v>0</v>
      </c>
      <c r="E47" s="49"/>
      <c r="F47" s="49"/>
      <c r="G47" s="66">
        <f>IF(C47="Working",MAX(B47-D47-E47-'Tax Assumptions'!$B$8,0),0)</f>
        <v>0</v>
      </c>
      <c r="H47" s="66">
        <f>IF(G47=0,0,LOOKUP(G47,'Tax Assumptions'!$F$9:$F$15,'Tax Assumptions'!$I$9:$I$15)+(G47-LOOKUP(G47,'Tax Assumptions'!$F$9:$F$15,'Tax Assumptions'!$F$9:$F$15))*LOOKUP(G47,'Tax Assumptions'!$F$9:$F$15,'Tax Assumptions'!$H$9:$H$15))</f>
        <v>0</v>
      </c>
      <c r="I47" s="66">
        <f>IF(C47="Working",MIN(MAX(B47-E47,0),'Tax Assumptions'!$B$11)*'Tax Assumptions'!$B$10,0)</f>
        <v>0</v>
      </c>
      <c r="J47" s="66">
        <f>IF(C47="Working",MAX(B47-E47,0)*'Tax Assumptions'!$B$12,0)</f>
        <v>0</v>
      </c>
      <c r="K47" s="66">
        <f>IF(C47="Working",MAX(MAX(B47-E47,0)-'Tax Assumptions'!$B$14,0)*'Tax Assumptions'!$B$13,0)</f>
        <v>0</v>
      </c>
      <c r="L47" s="67">
        <f>IF(C47="Working",MIN(B47*'Tax Assumptions'!$B$15,'Tax Assumptions'!$B$16),0)</f>
        <v>0</v>
      </c>
      <c r="M47" s="67">
        <f>IF(C47="Working",MIN(B47*'Tax Assumptions'!$B$17,'Tax Assumptions'!$B$18),0)</f>
        <v>0</v>
      </c>
      <c r="N47" s="66">
        <f>IF(C47="Working",MAX(B47-D47-'Tax Assumptions'!$B$9,0),0)</f>
        <v>0</v>
      </c>
      <c r="O47" s="66">
        <f>IF(N47=0,0,LOOKUP(N47,'Tax Assumptions'!$K$9:$K$17,'Tax Assumptions'!$N$9:$N$17)+(N47-LOOKUP(N47,'Tax Assumptions'!$K$9:$K$17,'Tax Assumptions'!$K$9:$K$17))*LOOKUP(N47,'Tax Assumptions'!$K$9:$K$17,'Tax Assumptions'!$M$9:$M$17))</f>
        <v>0</v>
      </c>
      <c r="P47" s="66">
        <f>IF(N47=0,0,LOOKUP(N47,'Tax Assumptions'!$P$9:$P$12,'Tax Assumptions'!$S$9:$S$12)+(N47-LOOKUP(N47,'Tax Assumptions'!$P$9:$P$12,'Tax Assumptions'!$P$9:$P$12))*LOOKUP(N47,'Tax Assumptions'!$P$9:$P$12,'Tax Assumptions'!$R$9:$R$12))</f>
        <v>0</v>
      </c>
      <c r="Q47" s="66">
        <f t="shared" si="2"/>
        <v>0</v>
      </c>
      <c r="R47" s="66">
        <f t="shared" si="3"/>
        <v>0</v>
      </c>
      <c r="S47" s="49" t="str">
        <f>IF(C47="Working",IF(BL47="","",BL47*(1+'Model Inputs'!$B$35)^(AN47-1)),"")</f>
        <v/>
      </c>
      <c r="T47" s="49" t="str">
        <f>IF(C47="Working",IF(BM47="","",BM47*(1+'Model Inputs'!$B$36)^(AN47-1)),"")</f>
        <v/>
      </c>
      <c r="U47" s="66">
        <f t="shared" si="4"/>
        <v>0</v>
      </c>
      <c r="V47" s="66">
        <f>IF(C47="Working",MIN(MAX(U47,0),'Tax Assumptions'!$B$20),0)</f>
        <v>0</v>
      </c>
      <c r="W47" s="66">
        <f t="shared" si="5"/>
        <v>0</v>
      </c>
      <c r="X47" s="66">
        <f t="shared" si="6"/>
        <v>0</v>
      </c>
      <c r="Y47" s="66">
        <f t="shared" si="7"/>
        <v>200000</v>
      </c>
      <c r="Z47" s="66">
        <f t="shared" si="8"/>
        <v>200000</v>
      </c>
      <c r="AA47" s="66">
        <f t="shared" si="17"/>
        <v>200000</v>
      </c>
      <c r="AB47" s="66">
        <f t="shared" si="18"/>
        <v>0</v>
      </c>
      <c r="AC47" s="66">
        <f t="shared" si="19"/>
        <v>0</v>
      </c>
      <c r="AD47" s="66">
        <f t="shared" si="20"/>
        <v>0</v>
      </c>
      <c r="AE47" s="68">
        <f t="shared" si="21"/>
        <v>11427183.753725331</v>
      </c>
      <c r="AF47" s="68">
        <f t="shared" si="22"/>
        <v>977055.26206226426</v>
      </c>
      <c r="AG47" s="68">
        <f t="shared" si="23"/>
        <v>299098.5496108972</v>
      </c>
      <c r="AH47" s="68">
        <f t="shared" si="24"/>
        <v>0</v>
      </c>
      <c r="AI47" s="68">
        <f t="shared" si="9"/>
        <v>12703337.565398494</v>
      </c>
      <c r="AJ47" s="68">
        <f t="shared" si="25"/>
        <v>1517592.2400405239</v>
      </c>
      <c r="AK47" s="68">
        <f t="shared" si="26"/>
        <v>21389358.737248637</v>
      </c>
      <c r="AL47" s="69">
        <f t="shared" si="10"/>
        <v>0</v>
      </c>
      <c r="AM47" s="69">
        <f t="shared" si="11"/>
        <v>0</v>
      </c>
      <c r="AN47" s="203">
        <f t="shared" si="12"/>
        <v>29</v>
      </c>
      <c r="AO47" s="203">
        <f>'Model Inputs'!$B$22+AN47-1</f>
        <v>2054</v>
      </c>
      <c r="AP47" s="41" t="str">
        <f>IF(AND(AQ47="",AR47="",AX47="",BA47="",BC47=""),"",IF(AN47=1,(13-'Model Inputs'!$B$23)/12,1))</f>
        <v/>
      </c>
      <c r="AQ47" s="49" t="str">
        <f>IF(OR(AN47&lt;='Model Inputs'!$B$24,AR47&lt;&gt;"",AX47&lt;&gt;"",BA47&lt;&gt;"",BC47&lt;&gt;""),'Model Inputs'!$B$25*(1+'Model Inputs'!$B$31)^(AN47-1),"")</f>
        <v/>
      </c>
      <c r="AR47" s="49"/>
      <c r="AS47" s="49" t="str">
        <f t="shared" si="13"/>
        <v/>
      </c>
      <c r="AT47" s="49" t="str">
        <f t="shared" si="14"/>
        <v/>
      </c>
      <c r="AU47" s="49" t="str">
        <f>IF(AP47="","",IF(AN47=1,AP47*'Model Inputs'!$B$27,IF(AN47&lt;=MAX(2,'Model Inputs'!$B$30),'Model Inputs'!$B$27*(1+'Model Inputs'!$B$28)^(AN47-2),'Model Inputs'!$B$27*(1+'Model Inputs'!$B$28)^(MAX(2,'Model Inputs'!$B$30)-2)*(1+'Model Inputs'!$B$29)^(AN47-MAX(2,'Model Inputs'!$B$30)))))</f>
        <v/>
      </c>
      <c r="AV47" s="41" t="str">
        <f>IF(AU47="","",IF(AN47&lt;=2,0,'Model Inputs'!$B$32*SIN(2*PI()*(AN47-2+'Model Inputs'!$B$34)/MAX(1,'Model Inputs'!$B$33))))</f>
        <v/>
      </c>
      <c r="AW47" s="41"/>
      <c r="AX47" s="49"/>
      <c r="AY47" s="49" t="str">
        <f t="shared" si="30"/>
        <v/>
      </c>
      <c r="AZ47" s="49" t="str">
        <f>IF(AN47=1,'Model Inputs'!$B$26,"")</f>
        <v/>
      </c>
      <c r="BA47" s="49"/>
      <c r="BB47" s="49" t="str">
        <f t="shared" si="31"/>
        <v/>
      </c>
      <c r="BC47" s="49"/>
      <c r="BL47" s="49" t="str">
        <f>IF(C47="Working",LOOKUP(2,1/($BL$19:BL46&lt;&gt;""),$BL$19:BL46),"")</f>
        <v/>
      </c>
      <c r="BM47" s="49" t="str">
        <f>IF(C47="Working",LOOKUP(2,1/($BM$19:BM46&lt;&gt;""),$BM$19:BM46),"")</f>
        <v/>
      </c>
    </row>
    <row r="48" spans="1:65" x14ac:dyDescent="0.2">
      <c r="A48" s="70">
        <v>30</v>
      </c>
      <c r="B48" s="71" t="str">
        <f t="shared" si="0"/>
        <v/>
      </c>
      <c r="C48" s="70" t="str">
        <f t="shared" si="1"/>
        <v>Retired</v>
      </c>
      <c r="D48" s="71">
        <f>IF(OR(C48="Retired",B48=""),0,MIN(B48,'Tax Assumptions'!$B$19))</f>
        <v>0</v>
      </c>
      <c r="E48" s="49"/>
      <c r="F48" s="49"/>
      <c r="G48" s="71">
        <f>IF(C48="Working",MAX(B48-D48-E48-'Tax Assumptions'!$B$8,0),0)</f>
        <v>0</v>
      </c>
      <c r="H48" s="71">
        <f>IF(G48=0,0,LOOKUP(G48,'Tax Assumptions'!$F$9:$F$15,'Tax Assumptions'!$I$9:$I$15)+(G48-LOOKUP(G48,'Tax Assumptions'!$F$9:$F$15,'Tax Assumptions'!$F$9:$F$15))*LOOKUP(G48,'Tax Assumptions'!$F$9:$F$15,'Tax Assumptions'!$H$9:$H$15))</f>
        <v>0</v>
      </c>
      <c r="I48" s="71">
        <f>IF(C48="Working",MIN(MAX(B48-E48,0),'Tax Assumptions'!$B$11)*'Tax Assumptions'!$B$10,0)</f>
        <v>0</v>
      </c>
      <c r="J48" s="71">
        <f>IF(C48="Working",MAX(B48-E48,0)*'Tax Assumptions'!$B$12,0)</f>
        <v>0</v>
      </c>
      <c r="K48" s="71">
        <f>IF(C48="Working",MAX(MAX(B48-E48,0)-'Tax Assumptions'!$B$14,0)*'Tax Assumptions'!$B$13,0)</f>
        <v>0</v>
      </c>
      <c r="L48" s="72">
        <f>IF(C48="Working",MIN(B48*'Tax Assumptions'!$B$15,'Tax Assumptions'!$B$16),0)</f>
        <v>0</v>
      </c>
      <c r="M48" s="72">
        <f>IF(C48="Working",MIN(B48*'Tax Assumptions'!$B$17,'Tax Assumptions'!$B$18),0)</f>
        <v>0</v>
      </c>
      <c r="N48" s="71">
        <f>IF(C48="Working",MAX(B48-D48-'Tax Assumptions'!$B$9,0),0)</f>
        <v>0</v>
      </c>
      <c r="O48" s="71">
        <f>IF(N48=0,0,LOOKUP(N48,'Tax Assumptions'!$K$9:$K$17,'Tax Assumptions'!$N$9:$N$17)+(N48-LOOKUP(N48,'Tax Assumptions'!$K$9:$K$17,'Tax Assumptions'!$K$9:$K$17))*LOOKUP(N48,'Tax Assumptions'!$K$9:$K$17,'Tax Assumptions'!$M$9:$M$17))</f>
        <v>0</v>
      </c>
      <c r="P48" s="71">
        <f>IF(N48=0,0,LOOKUP(N48,'Tax Assumptions'!$P$9:$P$12,'Tax Assumptions'!$S$9:$S$12)+(N48-LOOKUP(N48,'Tax Assumptions'!$P$9:$P$12,'Tax Assumptions'!$P$9:$P$12))*LOOKUP(N48,'Tax Assumptions'!$P$9:$P$12,'Tax Assumptions'!$R$9:$R$12))</f>
        <v>0</v>
      </c>
      <c r="Q48" s="71">
        <f t="shared" si="2"/>
        <v>0</v>
      </c>
      <c r="R48" s="71">
        <f t="shared" si="3"/>
        <v>0</v>
      </c>
      <c r="S48" s="49" t="str">
        <f>IF(C48="Working",IF(BL48="","",BL48*(1+'Model Inputs'!$B$35)^(AN48-1)),"")</f>
        <v/>
      </c>
      <c r="T48" s="49" t="str">
        <f>IF(C48="Working",IF(BM48="","",BM48*(1+'Model Inputs'!$B$36)^(AN48-1)),"")</f>
        <v/>
      </c>
      <c r="U48" s="71">
        <f t="shared" si="4"/>
        <v>0</v>
      </c>
      <c r="V48" s="71">
        <f>IF(C48="Working",MIN(MAX(U48,0),'Tax Assumptions'!$B$20),0)</f>
        <v>0</v>
      </c>
      <c r="W48" s="71">
        <f t="shared" si="5"/>
        <v>0</v>
      </c>
      <c r="X48" s="71">
        <f t="shared" si="6"/>
        <v>0</v>
      </c>
      <c r="Y48" s="71">
        <f t="shared" si="7"/>
        <v>200000</v>
      </c>
      <c r="Z48" s="71">
        <f t="shared" si="8"/>
        <v>200000</v>
      </c>
      <c r="AA48" s="71">
        <f t="shared" si="17"/>
        <v>200000</v>
      </c>
      <c r="AB48" s="71">
        <f t="shared" si="18"/>
        <v>0</v>
      </c>
      <c r="AC48" s="71">
        <f t="shared" si="19"/>
        <v>0</v>
      </c>
      <c r="AD48" s="71">
        <f t="shared" si="20"/>
        <v>0</v>
      </c>
      <c r="AE48" s="68">
        <f t="shared" si="21"/>
        <v>11912814.778948851</v>
      </c>
      <c r="AF48" s="68">
        <f t="shared" si="22"/>
        <v>1035678.5777860002</v>
      </c>
      <c r="AG48" s="68">
        <f t="shared" si="23"/>
        <v>317044.46258755104</v>
      </c>
      <c r="AH48" s="68">
        <f t="shared" si="24"/>
        <v>0</v>
      </c>
      <c r="AI48" s="68">
        <f t="shared" si="9"/>
        <v>13265537.819322402</v>
      </c>
      <c r="AJ48" s="68">
        <f t="shared" si="25"/>
        <v>1317592.2400405239</v>
      </c>
      <c r="AK48" s="68">
        <f t="shared" si="26"/>
        <v>22900507.436228529</v>
      </c>
      <c r="AL48" s="73">
        <f t="shared" si="10"/>
        <v>0</v>
      </c>
      <c r="AM48" s="73">
        <f t="shared" si="11"/>
        <v>0</v>
      </c>
      <c r="AN48" s="203">
        <f t="shared" si="12"/>
        <v>30</v>
      </c>
      <c r="AO48" s="203">
        <f>'Model Inputs'!$B$22+AN48-1</f>
        <v>2055</v>
      </c>
      <c r="AP48" s="41" t="str">
        <f>IF(AND(AQ48="",AR48="",AX48="",BA48="",BC48=""),"",IF(AN48=1,(13-'Model Inputs'!$B$23)/12,1))</f>
        <v/>
      </c>
      <c r="AQ48" s="49" t="str">
        <f>IF(OR(AN48&lt;='Model Inputs'!$B$24,AR48&lt;&gt;"",AX48&lt;&gt;"",BA48&lt;&gt;"",BC48&lt;&gt;""),'Model Inputs'!$B$25*(1+'Model Inputs'!$B$31)^(AN48-1),"")</f>
        <v/>
      </c>
      <c r="AR48" s="49"/>
      <c r="AS48" s="49" t="str">
        <f t="shared" si="13"/>
        <v/>
      </c>
      <c r="AT48" s="49" t="str">
        <f t="shared" si="14"/>
        <v/>
      </c>
      <c r="AU48" s="49" t="str">
        <f>IF(AP48="","",IF(AN48=1,AP48*'Model Inputs'!$B$27,IF(AN48&lt;=MAX(2,'Model Inputs'!$B$30),'Model Inputs'!$B$27*(1+'Model Inputs'!$B$28)^(AN48-2),'Model Inputs'!$B$27*(1+'Model Inputs'!$B$28)^(MAX(2,'Model Inputs'!$B$30)-2)*(1+'Model Inputs'!$B$29)^(AN48-MAX(2,'Model Inputs'!$B$30)))))</f>
        <v/>
      </c>
      <c r="AV48" s="41" t="str">
        <f>IF(AU48="","",IF(AN48&lt;=2,0,'Model Inputs'!$B$32*SIN(2*PI()*(AN48-2+'Model Inputs'!$B$34)/MAX(1,'Model Inputs'!$B$33))))</f>
        <v/>
      </c>
      <c r="AW48" s="41"/>
      <c r="AX48" s="49"/>
      <c r="AY48" s="49" t="str">
        <f t="shared" si="30"/>
        <v/>
      </c>
      <c r="AZ48" s="49" t="str">
        <f>IF(AN48=1,'Model Inputs'!$B$26,"")</f>
        <v/>
      </c>
      <c r="BA48" s="49"/>
      <c r="BB48" s="49" t="str">
        <f t="shared" si="31"/>
        <v/>
      </c>
      <c r="BC48" s="49"/>
      <c r="BL48" s="49" t="str">
        <f>IF(C48="Working",LOOKUP(2,1/($BL$19:BL47&lt;&gt;""),$BL$19:BL47),"")</f>
        <v/>
      </c>
      <c r="BM48" s="49" t="str">
        <f>IF(C48="Working",LOOKUP(2,1/($BM$19:BM47&lt;&gt;""),$BM$19:BM47),"")</f>
        <v/>
      </c>
    </row>
    <row r="49" spans="1:65" x14ac:dyDescent="0.2">
      <c r="A49" s="65">
        <v>31</v>
      </c>
      <c r="B49" s="66" t="str">
        <f t="shared" si="0"/>
        <v/>
      </c>
      <c r="C49" s="65" t="str">
        <f t="shared" si="1"/>
        <v>Retired</v>
      </c>
      <c r="D49" s="66">
        <f>IF(OR(C49="Retired",B49=""),0,MIN(B49,'Tax Assumptions'!$B$19))</f>
        <v>0</v>
      </c>
      <c r="E49" s="49"/>
      <c r="F49" s="49"/>
      <c r="G49" s="66">
        <f>IF(C49="Working",MAX(B49-D49-E49-'Tax Assumptions'!$B$8,0),0)</f>
        <v>0</v>
      </c>
      <c r="H49" s="66">
        <f>IF(G49=0,0,LOOKUP(G49,'Tax Assumptions'!$F$9:$F$15,'Tax Assumptions'!$I$9:$I$15)+(G49-LOOKUP(G49,'Tax Assumptions'!$F$9:$F$15,'Tax Assumptions'!$F$9:$F$15))*LOOKUP(G49,'Tax Assumptions'!$F$9:$F$15,'Tax Assumptions'!$H$9:$H$15))</f>
        <v>0</v>
      </c>
      <c r="I49" s="66">
        <f>IF(C49="Working",MIN(MAX(B49-E49,0),'Tax Assumptions'!$B$11)*'Tax Assumptions'!$B$10,0)</f>
        <v>0</v>
      </c>
      <c r="J49" s="66">
        <f>IF(C49="Working",MAX(B49-E49,0)*'Tax Assumptions'!$B$12,0)</f>
        <v>0</v>
      </c>
      <c r="K49" s="66">
        <f>IF(C49="Working",MAX(MAX(B49-E49,0)-'Tax Assumptions'!$B$14,0)*'Tax Assumptions'!$B$13,0)</f>
        <v>0</v>
      </c>
      <c r="L49" s="67">
        <f>IF(C49="Working",MIN(B49*'Tax Assumptions'!$B$15,'Tax Assumptions'!$B$16),0)</f>
        <v>0</v>
      </c>
      <c r="M49" s="67">
        <f>IF(C49="Working",MIN(B49*'Tax Assumptions'!$B$17,'Tax Assumptions'!$B$18),0)</f>
        <v>0</v>
      </c>
      <c r="N49" s="66">
        <f>IF(C49="Working",MAX(B49-D49-'Tax Assumptions'!$B$9,0),0)</f>
        <v>0</v>
      </c>
      <c r="O49" s="66">
        <f>IF(N49=0,0,LOOKUP(N49,'Tax Assumptions'!$K$9:$K$17,'Tax Assumptions'!$N$9:$N$17)+(N49-LOOKUP(N49,'Tax Assumptions'!$K$9:$K$17,'Tax Assumptions'!$K$9:$K$17))*LOOKUP(N49,'Tax Assumptions'!$K$9:$K$17,'Tax Assumptions'!$M$9:$M$17))</f>
        <v>0</v>
      </c>
      <c r="P49" s="66">
        <f>IF(N49=0,0,LOOKUP(N49,'Tax Assumptions'!$P$9:$P$12,'Tax Assumptions'!$S$9:$S$12)+(N49-LOOKUP(N49,'Tax Assumptions'!$P$9:$P$12,'Tax Assumptions'!$P$9:$P$12))*LOOKUP(N49,'Tax Assumptions'!$P$9:$P$12,'Tax Assumptions'!$R$9:$R$12))</f>
        <v>0</v>
      </c>
      <c r="Q49" s="66">
        <f t="shared" si="2"/>
        <v>0</v>
      </c>
      <c r="R49" s="66">
        <f t="shared" si="3"/>
        <v>0</v>
      </c>
      <c r="S49" s="49" t="str">
        <f>IF(C49="Working",IF(BL49="","",BL49*(1+'Model Inputs'!$B$35)^(AN49-1)),"")</f>
        <v/>
      </c>
      <c r="T49" s="49" t="str">
        <f>IF(C49="Working",IF(BM49="","",BM49*(1+'Model Inputs'!$B$36)^(AN49-1)),"")</f>
        <v/>
      </c>
      <c r="U49" s="66">
        <f t="shared" si="4"/>
        <v>0</v>
      </c>
      <c r="V49" s="66">
        <f>IF(C49="Working",MIN(MAX(U49,0),'Tax Assumptions'!$B$20),0)</f>
        <v>0</v>
      </c>
      <c r="W49" s="66">
        <f t="shared" si="5"/>
        <v>0</v>
      </c>
      <c r="X49" s="66">
        <f t="shared" si="6"/>
        <v>0</v>
      </c>
      <c r="Y49" s="66">
        <f t="shared" si="7"/>
        <v>200000</v>
      </c>
      <c r="Z49" s="66">
        <f t="shared" si="8"/>
        <v>200000</v>
      </c>
      <c r="AA49" s="66">
        <f t="shared" si="17"/>
        <v>200000</v>
      </c>
      <c r="AB49" s="66">
        <f t="shared" si="18"/>
        <v>0</v>
      </c>
      <c r="AC49" s="66">
        <f t="shared" si="19"/>
        <v>0</v>
      </c>
      <c r="AD49" s="66">
        <f t="shared" si="20"/>
        <v>0</v>
      </c>
      <c r="AE49" s="68">
        <f t="shared" si="21"/>
        <v>12427583.665685782</v>
      </c>
      <c r="AF49" s="68">
        <f t="shared" si="22"/>
        <v>1097819.2924531603</v>
      </c>
      <c r="AG49" s="68">
        <f t="shared" si="23"/>
        <v>336067.13034280413</v>
      </c>
      <c r="AH49" s="68">
        <f t="shared" si="24"/>
        <v>0</v>
      </c>
      <c r="AI49" s="68">
        <f t="shared" si="9"/>
        <v>13861470.088481747</v>
      </c>
      <c r="AJ49" s="68">
        <f t="shared" si="25"/>
        <v>1117592.2400405239</v>
      </c>
      <c r="AK49" s="68">
        <f t="shared" si="26"/>
        <v>24532548.031126812</v>
      </c>
      <c r="AL49" s="69">
        <f t="shared" si="10"/>
        <v>0</v>
      </c>
      <c r="AM49" s="69">
        <f t="shared" si="11"/>
        <v>0</v>
      </c>
      <c r="AN49" s="203">
        <f t="shared" si="12"/>
        <v>31</v>
      </c>
      <c r="AO49" s="203">
        <f>'Model Inputs'!$B$22+AN49-1</f>
        <v>2056</v>
      </c>
      <c r="AP49" s="41" t="str">
        <f>IF(AND(AQ49="",AR49="",AX49="",BA49="",BC49=""),"",IF(AN49=1,(13-'Model Inputs'!$B$23)/12,1))</f>
        <v/>
      </c>
      <c r="AQ49" s="49" t="str">
        <f>IF(OR(AN49&lt;='Model Inputs'!$B$24,AR49&lt;&gt;"",AX49&lt;&gt;"",BA49&lt;&gt;"",BC49&lt;&gt;""),'Model Inputs'!$B$25*(1+'Model Inputs'!$B$31)^(AN49-1),"")</f>
        <v/>
      </c>
      <c r="AR49" s="49"/>
      <c r="AS49" s="49" t="str">
        <f t="shared" si="13"/>
        <v/>
      </c>
      <c r="AT49" s="49" t="str">
        <f t="shared" si="14"/>
        <v/>
      </c>
      <c r="AU49" s="49" t="str">
        <f>IF(AP49="","",IF(AN49=1,AP49*'Model Inputs'!$B$27,IF(AN49&lt;=MAX(2,'Model Inputs'!$B$30),'Model Inputs'!$B$27*(1+'Model Inputs'!$B$28)^(AN49-2),'Model Inputs'!$B$27*(1+'Model Inputs'!$B$28)^(MAX(2,'Model Inputs'!$B$30)-2)*(1+'Model Inputs'!$B$29)^(AN49-MAX(2,'Model Inputs'!$B$30)))))</f>
        <v/>
      </c>
      <c r="AV49" s="41" t="str">
        <f>IF(AU49="","",IF(AN49&lt;=2,0,'Model Inputs'!$B$32*SIN(2*PI()*(AN49-2+'Model Inputs'!$B$34)/MAX(1,'Model Inputs'!$B$33))))</f>
        <v/>
      </c>
      <c r="AW49" s="41"/>
      <c r="AX49" s="49"/>
      <c r="AY49" s="49" t="str">
        <f t="shared" si="30"/>
        <v/>
      </c>
      <c r="AZ49" s="49" t="str">
        <f>IF(AN49=1,'Model Inputs'!$B$26,"")</f>
        <v/>
      </c>
      <c r="BA49" s="49"/>
      <c r="BB49" s="49" t="str">
        <f t="shared" si="31"/>
        <v/>
      </c>
      <c r="BC49" s="49"/>
      <c r="BL49" s="49" t="str">
        <f>IF(C49="Working",LOOKUP(2,1/($BL$19:BL48&lt;&gt;""),$BL$19:BL48),"")</f>
        <v/>
      </c>
      <c r="BM49" s="49" t="str">
        <f>IF(C49="Working",LOOKUP(2,1/($BM$19:BM48&lt;&gt;""),$BM$19:BM48),"")</f>
        <v/>
      </c>
    </row>
    <row r="50" spans="1:65" x14ac:dyDescent="0.2">
      <c r="A50" s="70">
        <v>32</v>
      </c>
      <c r="B50" s="71" t="str">
        <f t="shared" si="0"/>
        <v/>
      </c>
      <c r="C50" s="70" t="str">
        <f t="shared" si="1"/>
        <v>Retired</v>
      </c>
      <c r="D50" s="71">
        <f>IF(OR(C50="Retired",B50=""),0,MIN(B50,'Tax Assumptions'!$B$19))</f>
        <v>0</v>
      </c>
      <c r="E50" s="49"/>
      <c r="F50" s="49"/>
      <c r="G50" s="71">
        <f>IF(C50="Working",MAX(B50-D50-E50-'Tax Assumptions'!$B$8,0),0)</f>
        <v>0</v>
      </c>
      <c r="H50" s="71">
        <f>IF(G50=0,0,LOOKUP(G50,'Tax Assumptions'!$F$9:$F$15,'Tax Assumptions'!$I$9:$I$15)+(G50-LOOKUP(G50,'Tax Assumptions'!$F$9:$F$15,'Tax Assumptions'!$F$9:$F$15))*LOOKUP(G50,'Tax Assumptions'!$F$9:$F$15,'Tax Assumptions'!$H$9:$H$15))</f>
        <v>0</v>
      </c>
      <c r="I50" s="71">
        <f>IF(C50="Working",MIN(MAX(B50-E50,0),'Tax Assumptions'!$B$11)*'Tax Assumptions'!$B$10,0)</f>
        <v>0</v>
      </c>
      <c r="J50" s="71">
        <f>IF(C50="Working",MAX(B50-E50,0)*'Tax Assumptions'!$B$12,0)</f>
        <v>0</v>
      </c>
      <c r="K50" s="71">
        <f>IF(C50="Working",MAX(MAX(B50-E50,0)-'Tax Assumptions'!$B$14,0)*'Tax Assumptions'!$B$13,0)</f>
        <v>0</v>
      </c>
      <c r="L50" s="72">
        <f>IF(C50="Working",MIN(B50*'Tax Assumptions'!$B$15,'Tax Assumptions'!$B$16),0)</f>
        <v>0</v>
      </c>
      <c r="M50" s="72">
        <f>IF(C50="Working",MIN(B50*'Tax Assumptions'!$B$17,'Tax Assumptions'!$B$18),0)</f>
        <v>0</v>
      </c>
      <c r="N50" s="71">
        <f>IF(C50="Working",MAX(B50-D50-'Tax Assumptions'!$B$9,0),0)</f>
        <v>0</v>
      </c>
      <c r="O50" s="71">
        <f>IF(N50=0,0,LOOKUP(N50,'Tax Assumptions'!$K$9:$K$17,'Tax Assumptions'!$N$9:$N$17)+(N50-LOOKUP(N50,'Tax Assumptions'!$K$9:$K$17,'Tax Assumptions'!$K$9:$K$17))*LOOKUP(N50,'Tax Assumptions'!$K$9:$K$17,'Tax Assumptions'!$M$9:$M$17))</f>
        <v>0</v>
      </c>
      <c r="P50" s="71">
        <f>IF(N50=0,0,LOOKUP(N50,'Tax Assumptions'!$P$9:$P$12,'Tax Assumptions'!$S$9:$S$12)+(N50-LOOKUP(N50,'Tax Assumptions'!$P$9:$P$12,'Tax Assumptions'!$P$9:$P$12))*LOOKUP(N50,'Tax Assumptions'!$P$9:$P$12,'Tax Assumptions'!$R$9:$R$12))</f>
        <v>0</v>
      </c>
      <c r="Q50" s="71">
        <f t="shared" si="2"/>
        <v>0</v>
      </c>
      <c r="R50" s="71">
        <f t="shared" si="3"/>
        <v>0</v>
      </c>
      <c r="S50" s="49" t="str">
        <f>IF(C50="Working",IF(BL50="","",BL50*(1+'Model Inputs'!$B$35)^(AN50-1)),"")</f>
        <v/>
      </c>
      <c r="T50" s="49" t="str">
        <f>IF(C50="Working",IF(BM50="","",BM50*(1+'Model Inputs'!$B$36)^(AN50-1)),"")</f>
        <v/>
      </c>
      <c r="U50" s="71">
        <f t="shared" si="4"/>
        <v>0</v>
      </c>
      <c r="V50" s="71">
        <f>IF(C50="Working",MIN(MAX(U50,0),'Tax Assumptions'!$B$20),0)</f>
        <v>0</v>
      </c>
      <c r="W50" s="71">
        <f t="shared" si="5"/>
        <v>0</v>
      </c>
      <c r="X50" s="71">
        <f t="shared" si="6"/>
        <v>0</v>
      </c>
      <c r="Y50" s="71">
        <f t="shared" si="7"/>
        <v>200000</v>
      </c>
      <c r="Z50" s="71">
        <f t="shared" si="8"/>
        <v>200000</v>
      </c>
      <c r="AA50" s="71">
        <f t="shared" si="17"/>
        <v>200000</v>
      </c>
      <c r="AB50" s="71">
        <f t="shared" si="18"/>
        <v>0</v>
      </c>
      <c r="AC50" s="71">
        <f t="shared" si="19"/>
        <v>0</v>
      </c>
      <c r="AD50" s="71">
        <f t="shared" si="20"/>
        <v>0</v>
      </c>
      <c r="AE50" s="68">
        <f t="shared" si="21"/>
        <v>12973238.68562693</v>
      </c>
      <c r="AF50" s="68">
        <f t="shared" si="22"/>
        <v>1163688.4500003499</v>
      </c>
      <c r="AG50" s="68">
        <f t="shared" si="23"/>
        <v>356231.15816337237</v>
      </c>
      <c r="AH50" s="68">
        <f t="shared" si="24"/>
        <v>0</v>
      </c>
      <c r="AI50" s="68">
        <f t="shared" si="9"/>
        <v>14493158.293790651</v>
      </c>
      <c r="AJ50" s="68">
        <f t="shared" si="25"/>
        <v>917592.24004052393</v>
      </c>
      <c r="AK50" s="68">
        <f t="shared" si="26"/>
        <v>26295151.87361696</v>
      </c>
      <c r="AL50" s="73">
        <f t="shared" si="10"/>
        <v>0</v>
      </c>
      <c r="AM50" s="73">
        <f t="shared" si="11"/>
        <v>0</v>
      </c>
      <c r="AN50" s="203">
        <f t="shared" si="12"/>
        <v>32</v>
      </c>
      <c r="AO50" s="203">
        <f>'Model Inputs'!$B$22+AN50-1</f>
        <v>2057</v>
      </c>
      <c r="AP50" s="41" t="str">
        <f>IF(AND(AQ50="",AR50="",AX50="",BA50="",BC50=""),"",IF(AN50=1,(13-'Model Inputs'!$B$23)/12,1))</f>
        <v/>
      </c>
      <c r="AQ50" s="49" t="str">
        <f>IF(OR(AN50&lt;='Model Inputs'!$B$24,AR50&lt;&gt;"",AX50&lt;&gt;"",BA50&lt;&gt;"",BC50&lt;&gt;""),'Model Inputs'!$B$25*(1+'Model Inputs'!$B$31)^(AN50-1),"")</f>
        <v/>
      </c>
      <c r="AR50" s="49"/>
      <c r="AS50" s="49" t="str">
        <f t="shared" si="13"/>
        <v/>
      </c>
      <c r="AT50" s="49" t="str">
        <f t="shared" si="14"/>
        <v/>
      </c>
      <c r="AU50" s="49" t="str">
        <f>IF(AP50="","",IF(AN50=1,AP50*'Model Inputs'!$B$27,IF(AN50&lt;=MAX(2,'Model Inputs'!$B$30),'Model Inputs'!$B$27*(1+'Model Inputs'!$B$28)^(AN50-2),'Model Inputs'!$B$27*(1+'Model Inputs'!$B$28)^(MAX(2,'Model Inputs'!$B$30)-2)*(1+'Model Inputs'!$B$29)^(AN50-MAX(2,'Model Inputs'!$B$30)))))</f>
        <v/>
      </c>
      <c r="AV50" s="41" t="str">
        <f>IF(AU50="","",IF(AN50&lt;=2,0,'Model Inputs'!$B$32*SIN(2*PI()*(AN50-2+'Model Inputs'!$B$34)/MAX(1,'Model Inputs'!$B$33))))</f>
        <v/>
      </c>
      <c r="AW50" s="41"/>
      <c r="AX50" s="49"/>
      <c r="AY50" s="49" t="str">
        <f t="shared" si="30"/>
        <v/>
      </c>
      <c r="AZ50" s="49" t="str">
        <f>IF(AN50=1,'Model Inputs'!$B$26,"")</f>
        <v/>
      </c>
      <c r="BA50" s="49"/>
      <c r="BB50" s="49" t="str">
        <f t="shared" si="31"/>
        <v/>
      </c>
      <c r="BC50" s="49"/>
      <c r="BL50" s="49" t="str">
        <f>IF(C50="Working",LOOKUP(2,1/($BL$19:BL49&lt;&gt;""),$BL$19:BL49),"")</f>
        <v/>
      </c>
      <c r="BM50" s="49" t="str">
        <f>IF(C50="Working",LOOKUP(2,1/($BM$19:BM49&lt;&gt;""),$BM$19:BM49),"")</f>
        <v/>
      </c>
    </row>
    <row r="51" spans="1:65" x14ac:dyDescent="0.2">
      <c r="A51" s="65">
        <v>33</v>
      </c>
      <c r="B51" s="66" t="str">
        <f t="shared" si="0"/>
        <v/>
      </c>
      <c r="C51" s="65" t="str">
        <f t="shared" si="1"/>
        <v>Retired</v>
      </c>
      <c r="D51" s="66">
        <f>IF(OR(C51="Retired",B51=""),0,MIN(B51,'Tax Assumptions'!$B$19))</f>
        <v>0</v>
      </c>
      <c r="E51" s="49"/>
      <c r="F51" s="49"/>
      <c r="G51" s="66">
        <f>IF(C51="Working",MAX(B51-D51-E51-'Tax Assumptions'!$B$8,0),0)</f>
        <v>0</v>
      </c>
      <c r="H51" s="66">
        <f>IF(G51=0,0,LOOKUP(G51,'Tax Assumptions'!$F$9:$F$15,'Tax Assumptions'!$I$9:$I$15)+(G51-LOOKUP(G51,'Tax Assumptions'!$F$9:$F$15,'Tax Assumptions'!$F$9:$F$15))*LOOKUP(G51,'Tax Assumptions'!$F$9:$F$15,'Tax Assumptions'!$H$9:$H$15))</f>
        <v>0</v>
      </c>
      <c r="I51" s="66">
        <f>IF(C51="Working",MIN(MAX(B51-E51,0),'Tax Assumptions'!$B$11)*'Tax Assumptions'!$B$10,0)</f>
        <v>0</v>
      </c>
      <c r="J51" s="66">
        <f>IF(C51="Working",MAX(B51-E51,0)*'Tax Assumptions'!$B$12,0)</f>
        <v>0</v>
      </c>
      <c r="K51" s="66">
        <f>IF(C51="Working",MAX(MAX(B51-E51,0)-'Tax Assumptions'!$B$14,0)*'Tax Assumptions'!$B$13,0)</f>
        <v>0</v>
      </c>
      <c r="L51" s="67">
        <f>IF(C51="Working",MIN(B51*'Tax Assumptions'!$B$15,'Tax Assumptions'!$B$16),0)</f>
        <v>0</v>
      </c>
      <c r="M51" s="67">
        <f>IF(C51="Working",MIN(B51*'Tax Assumptions'!$B$17,'Tax Assumptions'!$B$18),0)</f>
        <v>0</v>
      </c>
      <c r="N51" s="66">
        <f>IF(C51="Working",MAX(B51-D51-'Tax Assumptions'!$B$9,0),0)</f>
        <v>0</v>
      </c>
      <c r="O51" s="66">
        <f>IF(N51=0,0,LOOKUP(N51,'Tax Assumptions'!$K$9:$K$17,'Tax Assumptions'!$N$9:$N$17)+(N51-LOOKUP(N51,'Tax Assumptions'!$K$9:$K$17,'Tax Assumptions'!$K$9:$K$17))*LOOKUP(N51,'Tax Assumptions'!$K$9:$K$17,'Tax Assumptions'!$M$9:$M$17))</f>
        <v>0</v>
      </c>
      <c r="P51" s="66">
        <f>IF(N51=0,0,LOOKUP(N51,'Tax Assumptions'!$P$9:$P$12,'Tax Assumptions'!$S$9:$S$12)+(N51-LOOKUP(N51,'Tax Assumptions'!$P$9:$P$12,'Tax Assumptions'!$P$9:$P$12))*LOOKUP(N51,'Tax Assumptions'!$P$9:$P$12,'Tax Assumptions'!$R$9:$R$12))</f>
        <v>0</v>
      </c>
      <c r="Q51" s="66">
        <f t="shared" si="2"/>
        <v>0</v>
      </c>
      <c r="R51" s="66">
        <f t="shared" si="3"/>
        <v>0</v>
      </c>
      <c r="S51" s="49" t="str">
        <f>IF(C51="Working",IF(BL51="","",BL51*(1+'Model Inputs'!$B$35)^(AN51-1)),"")</f>
        <v/>
      </c>
      <c r="T51" s="49" t="str">
        <f>IF(C51="Working",IF(BM51="","",BM51*(1+'Model Inputs'!$B$36)^(AN51-1)),"")</f>
        <v/>
      </c>
      <c r="U51" s="66">
        <f t="shared" si="4"/>
        <v>0</v>
      </c>
      <c r="V51" s="66">
        <f>IF(C51="Working",MIN(MAX(U51,0),'Tax Assumptions'!$B$20),0)</f>
        <v>0</v>
      </c>
      <c r="W51" s="66">
        <f t="shared" si="5"/>
        <v>0</v>
      </c>
      <c r="X51" s="66">
        <f t="shared" si="6"/>
        <v>0</v>
      </c>
      <c r="Y51" s="66">
        <f t="shared" si="7"/>
        <v>200000</v>
      </c>
      <c r="Z51" s="66">
        <f t="shared" si="8"/>
        <v>200000</v>
      </c>
      <c r="AA51" s="66">
        <f t="shared" si="17"/>
        <v>200000</v>
      </c>
      <c r="AB51" s="66">
        <f t="shared" si="18"/>
        <v>0</v>
      </c>
      <c r="AC51" s="66">
        <f t="shared" si="19"/>
        <v>0</v>
      </c>
      <c r="AD51" s="66">
        <f t="shared" si="20"/>
        <v>0</v>
      </c>
      <c r="AE51" s="68">
        <f t="shared" si="21"/>
        <v>13551633.006764546</v>
      </c>
      <c r="AF51" s="68">
        <f t="shared" si="22"/>
        <v>1233509.7570003709</v>
      </c>
      <c r="AG51" s="68">
        <f t="shared" si="23"/>
        <v>377605.02765317471</v>
      </c>
      <c r="AH51" s="68">
        <f t="shared" si="24"/>
        <v>0</v>
      </c>
      <c r="AI51" s="68">
        <f t="shared" si="9"/>
        <v>15162747.791418092</v>
      </c>
      <c r="AJ51" s="68">
        <f t="shared" si="25"/>
        <v>717592.24004052393</v>
      </c>
      <c r="AK51" s="68">
        <f t="shared" si="26"/>
        <v>28198764.023506317</v>
      </c>
      <c r="AL51" s="69">
        <f t="shared" si="10"/>
        <v>0</v>
      </c>
      <c r="AM51" s="69">
        <f t="shared" si="11"/>
        <v>0</v>
      </c>
      <c r="AN51" s="203">
        <f t="shared" si="12"/>
        <v>33</v>
      </c>
      <c r="AO51" s="203">
        <f>'Model Inputs'!$B$22+AN51-1</f>
        <v>2058</v>
      </c>
      <c r="AP51" s="41" t="str">
        <f>IF(AND(AQ51="",AR51="",AX51="",BA51="",BC51=""),"",IF(AN51=1,(13-'Model Inputs'!$B$23)/12,1))</f>
        <v/>
      </c>
      <c r="AQ51" s="49" t="str">
        <f>IF(OR(AN51&lt;='Model Inputs'!$B$24,AR51&lt;&gt;"",AX51&lt;&gt;"",BA51&lt;&gt;"",BC51&lt;&gt;""),'Model Inputs'!$B$25*(1+'Model Inputs'!$B$31)^(AN51-1),"")</f>
        <v/>
      </c>
      <c r="AR51" s="49"/>
      <c r="AS51" s="49" t="str">
        <f t="shared" si="13"/>
        <v/>
      </c>
      <c r="AT51" s="49" t="str">
        <f t="shared" si="14"/>
        <v/>
      </c>
      <c r="AU51" s="49" t="str">
        <f>IF(AP51="","",IF(AN51=1,AP51*'Model Inputs'!$B$27,IF(AN51&lt;=MAX(2,'Model Inputs'!$B$30),'Model Inputs'!$B$27*(1+'Model Inputs'!$B$28)^(AN51-2),'Model Inputs'!$B$27*(1+'Model Inputs'!$B$28)^(MAX(2,'Model Inputs'!$B$30)-2)*(1+'Model Inputs'!$B$29)^(AN51-MAX(2,'Model Inputs'!$B$30)))))</f>
        <v/>
      </c>
      <c r="AV51" s="41" t="str">
        <f>IF(AU51="","",IF(AN51&lt;=2,0,'Model Inputs'!$B$32*SIN(2*PI()*(AN51-2+'Model Inputs'!$B$34)/MAX(1,'Model Inputs'!$B$33))))</f>
        <v/>
      </c>
      <c r="AW51" s="41"/>
      <c r="AX51" s="49"/>
      <c r="AY51" s="49" t="str">
        <f t="shared" si="30"/>
        <v/>
      </c>
      <c r="AZ51" s="49" t="str">
        <f>IF(AN51=1,'Model Inputs'!$B$26,"")</f>
        <v/>
      </c>
      <c r="BA51" s="49"/>
      <c r="BB51" s="49" t="str">
        <f t="shared" si="31"/>
        <v/>
      </c>
      <c r="BC51" s="49"/>
      <c r="BL51" s="49" t="str">
        <f>IF(C51="Working",LOOKUP(2,1/($BL$19:BL50&lt;&gt;""),$BL$19:BL50),"")</f>
        <v/>
      </c>
      <c r="BM51" s="49" t="str">
        <f>IF(C51="Working",LOOKUP(2,1/($BM$19:BM50&lt;&gt;""),$BM$19:BM50),"")</f>
        <v/>
      </c>
    </row>
    <row r="52" spans="1:65" x14ac:dyDescent="0.2">
      <c r="A52" s="70">
        <v>34</v>
      </c>
      <c r="B52" s="71" t="str">
        <f t="shared" si="0"/>
        <v/>
      </c>
      <c r="C52" s="70" t="str">
        <f t="shared" si="1"/>
        <v>Retired</v>
      </c>
      <c r="D52" s="71">
        <f>IF(OR(C52="Retired",B52=""),0,MIN(B52,'Tax Assumptions'!$B$19))</f>
        <v>0</v>
      </c>
      <c r="E52" s="49"/>
      <c r="F52" s="49"/>
      <c r="G52" s="71">
        <f>IF(C52="Working",MAX(B52-D52-E52-'Tax Assumptions'!$B$8,0),0)</f>
        <v>0</v>
      </c>
      <c r="H52" s="71">
        <f>IF(G52=0,0,LOOKUP(G52,'Tax Assumptions'!$F$9:$F$15,'Tax Assumptions'!$I$9:$I$15)+(G52-LOOKUP(G52,'Tax Assumptions'!$F$9:$F$15,'Tax Assumptions'!$F$9:$F$15))*LOOKUP(G52,'Tax Assumptions'!$F$9:$F$15,'Tax Assumptions'!$H$9:$H$15))</f>
        <v>0</v>
      </c>
      <c r="I52" s="71">
        <f>IF(C52="Working",MIN(MAX(B52-E52,0),'Tax Assumptions'!$B$11)*'Tax Assumptions'!$B$10,0)</f>
        <v>0</v>
      </c>
      <c r="J52" s="71">
        <f>IF(C52="Working",MAX(B52-E52,0)*'Tax Assumptions'!$B$12,0)</f>
        <v>0</v>
      </c>
      <c r="K52" s="71">
        <f>IF(C52="Working",MAX(MAX(B52-E52,0)-'Tax Assumptions'!$B$14,0)*'Tax Assumptions'!$B$13,0)</f>
        <v>0</v>
      </c>
      <c r="L52" s="72">
        <f>IF(C52="Working",MIN(B52*'Tax Assumptions'!$B$15,'Tax Assumptions'!$B$16),0)</f>
        <v>0</v>
      </c>
      <c r="M52" s="72">
        <f>IF(C52="Working",MIN(B52*'Tax Assumptions'!$B$17,'Tax Assumptions'!$B$18),0)</f>
        <v>0</v>
      </c>
      <c r="N52" s="71">
        <f>IF(C52="Working",MAX(B52-D52-'Tax Assumptions'!$B$9,0),0)</f>
        <v>0</v>
      </c>
      <c r="O52" s="71">
        <f>IF(N52=0,0,LOOKUP(N52,'Tax Assumptions'!$K$9:$K$17,'Tax Assumptions'!$N$9:$N$17)+(N52-LOOKUP(N52,'Tax Assumptions'!$K$9:$K$17,'Tax Assumptions'!$K$9:$K$17))*LOOKUP(N52,'Tax Assumptions'!$K$9:$K$17,'Tax Assumptions'!$M$9:$M$17))</f>
        <v>0</v>
      </c>
      <c r="P52" s="71">
        <f>IF(N52=0,0,LOOKUP(N52,'Tax Assumptions'!$P$9:$P$12,'Tax Assumptions'!$S$9:$S$12)+(N52-LOOKUP(N52,'Tax Assumptions'!$P$9:$P$12,'Tax Assumptions'!$P$9:$P$12))*LOOKUP(N52,'Tax Assumptions'!$P$9:$P$12,'Tax Assumptions'!$R$9:$R$12))</f>
        <v>0</v>
      </c>
      <c r="Q52" s="71">
        <f t="shared" si="2"/>
        <v>0</v>
      </c>
      <c r="R52" s="71">
        <f t="shared" si="3"/>
        <v>0</v>
      </c>
      <c r="S52" s="49" t="str">
        <f>IF(C52="Working",IF(BL52="","",BL52*(1+'Model Inputs'!$B$35)^(AN52-1)),"")</f>
        <v/>
      </c>
      <c r="T52" s="49" t="str">
        <f>IF(C52="Working",IF(BM52="","",BM52*(1+'Model Inputs'!$B$36)^(AN52-1)),"")</f>
        <v/>
      </c>
      <c r="U52" s="71">
        <f t="shared" si="4"/>
        <v>0</v>
      </c>
      <c r="V52" s="71">
        <f>IF(C52="Working",MIN(MAX(U52,0),'Tax Assumptions'!$B$20),0)</f>
        <v>0</v>
      </c>
      <c r="W52" s="71">
        <f t="shared" si="5"/>
        <v>0</v>
      </c>
      <c r="X52" s="71">
        <f t="shared" si="6"/>
        <v>0</v>
      </c>
      <c r="Y52" s="71">
        <f t="shared" si="7"/>
        <v>200000</v>
      </c>
      <c r="Z52" s="71">
        <f t="shared" si="8"/>
        <v>200000</v>
      </c>
      <c r="AA52" s="71">
        <f t="shared" si="17"/>
        <v>200000</v>
      </c>
      <c r="AB52" s="71">
        <f t="shared" si="18"/>
        <v>0</v>
      </c>
      <c r="AC52" s="71">
        <f t="shared" si="19"/>
        <v>0</v>
      </c>
      <c r="AD52" s="71">
        <f t="shared" si="20"/>
        <v>0</v>
      </c>
      <c r="AE52" s="68">
        <f t="shared" si="21"/>
        <v>14164730.987170419</v>
      </c>
      <c r="AF52" s="68">
        <f t="shared" si="22"/>
        <v>1307520.3424203931</v>
      </c>
      <c r="AG52" s="68">
        <f t="shared" si="23"/>
        <v>400261.32931236521</v>
      </c>
      <c r="AH52" s="68">
        <f t="shared" si="24"/>
        <v>0</v>
      </c>
      <c r="AI52" s="68">
        <f t="shared" si="9"/>
        <v>15872512.658903178</v>
      </c>
      <c r="AJ52" s="68">
        <f t="shared" si="25"/>
        <v>517592.24004052393</v>
      </c>
      <c r="AK52" s="68">
        <f t="shared" si="26"/>
        <v>30254665.145386826</v>
      </c>
      <c r="AL52" s="73">
        <f t="shared" si="10"/>
        <v>0</v>
      </c>
      <c r="AM52" s="73">
        <f t="shared" si="11"/>
        <v>0</v>
      </c>
      <c r="AN52" s="203">
        <f t="shared" si="12"/>
        <v>34</v>
      </c>
      <c r="AO52" s="203">
        <f>'Model Inputs'!$B$22+AN52-1</f>
        <v>2059</v>
      </c>
      <c r="AP52" s="41" t="str">
        <f>IF(AND(AQ52="",AR52="",AX52="",BA52="",BC52=""),"",IF(AN52=1,(13-'Model Inputs'!$B$23)/12,1))</f>
        <v/>
      </c>
      <c r="AQ52" s="49" t="str">
        <f>IF(OR(AN52&lt;='Model Inputs'!$B$24,AR52&lt;&gt;"",AX52&lt;&gt;"",BA52&lt;&gt;"",BC52&lt;&gt;""),'Model Inputs'!$B$25*(1+'Model Inputs'!$B$31)^(AN52-1),"")</f>
        <v/>
      </c>
      <c r="AR52" s="49"/>
      <c r="AS52" s="49" t="str">
        <f t="shared" si="13"/>
        <v/>
      </c>
      <c r="AT52" s="49" t="str">
        <f t="shared" si="14"/>
        <v/>
      </c>
      <c r="AU52" s="49" t="str">
        <f>IF(AP52="","",IF(AN52=1,AP52*'Model Inputs'!$B$27,IF(AN52&lt;=MAX(2,'Model Inputs'!$B$30),'Model Inputs'!$B$27*(1+'Model Inputs'!$B$28)^(AN52-2),'Model Inputs'!$B$27*(1+'Model Inputs'!$B$28)^(MAX(2,'Model Inputs'!$B$30)-2)*(1+'Model Inputs'!$B$29)^(AN52-MAX(2,'Model Inputs'!$B$30)))))</f>
        <v/>
      </c>
      <c r="AV52" s="41" t="str">
        <f>IF(AU52="","",IF(AN52&lt;=2,0,'Model Inputs'!$B$32*SIN(2*PI()*(AN52-2+'Model Inputs'!$B$34)/MAX(1,'Model Inputs'!$B$33))))</f>
        <v/>
      </c>
      <c r="AW52" s="41"/>
      <c r="AX52" s="49"/>
      <c r="AY52" s="49" t="str">
        <f t="shared" si="30"/>
        <v/>
      </c>
      <c r="AZ52" s="49" t="str">
        <f>IF(AN52=1,'Model Inputs'!$B$26,"")</f>
        <v/>
      </c>
      <c r="BA52" s="49"/>
      <c r="BB52" s="49" t="str">
        <f t="shared" si="31"/>
        <v/>
      </c>
      <c r="BC52" s="49"/>
      <c r="BL52" s="49" t="str">
        <f>IF(C52="Working",LOOKUP(2,1/($BL$19:BL51&lt;&gt;""),$BL$19:BL51),"")</f>
        <v/>
      </c>
      <c r="BM52" s="49" t="str">
        <f>IF(C52="Working",LOOKUP(2,1/($BM$19:BM51&lt;&gt;""),$BM$19:BM51),"")</f>
        <v/>
      </c>
    </row>
    <row r="53" spans="1:65" x14ac:dyDescent="0.2">
      <c r="A53" s="65">
        <v>35</v>
      </c>
      <c r="B53" s="66" t="str">
        <f t="shared" si="0"/>
        <v/>
      </c>
      <c r="C53" s="65" t="str">
        <f t="shared" si="1"/>
        <v>Retired</v>
      </c>
      <c r="D53" s="66">
        <f>IF(OR(C53="Retired",B53=""),0,MIN(B53,'Tax Assumptions'!$B$19))</f>
        <v>0</v>
      </c>
      <c r="E53" s="49"/>
      <c r="F53" s="49"/>
      <c r="G53" s="66">
        <f>IF(C53="Working",MAX(B53-D53-E53-'Tax Assumptions'!$B$8,0),0)</f>
        <v>0</v>
      </c>
      <c r="H53" s="66">
        <f>IF(G53=0,0,LOOKUP(G53,'Tax Assumptions'!$F$9:$F$15,'Tax Assumptions'!$I$9:$I$15)+(G53-LOOKUP(G53,'Tax Assumptions'!$F$9:$F$15,'Tax Assumptions'!$F$9:$F$15))*LOOKUP(G53,'Tax Assumptions'!$F$9:$F$15,'Tax Assumptions'!$H$9:$H$15))</f>
        <v>0</v>
      </c>
      <c r="I53" s="66">
        <f>IF(C53="Working",MIN(MAX(B53-E53,0),'Tax Assumptions'!$B$11)*'Tax Assumptions'!$B$10,0)</f>
        <v>0</v>
      </c>
      <c r="J53" s="66">
        <f>IF(C53="Working",MAX(B53-E53,0)*'Tax Assumptions'!$B$12,0)</f>
        <v>0</v>
      </c>
      <c r="K53" s="66">
        <f>IF(C53="Working",MAX(MAX(B53-E53,0)-'Tax Assumptions'!$B$14,0)*'Tax Assumptions'!$B$13,0)</f>
        <v>0</v>
      </c>
      <c r="L53" s="67">
        <f>IF(C53="Working",MIN(B53*'Tax Assumptions'!$B$15,'Tax Assumptions'!$B$16),0)</f>
        <v>0</v>
      </c>
      <c r="M53" s="67">
        <f>IF(C53="Working",MIN(B53*'Tax Assumptions'!$B$17,'Tax Assumptions'!$B$18),0)</f>
        <v>0</v>
      </c>
      <c r="N53" s="66">
        <f>IF(C53="Working",MAX(B53-D53-'Tax Assumptions'!$B$9,0),0)</f>
        <v>0</v>
      </c>
      <c r="O53" s="66">
        <f>IF(N53=0,0,LOOKUP(N53,'Tax Assumptions'!$K$9:$K$17,'Tax Assumptions'!$N$9:$N$17)+(N53-LOOKUP(N53,'Tax Assumptions'!$K$9:$K$17,'Tax Assumptions'!$K$9:$K$17))*LOOKUP(N53,'Tax Assumptions'!$K$9:$K$17,'Tax Assumptions'!$M$9:$M$17))</f>
        <v>0</v>
      </c>
      <c r="P53" s="66">
        <f>IF(N53=0,0,LOOKUP(N53,'Tax Assumptions'!$P$9:$P$12,'Tax Assumptions'!$S$9:$S$12)+(N53-LOOKUP(N53,'Tax Assumptions'!$P$9:$P$12,'Tax Assumptions'!$P$9:$P$12))*LOOKUP(N53,'Tax Assumptions'!$P$9:$P$12,'Tax Assumptions'!$R$9:$R$12))</f>
        <v>0</v>
      </c>
      <c r="Q53" s="66">
        <f t="shared" si="2"/>
        <v>0</v>
      </c>
      <c r="R53" s="66">
        <f t="shared" si="3"/>
        <v>0</v>
      </c>
      <c r="S53" s="49" t="str">
        <f>IF(C53="Working",IF(BL53="","",BL53*(1+'Model Inputs'!$B$35)^(AN53-1)),"")</f>
        <v/>
      </c>
      <c r="T53" s="49" t="str">
        <f>IF(C53="Working",IF(BM53="","",BM53*(1+'Model Inputs'!$B$36)^(AN53-1)),"")</f>
        <v/>
      </c>
      <c r="U53" s="66">
        <f t="shared" si="4"/>
        <v>0</v>
      </c>
      <c r="V53" s="66">
        <f>IF(C53="Working",MIN(MAX(U53,0),'Tax Assumptions'!$B$20),0)</f>
        <v>0</v>
      </c>
      <c r="W53" s="66">
        <f t="shared" si="5"/>
        <v>0</v>
      </c>
      <c r="X53" s="66">
        <f t="shared" si="6"/>
        <v>0</v>
      </c>
      <c r="Y53" s="66">
        <f t="shared" si="7"/>
        <v>200000</v>
      </c>
      <c r="Z53" s="66">
        <f t="shared" si="8"/>
        <v>200000</v>
      </c>
      <c r="AA53" s="66">
        <f t="shared" si="17"/>
        <v>200000</v>
      </c>
      <c r="AB53" s="66">
        <f t="shared" si="18"/>
        <v>0</v>
      </c>
      <c r="AC53" s="66">
        <f t="shared" si="19"/>
        <v>0</v>
      </c>
      <c r="AD53" s="66">
        <f t="shared" si="20"/>
        <v>0</v>
      </c>
      <c r="AE53" s="68">
        <f t="shared" si="21"/>
        <v>14814614.846400645</v>
      </c>
      <c r="AF53" s="68">
        <f t="shared" si="22"/>
        <v>1385971.5629656168</v>
      </c>
      <c r="AG53" s="68">
        <f t="shared" si="23"/>
        <v>424277.00907110714</v>
      </c>
      <c r="AH53" s="68">
        <f t="shared" si="24"/>
        <v>0</v>
      </c>
      <c r="AI53" s="68">
        <f t="shared" si="9"/>
        <v>16624863.418437369</v>
      </c>
      <c r="AJ53" s="68">
        <f t="shared" si="25"/>
        <v>317592.24004052393</v>
      </c>
      <c r="AK53" s="68">
        <f t="shared" si="26"/>
        <v>32475038.357017774</v>
      </c>
      <c r="AL53" s="69">
        <f t="shared" si="10"/>
        <v>0</v>
      </c>
      <c r="AM53" s="69">
        <f t="shared" si="11"/>
        <v>0</v>
      </c>
      <c r="AN53" s="203">
        <f t="shared" si="12"/>
        <v>35</v>
      </c>
      <c r="AO53" s="203">
        <f>'Model Inputs'!$B$22+AN53-1</f>
        <v>2060</v>
      </c>
      <c r="AP53" s="41" t="str">
        <f>IF(AND(AQ53="",AR53="",AX53="",BA53="",BC53=""),"",IF(AN53=1,(13-'Model Inputs'!$B$23)/12,1))</f>
        <v/>
      </c>
      <c r="AQ53" s="49" t="str">
        <f>IF(OR(AN53&lt;='Model Inputs'!$B$24,AR53&lt;&gt;"",AX53&lt;&gt;"",BA53&lt;&gt;"",BC53&lt;&gt;""),'Model Inputs'!$B$25*(1+'Model Inputs'!$B$31)^(AN53-1),"")</f>
        <v/>
      </c>
      <c r="AR53" s="49"/>
      <c r="AS53" s="49" t="str">
        <f t="shared" si="13"/>
        <v/>
      </c>
      <c r="AT53" s="49" t="str">
        <f t="shared" si="14"/>
        <v/>
      </c>
      <c r="AU53" s="49" t="str">
        <f>IF(AP53="","",IF(AN53=1,AP53*'Model Inputs'!$B$27,IF(AN53&lt;=MAX(2,'Model Inputs'!$B$30),'Model Inputs'!$B$27*(1+'Model Inputs'!$B$28)^(AN53-2),'Model Inputs'!$B$27*(1+'Model Inputs'!$B$28)^(MAX(2,'Model Inputs'!$B$30)-2)*(1+'Model Inputs'!$B$29)^(AN53-MAX(2,'Model Inputs'!$B$30)))))</f>
        <v/>
      </c>
      <c r="AV53" s="41" t="str">
        <f>IF(AU53="","",IF(AN53&lt;=2,0,'Model Inputs'!$B$32*SIN(2*PI()*(AN53-2+'Model Inputs'!$B$34)/MAX(1,'Model Inputs'!$B$33))))</f>
        <v/>
      </c>
      <c r="AW53" s="41"/>
      <c r="AX53" s="49"/>
      <c r="AY53" s="49" t="str">
        <f t="shared" si="30"/>
        <v/>
      </c>
      <c r="AZ53" s="49" t="str">
        <f>IF(AN53=1,'Model Inputs'!$B$26,"")</f>
        <v/>
      </c>
      <c r="BA53" s="49"/>
      <c r="BB53" s="49" t="str">
        <f t="shared" si="31"/>
        <v/>
      </c>
      <c r="BC53" s="49"/>
      <c r="BL53" s="49" t="str">
        <f>IF(C53="Working",LOOKUP(2,1/($BL$19:BL52&lt;&gt;""),$BL$19:BL52),"")</f>
        <v/>
      </c>
      <c r="BM53" s="49" t="str">
        <f>IF(C53="Working",LOOKUP(2,1/($BM$19:BM52&lt;&gt;""),$BM$19:BM52),"")</f>
        <v/>
      </c>
    </row>
    <row r="54" spans="1:65" x14ac:dyDescent="0.2">
      <c r="A54" s="70">
        <v>36</v>
      </c>
      <c r="B54" s="71" t="str">
        <f t="shared" si="0"/>
        <v/>
      </c>
      <c r="C54" s="70" t="str">
        <f t="shared" si="1"/>
        <v>Retired</v>
      </c>
      <c r="D54" s="71">
        <f>IF(OR(C54="Retired",B54=""),0,MIN(B54,'Tax Assumptions'!$B$19))</f>
        <v>0</v>
      </c>
      <c r="E54" s="49"/>
      <c r="F54" s="49"/>
      <c r="G54" s="71">
        <f>IF(C54="Working",MAX(B54-D54-E54-'Tax Assumptions'!$B$8,0),0)</f>
        <v>0</v>
      </c>
      <c r="H54" s="71">
        <f>IF(G54=0,0,LOOKUP(G54,'Tax Assumptions'!$F$9:$F$15,'Tax Assumptions'!$I$9:$I$15)+(G54-LOOKUP(G54,'Tax Assumptions'!$F$9:$F$15,'Tax Assumptions'!$F$9:$F$15))*LOOKUP(G54,'Tax Assumptions'!$F$9:$F$15,'Tax Assumptions'!$H$9:$H$15))</f>
        <v>0</v>
      </c>
      <c r="I54" s="71">
        <f>IF(C54="Working",MIN(MAX(B54-E54,0),'Tax Assumptions'!$B$11)*'Tax Assumptions'!$B$10,0)</f>
        <v>0</v>
      </c>
      <c r="J54" s="71">
        <f>IF(C54="Working",MAX(B54-E54,0)*'Tax Assumptions'!$B$12,0)</f>
        <v>0</v>
      </c>
      <c r="K54" s="71">
        <f>IF(C54="Working",MAX(MAX(B54-E54,0)-'Tax Assumptions'!$B$14,0)*'Tax Assumptions'!$B$13,0)</f>
        <v>0</v>
      </c>
      <c r="L54" s="72">
        <f>IF(C54="Working",MIN(B54*'Tax Assumptions'!$B$15,'Tax Assumptions'!$B$16),0)</f>
        <v>0</v>
      </c>
      <c r="M54" s="72">
        <f>IF(C54="Working",MIN(B54*'Tax Assumptions'!$B$17,'Tax Assumptions'!$B$18),0)</f>
        <v>0</v>
      </c>
      <c r="N54" s="71">
        <f>IF(C54="Working",MAX(B54-D54-'Tax Assumptions'!$B$9,0),0)</f>
        <v>0</v>
      </c>
      <c r="O54" s="71">
        <f>IF(N54=0,0,LOOKUP(N54,'Tax Assumptions'!$K$9:$K$17,'Tax Assumptions'!$N$9:$N$17)+(N54-LOOKUP(N54,'Tax Assumptions'!$K$9:$K$17,'Tax Assumptions'!$K$9:$K$17))*LOOKUP(N54,'Tax Assumptions'!$K$9:$K$17,'Tax Assumptions'!$M$9:$M$17))</f>
        <v>0</v>
      </c>
      <c r="P54" s="71">
        <f>IF(N54=0,0,LOOKUP(N54,'Tax Assumptions'!$P$9:$P$12,'Tax Assumptions'!$S$9:$S$12)+(N54-LOOKUP(N54,'Tax Assumptions'!$P$9:$P$12,'Tax Assumptions'!$P$9:$P$12))*LOOKUP(N54,'Tax Assumptions'!$P$9:$P$12,'Tax Assumptions'!$R$9:$R$12))</f>
        <v>0</v>
      </c>
      <c r="Q54" s="71">
        <f t="shared" si="2"/>
        <v>0</v>
      </c>
      <c r="R54" s="71">
        <f t="shared" si="3"/>
        <v>0</v>
      </c>
      <c r="S54" s="49" t="str">
        <f>IF(C54="Working",IF(BL54="","",BL54*(1+'Model Inputs'!$B$35)^(AN54-1)),"")</f>
        <v/>
      </c>
      <c r="T54" s="49" t="str">
        <f>IF(C54="Working",IF(BM54="","",BM54*(1+'Model Inputs'!$B$36)^(AN54-1)),"")</f>
        <v/>
      </c>
      <c r="U54" s="71">
        <f t="shared" si="4"/>
        <v>0</v>
      </c>
      <c r="V54" s="71">
        <f>IF(C54="Working",MIN(MAX(U54,0),'Tax Assumptions'!$B$20),0)</f>
        <v>0</v>
      </c>
      <c r="W54" s="71">
        <f t="shared" si="5"/>
        <v>0</v>
      </c>
      <c r="X54" s="71">
        <f t="shared" si="6"/>
        <v>0</v>
      </c>
      <c r="Y54" s="71">
        <f t="shared" si="7"/>
        <v>200000</v>
      </c>
      <c r="Z54" s="71">
        <f t="shared" si="8"/>
        <v>200000</v>
      </c>
      <c r="AA54" s="71">
        <f t="shared" si="17"/>
        <v>200000</v>
      </c>
      <c r="AB54" s="71">
        <f t="shared" si="18"/>
        <v>0</v>
      </c>
      <c r="AC54" s="71">
        <f t="shared" si="19"/>
        <v>0</v>
      </c>
      <c r="AD54" s="71">
        <f t="shared" si="20"/>
        <v>0</v>
      </c>
      <c r="AE54" s="68">
        <f t="shared" si="21"/>
        <v>15503491.737184685</v>
      </c>
      <c r="AF54" s="68">
        <f t="shared" si="22"/>
        <v>1469129.8567435539</v>
      </c>
      <c r="AG54" s="68">
        <f t="shared" si="23"/>
        <v>449733.62961537362</v>
      </c>
      <c r="AH54" s="68">
        <f t="shared" si="24"/>
        <v>0</v>
      </c>
      <c r="AI54" s="68">
        <f t="shared" si="9"/>
        <v>17422355.223543614</v>
      </c>
      <c r="AJ54" s="68">
        <f t="shared" si="25"/>
        <v>117592.24004052393</v>
      </c>
      <c r="AK54" s="68">
        <f t="shared" si="26"/>
        <v>34873041.425579198</v>
      </c>
      <c r="AL54" s="73">
        <f t="shared" si="10"/>
        <v>0</v>
      </c>
      <c r="AM54" s="73">
        <f t="shared" si="11"/>
        <v>0</v>
      </c>
      <c r="AN54" s="203">
        <f t="shared" si="12"/>
        <v>36</v>
      </c>
      <c r="AO54" s="203">
        <f>'Model Inputs'!$B$22+AN54-1</f>
        <v>2061</v>
      </c>
      <c r="AP54" s="41" t="str">
        <f>IF(AND(AQ54="",AR54="",AX54="",BA54="",BC54=""),"",IF(AN54=1,(13-'Model Inputs'!$B$23)/12,1))</f>
        <v/>
      </c>
      <c r="AQ54" s="49" t="str">
        <f>IF(OR(AN54&lt;='Model Inputs'!$B$24,AR54&lt;&gt;"",AX54&lt;&gt;"",BA54&lt;&gt;"",BC54&lt;&gt;""),'Model Inputs'!$B$25*(1+'Model Inputs'!$B$31)^(AN54-1),"")</f>
        <v/>
      </c>
      <c r="AR54" s="49"/>
      <c r="AS54" s="49" t="str">
        <f t="shared" si="13"/>
        <v/>
      </c>
      <c r="AT54" s="49" t="str">
        <f t="shared" si="14"/>
        <v/>
      </c>
      <c r="AU54" s="49" t="str">
        <f>IF(AP54="","",IF(AN54=1,AP54*'Model Inputs'!$B$27,IF(AN54&lt;=MAX(2,'Model Inputs'!$B$30),'Model Inputs'!$B$27*(1+'Model Inputs'!$B$28)^(AN54-2),'Model Inputs'!$B$27*(1+'Model Inputs'!$B$28)^(MAX(2,'Model Inputs'!$B$30)-2)*(1+'Model Inputs'!$B$29)^(AN54-MAX(2,'Model Inputs'!$B$30)))))</f>
        <v/>
      </c>
      <c r="AV54" s="41" t="str">
        <f>IF(AU54="","",IF(AN54&lt;=2,0,'Model Inputs'!$B$32*SIN(2*PI()*(AN54-2+'Model Inputs'!$B$34)/MAX(1,'Model Inputs'!$B$33))))</f>
        <v/>
      </c>
      <c r="AW54" s="41"/>
      <c r="AX54" s="49"/>
      <c r="AY54" s="49" t="str">
        <f t="shared" si="30"/>
        <v/>
      </c>
      <c r="AZ54" s="49" t="str">
        <f>IF(AN54=1,'Model Inputs'!$B$26,"")</f>
        <v/>
      </c>
      <c r="BA54" s="49"/>
      <c r="BB54" s="49" t="str">
        <f t="shared" si="31"/>
        <v/>
      </c>
      <c r="BC54" s="49"/>
      <c r="BL54" s="49" t="str">
        <f>IF(C54="Working",LOOKUP(2,1/($BL$19:BL53&lt;&gt;""),$BL$19:BL53),"")</f>
        <v/>
      </c>
      <c r="BM54" s="49" t="str">
        <f>IF(C54="Working",LOOKUP(2,1/($BM$19:BM53&lt;&gt;""),$BM$19:BM53),"")</f>
        <v/>
      </c>
    </row>
    <row r="55" spans="1:65" x14ac:dyDescent="0.2">
      <c r="A55" s="65">
        <v>37</v>
      </c>
      <c r="B55" s="66" t="str">
        <f t="shared" si="0"/>
        <v/>
      </c>
      <c r="C55" s="65" t="str">
        <f t="shared" si="1"/>
        <v>Retired</v>
      </c>
      <c r="D55" s="66">
        <f>IF(OR(C55="Retired",B55=""),0,MIN(B55,'Tax Assumptions'!$B$19))</f>
        <v>0</v>
      </c>
      <c r="E55" s="49"/>
      <c r="F55" s="49"/>
      <c r="G55" s="66">
        <f>IF(C55="Working",MAX(B55-D55-E55-'Tax Assumptions'!$B$8,0),0)</f>
        <v>0</v>
      </c>
      <c r="H55" s="66">
        <f>IF(G55=0,0,LOOKUP(G55,'Tax Assumptions'!$F$9:$F$15,'Tax Assumptions'!$I$9:$I$15)+(G55-LOOKUP(G55,'Tax Assumptions'!$F$9:$F$15,'Tax Assumptions'!$F$9:$F$15))*LOOKUP(G55,'Tax Assumptions'!$F$9:$F$15,'Tax Assumptions'!$H$9:$H$15))</f>
        <v>0</v>
      </c>
      <c r="I55" s="66">
        <f>IF(C55="Working",MIN(MAX(B55-E55,0),'Tax Assumptions'!$B$11)*'Tax Assumptions'!$B$10,0)</f>
        <v>0</v>
      </c>
      <c r="J55" s="66">
        <f>IF(C55="Working",MAX(B55-E55,0)*'Tax Assumptions'!$B$12,0)</f>
        <v>0</v>
      </c>
      <c r="K55" s="66">
        <f>IF(C55="Working",MAX(MAX(B55-E55,0)-'Tax Assumptions'!$B$14,0)*'Tax Assumptions'!$B$13,0)</f>
        <v>0</v>
      </c>
      <c r="L55" s="67">
        <f>IF(C55="Working",MIN(B55*'Tax Assumptions'!$B$15,'Tax Assumptions'!$B$16),0)</f>
        <v>0</v>
      </c>
      <c r="M55" s="67">
        <f>IF(C55="Working",MIN(B55*'Tax Assumptions'!$B$17,'Tax Assumptions'!$B$18),0)</f>
        <v>0</v>
      </c>
      <c r="N55" s="66">
        <f>IF(C55="Working",MAX(B55-D55-'Tax Assumptions'!$B$9,0),0)</f>
        <v>0</v>
      </c>
      <c r="O55" s="66">
        <f>IF(N55=0,0,LOOKUP(N55,'Tax Assumptions'!$K$9:$K$17,'Tax Assumptions'!$N$9:$N$17)+(N55-LOOKUP(N55,'Tax Assumptions'!$K$9:$K$17,'Tax Assumptions'!$K$9:$K$17))*LOOKUP(N55,'Tax Assumptions'!$K$9:$K$17,'Tax Assumptions'!$M$9:$M$17))</f>
        <v>0</v>
      </c>
      <c r="P55" s="66">
        <f>IF(N55=0,0,LOOKUP(N55,'Tax Assumptions'!$P$9:$P$12,'Tax Assumptions'!$S$9:$S$12)+(N55-LOOKUP(N55,'Tax Assumptions'!$P$9:$P$12,'Tax Assumptions'!$P$9:$P$12))*LOOKUP(N55,'Tax Assumptions'!$P$9:$P$12,'Tax Assumptions'!$R$9:$R$12))</f>
        <v>0</v>
      </c>
      <c r="Q55" s="66">
        <f t="shared" si="2"/>
        <v>0</v>
      </c>
      <c r="R55" s="66">
        <f t="shared" si="3"/>
        <v>0</v>
      </c>
      <c r="S55" s="49" t="str">
        <f>IF(C55="Working",IF(BL55="","",BL55*(1+'Model Inputs'!$B$35)^(AN55-1)),"")</f>
        <v/>
      </c>
      <c r="T55" s="49" t="str">
        <f>IF(C55="Working",IF(BM55="","",BM55*(1+'Model Inputs'!$B$36)^(AN55-1)),"")</f>
        <v/>
      </c>
      <c r="U55" s="66">
        <f t="shared" si="4"/>
        <v>0</v>
      </c>
      <c r="V55" s="66">
        <f>IF(C55="Working",MIN(MAX(U55,0),'Tax Assumptions'!$B$20),0)</f>
        <v>0</v>
      </c>
      <c r="W55" s="66">
        <f t="shared" si="5"/>
        <v>0</v>
      </c>
      <c r="X55" s="66">
        <f t="shared" si="6"/>
        <v>0</v>
      </c>
      <c r="Y55" s="66">
        <f t="shared" si="7"/>
        <v>200000</v>
      </c>
      <c r="Z55" s="66">
        <f t="shared" si="8"/>
        <v>200000</v>
      </c>
      <c r="AA55" s="66">
        <f t="shared" si="17"/>
        <v>200000</v>
      </c>
      <c r="AB55" s="66">
        <f t="shared" si="18"/>
        <v>0</v>
      </c>
      <c r="AC55" s="66">
        <f t="shared" si="19"/>
        <v>0</v>
      </c>
      <c r="AD55" s="66">
        <f t="shared" si="20"/>
        <v>0</v>
      </c>
      <c r="AE55" s="68">
        <f t="shared" si="21"/>
        <v>16233701.241415767</v>
      </c>
      <c r="AF55" s="68">
        <f t="shared" si="22"/>
        <v>1557277.6481481672</v>
      </c>
      <c r="AG55" s="68">
        <f t="shared" si="23"/>
        <v>476717.64739229606</v>
      </c>
      <c r="AH55" s="68">
        <f t="shared" si="24"/>
        <v>0</v>
      </c>
      <c r="AI55" s="68">
        <f t="shared" si="9"/>
        <v>18267696.536956228</v>
      </c>
      <c r="AJ55" s="68">
        <f t="shared" si="25"/>
        <v>0</v>
      </c>
      <c r="AK55" s="68">
        <f t="shared" si="26"/>
        <v>37462884.739625536</v>
      </c>
      <c r="AL55" s="69">
        <f t="shared" si="10"/>
        <v>0</v>
      </c>
      <c r="AM55" s="69">
        <f t="shared" si="11"/>
        <v>0</v>
      </c>
      <c r="AN55" s="203">
        <f t="shared" si="12"/>
        <v>37</v>
      </c>
      <c r="AO55" s="203">
        <f>'Model Inputs'!$B$22+AN55-1</f>
        <v>2062</v>
      </c>
      <c r="AP55" s="41" t="str">
        <f>IF(AND(AQ55="",AR55="",AX55="",BA55="",BC55=""),"",IF(AN55=1,(13-'Model Inputs'!$B$23)/12,1))</f>
        <v/>
      </c>
      <c r="AQ55" s="49" t="str">
        <f>IF(OR(AN55&lt;='Model Inputs'!$B$24,AR55&lt;&gt;"",AX55&lt;&gt;"",BA55&lt;&gt;"",BC55&lt;&gt;""),'Model Inputs'!$B$25*(1+'Model Inputs'!$B$31)^(AN55-1),"")</f>
        <v/>
      </c>
      <c r="AR55" s="49"/>
      <c r="AS55" s="49" t="str">
        <f t="shared" si="13"/>
        <v/>
      </c>
      <c r="AT55" s="49" t="str">
        <f t="shared" si="14"/>
        <v/>
      </c>
      <c r="AU55" s="49" t="str">
        <f>IF(AP55="","",IF(AN55=1,AP55*'Model Inputs'!$B$27,IF(AN55&lt;=MAX(2,'Model Inputs'!$B$30),'Model Inputs'!$B$27*(1+'Model Inputs'!$B$28)^(AN55-2),'Model Inputs'!$B$27*(1+'Model Inputs'!$B$28)^(MAX(2,'Model Inputs'!$B$30)-2)*(1+'Model Inputs'!$B$29)^(AN55-MAX(2,'Model Inputs'!$B$30)))))</f>
        <v/>
      </c>
      <c r="AV55" s="41" t="str">
        <f>IF(AU55="","",IF(AN55&lt;=2,0,'Model Inputs'!$B$32*SIN(2*PI()*(AN55-2+'Model Inputs'!$B$34)/MAX(1,'Model Inputs'!$B$33))))</f>
        <v/>
      </c>
      <c r="AW55" s="41"/>
      <c r="AX55" s="49"/>
      <c r="AY55" s="49" t="str">
        <f t="shared" si="30"/>
        <v/>
      </c>
      <c r="AZ55" s="49" t="str">
        <f>IF(AN55=1,'Model Inputs'!$B$26,"")</f>
        <v/>
      </c>
      <c r="BA55" s="49"/>
      <c r="BB55" s="49" t="str">
        <f t="shared" si="31"/>
        <v/>
      </c>
      <c r="BC55" s="49"/>
      <c r="BL55" s="49" t="str">
        <f>IF(C55="Working",LOOKUP(2,1/($BL$19:BL54&lt;&gt;""),$BL$19:BL54),"")</f>
        <v/>
      </c>
      <c r="BM55" s="49" t="str">
        <f>IF(C55="Working",LOOKUP(2,1/($BM$19:BM54&lt;&gt;""),$BM$19:BM54),"")</f>
        <v/>
      </c>
    </row>
    <row r="56" spans="1:65" x14ac:dyDescent="0.2">
      <c r="A56" s="70">
        <v>38</v>
      </c>
      <c r="B56" s="71" t="str">
        <f t="shared" si="0"/>
        <v/>
      </c>
      <c r="C56" s="70" t="str">
        <f t="shared" si="1"/>
        <v>Retired</v>
      </c>
      <c r="D56" s="71">
        <f>IF(OR(C56="Retired",B56=""),0,MIN(B56,'Tax Assumptions'!$B$19))</f>
        <v>0</v>
      </c>
      <c r="E56" s="49"/>
      <c r="F56" s="49"/>
      <c r="G56" s="71">
        <f>IF(C56="Working",MAX(B56-D56-E56-'Tax Assumptions'!$B$8,0),0)</f>
        <v>0</v>
      </c>
      <c r="H56" s="71">
        <f>IF(G56=0,0,LOOKUP(G56,'Tax Assumptions'!$F$9:$F$15,'Tax Assumptions'!$I$9:$I$15)+(G56-LOOKUP(G56,'Tax Assumptions'!$F$9:$F$15,'Tax Assumptions'!$F$9:$F$15))*LOOKUP(G56,'Tax Assumptions'!$F$9:$F$15,'Tax Assumptions'!$H$9:$H$15))</f>
        <v>0</v>
      </c>
      <c r="I56" s="71">
        <f>IF(C56="Working",MIN(MAX(B56-E56,0),'Tax Assumptions'!$B$11)*'Tax Assumptions'!$B$10,0)</f>
        <v>0</v>
      </c>
      <c r="J56" s="71">
        <f>IF(C56="Working",MAX(B56-E56,0)*'Tax Assumptions'!$B$12,0)</f>
        <v>0</v>
      </c>
      <c r="K56" s="71">
        <f>IF(C56="Working",MAX(MAX(B56-E56,0)-'Tax Assumptions'!$B$14,0)*'Tax Assumptions'!$B$13,0)</f>
        <v>0</v>
      </c>
      <c r="L56" s="72">
        <f>IF(C56="Working",MIN(B56*'Tax Assumptions'!$B$15,'Tax Assumptions'!$B$16),0)</f>
        <v>0</v>
      </c>
      <c r="M56" s="72">
        <f>IF(C56="Working",MIN(B56*'Tax Assumptions'!$B$17,'Tax Assumptions'!$B$18),0)</f>
        <v>0</v>
      </c>
      <c r="N56" s="71">
        <f>IF(C56="Working",MAX(B56-D56-'Tax Assumptions'!$B$9,0),0)</f>
        <v>0</v>
      </c>
      <c r="O56" s="71">
        <f>IF(N56=0,0,LOOKUP(N56,'Tax Assumptions'!$K$9:$K$17,'Tax Assumptions'!$N$9:$N$17)+(N56-LOOKUP(N56,'Tax Assumptions'!$K$9:$K$17,'Tax Assumptions'!$K$9:$K$17))*LOOKUP(N56,'Tax Assumptions'!$K$9:$K$17,'Tax Assumptions'!$M$9:$M$17))</f>
        <v>0</v>
      </c>
      <c r="P56" s="71">
        <f>IF(N56=0,0,LOOKUP(N56,'Tax Assumptions'!$P$9:$P$12,'Tax Assumptions'!$S$9:$S$12)+(N56-LOOKUP(N56,'Tax Assumptions'!$P$9:$P$12,'Tax Assumptions'!$P$9:$P$12))*LOOKUP(N56,'Tax Assumptions'!$P$9:$P$12,'Tax Assumptions'!$R$9:$R$12))</f>
        <v>0</v>
      </c>
      <c r="Q56" s="71">
        <f t="shared" si="2"/>
        <v>0</v>
      </c>
      <c r="R56" s="71">
        <f t="shared" si="3"/>
        <v>0</v>
      </c>
      <c r="S56" s="49" t="str">
        <f>IF(C56="Working",IF(BL56="","",BL56*(1+'Model Inputs'!$B$35)^(AN56-1)),"")</f>
        <v/>
      </c>
      <c r="T56" s="49" t="str">
        <f>IF(C56="Working",IF(BM56="","",BM56*(1+'Model Inputs'!$B$36)^(AN56-1)),"")</f>
        <v/>
      </c>
      <c r="U56" s="71">
        <f t="shared" si="4"/>
        <v>0</v>
      </c>
      <c r="V56" s="71">
        <f>IF(C56="Working",MIN(MAX(U56,0),'Tax Assumptions'!$B$20),0)</f>
        <v>0</v>
      </c>
      <c r="W56" s="71">
        <f t="shared" si="5"/>
        <v>0</v>
      </c>
      <c r="X56" s="71">
        <f t="shared" si="6"/>
        <v>0</v>
      </c>
      <c r="Y56" s="71">
        <f t="shared" si="7"/>
        <v>200000</v>
      </c>
      <c r="Z56" s="71">
        <f t="shared" si="8"/>
        <v>200000</v>
      </c>
      <c r="AA56" s="71">
        <f t="shared" si="17"/>
        <v>200000</v>
      </c>
      <c r="AB56" s="71">
        <f t="shared" si="18"/>
        <v>0</v>
      </c>
      <c r="AC56" s="71">
        <f t="shared" si="19"/>
        <v>0</v>
      </c>
      <c r="AD56" s="71">
        <f t="shared" si="20"/>
        <v>0</v>
      </c>
      <c r="AE56" s="68">
        <f t="shared" si="21"/>
        <v>17007723.315900713</v>
      </c>
      <c r="AF56" s="68">
        <f t="shared" si="22"/>
        <v>1650714.3070370574</v>
      </c>
      <c r="AG56" s="68">
        <f t="shared" si="23"/>
        <v>505320.70623583387</v>
      </c>
      <c r="AH56" s="68">
        <f t="shared" si="24"/>
        <v>0</v>
      </c>
      <c r="AI56" s="68">
        <f t="shared" si="9"/>
        <v>19163758.329173602</v>
      </c>
      <c r="AJ56" s="68">
        <f t="shared" si="25"/>
        <v>0</v>
      </c>
      <c r="AK56" s="68">
        <f t="shared" si="26"/>
        <v>40259915.51879558</v>
      </c>
      <c r="AL56" s="73">
        <f t="shared" si="10"/>
        <v>0</v>
      </c>
      <c r="AM56" s="73">
        <f t="shared" si="11"/>
        <v>0</v>
      </c>
      <c r="AN56" s="203">
        <f t="shared" si="12"/>
        <v>38</v>
      </c>
      <c r="AO56" s="203">
        <f>'Model Inputs'!$B$22+AN56-1</f>
        <v>2063</v>
      </c>
      <c r="AP56" s="41" t="str">
        <f>IF(AND(AQ56="",AR56="",AX56="",BA56="",BC56=""),"",IF(AN56=1,(13-'Model Inputs'!$B$23)/12,1))</f>
        <v/>
      </c>
      <c r="AQ56" s="49" t="str">
        <f>IF(OR(AN56&lt;='Model Inputs'!$B$24,AR56&lt;&gt;"",AX56&lt;&gt;"",BA56&lt;&gt;"",BC56&lt;&gt;""),'Model Inputs'!$B$25*(1+'Model Inputs'!$B$31)^(AN56-1),"")</f>
        <v/>
      </c>
      <c r="AR56" s="49"/>
      <c r="AS56" s="49" t="str">
        <f t="shared" si="13"/>
        <v/>
      </c>
      <c r="AT56" s="49" t="str">
        <f t="shared" si="14"/>
        <v/>
      </c>
      <c r="AU56" s="49" t="str">
        <f>IF(AP56="","",IF(AN56=1,AP56*'Model Inputs'!$B$27,IF(AN56&lt;=MAX(2,'Model Inputs'!$B$30),'Model Inputs'!$B$27*(1+'Model Inputs'!$B$28)^(AN56-2),'Model Inputs'!$B$27*(1+'Model Inputs'!$B$28)^(MAX(2,'Model Inputs'!$B$30)-2)*(1+'Model Inputs'!$B$29)^(AN56-MAX(2,'Model Inputs'!$B$30)))))</f>
        <v/>
      </c>
      <c r="AV56" s="41" t="str">
        <f>IF(AU56="","",IF(AN56&lt;=2,0,'Model Inputs'!$B$32*SIN(2*PI()*(AN56-2+'Model Inputs'!$B$34)/MAX(1,'Model Inputs'!$B$33))))</f>
        <v/>
      </c>
      <c r="AW56" s="41"/>
      <c r="AX56" s="49"/>
      <c r="AY56" s="49" t="str">
        <f t="shared" si="30"/>
        <v/>
      </c>
      <c r="AZ56" s="49" t="str">
        <f>IF(AN56=1,'Model Inputs'!$B$26,"")</f>
        <v/>
      </c>
      <c r="BA56" s="49"/>
      <c r="BB56" s="49" t="str">
        <f t="shared" si="31"/>
        <v/>
      </c>
      <c r="BC56" s="49"/>
      <c r="BL56" s="49" t="str">
        <f>IF(C56="Working",LOOKUP(2,1/($BL$19:BL55&lt;&gt;""),$BL$19:BL55),"")</f>
        <v/>
      </c>
      <c r="BM56" s="49" t="str">
        <f>IF(C56="Working",LOOKUP(2,1/($BM$19:BM55&lt;&gt;""),$BM$19:BM55),"")</f>
        <v/>
      </c>
    </row>
    <row r="57" spans="1:65" x14ac:dyDescent="0.2">
      <c r="A57" s="65">
        <v>39</v>
      </c>
      <c r="B57" s="66" t="str">
        <f t="shared" si="0"/>
        <v/>
      </c>
      <c r="C57" s="65" t="str">
        <f t="shared" si="1"/>
        <v>Retired</v>
      </c>
      <c r="D57" s="66">
        <f>IF(OR(C57="Retired",B57=""),0,MIN(B57,'Tax Assumptions'!$B$19))</f>
        <v>0</v>
      </c>
      <c r="E57" s="49"/>
      <c r="F57" s="49"/>
      <c r="G57" s="66">
        <f>IF(C57="Working",MAX(B57-D57-E57-'Tax Assumptions'!$B$8,0),0)</f>
        <v>0</v>
      </c>
      <c r="H57" s="66">
        <f>IF(G57=0,0,LOOKUP(G57,'Tax Assumptions'!$F$9:$F$15,'Tax Assumptions'!$I$9:$I$15)+(G57-LOOKUP(G57,'Tax Assumptions'!$F$9:$F$15,'Tax Assumptions'!$F$9:$F$15))*LOOKUP(G57,'Tax Assumptions'!$F$9:$F$15,'Tax Assumptions'!$H$9:$H$15))</f>
        <v>0</v>
      </c>
      <c r="I57" s="66">
        <f>IF(C57="Working",MIN(MAX(B57-E57,0),'Tax Assumptions'!$B$11)*'Tax Assumptions'!$B$10,0)</f>
        <v>0</v>
      </c>
      <c r="J57" s="66">
        <f>IF(C57="Working",MAX(B57-E57,0)*'Tax Assumptions'!$B$12,0)</f>
        <v>0</v>
      </c>
      <c r="K57" s="66">
        <f>IF(C57="Working",MAX(MAX(B57-E57,0)-'Tax Assumptions'!$B$14,0)*'Tax Assumptions'!$B$13,0)</f>
        <v>0</v>
      </c>
      <c r="L57" s="67">
        <f>IF(C57="Working",MIN(B57*'Tax Assumptions'!$B$15,'Tax Assumptions'!$B$16),0)</f>
        <v>0</v>
      </c>
      <c r="M57" s="67">
        <f>IF(C57="Working",MIN(B57*'Tax Assumptions'!$B$17,'Tax Assumptions'!$B$18),0)</f>
        <v>0</v>
      </c>
      <c r="N57" s="66">
        <f>IF(C57="Working",MAX(B57-D57-'Tax Assumptions'!$B$9,0),0)</f>
        <v>0</v>
      </c>
      <c r="O57" s="66">
        <f>IF(N57=0,0,LOOKUP(N57,'Tax Assumptions'!$K$9:$K$17,'Tax Assumptions'!$N$9:$N$17)+(N57-LOOKUP(N57,'Tax Assumptions'!$K$9:$K$17,'Tax Assumptions'!$K$9:$K$17))*LOOKUP(N57,'Tax Assumptions'!$K$9:$K$17,'Tax Assumptions'!$M$9:$M$17))</f>
        <v>0</v>
      </c>
      <c r="P57" s="66">
        <f>IF(N57=0,0,LOOKUP(N57,'Tax Assumptions'!$P$9:$P$12,'Tax Assumptions'!$S$9:$S$12)+(N57-LOOKUP(N57,'Tax Assumptions'!$P$9:$P$12,'Tax Assumptions'!$P$9:$P$12))*LOOKUP(N57,'Tax Assumptions'!$P$9:$P$12,'Tax Assumptions'!$R$9:$R$12))</f>
        <v>0</v>
      </c>
      <c r="Q57" s="66">
        <f t="shared" si="2"/>
        <v>0</v>
      </c>
      <c r="R57" s="66">
        <f t="shared" si="3"/>
        <v>0</v>
      </c>
      <c r="S57" s="49" t="str">
        <f>IF(C57="Working",IF(BL57="","",BL57*(1+'Model Inputs'!$B$35)^(AN57-1)),"")</f>
        <v/>
      </c>
      <c r="T57" s="49" t="str">
        <f>IF(C57="Working",IF(BM57="","",BM57*(1+'Model Inputs'!$B$36)^(AN57-1)),"")</f>
        <v/>
      </c>
      <c r="U57" s="66">
        <f t="shared" si="4"/>
        <v>0</v>
      </c>
      <c r="V57" s="66">
        <f>IF(C57="Working",MIN(MAX(U57,0),'Tax Assumptions'!$B$20),0)</f>
        <v>0</v>
      </c>
      <c r="W57" s="66">
        <f t="shared" si="5"/>
        <v>0</v>
      </c>
      <c r="X57" s="66">
        <f t="shared" si="6"/>
        <v>0</v>
      </c>
      <c r="Y57" s="66">
        <f t="shared" si="7"/>
        <v>200000</v>
      </c>
      <c r="Z57" s="66">
        <f t="shared" si="8"/>
        <v>200000</v>
      </c>
      <c r="AA57" s="66">
        <f t="shared" si="17"/>
        <v>200000</v>
      </c>
      <c r="AB57" s="66">
        <f t="shared" si="18"/>
        <v>0</v>
      </c>
      <c r="AC57" s="66">
        <f t="shared" si="19"/>
        <v>0</v>
      </c>
      <c r="AD57" s="66">
        <f t="shared" si="20"/>
        <v>0</v>
      </c>
      <c r="AE57" s="68">
        <f t="shared" si="21"/>
        <v>17828186.714854758</v>
      </c>
      <c r="AF57" s="68">
        <f t="shared" si="22"/>
        <v>1749757.1654592808</v>
      </c>
      <c r="AG57" s="68">
        <f t="shared" si="23"/>
        <v>535639.9486099839</v>
      </c>
      <c r="AH57" s="68">
        <f t="shared" si="24"/>
        <v>0</v>
      </c>
      <c r="AI57" s="68">
        <f t="shared" si="9"/>
        <v>20113583.828924023</v>
      </c>
      <c r="AJ57" s="68">
        <f t="shared" si="25"/>
        <v>0</v>
      </c>
      <c r="AK57" s="68">
        <f t="shared" si="26"/>
        <v>43280708.760299228</v>
      </c>
      <c r="AL57" s="69">
        <f t="shared" si="10"/>
        <v>0</v>
      </c>
      <c r="AM57" s="69">
        <f t="shared" si="11"/>
        <v>0</v>
      </c>
      <c r="AN57" s="203">
        <f t="shared" si="12"/>
        <v>39</v>
      </c>
      <c r="AO57" s="203">
        <f>'Model Inputs'!$B$22+AN57-1</f>
        <v>2064</v>
      </c>
      <c r="AP57" s="41" t="str">
        <f>IF(AND(AQ57="",AR57="",AX57="",BA57="",BC57=""),"",IF(AN57=1,(13-'Model Inputs'!$B$23)/12,1))</f>
        <v/>
      </c>
      <c r="AQ57" s="49" t="str">
        <f>IF(OR(AN57&lt;='Model Inputs'!$B$24,AR57&lt;&gt;"",AX57&lt;&gt;"",BA57&lt;&gt;"",BC57&lt;&gt;""),'Model Inputs'!$B$25*(1+'Model Inputs'!$B$31)^(AN57-1),"")</f>
        <v/>
      </c>
      <c r="AR57" s="49"/>
      <c r="AS57" s="49" t="str">
        <f t="shared" si="13"/>
        <v/>
      </c>
      <c r="AT57" s="49" t="str">
        <f t="shared" si="14"/>
        <v/>
      </c>
      <c r="AU57" s="49" t="str">
        <f>IF(AP57="","",IF(AN57=1,AP57*'Model Inputs'!$B$27,IF(AN57&lt;=MAX(2,'Model Inputs'!$B$30),'Model Inputs'!$B$27*(1+'Model Inputs'!$B$28)^(AN57-2),'Model Inputs'!$B$27*(1+'Model Inputs'!$B$28)^(MAX(2,'Model Inputs'!$B$30)-2)*(1+'Model Inputs'!$B$29)^(AN57-MAX(2,'Model Inputs'!$B$30)))))</f>
        <v/>
      </c>
      <c r="AV57" s="41" t="str">
        <f>IF(AU57="","",IF(AN57&lt;=2,0,'Model Inputs'!$B$32*SIN(2*PI()*(AN57-2+'Model Inputs'!$B$34)/MAX(1,'Model Inputs'!$B$33))))</f>
        <v/>
      </c>
      <c r="AW57" s="41"/>
      <c r="AX57" s="49"/>
      <c r="AY57" s="49" t="str">
        <f t="shared" si="30"/>
        <v/>
      </c>
      <c r="AZ57" s="49" t="str">
        <f>IF(AN57=1,'Model Inputs'!$B$26,"")</f>
        <v/>
      </c>
      <c r="BA57" s="49"/>
      <c r="BB57" s="49" t="str">
        <f t="shared" si="31"/>
        <v/>
      </c>
      <c r="BC57" s="49"/>
      <c r="BL57" s="49" t="str">
        <f>IF(C57="Working",LOOKUP(2,1/($BL$19:BL56&lt;&gt;""),$BL$19:BL56),"")</f>
        <v/>
      </c>
      <c r="BM57" s="49" t="str">
        <f>IF(C57="Working",LOOKUP(2,1/($BM$19:BM56&lt;&gt;""),$BM$19:BM56),"")</f>
        <v/>
      </c>
    </row>
    <row r="58" spans="1:65" x14ac:dyDescent="0.2">
      <c r="A58" s="70">
        <v>40</v>
      </c>
      <c r="B58" s="71" t="str">
        <f t="shared" si="0"/>
        <v/>
      </c>
      <c r="C58" s="70" t="str">
        <f t="shared" si="1"/>
        <v>Retired</v>
      </c>
      <c r="D58" s="71">
        <f>IF(OR(C58="Retired",B58=""),0,MIN(B58,'Tax Assumptions'!$B$19))</f>
        <v>0</v>
      </c>
      <c r="E58" s="49"/>
      <c r="F58" s="49"/>
      <c r="G58" s="71">
        <f>IF(C58="Working",MAX(B58-D58-E58-'Tax Assumptions'!$B$8,0),0)</f>
        <v>0</v>
      </c>
      <c r="H58" s="71">
        <f>IF(G58=0,0,LOOKUP(G58,'Tax Assumptions'!$F$9:$F$15,'Tax Assumptions'!$I$9:$I$15)+(G58-LOOKUP(G58,'Tax Assumptions'!$F$9:$F$15,'Tax Assumptions'!$F$9:$F$15))*LOOKUP(G58,'Tax Assumptions'!$F$9:$F$15,'Tax Assumptions'!$H$9:$H$15))</f>
        <v>0</v>
      </c>
      <c r="I58" s="71">
        <f>IF(C58="Working",MIN(MAX(B58-E58,0),'Tax Assumptions'!$B$11)*'Tax Assumptions'!$B$10,0)</f>
        <v>0</v>
      </c>
      <c r="J58" s="71">
        <f>IF(C58="Working",MAX(B58-E58,0)*'Tax Assumptions'!$B$12,0)</f>
        <v>0</v>
      </c>
      <c r="K58" s="71">
        <f>IF(C58="Working",MAX(MAX(B58-E58,0)-'Tax Assumptions'!$B$14,0)*'Tax Assumptions'!$B$13,0)</f>
        <v>0</v>
      </c>
      <c r="L58" s="72">
        <f>IF(C58="Working",MIN(B58*'Tax Assumptions'!$B$15,'Tax Assumptions'!$B$16),0)</f>
        <v>0</v>
      </c>
      <c r="M58" s="72">
        <f>IF(C58="Working",MIN(B58*'Tax Assumptions'!$B$17,'Tax Assumptions'!$B$18),0)</f>
        <v>0</v>
      </c>
      <c r="N58" s="71">
        <f>IF(C58="Working",MAX(B58-D58-'Tax Assumptions'!$B$9,0),0)</f>
        <v>0</v>
      </c>
      <c r="O58" s="71">
        <f>IF(N58=0,0,LOOKUP(N58,'Tax Assumptions'!$K$9:$K$17,'Tax Assumptions'!$N$9:$N$17)+(N58-LOOKUP(N58,'Tax Assumptions'!$K$9:$K$17,'Tax Assumptions'!$K$9:$K$17))*LOOKUP(N58,'Tax Assumptions'!$K$9:$K$17,'Tax Assumptions'!$M$9:$M$17))</f>
        <v>0</v>
      </c>
      <c r="P58" s="71">
        <f>IF(N58=0,0,LOOKUP(N58,'Tax Assumptions'!$P$9:$P$12,'Tax Assumptions'!$S$9:$S$12)+(N58-LOOKUP(N58,'Tax Assumptions'!$P$9:$P$12,'Tax Assumptions'!$P$9:$P$12))*LOOKUP(N58,'Tax Assumptions'!$P$9:$P$12,'Tax Assumptions'!$R$9:$R$12))</f>
        <v>0</v>
      </c>
      <c r="Q58" s="71">
        <f t="shared" si="2"/>
        <v>0</v>
      </c>
      <c r="R58" s="71">
        <f t="shared" si="3"/>
        <v>0</v>
      </c>
      <c r="S58" s="49" t="str">
        <f>IF(C58="Working",IF(BL58="","",BL58*(1+'Model Inputs'!$B$35)^(AN58-1)),"")</f>
        <v/>
      </c>
      <c r="T58" s="49" t="str">
        <f>IF(C58="Working",IF(BM58="","",BM58*(1+'Model Inputs'!$B$36)^(AN58-1)),"")</f>
        <v/>
      </c>
      <c r="U58" s="71">
        <f t="shared" si="4"/>
        <v>0</v>
      </c>
      <c r="V58" s="71">
        <f>IF(C58="Working",MIN(MAX(U58,0),'Tax Assumptions'!$B$20),0)</f>
        <v>0</v>
      </c>
      <c r="W58" s="71">
        <f t="shared" si="5"/>
        <v>0</v>
      </c>
      <c r="X58" s="71">
        <f t="shared" si="6"/>
        <v>0</v>
      </c>
      <c r="Y58" s="71">
        <f t="shared" si="7"/>
        <v>200000</v>
      </c>
      <c r="Z58" s="71">
        <f t="shared" si="8"/>
        <v>200000</v>
      </c>
      <c r="AA58" s="71">
        <f t="shared" si="17"/>
        <v>200000</v>
      </c>
      <c r="AB58" s="71">
        <f t="shared" si="18"/>
        <v>0</v>
      </c>
      <c r="AC58" s="71">
        <f t="shared" si="19"/>
        <v>0</v>
      </c>
      <c r="AD58" s="71">
        <f t="shared" si="20"/>
        <v>0</v>
      </c>
      <c r="AE58" s="68">
        <f t="shared" si="21"/>
        <v>18697877.917746045</v>
      </c>
      <c r="AF58" s="68">
        <f t="shared" si="22"/>
        <v>1854742.5953868378</v>
      </c>
      <c r="AG58" s="68">
        <f t="shared" si="23"/>
        <v>567778.34552658291</v>
      </c>
      <c r="AH58" s="68">
        <f t="shared" si="24"/>
        <v>0</v>
      </c>
      <c r="AI58" s="68">
        <f t="shared" si="9"/>
        <v>21120398.858659465</v>
      </c>
      <c r="AJ58" s="68">
        <f t="shared" si="25"/>
        <v>0</v>
      </c>
      <c r="AK58" s="68">
        <f t="shared" si="26"/>
        <v>46543165.461123168</v>
      </c>
      <c r="AL58" s="73">
        <f t="shared" si="10"/>
        <v>0</v>
      </c>
      <c r="AM58" s="73">
        <f t="shared" si="11"/>
        <v>0</v>
      </c>
      <c r="AN58" s="203">
        <f t="shared" si="12"/>
        <v>40</v>
      </c>
      <c r="AO58" s="203">
        <f>'Model Inputs'!$B$22+AN58-1</f>
        <v>2065</v>
      </c>
      <c r="AP58" s="41" t="str">
        <f>IF(AND(AQ58="",AR58="",AX58="",BA58="",BC58=""),"",IF(AN58=1,(13-'Model Inputs'!$B$23)/12,1))</f>
        <v/>
      </c>
      <c r="AQ58" s="49" t="str">
        <f>IF(OR(AN58&lt;='Model Inputs'!$B$24,AR58&lt;&gt;"",AX58&lt;&gt;"",BA58&lt;&gt;"",BC58&lt;&gt;""),'Model Inputs'!$B$25*(1+'Model Inputs'!$B$31)^(AN58-1),"")</f>
        <v/>
      </c>
      <c r="AR58" s="49"/>
      <c r="AS58" s="49" t="str">
        <f t="shared" si="13"/>
        <v/>
      </c>
      <c r="AT58" s="49" t="str">
        <f t="shared" si="14"/>
        <v/>
      </c>
      <c r="AU58" s="49" t="str">
        <f>IF(AP58="","",IF(AN58=1,AP58*'Model Inputs'!$B$27,IF(AN58&lt;=MAX(2,'Model Inputs'!$B$30),'Model Inputs'!$B$27*(1+'Model Inputs'!$B$28)^(AN58-2),'Model Inputs'!$B$27*(1+'Model Inputs'!$B$28)^(MAX(2,'Model Inputs'!$B$30)-2)*(1+'Model Inputs'!$B$29)^(AN58-MAX(2,'Model Inputs'!$B$30)))))</f>
        <v/>
      </c>
      <c r="AV58" s="41" t="str">
        <f>IF(AU58="","",IF(AN58&lt;=2,0,'Model Inputs'!$B$32*SIN(2*PI()*(AN58-2+'Model Inputs'!$B$34)/MAX(1,'Model Inputs'!$B$33))))</f>
        <v/>
      </c>
      <c r="AW58" s="41"/>
      <c r="AX58" s="49"/>
      <c r="AY58" s="49" t="str">
        <f t="shared" si="30"/>
        <v/>
      </c>
      <c r="AZ58" s="49" t="str">
        <f>IF(AN58=1,'Model Inputs'!$B$26,"")</f>
        <v/>
      </c>
      <c r="BA58" s="49"/>
      <c r="BB58" s="49" t="str">
        <f t="shared" si="31"/>
        <v/>
      </c>
      <c r="BC58" s="49"/>
      <c r="BL58" s="49" t="str">
        <f>IF(C58="Working",LOOKUP(2,1/($BL$19:BL57&lt;&gt;""),$BL$19:BL57),"")</f>
        <v/>
      </c>
      <c r="BM58" s="49" t="str">
        <f>IF(C58="Working",LOOKUP(2,1/($BM$19:BM57&lt;&gt;""),$BM$19:BM57),"")</f>
        <v/>
      </c>
    </row>
    <row r="59" spans="1:65" x14ac:dyDescent="0.2">
      <c r="A59" s="74" t="s">
        <v>277</v>
      </c>
      <c r="B59" s="75">
        <f>SUM(B19:B58)</f>
        <v>12380228.022942238</v>
      </c>
      <c r="C59" s="74"/>
      <c r="D59" s="75">
        <f>SUM(D19:D58)</f>
        <v>245000</v>
      </c>
      <c r="E59" s="75">
        <f>SUM(E19:E58)</f>
        <v>0</v>
      </c>
      <c r="F59" s="75">
        <f>SUM(F19:F58)</f>
        <v>0</v>
      </c>
      <c r="G59" s="74"/>
      <c r="H59" s="75">
        <f t="shared" ref="H59:M59" si="32">SUM(H19:H58)</f>
        <v>3998158.868488628</v>
      </c>
      <c r="I59" s="75">
        <f t="shared" si="32"/>
        <v>114390</v>
      </c>
      <c r="J59" s="75">
        <f t="shared" si="32"/>
        <v>179513.30633266247</v>
      </c>
      <c r="K59" s="75">
        <f t="shared" si="32"/>
        <v>93422.052206480119</v>
      </c>
      <c r="L59" s="75">
        <f t="shared" si="32"/>
        <v>4119.0999999999995</v>
      </c>
      <c r="M59" s="75">
        <f t="shared" si="32"/>
        <v>311.99999999999994</v>
      </c>
      <c r="N59" s="74"/>
      <c r="O59" s="75">
        <f t="shared" ref="O59:T59" si="33">SUM(O19:O58)</f>
        <v>897322.07883350668</v>
      </c>
      <c r="P59" s="75">
        <f t="shared" si="33"/>
        <v>466012.33816924115</v>
      </c>
      <c r="Q59" s="75">
        <f t="shared" si="33"/>
        <v>5753249.7440305185</v>
      </c>
      <c r="R59" s="75">
        <f t="shared" si="33"/>
        <v>6381978.2789117191</v>
      </c>
      <c r="S59" s="75">
        <f t="shared" si="33"/>
        <v>906492.07329765835</v>
      </c>
      <c r="T59" s="75">
        <f t="shared" si="33"/>
        <v>552893.96557353658</v>
      </c>
      <c r="U59" s="74"/>
      <c r="V59" s="75">
        <f t="shared" ref="V59:AD59" si="34">SUM(V19:V58)</f>
        <v>75000</v>
      </c>
      <c r="W59" s="75">
        <f t="shared" si="34"/>
        <v>4847592.2400405239</v>
      </c>
      <c r="X59" s="75">
        <f t="shared" si="34"/>
        <v>5167592.2400405239</v>
      </c>
      <c r="Y59" s="75">
        <f t="shared" si="34"/>
        <v>6000000</v>
      </c>
      <c r="Z59" s="75">
        <f t="shared" si="34"/>
        <v>6000000</v>
      </c>
      <c r="AA59" s="75">
        <f t="shared" si="34"/>
        <v>6000000</v>
      </c>
      <c r="AB59" s="75">
        <f t="shared" si="34"/>
        <v>0</v>
      </c>
      <c r="AC59" s="75">
        <f t="shared" si="34"/>
        <v>0</v>
      </c>
      <c r="AD59" s="75">
        <f t="shared" si="34"/>
        <v>0</v>
      </c>
      <c r="AE59" s="75">
        <f t="shared" ref="AE59:AK59" si="35">AE58</f>
        <v>18697877.917746045</v>
      </c>
      <c r="AF59" s="75">
        <f t="shared" si="35"/>
        <v>1854742.5953868378</v>
      </c>
      <c r="AG59" s="75">
        <f t="shared" si="35"/>
        <v>567778.34552658291</v>
      </c>
      <c r="AH59" s="75">
        <f t="shared" si="35"/>
        <v>0</v>
      </c>
      <c r="AI59" s="75">
        <f t="shared" si="35"/>
        <v>21120398.858659465</v>
      </c>
      <c r="AJ59" s="75">
        <f t="shared" si="35"/>
        <v>0</v>
      </c>
      <c r="AK59" s="75">
        <f t="shared" si="35"/>
        <v>46543165.461123168</v>
      </c>
      <c r="AL59" s="76">
        <f>AVERAGEIF(AL19:AL58,"&gt;0",AL19:AL58)</f>
        <v>0.36621862489595847</v>
      </c>
      <c r="AM59" s="76">
        <f>AVERAGEIF(AM19:AM58,"&gt;0",AM19:AM58)</f>
        <v>0.4017881988487349</v>
      </c>
    </row>
  </sheetData>
  <mergeCells count="18">
    <mergeCell ref="AN5:BB6"/>
    <mergeCell ref="M9:AM9"/>
    <mergeCell ref="F11:K11"/>
    <mergeCell ref="F5:K5"/>
    <mergeCell ref="A1:AM1"/>
    <mergeCell ref="M7:AM7"/>
    <mergeCell ref="AN4:BB4"/>
    <mergeCell ref="M8:AM8"/>
    <mergeCell ref="F10:K10"/>
    <mergeCell ref="F6:K6"/>
    <mergeCell ref="M6:AM6"/>
    <mergeCell ref="M10:AM10"/>
    <mergeCell ref="M11:AM11"/>
    <mergeCell ref="F9:K9"/>
    <mergeCell ref="F7:K7"/>
    <mergeCell ref="F8:K8"/>
    <mergeCell ref="A2:AM2"/>
    <mergeCell ref="M5:AM5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96A86"/>
  </sheetPr>
  <dimension ref="A1:AG1400"/>
  <sheetViews>
    <sheetView showGridLines="0" zoomScale="90" workbookViewId="0">
      <pane ySplit="29" topLeftCell="A116" activePane="bottomLeft" state="frozen"/>
      <selection pane="bottomLeft" activeCell="Q138" sqref="Q138"/>
    </sheetView>
  </sheetViews>
  <sheetFormatPr baseColWidth="10" defaultColWidth="8.83203125" defaultRowHeight="15" x14ac:dyDescent="0.2"/>
  <cols>
    <col min="1" max="1" width="10" customWidth="1"/>
    <col min="2" max="4" width="14" customWidth="1"/>
    <col min="5" max="5" width="16" customWidth="1"/>
    <col min="6" max="6" width="18" customWidth="1"/>
    <col min="7" max="12" width="14" customWidth="1"/>
    <col min="13" max="13" width="16" customWidth="1"/>
    <col min="14" max="16" width="15" customWidth="1"/>
    <col min="17" max="20" width="13" customWidth="1"/>
    <col min="21" max="22" width="15" customWidth="1"/>
    <col min="23" max="24" width="14" customWidth="1"/>
    <col min="25" max="25" width="15" customWidth="1"/>
    <col min="26" max="26" width="14" customWidth="1"/>
    <col min="27" max="27" width="12" customWidth="1"/>
    <col min="28" max="32" width="14" customWidth="1"/>
    <col min="33" max="33" width="16" customWidth="1"/>
  </cols>
  <sheetData>
    <row r="1" spans="1:33" ht="30" customHeight="1" x14ac:dyDescent="0.2">
      <c r="A1" s="317" t="s">
        <v>278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5"/>
      <c r="AC1" s="5"/>
      <c r="AD1" s="5"/>
      <c r="AE1" s="5"/>
      <c r="AF1" s="5"/>
      <c r="AG1" s="5"/>
    </row>
    <row r="2" spans="1:33" ht="22" customHeight="1" x14ac:dyDescent="0.2">
      <c r="A2" s="315" t="s">
        <v>279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5"/>
      <c r="AC2" s="5"/>
      <c r="AD2" s="5"/>
      <c r="AE2" s="5"/>
      <c r="AF2" s="5"/>
      <c r="AG2" s="5"/>
    </row>
    <row r="3" spans="1:33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x14ac:dyDescent="0.2">
      <c r="A4" s="34" t="s">
        <v>280</v>
      </c>
      <c r="B4" s="35"/>
      <c r="C4" s="35"/>
      <c r="D4" s="33"/>
      <c r="E4" s="5"/>
      <c r="F4" s="7" t="s">
        <v>26</v>
      </c>
      <c r="G4" s="35"/>
      <c r="H4" s="35"/>
      <c r="I4" s="33"/>
      <c r="J4" s="5"/>
      <c r="K4" s="5"/>
      <c r="L4" s="5"/>
      <c r="M4" s="5"/>
      <c r="N4" s="5"/>
      <c r="O4" s="5"/>
      <c r="P4" s="321" t="s">
        <v>281</v>
      </c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8"/>
    </row>
    <row r="5" spans="1:33" x14ac:dyDescent="0.2">
      <c r="A5" s="9" t="s">
        <v>27</v>
      </c>
      <c r="B5" s="77" t="str">
        <f>'Model Inputs'!$F$5</f>
        <v>Downside</v>
      </c>
      <c r="C5" s="77" t="str">
        <f>'Model Inputs'!$G$5</f>
        <v>Base</v>
      </c>
      <c r="D5" s="78" t="str">
        <f>'Model Inputs'!$H$5</f>
        <v>Upside</v>
      </c>
      <c r="E5" s="5"/>
      <c r="F5" s="79" t="s">
        <v>116</v>
      </c>
      <c r="G5" s="80" t="str">
        <f>B5</f>
        <v>Downside</v>
      </c>
      <c r="H5" s="81" t="str">
        <f>C5</f>
        <v>Base</v>
      </c>
      <c r="I5" s="82" t="str">
        <f>D5</f>
        <v>Upside</v>
      </c>
      <c r="J5" s="5"/>
      <c r="K5" s="5"/>
      <c r="L5" s="5"/>
      <c r="M5" s="5"/>
      <c r="N5" s="5"/>
      <c r="O5" s="5"/>
      <c r="P5" s="269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1"/>
    </row>
    <row r="6" spans="1:33" x14ac:dyDescent="0.2">
      <c r="A6" s="9" t="s">
        <v>121</v>
      </c>
      <c r="B6" s="83">
        <f>'Model Inputs'!$F$6</f>
        <v>0.75</v>
      </c>
      <c r="C6" s="83">
        <f>'Model Inputs'!$G$6</f>
        <v>1</v>
      </c>
      <c r="D6" s="84">
        <f>'Model Inputs'!$H$6</f>
        <v>1.2</v>
      </c>
      <c r="E6" s="5"/>
      <c r="F6" s="9" t="s">
        <v>121</v>
      </c>
      <c r="G6" s="85">
        <f>$B$6</f>
        <v>0.75</v>
      </c>
      <c r="H6" s="85">
        <f>$C$6</f>
        <v>1</v>
      </c>
      <c r="I6" s="11">
        <f>$D$6</f>
        <v>1.2</v>
      </c>
      <c r="J6" s="5"/>
      <c r="K6" s="5"/>
      <c r="L6" s="5"/>
      <c r="M6" s="5"/>
      <c r="N6" s="5"/>
      <c r="O6" s="5"/>
      <c r="P6" s="269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1"/>
    </row>
    <row r="7" spans="1:33" x14ac:dyDescent="0.2">
      <c r="A7" s="9" t="s">
        <v>152</v>
      </c>
      <c r="B7" s="83">
        <f>'Model Inputs'!$F$7</f>
        <v>1.04</v>
      </c>
      <c r="C7" s="83">
        <f>'Model Inputs'!$G$7</f>
        <v>1</v>
      </c>
      <c r="D7" s="84">
        <f>'Model Inputs'!$H$7</f>
        <v>0.97</v>
      </c>
      <c r="E7" s="5"/>
      <c r="F7" s="9" t="s">
        <v>122</v>
      </c>
      <c r="G7" s="85">
        <f>$B$10</f>
        <v>0.04</v>
      </c>
      <c r="H7" s="85">
        <f>$C$10</f>
        <v>0.06</v>
      </c>
      <c r="I7" s="11">
        <f>$D$10</f>
        <v>0.09</v>
      </c>
      <c r="J7" s="5"/>
      <c r="K7" s="5"/>
      <c r="L7" s="5"/>
      <c r="M7" s="5"/>
      <c r="N7" s="5"/>
      <c r="O7" s="5"/>
      <c r="P7" s="269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1"/>
    </row>
    <row r="8" spans="1:33" x14ac:dyDescent="0.2">
      <c r="A8" s="9" t="s">
        <v>154</v>
      </c>
      <c r="B8" s="83">
        <f>'Model Inputs'!$F$8</f>
        <v>1</v>
      </c>
      <c r="C8" s="83">
        <f>'Model Inputs'!$G$8</f>
        <v>1</v>
      </c>
      <c r="D8" s="84">
        <f>'Model Inputs'!$H$8</f>
        <v>1.05</v>
      </c>
      <c r="E8" s="5"/>
      <c r="F8" s="9" t="s">
        <v>95</v>
      </c>
      <c r="G8" s="10">
        <f>$B$12</f>
        <v>170000</v>
      </c>
      <c r="H8" s="10">
        <f>$C$12</f>
        <v>200000</v>
      </c>
      <c r="I8" s="86">
        <f>$D$12</f>
        <v>240000</v>
      </c>
      <c r="J8" s="5"/>
      <c r="K8" s="5"/>
      <c r="L8" s="5"/>
      <c r="M8" s="5"/>
      <c r="N8" s="5"/>
      <c r="O8" s="5"/>
      <c r="P8" s="269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  <c r="AC8" s="270"/>
      <c r="AD8" s="270"/>
      <c r="AE8" s="270"/>
      <c r="AF8" s="270"/>
      <c r="AG8" s="271"/>
    </row>
    <row r="9" spans="1:33" x14ac:dyDescent="0.2">
      <c r="A9" s="9" t="s">
        <v>156</v>
      </c>
      <c r="B9" s="83">
        <f>'Model Inputs'!$F$9</f>
        <v>0.95</v>
      </c>
      <c r="C9" s="83">
        <f>'Model Inputs'!$G$9</f>
        <v>1</v>
      </c>
      <c r="D9" s="84">
        <f>'Model Inputs'!$H$9</f>
        <v>1.08</v>
      </c>
      <c r="E9" s="5"/>
      <c r="F9" s="9" t="s">
        <v>162</v>
      </c>
      <c r="G9" s="87">
        <f>$B$13</f>
        <v>10</v>
      </c>
      <c r="H9" s="87">
        <f>$C$13</f>
        <v>10</v>
      </c>
      <c r="I9" s="88">
        <f>$D$13</f>
        <v>10</v>
      </c>
      <c r="J9" s="5"/>
      <c r="K9" s="5"/>
      <c r="L9" s="5"/>
      <c r="M9" s="5"/>
      <c r="N9" s="5"/>
      <c r="O9" s="5"/>
      <c r="P9" s="269"/>
      <c r="Q9" s="270"/>
      <c r="R9" s="270"/>
      <c r="S9" s="270"/>
      <c r="T9" s="270"/>
      <c r="U9" s="270"/>
      <c r="V9" s="270"/>
      <c r="W9" s="270"/>
      <c r="X9" s="270"/>
      <c r="Y9" s="270"/>
      <c r="Z9" s="270"/>
      <c r="AA9" s="270"/>
      <c r="AB9" s="270"/>
      <c r="AC9" s="270"/>
      <c r="AD9" s="270"/>
      <c r="AE9" s="270"/>
      <c r="AF9" s="270"/>
      <c r="AG9" s="271"/>
    </row>
    <row r="10" spans="1:33" x14ac:dyDescent="0.2">
      <c r="A10" s="9" t="s">
        <v>122</v>
      </c>
      <c r="B10" s="83">
        <f>'Model Inputs'!$F$10</f>
        <v>0.04</v>
      </c>
      <c r="C10" s="83">
        <f>'Model Inputs'!$G$10</f>
        <v>0.06</v>
      </c>
      <c r="D10" s="84">
        <f>'Model Inputs'!$H$10</f>
        <v>0.09</v>
      </c>
      <c r="E10" s="5"/>
      <c r="F10" s="9" t="s">
        <v>123</v>
      </c>
      <c r="G10" s="10">
        <f>$B$14</f>
        <v>5000000</v>
      </c>
      <c r="H10" s="10">
        <f>$C$14</f>
        <v>5000000</v>
      </c>
      <c r="I10" s="86">
        <f>$D$14</f>
        <v>5000000</v>
      </c>
      <c r="J10" s="5"/>
      <c r="K10" s="5"/>
      <c r="L10" s="5"/>
      <c r="M10" s="5"/>
      <c r="N10" s="5"/>
      <c r="O10" s="5"/>
      <c r="P10" s="272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5"/>
    </row>
    <row r="11" spans="1:33" x14ac:dyDescent="0.2">
      <c r="A11" s="9" t="s">
        <v>282</v>
      </c>
      <c r="B11" s="89">
        <f>'Model Inputs'!$F$11</f>
        <v>12</v>
      </c>
      <c r="C11" s="89">
        <f>'Model Inputs'!$G$11</f>
        <v>10</v>
      </c>
      <c r="D11" s="90">
        <f>'Model Inputs'!$H$11</f>
        <v>9</v>
      </c>
      <c r="E11" s="5"/>
      <c r="F11" s="9" t="s">
        <v>283</v>
      </c>
      <c r="G11" s="10">
        <f>INDEX(AB32:AB71,MAX(1,MIN($B$13,ROWS(Y32:Y71))))</f>
        <v>2025000.0000000002</v>
      </c>
      <c r="H11" s="10">
        <f>INDEX(AB80:AB119,MAX(1,MIN($C$13,ROWS(Y80:Y119))))</f>
        <v>2375000</v>
      </c>
      <c r="I11" s="86">
        <f>INDEX(AB128:AB167,MAX(1,MIN($D$13,ROWS(Y128:Y167))))</f>
        <v>2125000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">
      <c r="A12" s="9" t="s">
        <v>158</v>
      </c>
      <c r="B12" s="91">
        <f>'Model Inputs'!$F$12</f>
        <v>170000</v>
      </c>
      <c r="C12" s="91">
        <f>'Model Inputs'!$G$12</f>
        <v>200000</v>
      </c>
      <c r="D12" s="92">
        <f>'Model Inputs'!$H$12</f>
        <v>240000</v>
      </c>
      <c r="E12" s="5"/>
      <c r="F12" s="9" t="s">
        <v>284</v>
      </c>
      <c r="G12" s="10">
        <f>INDEX(Y32:Y71,IF(COUNTIF(B32:B71,"Working")=0,1,COUNTIF(B32:B71,"Working")))</f>
        <v>1797689.4875999922</v>
      </c>
      <c r="H12" s="10">
        <f>INDEX(Y80:Y119,IF(COUNTIF(B80:B119,"Working")=0,1,COUNTIF(B80:B119,"Working")))</f>
        <v>3736659.1927112164</v>
      </c>
      <c r="I12" s="86">
        <f>INDEX(Y128:Y167,IF(COUNTIF(B128:B167,"Working")=0,1,COUNTIF(B128:B167,"Working")))</f>
        <v>6815408.6424131179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">
      <c r="A13" s="9" t="s">
        <v>162</v>
      </c>
      <c r="B13" s="89">
        <f>'Model Inputs'!$F$13</f>
        <v>10</v>
      </c>
      <c r="C13" s="89">
        <f>'Model Inputs'!$G$13</f>
        <v>10</v>
      </c>
      <c r="D13" s="90">
        <f>'Model Inputs'!$H$13</f>
        <v>10</v>
      </c>
      <c r="E13" s="5"/>
      <c r="F13" s="9" t="s">
        <v>285</v>
      </c>
      <c r="G13" s="10">
        <f>INDEX(Y32:Y71,MAX(1,MIN($B$13,ROWS(Y32:Y71))))+INDEX(AB32:AB71,MAX(1,MIN($B$13,ROWS(Y32:Y71))))</f>
        <v>3822689.4875999922</v>
      </c>
      <c r="H13" s="10">
        <f>INDEX(Y80:Y119,MAX(1,MIN($C$13,ROWS(Y80:Y119))))+INDEX(AB80:AB119,MAX(1,MIN($C$13,ROWS(Y80:Y119))))</f>
        <v>6111659.1927112164</v>
      </c>
      <c r="I13" s="86">
        <f>INDEX(Y128:Y167,MAX(1,MIN($D$13,ROWS(Y128:Y167))))+INDEX(AB128:AB167,MAX(1,MIN($D$13,ROWS(Y128:Y167))))</f>
        <v>6851250.9317728337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">
      <c r="A14" s="9" t="s">
        <v>123</v>
      </c>
      <c r="B14" s="91">
        <f>'Model Inputs'!$F$14</f>
        <v>5000000</v>
      </c>
      <c r="C14" s="91">
        <f>'Model Inputs'!$G$14</f>
        <v>5000000</v>
      </c>
      <c r="D14" s="92">
        <f>'Model Inputs'!$H$14</f>
        <v>5000000</v>
      </c>
      <c r="E14" s="5"/>
      <c r="F14" s="9" t="s">
        <v>96</v>
      </c>
      <c r="G14" s="10">
        <f>INDEX(Y32:Y71,MAX(1,MIN($B$13,ROWS(Y32:Y71))))</f>
        <v>1797689.4875999922</v>
      </c>
      <c r="H14" s="10">
        <f>INDEX(Y80:Y119,MAX(1,MIN($C$13,ROWS(Y80:Y119))))</f>
        <v>3736659.1927112164</v>
      </c>
      <c r="I14" s="86">
        <f>INDEX(Y128:Y167,MAX(1,MIN($D$13,ROWS(Y128:Y167))))</f>
        <v>4726250.9317728337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">
      <c r="A15" s="9" t="s">
        <v>286</v>
      </c>
      <c r="B15" s="83">
        <f>IF(B29&lt;&gt;"",B29,MAX(B26,MIN(B27,B26+MAX(0,MIN(1,1-MAX(B11-B13,0)/MAX(B28,1)))*(B27-B26))))</f>
        <v>0.38</v>
      </c>
      <c r="C15" s="83">
        <f>IF(C29&lt;&gt;"",C29,MAX(C26,MIN(C27,C26+MAX(0,MIN(1,1-MAX(C11-C13,0)/MAX(C28,1)))*(C27-C26))))</f>
        <v>0.45</v>
      </c>
      <c r="D15" s="83">
        <f>IF(D29&lt;&gt;"",D29,MAX(D26,MIN(D27,D26+MAX(0,MIN(1,1-MAX(D11-D13,0)/MAX(D28,1)))*(D27-D26))))</f>
        <v>0.4</v>
      </c>
      <c r="E15" s="5"/>
      <c r="F15" s="9" t="s">
        <v>125</v>
      </c>
      <c r="G15" s="10">
        <f>INDEX(AC32:AC71,IF(COUNTIF(B32:B71,"Working")=0,1,COUNTIF(B32:B71,"Working")))</f>
        <v>345129.30473938253</v>
      </c>
      <c r="H15" s="10">
        <f>INDEX(AC80:AC119,IF(COUNTIF(B80:B119,"Working")=0,1,COUNTIF(B80:B119,"Working")))</f>
        <v>318582.44775267807</v>
      </c>
      <c r="I15" s="86">
        <f>INDEX(AC128:AC167,IF(COUNTIF(B128:B167,"Working")=0,1,COUNTIF(B128:B167,"Working")))</f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x14ac:dyDescent="0.2">
      <c r="A16" s="9" t="s">
        <v>168</v>
      </c>
      <c r="B16" s="83">
        <f>'Model Inputs'!$F$16</f>
        <v>6.5000000000000002E-2</v>
      </c>
      <c r="C16" s="83">
        <f>'Model Inputs'!$G$16</f>
        <v>6.5000000000000002E-2</v>
      </c>
      <c r="D16" s="84">
        <f>'Model Inputs'!$H$16</f>
        <v>6.5000000000000002E-2</v>
      </c>
      <c r="E16" s="5"/>
      <c r="F16" s="9" t="s">
        <v>99</v>
      </c>
      <c r="G16" s="10">
        <f>$B$12+INDEX(AC32:AC71,IF(COUNTIF(B32:B71,"Working")=0,1,COUNTIF(B32:B71,"Working")))</f>
        <v>515129.30473938253</v>
      </c>
      <c r="H16" s="10">
        <f>$C$12+INDEX(AC80:AC119,IF(COUNTIF(B80:B119,"Working")=0,1,COUNTIF(B80:B119,"Working")))</f>
        <v>518582.44775267807</v>
      </c>
      <c r="I16" s="86">
        <f>$D$12+INDEX(AC128:AC167,IF(COUNTIF(B128:B167,"Working")=0,1,COUNTIF(B128:B167,"Working")))</f>
        <v>240000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">
      <c r="A17" s="9" t="s">
        <v>170</v>
      </c>
      <c r="B17" s="89">
        <f>'Model Inputs'!$F$17</f>
        <v>30</v>
      </c>
      <c r="C17" s="89">
        <f>'Model Inputs'!$G$17</f>
        <v>30</v>
      </c>
      <c r="D17" s="90">
        <f>'Model Inputs'!$H$17</f>
        <v>30</v>
      </c>
      <c r="E17" s="5"/>
      <c r="F17" s="9" t="s">
        <v>287</v>
      </c>
      <c r="G17" s="85">
        <f>IF(($B$12+INDEX(AC32:AC71,IF(COUNTIF(B32:B71,"Working")=0,1,COUNTIF(B32:B71,"Working"))))=0,0,(INDEX(AC32:AC71,IF(COUNTIF(B32:B71,"Working")=0,1,COUNTIF(B32:B71,"Working"))))/($B$12+INDEX(AC32:AC71,IF(COUNTIF(B32:B71,"Working")=0,1,COUNTIF(B32:B71,"Working")))))</f>
        <v>0.66998577165784134</v>
      </c>
      <c r="H17" s="85">
        <f>IF(($C$12+INDEX(AC80:AC119,IF(COUNTIF(B80:B119,"Working")=0,1,COUNTIF(B80:B119,"Working"))))=0,0,(INDEX(AC80:AC119,IF(COUNTIF(B80:B119,"Working")=0,1,COUNTIF(B80:B119,"Working"))))/($C$12+INDEX(AC80:AC119,IF(COUNTIF(B80:B119,"Working")=0,1,COUNTIF(B80:B119,"Working")))))</f>
        <v>0.61433326394536236</v>
      </c>
      <c r="I17" s="11">
        <f>IF(($D$12+INDEX(AC128:AC167,IF(COUNTIF(B128:B167,"Working")=0,1,COUNTIF(B128:B167,"Working"))))=0,0,(INDEX(AC128:AC167,IF(COUNTIF(B128:B167,"Working")=0,1,COUNTIF(B128:B167,"Working"))))/($D$12+INDEX(AC128:AC167,IF(COUNTIF(B128:B167,"Working")=0,1,COUNTIF(B128:B167,"Working")))))</f>
        <v>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">
      <c r="A18" s="9" t="s">
        <v>172</v>
      </c>
      <c r="B18" s="83">
        <f>'Model Inputs'!$F$18</f>
        <v>2.5000000000000001E-2</v>
      </c>
      <c r="C18" s="83">
        <f>'Model Inputs'!$G$18</f>
        <v>2.5000000000000001E-2</v>
      </c>
      <c r="D18" s="84">
        <f>'Model Inputs'!$H$18</f>
        <v>2.5000000000000001E-2</v>
      </c>
      <c r="E18" s="5"/>
      <c r="F18" s="9" t="s">
        <v>288</v>
      </c>
      <c r="G18" s="85">
        <f>IF((INDEX(Y32:Y71,IF(COUNTIF(B32:B71,"Working")=0,1,COUNTIF(B32:B71,"Working"))))=0,0,($B$12+INDEX(AC32:AC71,IF(COUNTIF(B32:B71,"Working")=0,1,COUNTIF(B32:B71,"Working"))))/(INDEX(Y32:Y71,IF(COUNTIF(B32:B71,"Working")=0,1,COUNTIF(B32:B71,"Working")))))</f>
        <v>0.28655076880218427</v>
      </c>
      <c r="H18" s="85">
        <f>IF((INDEX(Y80:Y119,IF(COUNTIF(B80:B119,"Working")=0,1,COUNTIF(B80:B119,"Working"))))=0,0,($C$12+INDEX(AC80:AC119,IF(COUNTIF(B80:B119,"Working")=0,1,COUNTIF(B80:B119,"Working"))))/(INDEX(Y80:Y119,IF(COUNTIF(B80:B119,"Working")=0,1,COUNTIF(B80:B119,"Working")))))</f>
        <v>0.13878237778929178</v>
      </c>
      <c r="I18" s="11">
        <f>IF((INDEX(Y128:Y167,IF(COUNTIF(B128:B167,"Working")=0,1,COUNTIF(B128:B167,"Working"))))=0,0,($D$12+INDEX(AC128:AC167,IF(COUNTIF(B128:B167,"Working")=0,1,COUNTIF(B128:B167,"Working"))))/(INDEX(Y128:Y167,IF(COUNTIF(B128:B167,"Working")=0,1,COUNTIF(B128:B167,"Working")))))</f>
        <v>3.5214322807652465E-2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">
      <c r="A19" s="9" t="s">
        <v>174</v>
      </c>
      <c r="B19" s="83">
        <f>'Model Inputs'!$F$19</f>
        <v>0.01</v>
      </c>
      <c r="C19" s="83">
        <f>'Model Inputs'!$G$19</f>
        <v>0.01</v>
      </c>
      <c r="D19" s="84">
        <f>'Model Inputs'!$H$19</f>
        <v>0.01</v>
      </c>
      <c r="E19" s="5"/>
      <c r="F19" s="9" t="s">
        <v>102</v>
      </c>
      <c r="G19" s="10">
        <f>MAX('Model Inputs'!$B$16*INDEX(Y32:Y71,IF(COUNTIF(B32:B71,"Working")=0,1,COUNTIF(B32:B71,"Working")))-INDEX(AC32:AC71,IF(COUNTIF(B32:B71,"Working")=0,1,COUNTIF(B32:B71,"Working"))),0)</f>
        <v>0</v>
      </c>
      <c r="H19" s="10">
        <f>MAX('Model Inputs'!$B$16*INDEX(Y80:Y119,IF(COUNTIF(B80:B119,"Working")=0,1,COUNTIF(B80:B119,"Working")))-INDEX(AC80:AC119,IF(COUNTIF(B80:B119,"Working")=0,1,COUNTIF(B80:B119,"Working"))),0)</f>
        <v>0</v>
      </c>
      <c r="I19" s="86">
        <f>MAX('Model Inputs'!$B$16*INDEX(Y128:Y167,IF(COUNTIF(B128:B167,"Working")=0,1,COUNTIF(B128:B167,"Working")))-INDEX(AC128:AC167,IF(COUNTIF(B128:B167,"Working")=0,1,COUNTIF(B128:B167,"Working"))),0)</f>
        <v>238539.30248445916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">
      <c r="A20" s="9" t="s">
        <v>175</v>
      </c>
      <c r="B20" s="83">
        <f>'Model Inputs'!$F$20</f>
        <v>2E-3</v>
      </c>
      <c r="C20" s="83">
        <f>'Model Inputs'!$G$20</f>
        <v>2E-3</v>
      </c>
      <c r="D20" s="84">
        <f>'Model Inputs'!$H$20</f>
        <v>2E-3</v>
      </c>
      <c r="E20" s="5"/>
      <c r="F20" s="9" t="s">
        <v>289</v>
      </c>
      <c r="G20" s="10">
        <f>IF(($B$15+$B$18)&lt;=0,0,MAX(INDEX(Y32:Y71,MAX(1,MIN($B$13,ROWS(Y32:Y71))))+INDEX(AB32:AB71,MAX(1,MIN($B$13,ROWS(Y32:Y71))))-'Model Inputs'!$B$18-$B$24,0)/($B$15+$B$18))</f>
        <v>6969603.6730864001</v>
      </c>
      <c r="H20" s="10">
        <f>IF(($C$15+$C$18)&lt;=0,0,MAX(INDEX(Y80:Y119,MAX(1,MIN($C$13,ROWS(Y80:Y119))))+INDEX(AB80:AB119,MAX(1,MIN($C$13,ROWS(Y80:Y119))))-'Model Inputs'!$B$18-$C$24,0)/($C$15+$C$18))</f>
        <v>10761387.774128877</v>
      </c>
      <c r="I20" s="86">
        <f>IF(($D$15+$D$18)&lt;=0,0,MAX(INDEX(Y128:Y167,MAX(1,MIN($D$13,ROWS(Y128:Y167))))+INDEX(AB128:AB167,MAX(1,MIN($D$13,ROWS(Y128:Y167))))-'Model Inputs'!$B$18-$D$24,0)/($D$15+$D$18))</f>
        <v>13767649.251230195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">
      <c r="A21" s="9" t="s">
        <v>177</v>
      </c>
      <c r="B21" s="83">
        <f>'Model Inputs'!$F$21</f>
        <v>0.01</v>
      </c>
      <c r="C21" s="83">
        <f>'Model Inputs'!$G$21</f>
        <v>0.01</v>
      </c>
      <c r="D21" s="84">
        <f>'Model Inputs'!$H$21</f>
        <v>0.01</v>
      </c>
      <c r="E21" s="5"/>
      <c r="F21" s="9" t="s">
        <v>290</v>
      </c>
      <c r="G21" s="10">
        <f>IF((IF($B$17&lt;=0,0,IF($B$16=0,(1-$B$15)/$B$17,-PMT($B$16/12,$B$17*12,(1-$B$15))*12))+$B$19+$B$20+$B$21)&lt;=0,0,MAX((IF(OR('Model Inputs'!$B$17&lt;=0,'Model Inputs'!$B$17&gt;=1),0,$B$12*'Model Inputs'!$B$17/(1-'Model Inputs'!$B$17)))-($B$22+$B$23),0)/(IF($B$17&lt;=0,0,IF($B$16=0,(1-$B$15)/$B$17,-PMT($B$16/12,$B$17*12,(1-$B$15))*12))+$B$19+$B$20+$B$21))</f>
        <v>1326147.3349471868</v>
      </c>
      <c r="H21" s="10">
        <f>IF((IF($C$17&lt;=0,0,IF($C$16=0,(1-$C$15)/$C$17,-PMT($C$16/12,$C$17*12,(1-$C$15))*12))+$C$19+$C$20+$C$21)&lt;=0,0,MAX((IF(OR('Model Inputs'!$B$17&lt;=0,'Model Inputs'!$B$17&gt;=1),0,$C$12*'Model Inputs'!$B$17/(1-'Model Inputs'!$B$17)))-($C$22+$C$23),0)/(IF($C$17&lt;=0,0,IF($C$16=0,(1-$C$15)/$C$17,-PMT($C$16/12,$C$17*12,(1-$C$15))*12))+$C$19+$C$20+$C$21))</f>
        <v>1690179.5508820903</v>
      </c>
      <c r="I21" s="86">
        <f>IF((IF($D$17&lt;=0,0,IF($D$16=0,(1-$D$15)/$D$17,-PMT($D$16/12,$D$17*12,(1-$D$15))*12))+$D$19+$D$20+$D$21)&lt;=0,0,MAX((IF(OR('Model Inputs'!$B$17&lt;=0,'Model Inputs'!$B$17&gt;=1),0,$D$12*'Model Inputs'!$B$17/(1-'Model Inputs'!$B$17)))-($D$22+$D$23),0)/(IF($D$17&lt;=0,0,IF($D$16=0,(1-$D$15)/$D$17,-PMT($D$16/12,$D$17*12,(1-$D$15))*12))+$D$19+$D$20+$D$21))</f>
        <v>1914277.5789546515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">
      <c r="A22" s="9" t="s">
        <v>179</v>
      </c>
      <c r="B22" s="91">
        <f>'Model Inputs'!$F$22</f>
        <v>0</v>
      </c>
      <c r="C22" s="91">
        <f>'Model Inputs'!$G$22</f>
        <v>0</v>
      </c>
      <c r="D22" s="92">
        <f>'Model Inputs'!$H$22</f>
        <v>0</v>
      </c>
      <c r="E22" s="5"/>
      <c r="F22" s="9" t="s">
        <v>291</v>
      </c>
      <c r="G22" s="10">
        <f>IF(AND(IF(($B$15+$B$18)&lt;=0,0,MAX(INDEX(Y32:Y71,MAX(1,MIN($B$13,ROWS(Y32:Y71))))+INDEX(AB32:AB71,MAX(1,MIN($B$13,ROWS(Y32:Y71))))-'Model Inputs'!$B$18-$B$24,0)/($B$15+$B$18))&gt;0,IF((IF($B$17&lt;=0,0,IF($B$16=0,(1-$B$15)/$B$17,-PMT($B$16/12,$B$17*12,(1-$B$15))*12))+$B$19+$B$20+$B$21)&lt;=0,0,MAX((IF(OR('Model Inputs'!$B$17&lt;=0,'Model Inputs'!$B$17&gt;=1),0,$B$12*'Model Inputs'!$B$17/(1-'Model Inputs'!$B$17)))-($B$22+$B$23),0)/(IF($B$17&lt;=0,0,IF($B$16=0,(1-$B$15)/$B$17,-PMT($B$16/12,$B$17*12,(1-$B$15))*12))+$B$19+$B$20+$B$21))&gt;0),MIN(IF(($B$15+$B$18)&lt;=0,0,MAX(INDEX(Y32:Y71,MAX(1,MIN($B$13,ROWS(Y32:Y71))))+INDEX(AB32:AB71,MAX(1,MIN($B$13,ROWS(Y32:Y71))))-'Model Inputs'!$B$18-$B$24,0)/($B$15+$B$18)),IF((IF($B$17&lt;=0,0,IF($B$16=0,(1-$B$15)/$B$17,-PMT($B$16/12,$B$17*12,(1-$B$15))*12))+$B$19+$B$20+$B$21)&lt;=0,0,MAX((IF(OR('Model Inputs'!$B$17&lt;=0,'Model Inputs'!$B$17&gt;=1),0,$B$12*'Model Inputs'!$B$17/(1-'Model Inputs'!$B$17)))-($B$22+$B$23),0)/(IF($B$17&lt;=0,0,IF($B$16=0,(1-$B$15)/$B$17,-PMT($B$16/12,$B$17*12,(1-$B$15))*12))+$B$19+$B$20+$B$21))),MAX(IF(($B$15+$B$18)&lt;=0,0,MAX(INDEX(Y32:Y71,MAX(1,MIN($B$13,ROWS(Y32:Y71))))+INDEX(AB32:AB71,MAX(1,MIN($B$13,ROWS(Y32:Y71))))-'Model Inputs'!$B$18-$B$24,0)/($B$15+$B$18)),IF((IF($B$17&lt;=0,0,IF($B$16=0,(1-$B$15)/$B$17,-PMT($B$16/12,$B$17*12,(1-$B$15))*12))+$B$19+$B$20+$B$21)&lt;=0,0,MAX((IF(OR('Model Inputs'!$B$17&lt;=0,'Model Inputs'!$B$17&gt;=1),0,$B$12*'Model Inputs'!$B$17/(1-'Model Inputs'!$B$17)))-($B$22+$B$23),0)/(IF($B$17&lt;=0,0,IF($B$16=0,(1-$B$15)/$B$17,-PMT($B$16/12,$B$17*12,(1-$B$15))*12))+$B$19+$B$20+$B$21))))</f>
        <v>1326147.3349471868</v>
      </c>
      <c r="H22" s="10">
        <f>IF(AND(IF(($C$15+$C$18)&lt;=0,0,MAX(INDEX(Y80:Y119,MAX(1,MIN($C$13,ROWS(Y80:Y119))))+INDEX(AB80:AB119,MAX(1,MIN($C$13,ROWS(Y80:Y119))))-'Model Inputs'!$B$18-$C$24,0)/($C$15+$C$18))&gt;0,IF((IF($C$17&lt;=0,0,IF($C$16=0,(1-$C$15)/$C$17,-PMT($C$16/12,$C$17*12,(1-$C$15))*12))+$C$19+$C$20+$C$21)&lt;=0,0,MAX((IF(OR('Model Inputs'!$B$17&lt;=0,'Model Inputs'!$B$17&gt;=1),0,$C$12*'Model Inputs'!$B$17/(1-'Model Inputs'!$B$17)))-($C$22+$C$23),0)/(IF($C$17&lt;=0,0,IF($C$16=0,(1-$C$15)/$C$17,-PMT($C$16/12,$C$17*12,(1-$C$15))*12))+$C$19+$C$20+$C$21))&gt;0),MIN(IF(($C$15+$C$18)&lt;=0,0,MAX(INDEX(Y80:Y119,MAX(1,MIN($C$13,ROWS(Y80:Y119))))+INDEX(AB80:AB119,MAX(1,MIN($C$13,ROWS(Y80:Y119))))-'Model Inputs'!$B$18-$C$24,0)/($C$15+$C$18)),IF((IF($C$17&lt;=0,0,IF($C$16=0,(1-$C$15)/$C$17,-PMT($C$16/12,$C$17*12,(1-$C$15))*12))+$C$19+$C$20+$C$21)&lt;=0,0,MAX((IF(OR('Model Inputs'!$B$17&lt;=0,'Model Inputs'!$B$17&gt;=1),0,$C$12*'Model Inputs'!$B$17/(1-'Model Inputs'!$B$17)))-($C$22+$C$23),0)/(IF($C$17&lt;=0,0,IF($C$16=0,(1-$C$15)/$C$17,-PMT($C$16/12,$C$17*12,(1-$C$15))*12))+$C$19+$C$20+$C$21))),MAX(IF(($C$15+$C$18)&lt;=0,0,MAX(INDEX(Y80:Y119,MAX(1,MIN($C$13,ROWS(Y80:Y119))))+INDEX(AB80:AB119,MAX(1,MIN($C$13,ROWS(Y80:Y119))))-'Model Inputs'!$B$18-$C$24,0)/($C$15+$C$18)),IF((IF($C$17&lt;=0,0,IF($C$16=0,(1-$C$15)/$C$17,-PMT($C$16/12,$C$17*12,(1-$C$15))*12))+$C$19+$C$20+$C$21)&lt;=0,0,MAX((IF(OR('Model Inputs'!$B$17&lt;=0,'Model Inputs'!$B$17&gt;=1),0,$C$12*'Model Inputs'!$B$17/(1-'Model Inputs'!$B$17)))-($C$22+$C$23),0)/(IF($C$17&lt;=0,0,IF($C$16=0,(1-$C$15)/$C$17,-PMT($C$16/12,$C$17*12,(1-$C$15))*12))+$C$19+$C$20+$C$21))))</f>
        <v>1690179.5508820903</v>
      </c>
      <c r="I22" s="86">
        <f>IF(AND(IF(($D$15+$D$18)&lt;=0,0,MAX(INDEX(Y128:Y167,MAX(1,MIN($D$13,ROWS(Y128:Y167))))+INDEX(AB128:AB167,MAX(1,MIN($D$13,ROWS(Y128:Y167))))-'Model Inputs'!$B$18-$D$24,0)/($D$15+$D$18))&gt;0,IF((IF($D$17&lt;=0,0,IF($D$16=0,(1-$D$15)/$D$17,-PMT($D$16/12,$D$17*12,(1-$D$15))*12))+$D$19+$D$20+$D$21)&lt;=0,0,MAX((IF(OR('Model Inputs'!$B$17&lt;=0,'Model Inputs'!$B$17&gt;=1),0,$D$12*'Model Inputs'!$B$17/(1-'Model Inputs'!$B$17)))-($D$22+$D$23),0)/(IF($D$17&lt;=0,0,IF($D$16=0,(1-$D$15)/$D$17,-PMT($D$16/12,$D$17*12,(1-$D$15))*12))+$D$19+$D$20+$D$21))&gt;0),MIN(IF(($D$15+$D$18)&lt;=0,0,MAX(INDEX(Y128:Y167,MAX(1,MIN($D$13,ROWS(Y128:Y167))))+INDEX(AB128:AB167,MAX(1,MIN($D$13,ROWS(Y128:Y167))))-'Model Inputs'!$B$18-$D$24,0)/($D$15+$D$18)),IF((IF($D$17&lt;=0,0,IF($D$16=0,(1-$D$15)/$D$17,-PMT($D$16/12,$D$17*12,(1-$D$15))*12))+$D$19+$D$20+$D$21)&lt;=0,0,MAX((IF(OR('Model Inputs'!$B$17&lt;=0,'Model Inputs'!$B$17&gt;=1),0,$D$12*'Model Inputs'!$B$17/(1-'Model Inputs'!$B$17)))-($D$22+$D$23),0)/(IF($D$17&lt;=0,0,IF($D$16=0,(1-$D$15)/$D$17,-PMT($D$16/12,$D$17*12,(1-$D$15))*12))+$D$19+$D$20+$D$21))),MAX(IF(($D$15+$D$18)&lt;=0,0,MAX(INDEX(Y128:Y167,MAX(1,MIN($D$13,ROWS(Y128:Y167))))+INDEX(AB128:AB167,MAX(1,MIN($D$13,ROWS(Y128:Y167))))-'Model Inputs'!$B$18-$D$24,0)/($D$15+$D$18)),IF((IF($D$17&lt;=0,0,IF($D$16=0,(1-$D$15)/$D$17,-PMT($D$16/12,$D$17*12,(1-$D$15))*12))+$D$19+$D$20+$D$21)&lt;=0,0,MAX((IF(OR('Model Inputs'!$B$17&lt;=0,'Model Inputs'!$B$17&gt;=1),0,$D$12*'Model Inputs'!$B$17/(1-'Model Inputs'!$B$17)))-($D$22+$D$23),0)/(IF($D$17&lt;=0,0,IF($D$16=0,(1-$D$15)/$D$17,-PMT($D$16/12,$D$17*12,(1-$D$15))*12))+$D$19+$D$20+$D$21))))</f>
        <v>1914277.5789546515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">
      <c r="A23" s="9" t="s">
        <v>181</v>
      </c>
      <c r="B23" s="91">
        <f>'Model Inputs'!$F$23</f>
        <v>0</v>
      </c>
      <c r="C23" s="91">
        <f>'Model Inputs'!$G$23</f>
        <v>0</v>
      </c>
      <c r="D23" s="92">
        <f>'Model Inputs'!$H$23</f>
        <v>0</v>
      </c>
      <c r="E23" s="5"/>
      <c r="F23" s="9" t="s">
        <v>128</v>
      </c>
      <c r="G23" s="87">
        <f>COUNTIFS(B32:B71,"Retired",Z32:Z71,0)</f>
        <v>3</v>
      </c>
      <c r="H23" s="87">
        <f>COUNTIFS(B80:B119,"Retired",Z80:Z119,0)</f>
        <v>9</v>
      </c>
      <c r="I23" s="88">
        <f>COUNTIFS(B128:B167,"Retired",Z128:Z167,0)</f>
        <v>15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">
      <c r="A24" s="9" t="s">
        <v>183</v>
      </c>
      <c r="B24" s="91">
        <f>'Model Inputs'!$F$24</f>
        <v>0</v>
      </c>
      <c r="C24" s="91">
        <f>'Model Inputs'!$G$24</f>
        <v>0</v>
      </c>
      <c r="D24" s="92">
        <f>'Model Inputs'!$H$24</f>
        <v>0</v>
      </c>
      <c r="E24" s="5"/>
      <c r="F24" s="9" t="s">
        <v>129</v>
      </c>
      <c r="G24" s="87">
        <f>IF(COUNTIF(Z32:Z71,"&gt;0")=0,0,INDEX(A32:A71,MATCH(1,INDEX((Z32:Z71&gt;0)*1,0),0)))</f>
        <v>14</v>
      </c>
      <c r="H24" s="87">
        <f>IF(COUNTIF(Z80:Z119,"&gt;0")=0,0,INDEX(A80:A119,MATCH(1,INDEX((Z80:Z119&gt;0)*1,0),0)))</f>
        <v>20</v>
      </c>
      <c r="I24" s="88">
        <f>IF(COUNTIF(Z128:Z167,"&gt;0")=0,0,INDEX(A128:A167,MATCH(1,INDEX((Z128:Z167&gt;0)*1,0),0)))</f>
        <v>25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">
      <c r="A25" s="16" t="s">
        <v>186</v>
      </c>
      <c r="B25" s="93">
        <f>'Model Inputs'!$F$25</f>
        <v>0.03</v>
      </c>
      <c r="C25" s="93">
        <f>'Model Inputs'!$G$25</f>
        <v>0.03</v>
      </c>
      <c r="D25" s="94">
        <f>'Model Inputs'!$H$25</f>
        <v>0.03</v>
      </c>
      <c r="E25" s="5"/>
      <c r="F25" s="9" t="s">
        <v>292</v>
      </c>
      <c r="G25" s="10">
        <f>Y71</f>
        <v>0</v>
      </c>
      <c r="H25" s="10">
        <f>Y119</f>
        <v>0</v>
      </c>
      <c r="I25" s="86">
        <f>Y167</f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">
      <c r="A26" s="9" t="s">
        <v>166</v>
      </c>
      <c r="B26" s="83">
        <f>'Model Inputs'!$F$15</f>
        <v>0.2</v>
      </c>
      <c r="C26" s="83">
        <f>'Model Inputs'!$G$15</f>
        <v>0.2</v>
      </c>
      <c r="D26" s="83">
        <f>'Model Inputs'!$H$15</f>
        <v>0.2</v>
      </c>
      <c r="E26" s="5"/>
      <c r="F26" s="9" t="s">
        <v>293</v>
      </c>
      <c r="G26" s="10">
        <f>AF71</f>
        <v>12136312.355948295</v>
      </c>
      <c r="H26" s="10">
        <f>AF119</f>
        <v>12136312.355948295</v>
      </c>
      <c r="I26" s="86">
        <f>AF167</f>
        <v>12136312.355948295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">
      <c r="A27" s="9" t="s">
        <v>188</v>
      </c>
      <c r="B27" s="83">
        <f>'Model Inputs'!$F$26</f>
        <v>0.5</v>
      </c>
      <c r="C27" s="83">
        <f>'Model Inputs'!$G$26</f>
        <v>0.45</v>
      </c>
      <c r="D27" s="83">
        <f>'Model Inputs'!$H$26</f>
        <v>0.4</v>
      </c>
      <c r="E27" s="5"/>
      <c r="F27" s="16" t="s">
        <v>294</v>
      </c>
      <c r="G27" s="14">
        <f>AG71</f>
        <v>12136312.355948295</v>
      </c>
      <c r="H27" s="14">
        <f>AG119</f>
        <v>12136312.355948295</v>
      </c>
      <c r="I27" s="95">
        <f>AG167</f>
        <v>12136312.355948295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">
      <c r="A28" s="9" t="s">
        <v>190</v>
      </c>
      <c r="B28" s="89">
        <f>'Model Inputs'!$F$27</f>
        <v>5</v>
      </c>
      <c r="C28" s="89">
        <f>'Model Inputs'!$G$27</f>
        <v>5</v>
      </c>
      <c r="D28" s="89">
        <f>'Model Inputs'!$H$27</f>
        <v>4</v>
      </c>
      <c r="E28" s="5"/>
      <c r="F28" s="16" t="s">
        <v>295</v>
      </c>
      <c r="G28" s="205">
        <f>MAX(B11-B13,0)</f>
        <v>2</v>
      </c>
      <c r="H28" s="205">
        <f>MAX(C11-C13,0)</f>
        <v>0</v>
      </c>
      <c r="I28" s="205">
        <f>MAX(D11-D13,0)</f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">
      <c r="A29" s="9" t="s">
        <v>192</v>
      </c>
      <c r="B29" s="83" t="str">
        <f>IF('Model Inputs'!$F$28="","",'Model Inputs'!$F$28)</f>
        <v/>
      </c>
      <c r="C29" s="83" t="str">
        <f>IF('Model Inputs'!$G$28="","",'Model Inputs'!$G$28)</f>
        <v/>
      </c>
      <c r="D29" s="83" t="str">
        <f>IF('Model Inputs'!$H$28="","",'Model Inputs'!$H$28)</f>
        <v/>
      </c>
      <c r="E29" s="5"/>
      <c r="F29" s="16" t="s">
        <v>296</v>
      </c>
      <c r="G29" s="206">
        <f>IF(OR(B14&lt;=0,IF(OR(B14&lt;=0,B17&lt;=0),0,IF(B16=0,1/B17,-PMT(B16/12,B17*12,1)*12))&lt;=0),0,MAX(0,MIN(1,1-MAX(IF(OR('Model Inputs'!$B$17&lt;=0,'Model Inputs'!$B$17&gt;=1),0,B12*'Model Inputs'!$B$17/(1-'Model Inputs'!$B$17))-(B14*(B19+B20+B21)+B22+B23),0)/((IF(OR(B14&lt;=0,B17&lt;=0),0,IF(B16=0,1/B17,-PMT(B16/12,B17*12,1)*12)))*B14))))</f>
        <v>1</v>
      </c>
      <c r="H29" s="206">
        <f>IF(OR(C14&lt;=0,IF(OR(C14&lt;=0,C17&lt;=0),0,IF(C16=0,1/C17,-PMT(C16/12,C17*12,1)*12))&lt;=0),0,MAX(0,MIN(1,1-MAX(IF(OR('Model Inputs'!$B$17&lt;=0,'Model Inputs'!$B$17&gt;=1),0,C12*'Model Inputs'!$B$17/(1-'Model Inputs'!$B$17))-(C14*(C19+C20+C21)+C22+C23),0)/((IF(OR(C14&lt;=0,C17&lt;=0),0,IF(C16=0,1/C17,-PMT(C16/12,C17*12,1)*12)))*C14))))</f>
        <v>1</v>
      </c>
      <c r="I29" s="206">
        <f>IF(OR(D14&lt;=0,IF(OR(D14&lt;=0,D17&lt;=0),0,IF(D16=0,1/D17,-PMT(D16/12,D17*12,1)*12))&lt;=0),0,MAX(0,MIN(1,1-MAX(IF(OR('Model Inputs'!$B$17&lt;=0,'Model Inputs'!$B$17&gt;=1),0,D12*'Model Inputs'!$B$17/(1-'Model Inputs'!$B$17))-(D14*(D19+D20+D21)+D22+D23),0)/((IF(OR(D14&lt;=0,D17&lt;=0),0,IF(D16=0,1/D17,-PMT(D16/12,D17*12,1)*12)))*D14))))</f>
        <v>0.94929140399452772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24" customHeight="1" x14ac:dyDescent="0.25">
      <c r="A30" s="328" t="str">
        <f>B$5&amp;" Scenario"</f>
        <v>Downside Scenario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5"/>
    </row>
    <row r="31" spans="1:33" ht="34" customHeight="1" x14ac:dyDescent="0.2">
      <c r="A31" s="96" t="s">
        <v>224</v>
      </c>
      <c r="B31" s="97" t="s">
        <v>106</v>
      </c>
      <c r="C31" s="97" t="s">
        <v>297</v>
      </c>
      <c r="D31" s="97" t="s">
        <v>298</v>
      </c>
      <c r="E31" s="97" t="s">
        <v>62</v>
      </c>
      <c r="F31" s="97" t="s">
        <v>98</v>
      </c>
      <c r="G31" s="97" t="s">
        <v>227</v>
      </c>
      <c r="H31" s="97" t="s">
        <v>299</v>
      </c>
      <c r="I31" s="97" t="s">
        <v>66</v>
      </c>
      <c r="J31" s="97" t="s">
        <v>300</v>
      </c>
      <c r="K31" s="97" t="s">
        <v>301</v>
      </c>
      <c r="L31" s="97" t="s">
        <v>69</v>
      </c>
      <c r="M31" s="97" t="s">
        <v>241</v>
      </c>
      <c r="N31" s="97" t="s">
        <v>302</v>
      </c>
      <c r="O31" s="97" t="s">
        <v>303</v>
      </c>
      <c r="P31" s="97" t="s">
        <v>244</v>
      </c>
      <c r="Q31" s="97" t="s">
        <v>304</v>
      </c>
      <c r="R31" s="97" t="s">
        <v>305</v>
      </c>
      <c r="S31" s="97" t="s">
        <v>306</v>
      </c>
      <c r="T31" s="97" t="s">
        <v>307</v>
      </c>
      <c r="U31" s="97" t="s">
        <v>71</v>
      </c>
      <c r="V31" s="97" t="s">
        <v>249</v>
      </c>
      <c r="W31" s="97" t="s">
        <v>250</v>
      </c>
      <c r="X31" s="97" t="s">
        <v>251</v>
      </c>
      <c r="Y31" s="97" t="s">
        <v>308</v>
      </c>
      <c r="Z31" s="97" t="s">
        <v>309</v>
      </c>
      <c r="AA31" s="97" t="s">
        <v>256</v>
      </c>
      <c r="AB31" s="97" t="s">
        <v>310</v>
      </c>
      <c r="AC31" s="97" t="s">
        <v>18</v>
      </c>
      <c r="AD31" s="97" t="s">
        <v>311</v>
      </c>
      <c r="AE31" s="97" t="s">
        <v>312</v>
      </c>
      <c r="AF31" s="97" t="s">
        <v>313</v>
      </c>
      <c r="AG31" s="98" t="s">
        <v>314</v>
      </c>
    </row>
    <row r="32" spans="1:33" x14ac:dyDescent="0.2">
      <c r="A32" s="99">
        <v>1</v>
      </c>
      <c r="B32" s="100" t="str">
        <f t="shared" ref="B32:B71" si="0">IF(AND(C32&gt;0,A32&lt;=$B$11),"Working","Retired")</f>
        <v>Working</v>
      </c>
      <c r="C32" s="101">
        <f>N('Savings Projection'!$B$19)</f>
        <v>550000</v>
      </c>
      <c r="D32" s="68">
        <f t="shared" ref="D32:D71" si="1">IF(B32="Working",C32*$B$6,0)</f>
        <v>412500</v>
      </c>
      <c r="E32" s="101">
        <f>IF(OR(B32="Retired",D32=0),0,MIN(D32,'Tax Assumptions'!$B$19))</f>
        <v>24500</v>
      </c>
      <c r="F32" s="101">
        <f>IF(B32="Working",N('Savings Projection'!$E$19),0)</f>
        <v>0</v>
      </c>
      <c r="G32" s="101">
        <f>IF(B32="Working",N('Savings Projection'!$F$19),0)</f>
        <v>0</v>
      </c>
      <c r="H32" s="68">
        <f>IF(D32=0,0,((LOOKUP(MAX(D32-E32-F32-'Tax Assumptions'!$B$8,0),'Tax Assumptions'!$F$9:$F$15,'Tax Assumptions'!$I$9:$I$15)+(MAX(D32-E32-F32-'Tax Assumptions'!$B$8,0)-LOOKUP(MAX(D32-E32-F32-'Tax Assumptions'!$B$8,0),'Tax Assumptions'!$F$9:$F$15,'Tax Assumptions'!$F$9:$F$15))*LOOKUP(MAX(D32-E32-F32-'Tax Assumptions'!$B$8,0),'Tax Assumptions'!$F$9:$F$15,'Tax Assumptions'!$H$9:$H$15))+(MIN(MAX(D32-F32,0),'Tax Assumptions'!$B$11)*'Tax Assumptions'!$B$10)+(MAX(D32-F32,0)*'Tax Assumptions'!$B$12)+(MAX(MAX(D32-F32,0)-'Tax Assumptions'!$B$14,0)*'Tax Assumptions'!$B$13)+(MIN(D32*'Tax Assumptions'!$B$15,'Tax Assumptions'!$B$16))+(MIN(D32*'Tax Assumptions'!$B$17,'Tax Assumptions'!$B$18))+(LOOKUP(MAX(D32-E32-'Tax Assumptions'!$B$9,0),'Tax Assumptions'!$K$9:$K$17,'Tax Assumptions'!$N$9:$N$17)+(MAX(D32-E32-'Tax Assumptions'!$B$9,0)-LOOKUP(MAX(D32-E32-'Tax Assumptions'!$B$9,0),'Tax Assumptions'!$K$9:$K$17,'Tax Assumptions'!$K$9:$K$17))*LOOKUP(MAX(D32-E32-'Tax Assumptions'!$B$9,0),'Tax Assumptions'!$K$9:$K$17,'Tax Assumptions'!$M$9:$M$17))+(LOOKUP(MAX(D32-E32-'Tax Assumptions'!$B$9,0),'Tax Assumptions'!$P$9:$P$12,'Tax Assumptions'!$S$9:$S$12)+(MAX(D32-E32-'Tax Assumptions'!$B$9,0)-LOOKUP(MAX(D32-E32-'Tax Assumptions'!$B$9,0),'Tax Assumptions'!$P$9:$P$12,'Tax Assumptions'!$P$9:$P$12))*LOOKUP(MAX(D32-E32-'Tax Assumptions'!$B$9,0),'Tax Assumptions'!$P$9:$P$12,'Tax Assumptions'!$R$9:$R$12)))*$B$7)</f>
        <v>162999.23120000001</v>
      </c>
      <c r="I32" s="68">
        <f t="shared" ref="I32:I71" si="2">IF(B32="Working",D32-E32-F32-G32-H32,0)</f>
        <v>225000.76879999999</v>
      </c>
      <c r="J32" s="101">
        <f>IF(B32="Working",N('Savings Projection'!$S$19)*$B$8,0)</f>
        <v>78000</v>
      </c>
      <c r="K32" s="101">
        <f>IF(B32="Working",N('Savings Projection'!$T$19)*$B$9,0)</f>
        <v>38000</v>
      </c>
      <c r="L32" s="68">
        <f>IF(B32="Working",MIN(MAX(I32-J32-K32-AB32-AC32,0),'Tax Assumptions'!$B$20),0)</f>
        <v>7500</v>
      </c>
      <c r="M32" s="68">
        <f t="shared" ref="M32:M71" si="3">IF(B32="Working",I32-J32-K32-L32-AB32-AC32,0)</f>
        <v>101500.76879999999</v>
      </c>
      <c r="N32" s="101">
        <f t="shared" ref="N32:N71" si="4">IF(B32="Working",M32+L32+E32+F32,-P32)</f>
        <v>133500.76879999999</v>
      </c>
      <c r="O32" s="101">
        <f t="shared" ref="O32:O71" si="5">IF(B32="Retired",$B$12+AB32+AC32,0)</f>
        <v>0</v>
      </c>
      <c r="P32" s="101">
        <f t="shared" ref="P32:P71" si="6">Q32+R32+S32+T32</f>
        <v>0</v>
      </c>
      <c r="Q32" s="101">
        <f>IF(B32="Retired",MIN((('Savings Projection'!$B$7)*(1+$B$10)+IF(B32="Working",M32,0)),O32),0)</f>
        <v>0</v>
      </c>
      <c r="R32" s="101">
        <f>IF(B32="Retired",MIN(MAX(O32-Q32,0),(('Savings Projection'!$B$8)*(1+$B$10)+IF(B32="Working",E32,0))),0)</f>
        <v>0</v>
      </c>
      <c r="S32" s="101">
        <f>IF(B32="Retired",MIN(MAX(O32-Q32-R32,0),(('Savings Projection'!$B$9)*(1+$B$10)+IF(B32="Working",L32,0))),0)</f>
        <v>0</v>
      </c>
      <c r="T32" s="101">
        <f>IF(B32="Retired",MIN(MAX(O32-Q32-R32-S32,0),(('Savings Projection'!$B$10)*(1+$B$10)+IF(B32="Working",F32,0))),0)</f>
        <v>0</v>
      </c>
      <c r="U32" s="68">
        <f>MAX((('Savings Projection'!$B$7)*(1+$B$10)+IF(B32="Working",M32,0))-Q32,0)</f>
        <v>257500.76879999999</v>
      </c>
      <c r="V32" s="68">
        <f>MAX((('Savings Projection'!$B$8)*(1+$B$10)+IF(B32="Working",E32,0))-R32,0)</f>
        <v>24500</v>
      </c>
      <c r="W32" s="68">
        <f>MAX((('Savings Projection'!$B$9)*(1+$B$10)+IF(B32="Working",L32,0))-S32,0)</f>
        <v>7500</v>
      </c>
      <c r="X32" s="68">
        <f>MAX((('Savings Projection'!$B$10)*(1+$B$10)+IF(B32="Working",F32,0))-T32,0)</f>
        <v>0</v>
      </c>
      <c r="Y32" s="68">
        <f t="shared" ref="Y32:Y71" si="7">U32+V32+W32+X32</f>
        <v>289500.76879999996</v>
      </c>
      <c r="Z32" s="101">
        <f t="shared" ref="Z32:Z71" si="8">IF(B32="Retired",MAX(O32-P32,0),0)</f>
        <v>0</v>
      </c>
      <c r="AA32" s="102">
        <f t="shared" ref="AA32:AA71" si="9">IF(B32="Working",IF(D32=0,0,N32/D32),0)</f>
        <v>0.32363822739393938</v>
      </c>
      <c r="AB32" s="68">
        <f t="shared" ref="AB32:AB71" si="10">IF(AND($B$14&gt;0,A32=$B$13),$B$14*($B$15+$B$18),0)+IF(AND($B$14&gt;0,A32=$B$13),$B$24,0)</f>
        <v>0</v>
      </c>
      <c r="AC32" s="68">
        <f t="shared" ref="AC32:AC71" si="11">IF(OR($B$14&lt;=0,A32&lt;$B$13),0,IF(AND($B$14&gt;0,$B$17&gt;0,A32&gt;=$B$13,A32&lt;($B$13+$B$17)),IF($B$17&lt;=0,0,IF($B$16=0,MAX($B$14*(1-$B$15),0)/$B$17,-PMT($B$16/12,$B$17*12,MAX($B$14*(1-$B$15),0))*12)),0)+AD32*($B$19+$B$20+$B$21)+$B$22+$B$23)</f>
        <v>0</v>
      </c>
      <c r="AD32" s="68">
        <f t="shared" ref="AD32:AD71" si="12">IF(AND($B$14&gt;0,A32&gt;=$B$13),$B$14*(1+$B$25)^(A32-$B$13),0)</f>
        <v>0</v>
      </c>
      <c r="AE32" s="68">
        <f t="shared" ref="AE32:AE71" si="13">IF(OR($B$14&lt;=0,$B$17&lt;=0,A32&lt;$B$13,MIN(MAX((A32-$B$13+1)*12,0),$B$17*12)&gt;=$B$17*12),0,IF($B$16=0,MAX(MAX($B$14*(1-$B$15),0)-(IF($B$17&lt;=0,0,IF($B$16=0,MAX($B$14*(1-$B$15),0)/$B$17,-PMT($B$16/12,$B$17*12,MAX($B$14*(1-$B$15),0))*12))/12)*MIN(MAX((A32-$B$13+1)*12,0),$B$17*12),0),MAX(MAX($B$14*(1-$B$15),0)*(1+$B$16/12)^MIN(MAX((A32-$B$13+1)*12,0),$B$17*12)-(IF($B$17&lt;=0,0,IF($B$16=0,MAX($B$14*(1-$B$15),0)/$B$17,-PMT($B$16/12,$B$17*12,MAX($B$14*(1-$B$15),0))*12))/12)*(((1+$B$16/12)^MIN(MAX((A32-$B$13+1)*12,0),$B$17*12)-1)/($B$16/12)),0)))</f>
        <v>0</v>
      </c>
      <c r="AF32" s="68">
        <f t="shared" ref="AF32:AF71" si="14">MAX(AD32-AE32,0)</f>
        <v>0</v>
      </c>
      <c r="AG32" s="103">
        <f t="shared" ref="AG32:AG71" si="15">Y32+AF32</f>
        <v>289500.76879999996</v>
      </c>
    </row>
    <row r="33" spans="1:33" x14ac:dyDescent="0.2">
      <c r="A33" s="104">
        <v>2</v>
      </c>
      <c r="B33" s="65" t="str">
        <f t="shared" si="0"/>
        <v>Working</v>
      </c>
      <c r="C33" s="66">
        <f>N('Savings Projection'!$B$20)</f>
        <v>412500</v>
      </c>
      <c r="D33" s="66">
        <f t="shared" si="1"/>
        <v>309375</v>
      </c>
      <c r="E33" s="66">
        <f>IF(OR(B33="Retired",D33=0),0,MIN(D33,'Tax Assumptions'!$B$19))</f>
        <v>24500</v>
      </c>
      <c r="F33" s="66">
        <f>IF(B33="Working",N('Savings Projection'!$E$20),0)</f>
        <v>0</v>
      </c>
      <c r="G33" s="66">
        <f>IF(B33="Working",N('Savings Projection'!$F$20),0)</f>
        <v>0</v>
      </c>
      <c r="H33" s="66">
        <f>IF(D33=0,0,((LOOKUP(MAX(D33-E33-F33-'Tax Assumptions'!$B$8,0),'Tax Assumptions'!$F$9:$F$15,'Tax Assumptions'!$I$9:$I$15)+(MAX(D33-E33-F33-'Tax Assumptions'!$B$8,0)-LOOKUP(MAX(D33-E33-F33-'Tax Assumptions'!$B$8,0),'Tax Assumptions'!$F$9:$F$15,'Tax Assumptions'!$F$9:$F$15))*LOOKUP(MAX(D33-E33-F33-'Tax Assumptions'!$B$8,0),'Tax Assumptions'!$F$9:$F$15,'Tax Assumptions'!$H$9:$H$15))+(MIN(MAX(D33-F33,0),'Tax Assumptions'!$B$11)*'Tax Assumptions'!$B$10)+(MAX(D33-F33,0)*'Tax Assumptions'!$B$12)+(MAX(MAX(D33-F33,0)-'Tax Assumptions'!$B$14,0)*'Tax Assumptions'!$B$13)+(MIN(D33*'Tax Assumptions'!$B$15,'Tax Assumptions'!$B$16))+(MIN(D33*'Tax Assumptions'!$B$17,'Tax Assumptions'!$B$18))+(LOOKUP(MAX(D33-E33-'Tax Assumptions'!$B$9,0),'Tax Assumptions'!$K$9:$K$17,'Tax Assumptions'!$N$9:$N$17)+(MAX(D33-E33-'Tax Assumptions'!$B$9,0)-LOOKUP(MAX(D33-E33-'Tax Assumptions'!$B$9,0),'Tax Assumptions'!$K$9:$K$17,'Tax Assumptions'!$K$9:$K$17))*LOOKUP(MAX(D33-E33-'Tax Assumptions'!$B$9,0),'Tax Assumptions'!$K$9:$K$17,'Tax Assumptions'!$M$9:$M$17))+(LOOKUP(MAX(D33-E33-'Tax Assumptions'!$B$9,0),'Tax Assumptions'!$P$9:$P$12,'Tax Assumptions'!$S$9:$S$12)+(MAX(D33-E33-'Tax Assumptions'!$B$9,0)-LOOKUP(MAX(D33-E33-'Tax Assumptions'!$B$9,0),'Tax Assumptions'!$P$9:$P$12,'Tax Assumptions'!$P$9:$P$12))*LOOKUP(MAX(D33-E33-'Tax Assumptions'!$B$9,0),'Tax Assumptions'!$P$9:$P$12,'Tax Assumptions'!$R$9:$R$12)))*$B$7)</f>
        <v>111437.7212</v>
      </c>
      <c r="I33" s="66">
        <f t="shared" si="2"/>
        <v>173437.2788</v>
      </c>
      <c r="J33" s="66">
        <f>IF(B33="Working",N('Savings Projection'!$S$20)*$B$8,0)</f>
        <v>80340</v>
      </c>
      <c r="K33" s="66">
        <f>IF(B33="Working",N('Savings Projection'!$T$20)*$B$9,0)</f>
        <v>39140</v>
      </c>
      <c r="L33" s="66">
        <f>IF(B33="Working",MIN(MAX(I33-J33-K33-AB33-AC33,0),'Tax Assumptions'!$B$20),0)</f>
        <v>7500</v>
      </c>
      <c r="M33" s="66">
        <f t="shared" si="3"/>
        <v>46457.2788</v>
      </c>
      <c r="N33" s="66">
        <f t="shared" si="4"/>
        <v>78457.2788</v>
      </c>
      <c r="O33" s="66">
        <f t="shared" si="5"/>
        <v>0</v>
      </c>
      <c r="P33" s="66">
        <f t="shared" si="6"/>
        <v>0</v>
      </c>
      <c r="Q33" s="66">
        <f t="shared" ref="Q33:Q71" si="16">IF(B33="Retired",MIN(((U32)*(1+$B$10)+IF(B33="Working",M33,0)),O33),0)</f>
        <v>0</v>
      </c>
      <c r="R33" s="66">
        <f t="shared" ref="R33:R71" si="17">IF(B33="Retired",MIN(MAX(O33-Q33,0),((V32)*(1+$B$10)+IF(B33="Working",E33,0))),0)</f>
        <v>0</v>
      </c>
      <c r="S33" s="66">
        <f t="shared" ref="S33:S71" si="18">IF(B33="Retired",MIN(MAX(O33-Q33-R33,0),((W32)*(1+$B$10)+IF(B33="Working",L33,0))),0)</f>
        <v>0</v>
      </c>
      <c r="T33" s="66">
        <f t="shared" ref="T33:T71" si="19">IF(B33="Retired",MIN(MAX(O33-Q33-R33-S33,0),((X32)*(1+$B$10)+IF(B33="Working",F33,0))),0)</f>
        <v>0</v>
      </c>
      <c r="U33" s="66">
        <f t="shared" ref="U33:U71" si="20">MAX(((U32)*(1+$B$10)+IF(B33="Working",M33,0))-Q33,0)</f>
        <v>314258.07835199998</v>
      </c>
      <c r="V33" s="66">
        <f t="shared" ref="V33:V71" si="21">MAX(((V32)*(1+$B$10)+IF(B33="Working",E33,0))-R33,0)</f>
        <v>49980</v>
      </c>
      <c r="W33" s="66">
        <f t="shared" ref="W33:W71" si="22">MAX(((W32)*(1+$B$10)+IF(B33="Working",L33,0))-S33,0)</f>
        <v>15300</v>
      </c>
      <c r="X33" s="66">
        <f t="shared" ref="X33:X71" si="23">MAX(((X32)*(1+$B$10)+IF(B33="Working",F33,0))-T33,0)</f>
        <v>0</v>
      </c>
      <c r="Y33" s="66">
        <f t="shared" si="7"/>
        <v>379538.07835199998</v>
      </c>
      <c r="Z33" s="66">
        <f t="shared" si="8"/>
        <v>0</v>
      </c>
      <c r="AA33" s="69">
        <f t="shared" si="9"/>
        <v>0.25359928501010098</v>
      </c>
      <c r="AB33" s="66">
        <f t="shared" si="10"/>
        <v>0</v>
      </c>
      <c r="AC33" s="66">
        <f t="shared" si="11"/>
        <v>0</v>
      </c>
      <c r="AD33" s="66">
        <f t="shared" si="12"/>
        <v>0</v>
      </c>
      <c r="AE33" s="66">
        <f t="shared" si="13"/>
        <v>0</v>
      </c>
      <c r="AF33" s="66">
        <f t="shared" si="14"/>
        <v>0</v>
      </c>
      <c r="AG33" s="105">
        <f t="shared" si="15"/>
        <v>379538.07835199998</v>
      </c>
    </row>
    <row r="34" spans="1:33" x14ac:dyDescent="0.2">
      <c r="A34" s="99">
        <v>3</v>
      </c>
      <c r="B34" s="100" t="str">
        <f t="shared" si="0"/>
        <v>Working</v>
      </c>
      <c r="C34" s="101">
        <f>N('Savings Projection'!$B$21)</f>
        <v>675000</v>
      </c>
      <c r="D34" s="68">
        <f t="shared" si="1"/>
        <v>506250</v>
      </c>
      <c r="E34" s="101">
        <f>IF(OR(B34="Retired",D34=0),0,MIN(D34,'Tax Assumptions'!$B$19))</f>
        <v>24500</v>
      </c>
      <c r="F34" s="101">
        <f>IF(B34="Working",N('Savings Projection'!$E$21),0)</f>
        <v>0</v>
      </c>
      <c r="G34" s="101">
        <f>IF(B34="Working",N('Savings Projection'!$F$21),0)</f>
        <v>0</v>
      </c>
      <c r="H34" s="68">
        <f>IF(D34=0,0,((LOOKUP(MAX(D34-E34-F34-'Tax Assumptions'!$B$8,0),'Tax Assumptions'!$F$9:$F$15,'Tax Assumptions'!$I$9:$I$15)+(MAX(D34-E34-F34-'Tax Assumptions'!$B$8,0)-LOOKUP(MAX(D34-E34-F34-'Tax Assumptions'!$B$8,0),'Tax Assumptions'!$F$9:$F$15,'Tax Assumptions'!$F$9:$F$15))*LOOKUP(MAX(D34-E34-F34-'Tax Assumptions'!$B$8,0),'Tax Assumptions'!$F$9:$F$15,'Tax Assumptions'!$H$9:$H$15))+(MIN(MAX(D34-F34,0),'Tax Assumptions'!$B$11)*'Tax Assumptions'!$B$10)+(MAX(D34-F34,0)*'Tax Assumptions'!$B$12)+(MAX(MAX(D34-F34,0)-'Tax Assumptions'!$B$14,0)*'Tax Assumptions'!$B$13)+(MIN(D34*'Tax Assumptions'!$B$15,'Tax Assumptions'!$B$16))+(MIN(D34*'Tax Assumptions'!$B$17,'Tax Assumptions'!$B$18))+(LOOKUP(MAX(D34-E34-'Tax Assumptions'!$B$9,0),'Tax Assumptions'!$K$9:$K$17,'Tax Assumptions'!$N$9:$N$17)+(MAX(D34-E34-'Tax Assumptions'!$B$9,0)-LOOKUP(MAX(D34-E34-'Tax Assumptions'!$B$9,0),'Tax Assumptions'!$K$9:$K$17,'Tax Assumptions'!$K$9:$K$17))*LOOKUP(MAX(D34-E34-'Tax Assumptions'!$B$9,0),'Tax Assumptions'!$K$9:$K$17,'Tax Assumptions'!$M$9:$M$17))+(LOOKUP(MAX(D34-E34-'Tax Assumptions'!$B$9,0),'Tax Assumptions'!$P$9:$P$12,'Tax Assumptions'!$S$9:$S$12)+(MAX(D34-E34-'Tax Assumptions'!$B$9,0)-LOOKUP(MAX(D34-E34-'Tax Assumptions'!$B$9,0),'Tax Assumptions'!$P$9:$P$12,'Tax Assumptions'!$P$9:$P$12))*LOOKUP(MAX(D34-E34-'Tax Assumptions'!$B$9,0),'Tax Assumptions'!$P$9:$P$12,'Tax Assumptions'!$R$9:$R$12)))*$B$7)</f>
        <v>209873.33120000004</v>
      </c>
      <c r="I34" s="68">
        <f t="shared" si="2"/>
        <v>271876.66879999998</v>
      </c>
      <c r="J34" s="101">
        <f>IF(B34="Working",N('Savings Projection'!$S$21)*$B$8,0)</f>
        <v>82750.2</v>
      </c>
      <c r="K34" s="101">
        <f>IF(B34="Working",N('Savings Projection'!$T$21)*$B$9,0)</f>
        <v>50392.75</v>
      </c>
      <c r="L34" s="68">
        <f>IF(B34="Working",MIN(MAX(I34-J34-K34-AB34-AC34,0),'Tax Assumptions'!$B$20),0)</f>
        <v>7500</v>
      </c>
      <c r="M34" s="68">
        <f t="shared" si="3"/>
        <v>131233.71879999997</v>
      </c>
      <c r="N34" s="101">
        <f t="shared" si="4"/>
        <v>163233.71879999997</v>
      </c>
      <c r="O34" s="101">
        <f t="shared" si="5"/>
        <v>0</v>
      </c>
      <c r="P34" s="101">
        <f t="shared" si="6"/>
        <v>0</v>
      </c>
      <c r="Q34" s="101">
        <f t="shared" si="16"/>
        <v>0</v>
      </c>
      <c r="R34" s="101">
        <f t="shared" si="17"/>
        <v>0</v>
      </c>
      <c r="S34" s="101">
        <f t="shared" si="18"/>
        <v>0</v>
      </c>
      <c r="T34" s="101">
        <f t="shared" si="19"/>
        <v>0</v>
      </c>
      <c r="U34" s="68">
        <f t="shared" si="20"/>
        <v>458062.12028607994</v>
      </c>
      <c r="V34" s="68">
        <f t="shared" si="21"/>
        <v>76479.200000000012</v>
      </c>
      <c r="W34" s="68">
        <f t="shared" si="22"/>
        <v>23412</v>
      </c>
      <c r="X34" s="68">
        <f t="shared" si="23"/>
        <v>0</v>
      </c>
      <c r="Y34" s="68">
        <f t="shared" si="7"/>
        <v>557953.32028608001</v>
      </c>
      <c r="Z34" s="101">
        <f t="shared" si="8"/>
        <v>0</v>
      </c>
      <c r="AA34" s="102">
        <f t="shared" si="9"/>
        <v>0.32243697540740734</v>
      </c>
      <c r="AB34" s="68">
        <f t="shared" si="10"/>
        <v>0</v>
      </c>
      <c r="AC34" s="68">
        <f t="shared" si="11"/>
        <v>0</v>
      </c>
      <c r="AD34" s="68">
        <f t="shared" si="12"/>
        <v>0</v>
      </c>
      <c r="AE34" s="68">
        <f t="shared" si="13"/>
        <v>0</v>
      </c>
      <c r="AF34" s="68">
        <f t="shared" si="14"/>
        <v>0</v>
      </c>
      <c r="AG34" s="103">
        <f t="shared" si="15"/>
        <v>557953.32028608001</v>
      </c>
    </row>
    <row r="35" spans="1:33" x14ac:dyDescent="0.2">
      <c r="A35" s="104">
        <v>4</v>
      </c>
      <c r="B35" s="65" t="str">
        <f t="shared" si="0"/>
        <v>Working</v>
      </c>
      <c r="C35" s="66">
        <f>N('Savings Projection'!$B$22)</f>
        <v>750000</v>
      </c>
      <c r="D35" s="66">
        <f t="shared" si="1"/>
        <v>562500</v>
      </c>
      <c r="E35" s="66">
        <f>IF(OR(B35="Retired",D35=0),0,MIN(D35,'Tax Assumptions'!$B$19))</f>
        <v>24500</v>
      </c>
      <c r="F35" s="66">
        <f>IF(B35="Working",N('Savings Projection'!$E$22),0)</f>
        <v>0</v>
      </c>
      <c r="G35" s="66">
        <f>IF(B35="Working",N('Savings Projection'!$F$22),0)</f>
        <v>0</v>
      </c>
      <c r="H35" s="66">
        <f>IF(D35=0,0,((LOOKUP(MAX(D35-E35-F35-'Tax Assumptions'!$B$8,0),'Tax Assumptions'!$F$9:$F$15,'Tax Assumptions'!$I$9:$I$15)+(MAX(D35-E35-F35-'Tax Assumptions'!$B$8,0)-LOOKUP(MAX(D35-E35-F35-'Tax Assumptions'!$B$8,0),'Tax Assumptions'!$F$9:$F$15,'Tax Assumptions'!$F$9:$F$15))*LOOKUP(MAX(D35-E35-F35-'Tax Assumptions'!$B$8,0),'Tax Assumptions'!$F$9:$F$15,'Tax Assumptions'!$H$9:$H$15))+(MIN(MAX(D35-F35,0),'Tax Assumptions'!$B$11)*'Tax Assumptions'!$B$10)+(MAX(D35-F35,0)*'Tax Assumptions'!$B$12)+(MAX(MAX(D35-F35,0)-'Tax Assumptions'!$B$14,0)*'Tax Assumptions'!$B$13)+(MIN(D35*'Tax Assumptions'!$B$15,'Tax Assumptions'!$B$16))+(MIN(D35*'Tax Assumptions'!$B$17,'Tax Assumptions'!$B$18))+(LOOKUP(MAX(D35-E35-'Tax Assumptions'!$B$9,0),'Tax Assumptions'!$K$9:$K$17,'Tax Assumptions'!$N$9:$N$17)+(MAX(D35-E35-'Tax Assumptions'!$B$9,0)-LOOKUP(MAX(D35-E35-'Tax Assumptions'!$B$9,0),'Tax Assumptions'!$K$9:$K$17,'Tax Assumptions'!$K$9:$K$17))*LOOKUP(MAX(D35-E35-'Tax Assumptions'!$B$9,0),'Tax Assumptions'!$K$9:$K$17,'Tax Assumptions'!$M$9:$M$17))+(LOOKUP(MAX(D35-E35-'Tax Assumptions'!$B$9,0),'Tax Assumptions'!$P$9:$P$12,'Tax Assumptions'!$S$9:$S$12)+(MAX(D35-E35-'Tax Assumptions'!$B$9,0)-LOOKUP(MAX(D35-E35-'Tax Assumptions'!$B$9,0),'Tax Assumptions'!$P$9:$P$12,'Tax Assumptions'!$P$9:$P$12))*LOOKUP(MAX(D35-E35-'Tax Assumptions'!$B$9,0),'Tax Assumptions'!$P$9:$P$12,'Tax Assumptions'!$R$9:$R$12)))*$B$7)</f>
        <v>237997.79120000004</v>
      </c>
      <c r="I35" s="66">
        <f t="shared" si="2"/>
        <v>300002.20879999996</v>
      </c>
      <c r="J35" s="66">
        <f>IF(B35="Working",N('Savings Projection'!$S$22)*$B$8,0)</f>
        <v>85232.706000000006</v>
      </c>
      <c r="K35" s="66">
        <f>IF(B35="Working",N('Savings Projection'!$T$22)*$B$9,0)</f>
        <v>51904.532499999994</v>
      </c>
      <c r="L35" s="66">
        <f>IF(B35="Working",MIN(MAX(I35-J35-K35-AB35-AC35,0),'Tax Assumptions'!$B$20),0)</f>
        <v>7500</v>
      </c>
      <c r="M35" s="66">
        <f t="shared" si="3"/>
        <v>155364.97029999996</v>
      </c>
      <c r="N35" s="66">
        <f t="shared" si="4"/>
        <v>187364.97029999996</v>
      </c>
      <c r="O35" s="66">
        <f t="shared" si="5"/>
        <v>0</v>
      </c>
      <c r="P35" s="66">
        <f t="shared" si="6"/>
        <v>0</v>
      </c>
      <c r="Q35" s="66">
        <f t="shared" si="16"/>
        <v>0</v>
      </c>
      <c r="R35" s="66">
        <f t="shared" si="17"/>
        <v>0</v>
      </c>
      <c r="S35" s="66">
        <f t="shared" si="18"/>
        <v>0</v>
      </c>
      <c r="T35" s="66">
        <f t="shared" si="19"/>
        <v>0</v>
      </c>
      <c r="U35" s="66">
        <f t="shared" si="20"/>
        <v>631749.57539752312</v>
      </c>
      <c r="V35" s="66">
        <f t="shared" si="21"/>
        <v>104038.36800000002</v>
      </c>
      <c r="W35" s="66">
        <f t="shared" si="22"/>
        <v>31848.48</v>
      </c>
      <c r="X35" s="66">
        <f t="shared" si="23"/>
        <v>0</v>
      </c>
      <c r="Y35" s="66">
        <f t="shared" si="7"/>
        <v>767636.42339752312</v>
      </c>
      <c r="Z35" s="66">
        <f t="shared" si="8"/>
        <v>0</v>
      </c>
      <c r="AA35" s="69">
        <f t="shared" si="9"/>
        <v>0.33309328053333326</v>
      </c>
      <c r="AB35" s="66">
        <f t="shared" si="10"/>
        <v>0</v>
      </c>
      <c r="AC35" s="66">
        <f t="shared" si="11"/>
        <v>0</v>
      </c>
      <c r="AD35" s="66">
        <f t="shared" si="12"/>
        <v>0</v>
      </c>
      <c r="AE35" s="66">
        <f t="shared" si="13"/>
        <v>0</v>
      </c>
      <c r="AF35" s="66">
        <f t="shared" si="14"/>
        <v>0</v>
      </c>
      <c r="AG35" s="105">
        <f t="shared" si="15"/>
        <v>767636.42339752312</v>
      </c>
    </row>
    <row r="36" spans="1:33" x14ac:dyDescent="0.2">
      <c r="A36" s="99">
        <v>5</v>
      </c>
      <c r="B36" s="100" t="str">
        <f t="shared" si="0"/>
        <v>Working</v>
      </c>
      <c r="C36" s="101">
        <f>N('Savings Projection'!$B$23)</f>
        <v>953837.51358640334</v>
      </c>
      <c r="D36" s="68">
        <f t="shared" si="1"/>
        <v>715378.1351898025</v>
      </c>
      <c r="E36" s="101">
        <f>IF(OR(B36="Retired",D36=0),0,MIN(D36,'Tax Assumptions'!$B$19))</f>
        <v>24500</v>
      </c>
      <c r="F36" s="101">
        <f>IF(B36="Working",N('Savings Projection'!$E$23),0)</f>
        <v>0</v>
      </c>
      <c r="G36" s="101">
        <f>IF(B36="Working",N('Savings Projection'!$F$23),0)</f>
        <v>0</v>
      </c>
      <c r="H36" s="68">
        <f>IF(D36=0,0,((LOOKUP(MAX(D36-E36-F36-'Tax Assumptions'!$B$8,0),'Tax Assumptions'!$F$9:$F$15,'Tax Assumptions'!$I$9:$I$15)+(MAX(D36-E36-F36-'Tax Assumptions'!$B$8,0)-LOOKUP(MAX(D36-E36-F36-'Tax Assumptions'!$B$8,0),'Tax Assumptions'!$F$9:$F$15,'Tax Assumptions'!$F$9:$F$15))*LOOKUP(MAX(D36-E36-F36-'Tax Assumptions'!$B$8,0),'Tax Assumptions'!$F$9:$F$15,'Tax Assumptions'!$H$9:$H$15))+(MIN(MAX(D36-F36,0),'Tax Assumptions'!$B$11)*'Tax Assumptions'!$B$10)+(MAX(D36-F36,0)*'Tax Assumptions'!$B$12)+(MAX(MAX(D36-F36,0)-'Tax Assumptions'!$B$14,0)*'Tax Assumptions'!$B$13)+(MIN(D36*'Tax Assumptions'!$B$15,'Tax Assumptions'!$B$16))+(MIN(D36*'Tax Assumptions'!$B$17,'Tax Assumptions'!$B$18))+(LOOKUP(MAX(D36-E36-'Tax Assumptions'!$B$9,0),'Tax Assumptions'!$K$9:$K$17,'Tax Assumptions'!$N$9:$N$17)+(MAX(D36-E36-'Tax Assumptions'!$B$9,0)-LOOKUP(MAX(D36-E36-'Tax Assumptions'!$B$9,0),'Tax Assumptions'!$K$9:$K$17,'Tax Assumptions'!$K$9:$K$17))*LOOKUP(MAX(D36-E36-'Tax Assumptions'!$B$9,0),'Tax Assumptions'!$K$9:$K$17,'Tax Assumptions'!$M$9:$M$17))+(LOOKUP(MAX(D36-E36-'Tax Assumptions'!$B$9,0),'Tax Assumptions'!$P$9:$P$12,'Tax Assumptions'!$S$9:$S$12)+(MAX(D36-E36-'Tax Assumptions'!$B$9,0)-LOOKUP(MAX(D36-E36-'Tax Assumptions'!$B$9,0),'Tax Assumptions'!$P$9:$P$12,'Tax Assumptions'!$P$9:$P$12))*LOOKUP(MAX(D36-E36-'Tax Assumptions'!$B$9,0),'Tax Assumptions'!$P$9:$P$12,'Tax Assumptions'!$R$9:$R$12)))*$B$7)</f>
        <v>315146.29637675139</v>
      </c>
      <c r="I36" s="68">
        <f t="shared" si="2"/>
        <v>375731.83881305112</v>
      </c>
      <c r="J36" s="101">
        <f>IF(B36="Working",N('Savings Projection'!$S$23)*$B$8,0)</f>
        <v>87789.687179999994</v>
      </c>
      <c r="K36" s="101">
        <f>IF(B36="Working",N('Savings Projection'!$T$23)*$B$9,0)</f>
        <v>53461.668474999991</v>
      </c>
      <c r="L36" s="68">
        <f>IF(B36="Working",MIN(MAX(I36-J36-K36-AB36-AC36,0),'Tax Assumptions'!$B$20),0)</f>
        <v>7500</v>
      </c>
      <c r="M36" s="68">
        <f t="shared" si="3"/>
        <v>226980.48315805112</v>
      </c>
      <c r="N36" s="101">
        <f t="shared" si="4"/>
        <v>258980.48315805112</v>
      </c>
      <c r="O36" s="101">
        <f t="shared" si="5"/>
        <v>0</v>
      </c>
      <c r="P36" s="101">
        <f t="shared" si="6"/>
        <v>0</v>
      </c>
      <c r="Q36" s="101">
        <f t="shared" si="16"/>
        <v>0</v>
      </c>
      <c r="R36" s="101">
        <f t="shared" si="17"/>
        <v>0</v>
      </c>
      <c r="S36" s="101">
        <f t="shared" si="18"/>
        <v>0</v>
      </c>
      <c r="T36" s="101">
        <f t="shared" si="19"/>
        <v>0</v>
      </c>
      <c r="U36" s="68">
        <f t="shared" si="20"/>
        <v>884000.04157147522</v>
      </c>
      <c r="V36" s="68">
        <f t="shared" si="21"/>
        <v>132699.90272000001</v>
      </c>
      <c r="W36" s="68">
        <f t="shared" si="22"/>
        <v>40622.419200000004</v>
      </c>
      <c r="X36" s="68">
        <f t="shared" si="23"/>
        <v>0</v>
      </c>
      <c r="Y36" s="68">
        <f t="shared" si="7"/>
        <v>1057322.3634914751</v>
      </c>
      <c r="Z36" s="101">
        <f t="shared" si="8"/>
        <v>0</v>
      </c>
      <c r="AA36" s="102">
        <f t="shared" si="9"/>
        <v>0.362019008435782</v>
      </c>
      <c r="AB36" s="68">
        <f t="shared" si="10"/>
        <v>0</v>
      </c>
      <c r="AC36" s="68">
        <f t="shared" si="11"/>
        <v>0</v>
      </c>
      <c r="AD36" s="68">
        <f t="shared" si="12"/>
        <v>0</v>
      </c>
      <c r="AE36" s="68">
        <f t="shared" si="13"/>
        <v>0</v>
      </c>
      <c r="AF36" s="68">
        <f t="shared" si="14"/>
        <v>0</v>
      </c>
      <c r="AG36" s="103">
        <f t="shared" si="15"/>
        <v>1057322.3634914751</v>
      </c>
    </row>
    <row r="37" spans="1:33" x14ac:dyDescent="0.2">
      <c r="A37" s="104">
        <v>6</v>
      </c>
      <c r="B37" s="65" t="str">
        <f t="shared" si="0"/>
        <v>Working</v>
      </c>
      <c r="C37" s="66">
        <f>N('Savings Projection'!$B$24)</f>
        <v>1118900.665838565</v>
      </c>
      <c r="D37" s="66">
        <f t="shared" si="1"/>
        <v>839175.49937892379</v>
      </c>
      <c r="E37" s="66">
        <f>IF(OR(B37="Retired",D37=0),0,MIN(D37,'Tax Assumptions'!$B$19))</f>
        <v>24500</v>
      </c>
      <c r="F37" s="66">
        <f>IF(B37="Working",N('Savings Projection'!$E$24),0)</f>
        <v>0</v>
      </c>
      <c r="G37" s="66">
        <f>IF(B37="Working",N('Savings Projection'!$F$24),0)</f>
        <v>0</v>
      </c>
      <c r="H37" s="66">
        <f>IF(D37=0,0,((LOOKUP(MAX(D37-E37-F37-'Tax Assumptions'!$B$8,0),'Tax Assumptions'!$F$9:$F$15,'Tax Assumptions'!$I$9:$I$15)+(MAX(D37-E37-F37-'Tax Assumptions'!$B$8,0)-LOOKUP(MAX(D37-E37-F37-'Tax Assumptions'!$B$8,0),'Tax Assumptions'!$F$9:$F$15,'Tax Assumptions'!$F$9:$F$15))*LOOKUP(MAX(D37-E37-F37-'Tax Assumptions'!$B$8,0),'Tax Assumptions'!$F$9:$F$15,'Tax Assumptions'!$H$9:$H$15))+(MIN(MAX(D37-F37,0),'Tax Assumptions'!$B$11)*'Tax Assumptions'!$B$10)+(MAX(D37-F37,0)*'Tax Assumptions'!$B$12)+(MAX(MAX(D37-F37,0)-'Tax Assumptions'!$B$14,0)*'Tax Assumptions'!$B$13)+(MIN(D37*'Tax Assumptions'!$B$15,'Tax Assumptions'!$B$16))+(MIN(D37*'Tax Assumptions'!$B$17,'Tax Assumptions'!$B$18))+(LOOKUP(MAX(D37-E37-'Tax Assumptions'!$B$9,0),'Tax Assumptions'!$K$9:$K$17,'Tax Assumptions'!$N$9:$N$17)+(MAX(D37-E37-'Tax Assumptions'!$B$9,0)-LOOKUP(MAX(D37-E37-'Tax Assumptions'!$B$9,0),'Tax Assumptions'!$K$9:$K$17,'Tax Assumptions'!$K$9:$K$17))*LOOKUP(MAX(D37-E37-'Tax Assumptions'!$B$9,0),'Tax Assumptions'!$K$9:$K$17,'Tax Assumptions'!$M$9:$M$17))+(LOOKUP(MAX(D37-E37-'Tax Assumptions'!$B$9,0),'Tax Assumptions'!$P$9:$P$12,'Tax Assumptions'!$S$9:$S$12)+(MAX(D37-E37-'Tax Assumptions'!$B$9,0)-LOOKUP(MAX(D37-E37-'Tax Assumptions'!$B$9,0),'Tax Assumptions'!$P$9:$P$12,'Tax Assumptions'!$P$9:$P$12))*LOOKUP(MAX(D37-E37-'Tax Assumptions'!$B$9,0),'Tax Assumptions'!$P$9:$P$12,'Tax Assumptions'!$R$9:$R$12)))*$B$7)</f>
        <v>379618.7751917495</v>
      </c>
      <c r="I37" s="66">
        <f t="shared" si="2"/>
        <v>435056.72418717429</v>
      </c>
      <c r="J37" s="66">
        <f>IF(B37="Working",N('Savings Projection'!$S$24)*$B$8,0)</f>
        <v>92741.925943999988</v>
      </c>
      <c r="K37" s="66">
        <f>IF(B37="Working",N('Savings Projection'!$T$24)*$B$9,0)</f>
        <v>55065.518529249988</v>
      </c>
      <c r="L37" s="66">
        <f>IF(B37="Working",MIN(MAX(I37-J37-K37-AB37-AC37,0),'Tax Assumptions'!$B$20),0)</f>
        <v>7500</v>
      </c>
      <c r="M37" s="66">
        <f t="shared" si="3"/>
        <v>279749.27971392433</v>
      </c>
      <c r="N37" s="66">
        <f t="shared" si="4"/>
        <v>311749.27971392433</v>
      </c>
      <c r="O37" s="66">
        <f t="shared" si="5"/>
        <v>0</v>
      </c>
      <c r="P37" s="66">
        <f t="shared" si="6"/>
        <v>0</v>
      </c>
      <c r="Q37" s="66">
        <f t="shared" si="16"/>
        <v>0</v>
      </c>
      <c r="R37" s="66">
        <f t="shared" si="17"/>
        <v>0</v>
      </c>
      <c r="S37" s="66">
        <f t="shared" si="18"/>
        <v>0</v>
      </c>
      <c r="T37" s="66">
        <f t="shared" si="19"/>
        <v>0</v>
      </c>
      <c r="U37" s="66">
        <f t="shared" si="20"/>
        <v>1199109.3229482586</v>
      </c>
      <c r="V37" s="66">
        <f t="shared" si="21"/>
        <v>162507.89882880001</v>
      </c>
      <c r="W37" s="66">
        <f t="shared" si="22"/>
        <v>49747.315968000003</v>
      </c>
      <c r="X37" s="66">
        <f t="shared" si="23"/>
        <v>0</v>
      </c>
      <c r="Y37" s="66">
        <f t="shared" si="7"/>
        <v>1411364.5377450588</v>
      </c>
      <c r="Z37" s="66">
        <f t="shared" si="8"/>
        <v>0</v>
      </c>
      <c r="AA37" s="69">
        <f t="shared" si="9"/>
        <v>0.37149473494477719</v>
      </c>
      <c r="AB37" s="66">
        <f t="shared" si="10"/>
        <v>0</v>
      </c>
      <c r="AC37" s="66">
        <f t="shared" si="11"/>
        <v>0</v>
      </c>
      <c r="AD37" s="66">
        <f t="shared" si="12"/>
        <v>0</v>
      </c>
      <c r="AE37" s="66">
        <f t="shared" si="13"/>
        <v>0</v>
      </c>
      <c r="AF37" s="66">
        <f t="shared" si="14"/>
        <v>0</v>
      </c>
      <c r="AG37" s="105">
        <f t="shared" si="15"/>
        <v>1411364.5377450588</v>
      </c>
    </row>
    <row r="38" spans="1:33" x14ac:dyDescent="0.2">
      <c r="A38" s="99">
        <v>7</v>
      </c>
      <c r="B38" s="100" t="str">
        <f t="shared" si="0"/>
        <v>Working</v>
      </c>
      <c r="C38" s="101">
        <f>N('Savings Projection'!$B$25)</f>
        <v>1418318.448466131</v>
      </c>
      <c r="D38" s="68">
        <f t="shared" si="1"/>
        <v>1063738.8363495981</v>
      </c>
      <c r="E38" s="101">
        <f>IF(OR(B38="Retired",D38=0),0,MIN(D38,'Tax Assumptions'!$B$19))</f>
        <v>24500</v>
      </c>
      <c r="F38" s="101">
        <f>IF(B38="Working",N('Savings Projection'!$E$25),0)</f>
        <v>0</v>
      </c>
      <c r="G38" s="101">
        <f>IF(B38="Working",N('Savings Projection'!$F$25),0)</f>
        <v>0</v>
      </c>
      <c r="H38" s="68">
        <f>IF(D38=0,0,((LOOKUP(MAX(D38-E38-F38-'Tax Assumptions'!$B$8,0),'Tax Assumptions'!$F$9:$F$15,'Tax Assumptions'!$I$9:$I$15)+(MAX(D38-E38-F38-'Tax Assumptions'!$B$8,0)-LOOKUP(MAX(D38-E38-F38-'Tax Assumptions'!$B$8,0),'Tax Assumptions'!$F$9:$F$15,'Tax Assumptions'!$F$9:$F$15))*LOOKUP(MAX(D38-E38-F38-'Tax Assumptions'!$B$8,0),'Tax Assumptions'!$F$9:$F$15,'Tax Assumptions'!$H$9:$H$15))+(MIN(MAX(D38-F38,0),'Tax Assumptions'!$B$11)*'Tax Assumptions'!$B$10)+(MAX(D38-F38,0)*'Tax Assumptions'!$B$12)+(MAX(MAX(D38-F38,0)-'Tax Assumptions'!$B$14,0)*'Tax Assumptions'!$B$13)+(MIN(D38*'Tax Assumptions'!$B$15,'Tax Assumptions'!$B$16))+(MIN(D38*'Tax Assumptions'!$B$17,'Tax Assumptions'!$B$18))+(LOOKUP(MAX(D38-E38-'Tax Assumptions'!$B$9,0),'Tax Assumptions'!$K$9:$K$17,'Tax Assumptions'!$N$9:$N$17)+(MAX(D38-E38-'Tax Assumptions'!$B$9,0)-LOOKUP(MAX(D38-E38-'Tax Assumptions'!$B$9,0),'Tax Assumptions'!$K$9:$K$17,'Tax Assumptions'!$K$9:$K$17))*LOOKUP(MAX(D38-E38-'Tax Assumptions'!$B$9,0),'Tax Assumptions'!$K$9:$K$17,'Tax Assumptions'!$M$9:$M$17))+(LOOKUP(MAX(D38-E38-'Tax Assumptions'!$B$9,0),'Tax Assumptions'!$P$9:$P$12,'Tax Assumptions'!$S$9:$S$12)+(MAX(D38-E38-'Tax Assumptions'!$B$9,0)-LOOKUP(MAX(D38-E38-'Tax Assumptions'!$B$9,0),'Tax Assumptions'!$P$9:$P$12,'Tax Assumptions'!$P$9:$P$12))*LOOKUP(MAX(D38-E38-'Tax Assumptions'!$B$9,0),'Tax Assumptions'!$P$9:$P$12,'Tax Assumptions'!$R$9:$R$12)))*$B$7)</f>
        <v>496569.20527804177</v>
      </c>
      <c r="I38" s="68">
        <f t="shared" si="2"/>
        <v>542669.63107155636</v>
      </c>
      <c r="J38" s="101">
        <f>IF(B38="Working",N('Savings Projection'!$S$25)*$B$8,0)</f>
        <v>95524.183722319998</v>
      </c>
      <c r="K38" s="101">
        <f>IF(B38="Working",N('Savings Projection'!$T$25)*$B$9,0)</f>
        <v>56717.484085127493</v>
      </c>
      <c r="L38" s="68">
        <f>IF(B38="Working",MIN(MAX(I38-J38-K38-AB38-AC38,0),'Tax Assumptions'!$B$20),0)</f>
        <v>7500</v>
      </c>
      <c r="M38" s="68">
        <f t="shared" si="3"/>
        <v>382927.96326410887</v>
      </c>
      <c r="N38" s="101">
        <f t="shared" si="4"/>
        <v>414927.96326410887</v>
      </c>
      <c r="O38" s="101">
        <f t="shared" si="5"/>
        <v>0</v>
      </c>
      <c r="P38" s="101">
        <f t="shared" si="6"/>
        <v>0</v>
      </c>
      <c r="Q38" s="101">
        <f t="shared" si="16"/>
        <v>0</v>
      </c>
      <c r="R38" s="101">
        <f t="shared" si="17"/>
        <v>0</v>
      </c>
      <c r="S38" s="101">
        <f t="shared" si="18"/>
        <v>0</v>
      </c>
      <c r="T38" s="101">
        <f t="shared" si="19"/>
        <v>0</v>
      </c>
      <c r="U38" s="68">
        <f t="shared" si="20"/>
        <v>1630001.6591302978</v>
      </c>
      <c r="V38" s="68">
        <f t="shared" si="21"/>
        <v>193508.214781952</v>
      </c>
      <c r="W38" s="68">
        <f t="shared" si="22"/>
        <v>59237.208606720007</v>
      </c>
      <c r="X38" s="68">
        <f t="shared" si="23"/>
        <v>0</v>
      </c>
      <c r="Y38" s="68">
        <f t="shared" si="7"/>
        <v>1882747.0825189699</v>
      </c>
      <c r="Z38" s="101">
        <f t="shared" si="8"/>
        <v>0</v>
      </c>
      <c r="AA38" s="102">
        <f t="shared" si="9"/>
        <v>0.39006563367377389</v>
      </c>
      <c r="AB38" s="68">
        <f t="shared" si="10"/>
        <v>0</v>
      </c>
      <c r="AC38" s="68">
        <f t="shared" si="11"/>
        <v>0</v>
      </c>
      <c r="AD38" s="68">
        <f t="shared" si="12"/>
        <v>0</v>
      </c>
      <c r="AE38" s="68">
        <f t="shared" si="13"/>
        <v>0</v>
      </c>
      <c r="AF38" s="68">
        <f t="shared" si="14"/>
        <v>0</v>
      </c>
      <c r="AG38" s="103">
        <f t="shared" si="15"/>
        <v>1882747.0825189699</v>
      </c>
    </row>
    <row r="39" spans="1:33" x14ac:dyDescent="0.2">
      <c r="A39" s="104">
        <v>8</v>
      </c>
      <c r="B39" s="65" t="str">
        <f t="shared" si="0"/>
        <v>Working</v>
      </c>
      <c r="C39" s="66">
        <f>N('Savings Projection'!$B$26)</f>
        <v>1872205.6657868917</v>
      </c>
      <c r="D39" s="66">
        <f t="shared" si="1"/>
        <v>1404154.2493401687</v>
      </c>
      <c r="E39" s="66">
        <f>IF(OR(B39="Retired",D39=0),0,MIN(D39,'Tax Assumptions'!$B$19))</f>
        <v>24500</v>
      </c>
      <c r="F39" s="66">
        <f>IF(B39="Working",N('Savings Projection'!$E$26),0)</f>
        <v>0</v>
      </c>
      <c r="G39" s="66">
        <f>IF(B39="Working",N('Savings Projection'!$F$26),0)</f>
        <v>0</v>
      </c>
      <c r="H39" s="66">
        <f>IF(D39=0,0,((LOOKUP(MAX(D39-E39-F39-'Tax Assumptions'!$B$8,0),'Tax Assumptions'!$F$9:$F$15,'Tax Assumptions'!$I$9:$I$15)+(MAX(D39-E39-F39-'Tax Assumptions'!$B$8,0)-LOOKUP(MAX(D39-E39-F39-'Tax Assumptions'!$B$8,0),'Tax Assumptions'!$F$9:$F$15,'Tax Assumptions'!$F$9:$F$15))*LOOKUP(MAX(D39-E39-F39-'Tax Assumptions'!$B$8,0),'Tax Assumptions'!$F$9:$F$15,'Tax Assumptions'!$H$9:$H$15))+(MIN(MAX(D39-F39,0),'Tax Assumptions'!$B$11)*'Tax Assumptions'!$B$10)+(MAX(D39-F39,0)*'Tax Assumptions'!$B$12)+(MAX(MAX(D39-F39,0)-'Tax Assumptions'!$B$14,0)*'Tax Assumptions'!$B$13)+(MIN(D39*'Tax Assumptions'!$B$15,'Tax Assumptions'!$B$16))+(MIN(D39*'Tax Assumptions'!$B$17,'Tax Assumptions'!$B$18))+(LOOKUP(MAX(D39-E39-'Tax Assumptions'!$B$9,0),'Tax Assumptions'!$K$9:$K$17,'Tax Assumptions'!$N$9:$N$17)+(MAX(D39-E39-'Tax Assumptions'!$B$9,0)-LOOKUP(MAX(D39-E39-'Tax Assumptions'!$B$9,0),'Tax Assumptions'!$K$9:$K$17,'Tax Assumptions'!$K$9:$K$17))*LOOKUP(MAX(D39-E39-'Tax Assumptions'!$B$9,0),'Tax Assumptions'!$K$9:$K$17,'Tax Assumptions'!$M$9:$M$17))+(LOOKUP(MAX(D39-E39-'Tax Assumptions'!$B$9,0),'Tax Assumptions'!$P$9:$P$12,'Tax Assumptions'!$S$9:$S$12)+(MAX(D39-E39-'Tax Assumptions'!$B$9,0)-LOOKUP(MAX(D39-E39-'Tax Assumptions'!$B$9,0),'Tax Assumptions'!$P$9:$P$12,'Tax Assumptions'!$P$9:$P$12))*LOOKUP(MAX(D39-E39-'Tax Assumptions'!$B$9,0),'Tax Assumptions'!$P$9:$P$12,'Tax Assumptions'!$R$9:$R$12)))*$B$7)</f>
        <v>682418.08531635185</v>
      </c>
      <c r="I39" s="66">
        <f t="shared" si="2"/>
        <v>697236.16402381682</v>
      </c>
      <c r="J39" s="66">
        <f>IF(B39="Working",N('Savings Projection'!$S$26)*$B$8,0)</f>
        <v>98389.909233989601</v>
      </c>
      <c r="K39" s="66">
        <f>IF(B39="Working",N('Savings Projection'!$T$26)*$B$9,0)</f>
        <v>58419.008607681324</v>
      </c>
      <c r="L39" s="66">
        <f>IF(B39="Working",MIN(MAX(I39-J39-K39-AB39-AC39,0),'Tax Assumptions'!$B$20),0)</f>
        <v>7500</v>
      </c>
      <c r="M39" s="66">
        <f t="shared" si="3"/>
        <v>532927.24618214578</v>
      </c>
      <c r="N39" s="66">
        <f t="shared" si="4"/>
        <v>564927.24618214578</v>
      </c>
      <c r="O39" s="66">
        <f t="shared" si="5"/>
        <v>0</v>
      </c>
      <c r="P39" s="66">
        <f t="shared" si="6"/>
        <v>0</v>
      </c>
      <c r="Q39" s="66">
        <f t="shared" si="16"/>
        <v>0</v>
      </c>
      <c r="R39" s="66">
        <f t="shared" si="17"/>
        <v>0</v>
      </c>
      <c r="S39" s="66">
        <f t="shared" si="18"/>
        <v>0</v>
      </c>
      <c r="T39" s="66">
        <f t="shared" si="19"/>
        <v>0</v>
      </c>
      <c r="U39" s="66">
        <f t="shared" si="20"/>
        <v>2228128.9716776554</v>
      </c>
      <c r="V39" s="66">
        <f t="shared" si="21"/>
        <v>225748.54337323009</v>
      </c>
      <c r="W39" s="66">
        <f t="shared" si="22"/>
        <v>69106.696950988815</v>
      </c>
      <c r="X39" s="66">
        <f t="shared" si="23"/>
        <v>0</v>
      </c>
      <c r="Y39" s="66">
        <f t="shared" si="7"/>
        <v>2522984.2120018741</v>
      </c>
      <c r="Z39" s="66">
        <f t="shared" si="8"/>
        <v>0</v>
      </c>
      <c r="AA39" s="69">
        <f t="shared" si="9"/>
        <v>0.4023256322783717</v>
      </c>
      <c r="AB39" s="66">
        <f t="shared" si="10"/>
        <v>0</v>
      </c>
      <c r="AC39" s="66">
        <f t="shared" si="11"/>
        <v>0</v>
      </c>
      <c r="AD39" s="66">
        <f t="shared" si="12"/>
        <v>0</v>
      </c>
      <c r="AE39" s="66">
        <f t="shared" si="13"/>
        <v>0</v>
      </c>
      <c r="AF39" s="66">
        <f t="shared" si="14"/>
        <v>0</v>
      </c>
      <c r="AG39" s="105">
        <f t="shared" si="15"/>
        <v>2522984.2120018741</v>
      </c>
    </row>
    <row r="40" spans="1:33" x14ac:dyDescent="0.2">
      <c r="A40" s="99">
        <v>9</v>
      </c>
      <c r="B40" s="100" t="str">
        <f t="shared" si="0"/>
        <v>Working</v>
      </c>
      <c r="C40" s="101">
        <f>N('Savings Projection'!$B$27)</f>
        <v>2033969.9666232408</v>
      </c>
      <c r="D40" s="68">
        <f t="shared" si="1"/>
        <v>1525477.4749674306</v>
      </c>
      <c r="E40" s="101">
        <f>IF(OR(B40="Retired",D40=0),0,MIN(D40,'Tax Assumptions'!$B$19))</f>
        <v>24500</v>
      </c>
      <c r="F40" s="101">
        <f>IF(B40="Working",N('Savings Projection'!$E$27),0)</f>
        <v>0</v>
      </c>
      <c r="G40" s="101">
        <f>IF(B40="Working",N('Savings Projection'!$F$27),0)</f>
        <v>0</v>
      </c>
      <c r="H40" s="68">
        <f>IF(D40=0,0,((LOOKUP(MAX(D40-E40-F40-'Tax Assumptions'!$B$8,0),'Tax Assumptions'!$F$9:$F$15,'Tax Assumptions'!$I$9:$I$15)+(MAX(D40-E40-F40-'Tax Assumptions'!$B$8,0)-LOOKUP(MAX(D40-E40-F40-'Tax Assumptions'!$B$8,0),'Tax Assumptions'!$F$9:$F$15,'Tax Assumptions'!$F$9:$F$15))*LOOKUP(MAX(D40-E40-F40-'Tax Assumptions'!$B$8,0),'Tax Assumptions'!$F$9:$F$15,'Tax Assumptions'!$H$9:$H$15))+(MIN(MAX(D40-F40,0),'Tax Assumptions'!$B$11)*'Tax Assumptions'!$B$10)+(MAX(D40-F40,0)*'Tax Assumptions'!$B$12)+(MAX(MAX(D40-F40,0)-'Tax Assumptions'!$B$14,0)*'Tax Assumptions'!$B$13)+(MIN(D40*'Tax Assumptions'!$B$15,'Tax Assumptions'!$B$16))+(MIN(D40*'Tax Assumptions'!$B$17,'Tax Assumptions'!$B$18))+(LOOKUP(MAX(D40-E40-'Tax Assumptions'!$B$9,0),'Tax Assumptions'!$K$9:$K$17,'Tax Assumptions'!$N$9:$N$17)+(MAX(D40-E40-'Tax Assumptions'!$B$9,0)-LOOKUP(MAX(D40-E40-'Tax Assumptions'!$B$9,0),'Tax Assumptions'!$K$9:$K$17,'Tax Assumptions'!$K$9:$K$17))*LOOKUP(MAX(D40-E40-'Tax Assumptions'!$B$9,0),'Tax Assumptions'!$K$9:$K$17,'Tax Assumptions'!$M$9:$M$17))+(LOOKUP(MAX(D40-E40-'Tax Assumptions'!$B$9,0),'Tax Assumptions'!$P$9:$P$12,'Tax Assumptions'!$S$9:$S$12)+(MAX(D40-E40-'Tax Assumptions'!$B$9,0)-LOOKUP(MAX(D40-E40-'Tax Assumptions'!$B$9,0),'Tax Assumptions'!$P$9:$P$12,'Tax Assumptions'!$P$9:$P$12))*LOOKUP(MAX(D40-E40-'Tax Assumptions'!$B$9,0),'Tax Assumptions'!$P$9:$P$12,'Tax Assumptions'!$R$9:$R$12)))*$B$7)</f>
        <v>749134.98885032977</v>
      </c>
      <c r="I40" s="68">
        <f t="shared" si="2"/>
        <v>751842.48611710081</v>
      </c>
      <c r="J40" s="101">
        <f>IF(B40="Working",N('Savings Projection'!$S$27)*$B$8,0)</f>
        <v>101341.60651100927</v>
      </c>
      <c r="K40" s="101">
        <f>IF(B40="Working",N('Savings Projection'!$T$27)*$B$9,0)</f>
        <v>60171.578865911753</v>
      </c>
      <c r="L40" s="68">
        <f>IF(B40="Working",MIN(MAX(I40-J40-K40-AB40-AC40,0),'Tax Assumptions'!$B$20),0)</f>
        <v>7500</v>
      </c>
      <c r="M40" s="68">
        <f t="shared" si="3"/>
        <v>582829.30074017984</v>
      </c>
      <c r="N40" s="101">
        <f t="shared" si="4"/>
        <v>614829.30074017984</v>
      </c>
      <c r="O40" s="101">
        <f t="shared" si="5"/>
        <v>0</v>
      </c>
      <c r="P40" s="101">
        <f t="shared" si="6"/>
        <v>0</v>
      </c>
      <c r="Q40" s="101">
        <f t="shared" si="16"/>
        <v>0</v>
      </c>
      <c r="R40" s="101">
        <f t="shared" si="17"/>
        <v>0</v>
      </c>
      <c r="S40" s="101">
        <f t="shared" si="18"/>
        <v>0</v>
      </c>
      <c r="T40" s="101">
        <f t="shared" si="19"/>
        <v>0</v>
      </c>
      <c r="U40" s="68">
        <f t="shared" si="20"/>
        <v>2900083.4312849417</v>
      </c>
      <c r="V40" s="68">
        <f t="shared" si="21"/>
        <v>259278.48510815931</v>
      </c>
      <c r="W40" s="68">
        <f t="shared" si="22"/>
        <v>79370.964829028366</v>
      </c>
      <c r="X40" s="68">
        <f t="shared" si="23"/>
        <v>0</v>
      </c>
      <c r="Y40" s="68">
        <f t="shared" si="7"/>
        <v>3238732.8812221298</v>
      </c>
      <c r="Z40" s="101">
        <f t="shared" si="8"/>
        <v>0</v>
      </c>
      <c r="AA40" s="102">
        <f t="shared" si="9"/>
        <v>0.40304056325270005</v>
      </c>
      <c r="AB40" s="68">
        <f t="shared" si="10"/>
        <v>0</v>
      </c>
      <c r="AC40" s="68">
        <f t="shared" si="11"/>
        <v>0</v>
      </c>
      <c r="AD40" s="68">
        <f t="shared" si="12"/>
        <v>0</v>
      </c>
      <c r="AE40" s="68">
        <f t="shared" si="13"/>
        <v>0</v>
      </c>
      <c r="AF40" s="68">
        <f t="shared" si="14"/>
        <v>0</v>
      </c>
      <c r="AG40" s="103">
        <f t="shared" si="15"/>
        <v>3238732.8812221298</v>
      </c>
    </row>
    <row r="41" spans="1:33" x14ac:dyDescent="0.2">
      <c r="A41" s="104">
        <v>10</v>
      </c>
      <c r="B41" s="65" t="str">
        <f t="shared" si="0"/>
        <v>Working</v>
      </c>
      <c r="C41" s="66">
        <f>N('Savings Projection'!$B$28)</f>
        <v>2595495.7626410057</v>
      </c>
      <c r="D41" s="66">
        <f t="shared" si="1"/>
        <v>1946621.8219807544</v>
      </c>
      <c r="E41" s="66">
        <f>IF(OR(B41="Retired",D41=0),0,MIN(D41,'Tax Assumptions'!$B$19))</f>
        <v>24500</v>
      </c>
      <c r="F41" s="66">
        <f>IF(B41="Working",N('Savings Projection'!$E$28),0)</f>
        <v>0</v>
      </c>
      <c r="G41" s="66">
        <f>IF(B41="Working",N('Savings Projection'!$F$28),0)</f>
        <v>0</v>
      </c>
      <c r="H41" s="66">
        <f>IF(D41=0,0,((LOOKUP(MAX(D41-E41-F41-'Tax Assumptions'!$B$8,0),'Tax Assumptions'!$F$9:$F$15,'Tax Assumptions'!$I$9:$I$15)+(MAX(D41-E41-F41-'Tax Assumptions'!$B$8,0)-LOOKUP(MAX(D41-E41-F41-'Tax Assumptions'!$B$8,0),'Tax Assumptions'!$F$9:$F$15,'Tax Assumptions'!$F$9:$F$15))*LOOKUP(MAX(D41-E41-F41-'Tax Assumptions'!$B$8,0),'Tax Assumptions'!$F$9:$F$15,'Tax Assumptions'!$H$9:$H$15))+(MIN(MAX(D41-F41,0),'Tax Assumptions'!$B$11)*'Tax Assumptions'!$B$10)+(MAX(D41-F41,0)*'Tax Assumptions'!$B$12)+(MAX(MAX(D41-F41,0)-'Tax Assumptions'!$B$14,0)*'Tax Assumptions'!$B$13)+(MIN(D41*'Tax Assumptions'!$B$15,'Tax Assumptions'!$B$16))+(MIN(D41*'Tax Assumptions'!$B$17,'Tax Assumptions'!$B$18))+(LOOKUP(MAX(D41-E41-'Tax Assumptions'!$B$9,0),'Tax Assumptions'!$K$9:$K$17,'Tax Assumptions'!$N$9:$N$17)+(MAX(D41-E41-'Tax Assumptions'!$B$9,0)-LOOKUP(MAX(D41-E41-'Tax Assumptions'!$B$9,0),'Tax Assumptions'!$K$9:$K$17,'Tax Assumptions'!$K$9:$K$17))*LOOKUP(MAX(D41-E41-'Tax Assumptions'!$B$9,0),'Tax Assumptions'!$K$9:$K$17,'Tax Assumptions'!$M$9:$M$17))+(LOOKUP(MAX(D41-E41-'Tax Assumptions'!$B$9,0),'Tax Assumptions'!$P$9:$P$12,'Tax Assumptions'!$S$9:$S$12)+(MAX(D41-E41-'Tax Assumptions'!$B$9,0)-LOOKUP(MAX(D41-E41-'Tax Assumptions'!$B$9,0),'Tax Assumptions'!$P$9:$P$12,'Tax Assumptions'!$P$9:$P$12))*LOOKUP(MAX(D41-E41-'Tax Assumptions'!$B$9,0),'Tax Assumptions'!$P$9:$P$12,'Tax Assumptions'!$R$9:$R$12)))*$B$7)</f>
        <v>980726.64517416549</v>
      </c>
      <c r="I41" s="66">
        <f t="shared" si="2"/>
        <v>941395.17680658889</v>
      </c>
      <c r="J41" s="66">
        <f>IF(B41="Working",N('Savings Projection'!$S$28)*$B$8,0)</f>
        <v>104381.85470633955</v>
      </c>
      <c r="K41" s="66">
        <f>IF(B41="Working",N('Savings Projection'!$T$28)*$B$9,0)</f>
        <v>61976.726231889115</v>
      </c>
      <c r="L41" s="66">
        <f>IF(B41="Working",MIN(MAX(I41-J41-K41-AB41-AC41,0),'Tax Assumptions'!$B$20),0)</f>
        <v>0</v>
      </c>
      <c r="M41" s="66">
        <f t="shared" si="3"/>
        <v>-1595092.7088710226</v>
      </c>
      <c r="N41" s="66">
        <f t="shared" si="4"/>
        <v>-1570592.7088710226</v>
      </c>
      <c r="O41" s="66">
        <f t="shared" si="5"/>
        <v>0</v>
      </c>
      <c r="P41" s="66">
        <f t="shared" si="6"/>
        <v>0</v>
      </c>
      <c r="Q41" s="66">
        <f t="shared" si="16"/>
        <v>0</v>
      </c>
      <c r="R41" s="66">
        <f t="shared" si="17"/>
        <v>0</v>
      </c>
      <c r="S41" s="66">
        <f t="shared" si="18"/>
        <v>0</v>
      </c>
      <c r="T41" s="66">
        <f t="shared" si="19"/>
        <v>0</v>
      </c>
      <c r="U41" s="66">
        <f t="shared" si="20"/>
        <v>1420994.0596653169</v>
      </c>
      <c r="V41" s="66">
        <f t="shared" si="21"/>
        <v>294149.62451248569</v>
      </c>
      <c r="W41" s="66">
        <f t="shared" si="22"/>
        <v>82545.803422189507</v>
      </c>
      <c r="X41" s="66">
        <f t="shared" si="23"/>
        <v>0</v>
      </c>
      <c r="Y41" s="66">
        <f t="shared" si="7"/>
        <v>1797689.4875999922</v>
      </c>
      <c r="Z41" s="66">
        <f t="shared" si="8"/>
        <v>0</v>
      </c>
      <c r="AA41" s="69">
        <f t="shared" si="9"/>
        <v>-0.80682990971142543</v>
      </c>
      <c r="AB41" s="66">
        <f t="shared" si="10"/>
        <v>2025000.0000000002</v>
      </c>
      <c r="AC41" s="66">
        <f t="shared" si="11"/>
        <v>345129.30473938253</v>
      </c>
      <c r="AD41" s="66">
        <f t="shared" si="12"/>
        <v>5000000</v>
      </c>
      <c r="AE41" s="66">
        <f t="shared" si="13"/>
        <v>3065350.5104622408</v>
      </c>
      <c r="AF41" s="66">
        <f t="shared" si="14"/>
        <v>1934649.4895377592</v>
      </c>
      <c r="AG41" s="105">
        <f t="shared" si="15"/>
        <v>3732338.9771377514</v>
      </c>
    </row>
    <row r="42" spans="1:33" x14ac:dyDescent="0.2">
      <c r="A42" s="99">
        <v>11</v>
      </c>
      <c r="B42" s="100" t="str">
        <f t="shared" si="0"/>
        <v>Retired</v>
      </c>
      <c r="C42" s="101">
        <f>N('Savings Projection'!$B$29)</f>
        <v>0</v>
      </c>
      <c r="D42" s="68">
        <f t="shared" si="1"/>
        <v>0</v>
      </c>
      <c r="E42" s="101">
        <f>IF(OR(B42="Retired",D42=0),0,MIN(D42,'Tax Assumptions'!$B$19))</f>
        <v>0</v>
      </c>
      <c r="F42" s="101">
        <f>IF(B42="Working",N('Savings Projection'!$E$29),0)</f>
        <v>0</v>
      </c>
      <c r="G42" s="101">
        <f>IF(B42="Working",N('Savings Projection'!$F$29),0)</f>
        <v>0</v>
      </c>
      <c r="H42" s="68">
        <f>IF(D42=0,0,((LOOKUP(MAX(D42-E42-F42-'Tax Assumptions'!$B$8,0),'Tax Assumptions'!$F$9:$F$15,'Tax Assumptions'!$I$9:$I$15)+(MAX(D42-E42-F42-'Tax Assumptions'!$B$8,0)-LOOKUP(MAX(D42-E42-F42-'Tax Assumptions'!$B$8,0),'Tax Assumptions'!$F$9:$F$15,'Tax Assumptions'!$F$9:$F$15))*LOOKUP(MAX(D42-E42-F42-'Tax Assumptions'!$B$8,0),'Tax Assumptions'!$F$9:$F$15,'Tax Assumptions'!$H$9:$H$15))+(MIN(MAX(D42-F42,0),'Tax Assumptions'!$B$11)*'Tax Assumptions'!$B$10)+(MAX(D42-F42,0)*'Tax Assumptions'!$B$12)+(MAX(MAX(D42-F42,0)-'Tax Assumptions'!$B$14,0)*'Tax Assumptions'!$B$13)+(MIN(D42*'Tax Assumptions'!$B$15,'Tax Assumptions'!$B$16))+(MIN(D42*'Tax Assumptions'!$B$17,'Tax Assumptions'!$B$18))+(LOOKUP(MAX(D42-E42-'Tax Assumptions'!$B$9,0),'Tax Assumptions'!$K$9:$K$17,'Tax Assumptions'!$N$9:$N$17)+(MAX(D42-E42-'Tax Assumptions'!$B$9,0)-LOOKUP(MAX(D42-E42-'Tax Assumptions'!$B$9,0),'Tax Assumptions'!$K$9:$K$17,'Tax Assumptions'!$K$9:$K$17))*LOOKUP(MAX(D42-E42-'Tax Assumptions'!$B$9,0),'Tax Assumptions'!$K$9:$K$17,'Tax Assumptions'!$M$9:$M$17))+(LOOKUP(MAX(D42-E42-'Tax Assumptions'!$B$9,0),'Tax Assumptions'!$P$9:$P$12,'Tax Assumptions'!$S$9:$S$12)+(MAX(D42-E42-'Tax Assumptions'!$B$9,0)-LOOKUP(MAX(D42-E42-'Tax Assumptions'!$B$9,0),'Tax Assumptions'!$P$9:$P$12,'Tax Assumptions'!$P$9:$P$12))*LOOKUP(MAX(D42-E42-'Tax Assumptions'!$B$9,0),'Tax Assumptions'!$P$9:$P$12,'Tax Assumptions'!$R$9:$R$12)))*$B$7)</f>
        <v>0</v>
      </c>
      <c r="I42" s="68">
        <f t="shared" si="2"/>
        <v>0</v>
      </c>
      <c r="J42" s="101">
        <f>IF(B42="Working",N('Savings Projection'!$S$29)*$B$8,0)</f>
        <v>0</v>
      </c>
      <c r="K42" s="101">
        <f>IF(B42="Working",N('Savings Projection'!$T$29)*$B$9,0)</f>
        <v>0</v>
      </c>
      <c r="L42" s="68">
        <f>IF(B42="Working",MIN(MAX(I42-J42-K42-AB42-AC42,0),'Tax Assumptions'!$B$20),0)</f>
        <v>0</v>
      </c>
      <c r="M42" s="68">
        <f t="shared" si="3"/>
        <v>0</v>
      </c>
      <c r="N42" s="101">
        <f t="shared" si="4"/>
        <v>-518429.30473938253</v>
      </c>
      <c r="O42" s="101">
        <f t="shared" si="5"/>
        <v>518429.30473938253</v>
      </c>
      <c r="P42" s="101">
        <f t="shared" si="6"/>
        <v>518429.30473938253</v>
      </c>
      <c r="Q42" s="101">
        <f t="shared" si="16"/>
        <v>518429.30473938253</v>
      </c>
      <c r="R42" s="101">
        <f t="shared" si="17"/>
        <v>0</v>
      </c>
      <c r="S42" s="101">
        <f t="shared" si="18"/>
        <v>0</v>
      </c>
      <c r="T42" s="101">
        <f t="shared" si="19"/>
        <v>0</v>
      </c>
      <c r="U42" s="68">
        <f t="shared" si="20"/>
        <v>959404.51731254719</v>
      </c>
      <c r="V42" s="68">
        <f t="shared" si="21"/>
        <v>305915.60949298512</v>
      </c>
      <c r="W42" s="68">
        <f t="shared" si="22"/>
        <v>85847.635559077084</v>
      </c>
      <c r="X42" s="68">
        <f t="shared" si="23"/>
        <v>0</v>
      </c>
      <c r="Y42" s="68">
        <f t="shared" si="7"/>
        <v>1351167.7623646094</v>
      </c>
      <c r="Z42" s="101">
        <f t="shared" si="8"/>
        <v>0</v>
      </c>
      <c r="AA42" s="102">
        <f t="shared" si="9"/>
        <v>0</v>
      </c>
      <c r="AB42" s="68">
        <f t="shared" si="10"/>
        <v>0</v>
      </c>
      <c r="AC42" s="68">
        <f t="shared" si="11"/>
        <v>348429.30473938253</v>
      </c>
      <c r="AD42" s="68">
        <f t="shared" si="12"/>
        <v>5150000</v>
      </c>
      <c r="AE42" s="68">
        <f t="shared" si="13"/>
        <v>3028380.4804391954</v>
      </c>
      <c r="AF42" s="68">
        <f t="shared" si="14"/>
        <v>2121619.5195608046</v>
      </c>
      <c r="AG42" s="103">
        <f t="shared" si="15"/>
        <v>3472787.2819254138</v>
      </c>
    </row>
    <row r="43" spans="1:33" x14ac:dyDescent="0.2">
      <c r="A43" s="104">
        <v>12</v>
      </c>
      <c r="B43" s="65" t="str">
        <f t="shared" si="0"/>
        <v>Retired</v>
      </c>
      <c r="C43" s="66">
        <f>N('Savings Projection'!$B$30)</f>
        <v>0</v>
      </c>
      <c r="D43" s="66">
        <f t="shared" si="1"/>
        <v>0</v>
      </c>
      <c r="E43" s="66">
        <f>IF(OR(B43="Retired",D43=0),0,MIN(D43,'Tax Assumptions'!$B$19))</f>
        <v>0</v>
      </c>
      <c r="F43" s="66">
        <f>IF(B43="Working",N('Savings Projection'!$E$30),0)</f>
        <v>0</v>
      </c>
      <c r="G43" s="66">
        <f>IF(B43="Working",N('Savings Projection'!$F$30),0)</f>
        <v>0</v>
      </c>
      <c r="H43" s="66">
        <f>IF(D43=0,0,((LOOKUP(MAX(D43-E43-F43-'Tax Assumptions'!$B$8,0),'Tax Assumptions'!$F$9:$F$15,'Tax Assumptions'!$I$9:$I$15)+(MAX(D43-E43-F43-'Tax Assumptions'!$B$8,0)-LOOKUP(MAX(D43-E43-F43-'Tax Assumptions'!$B$8,0),'Tax Assumptions'!$F$9:$F$15,'Tax Assumptions'!$F$9:$F$15))*LOOKUP(MAX(D43-E43-F43-'Tax Assumptions'!$B$8,0),'Tax Assumptions'!$F$9:$F$15,'Tax Assumptions'!$H$9:$H$15))+(MIN(MAX(D43-F43,0),'Tax Assumptions'!$B$11)*'Tax Assumptions'!$B$10)+(MAX(D43-F43,0)*'Tax Assumptions'!$B$12)+(MAX(MAX(D43-F43,0)-'Tax Assumptions'!$B$14,0)*'Tax Assumptions'!$B$13)+(MIN(D43*'Tax Assumptions'!$B$15,'Tax Assumptions'!$B$16))+(MIN(D43*'Tax Assumptions'!$B$17,'Tax Assumptions'!$B$18))+(LOOKUP(MAX(D43-E43-'Tax Assumptions'!$B$9,0),'Tax Assumptions'!$K$9:$K$17,'Tax Assumptions'!$N$9:$N$17)+(MAX(D43-E43-'Tax Assumptions'!$B$9,0)-LOOKUP(MAX(D43-E43-'Tax Assumptions'!$B$9,0),'Tax Assumptions'!$K$9:$K$17,'Tax Assumptions'!$K$9:$K$17))*LOOKUP(MAX(D43-E43-'Tax Assumptions'!$B$9,0),'Tax Assumptions'!$K$9:$K$17,'Tax Assumptions'!$M$9:$M$17))+(LOOKUP(MAX(D43-E43-'Tax Assumptions'!$B$9,0),'Tax Assumptions'!$P$9:$P$12,'Tax Assumptions'!$S$9:$S$12)+(MAX(D43-E43-'Tax Assumptions'!$B$9,0)-LOOKUP(MAX(D43-E43-'Tax Assumptions'!$B$9,0),'Tax Assumptions'!$P$9:$P$12,'Tax Assumptions'!$P$9:$P$12))*LOOKUP(MAX(D43-E43-'Tax Assumptions'!$B$9,0),'Tax Assumptions'!$P$9:$P$12,'Tax Assumptions'!$R$9:$R$12)))*$B$7)</f>
        <v>0</v>
      </c>
      <c r="I43" s="66">
        <f t="shared" si="2"/>
        <v>0</v>
      </c>
      <c r="J43" s="66">
        <f>IF(B43="Working",N('Savings Projection'!$S$30)*$B$8,0)</f>
        <v>0</v>
      </c>
      <c r="K43" s="66">
        <f>IF(B43="Working",N('Savings Projection'!$T$30)*$B$9,0)</f>
        <v>0</v>
      </c>
      <c r="L43" s="66">
        <f>IF(B43="Working",MIN(MAX(I43-J43-K43-AB43-AC43,0),'Tax Assumptions'!$B$20),0)</f>
        <v>0</v>
      </c>
      <c r="M43" s="66">
        <f t="shared" si="3"/>
        <v>0</v>
      </c>
      <c r="N43" s="66">
        <f t="shared" si="4"/>
        <v>-521828.30473938253</v>
      </c>
      <c r="O43" s="66">
        <f t="shared" si="5"/>
        <v>521828.30473938253</v>
      </c>
      <c r="P43" s="66">
        <f t="shared" si="6"/>
        <v>521828.30473938253</v>
      </c>
      <c r="Q43" s="66">
        <f t="shared" si="16"/>
        <v>521828.30473938253</v>
      </c>
      <c r="R43" s="66">
        <f t="shared" si="17"/>
        <v>0</v>
      </c>
      <c r="S43" s="66">
        <f t="shared" si="18"/>
        <v>0</v>
      </c>
      <c r="T43" s="66">
        <f t="shared" si="19"/>
        <v>0</v>
      </c>
      <c r="U43" s="66">
        <f t="shared" si="20"/>
        <v>475952.39326566661</v>
      </c>
      <c r="V43" s="66">
        <f t="shared" si="21"/>
        <v>318152.23387270456</v>
      </c>
      <c r="W43" s="66">
        <f t="shared" si="22"/>
        <v>89281.540981440165</v>
      </c>
      <c r="X43" s="66">
        <f t="shared" si="23"/>
        <v>0</v>
      </c>
      <c r="Y43" s="66">
        <f t="shared" si="7"/>
        <v>883386.16811981122</v>
      </c>
      <c r="Z43" s="66">
        <f t="shared" si="8"/>
        <v>0</v>
      </c>
      <c r="AA43" s="69">
        <f t="shared" si="9"/>
        <v>0</v>
      </c>
      <c r="AB43" s="66">
        <f t="shared" si="10"/>
        <v>0</v>
      </c>
      <c r="AC43" s="66">
        <f t="shared" si="11"/>
        <v>351828.30473938253</v>
      </c>
      <c r="AD43" s="66">
        <f t="shared" si="12"/>
        <v>5304500</v>
      </c>
      <c r="AE43" s="66">
        <f t="shared" si="13"/>
        <v>2988934.4990369165</v>
      </c>
      <c r="AF43" s="66">
        <f t="shared" si="14"/>
        <v>2315565.5009630835</v>
      </c>
      <c r="AG43" s="105">
        <f t="shared" si="15"/>
        <v>3198951.6690828949</v>
      </c>
    </row>
    <row r="44" spans="1:33" x14ac:dyDescent="0.2">
      <c r="A44" s="99">
        <v>13</v>
      </c>
      <c r="B44" s="100" t="str">
        <f t="shared" si="0"/>
        <v>Retired</v>
      </c>
      <c r="C44" s="101">
        <f>N('Savings Projection'!$B$31)</f>
        <v>0</v>
      </c>
      <c r="D44" s="68">
        <f t="shared" si="1"/>
        <v>0</v>
      </c>
      <c r="E44" s="101">
        <f>IF(OR(B44="Retired",D44=0),0,MIN(D44,'Tax Assumptions'!$B$19))</f>
        <v>0</v>
      </c>
      <c r="F44" s="101">
        <f>IF(B44="Working",N('Savings Projection'!$E$31),0)</f>
        <v>0</v>
      </c>
      <c r="G44" s="101">
        <f>IF(B44="Working",N('Savings Projection'!$F$31),0)</f>
        <v>0</v>
      </c>
      <c r="H44" s="68">
        <f>IF(D44=0,0,((LOOKUP(MAX(D44-E44-F44-'Tax Assumptions'!$B$8,0),'Tax Assumptions'!$F$9:$F$15,'Tax Assumptions'!$I$9:$I$15)+(MAX(D44-E44-F44-'Tax Assumptions'!$B$8,0)-LOOKUP(MAX(D44-E44-F44-'Tax Assumptions'!$B$8,0),'Tax Assumptions'!$F$9:$F$15,'Tax Assumptions'!$F$9:$F$15))*LOOKUP(MAX(D44-E44-F44-'Tax Assumptions'!$B$8,0),'Tax Assumptions'!$F$9:$F$15,'Tax Assumptions'!$H$9:$H$15))+(MIN(MAX(D44-F44,0),'Tax Assumptions'!$B$11)*'Tax Assumptions'!$B$10)+(MAX(D44-F44,0)*'Tax Assumptions'!$B$12)+(MAX(MAX(D44-F44,0)-'Tax Assumptions'!$B$14,0)*'Tax Assumptions'!$B$13)+(MIN(D44*'Tax Assumptions'!$B$15,'Tax Assumptions'!$B$16))+(MIN(D44*'Tax Assumptions'!$B$17,'Tax Assumptions'!$B$18))+(LOOKUP(MAX(D44-E44-'Tax Assumptions'!$B$9,0),'Tax Assumptions'!$K$9:$K$17,'Tax Assumptions'!$N$9:$N$17)+(MAX(D44-E44-'Tax Assumptions'!$B$9,0)-LOOKUP(MAX(D44-E44-'Tax Assumptions'!$B$9,0),'Tax Assumptions'!$K$9:$K$17,'Tax Assumptions'!$K$9:$K$17))*LOOKUP(MAX(D44-E44-'Tax Assumptions'!$B$9,0),'Tax Assumptions'!$K$9:$K$17,'Tax Assumptions'!$M$9:$M$17))+(LOOKUP(MAX(D44-E44-'Tax Assumptions'!$B$9,0),'Tax Assumptions'!$P$9:$P$12,'Tax Assumptions'!$S$9:$S$12)+(MAX(D44-E44-'Tax Assumptions'!$B$9,0)-LOOKUP(MAX(D44-E44-'Tax Assumptions'!$B$9,0),'Tax Assumptions'!$P$9:$P$12,'Tax Assumptions'!$P$9:$P$12))*LOOKUP(MAX(D44-E44-'Tax Assumptions'!$B$9,0),'Tax Assumptions'!$P$9:$P$12,'Tax Assumptions'!$R$9:$R$12)))*$B$7)</f>
        <v>0</v>
      </c>
      <c r="I44" s="68">
        <f t="shared" si="2"/>
        <v>0</v>
      </c>
      <c r="J44" s="101">
        <f>IF(B44="Working",N('Savings Projection'!$S$31)*$B$8,0)</f>
        <v>0</v>
      </c>
      <c r="K44" s="101">
        <f>IF(B44="Working",N('Savings Projection'!$T$31)*$B$9,0)</f>
        <v>0</v>
      </c>
      <c r="L44" s="68">
        <f>IF(B44="Working",MIN(MAX(I44-J44-K44-AB44-AC44,0),'Tax Assumptions'!$B$20),0)</f>
        <v>0</v>
      </c>
      <c r="M44" s="68">
        <f t="shared" si="3"/>
        <v>0</v>
      </c>
      <c r="N44" s="101">
        <f t="shared" si="4"/>
        <v>-525329.27473938256</v>
      </c>
      <c r="O44" s="101">
        <f t="shared" si="5"/>
        <v>525329.27473938256</v>
      </c>
      <c r="P44" s="101">
        <f t="shared" si="6"/>
        <v>525329.27473938256</v>
      </c>
      <c r="Q44" s="101">
        <f t="shared" si="16"/>
        <v>494990.48899629328</v>
      </c>
      <c r="R44" s="101">
        <f t="shared" si="17"/>
        <v>30338.785743089276</v>
      </c>
      <c r="S44" s="101">
        <f t="shared" si="18"/>
        <v>0</v>
      </c>
      <c r="T44" s="101">
        <f t="shared" si="19"/>
        <v>0</v>
      </c>
      <c r="U44" s="68">
        <f t="shared" si="20"/>
        <v>0</v>
      </c>
      <c r="V44" s="68">
        <f t="shared" si="21"/>
        <v>300539.53748452349</v>
      </c>
      <c r="W44" s="68">
        <f t="shared" si="22"/>
        <v>92852.802620697781</v>
      </c>
      <c r="X44" s="68">
        <f t="shared" si="23"/>
        <v>0</v>
      </c>
      <c r="Y44" s="68">
        <f t="shared" si="7"/>
        <v>393392.34010522126</v>
      </c>
      <c r="Z44" s="101">
        <f t="shared" si="8"/>
        <v>0</v>
      </c>
      <c r="AA44" s="102">
        <f t="shared" si="9"/>
        <v>0</v>
      </c>
      <c r="AB44" s="68">
        <f t="shared" si="10"/>
        <v>0</v>
      </c>
      <c r="AC44" s="68">
        <f t="shared" si="11"/>
        <v>355329.2747393825</v>
      </c>
      <c r="AD44" s="68">
        <f t="shared" si="12"/>
        <v>5463635</v>
      </c>
      <c r="AE44" s="68">
        <f t="shared" si="13"/>
        <v>2946846.7472060695</v>
      </c>
      <c r="AF44" s="68">
        <f t="shared" si="14"/>
        <v>2516788.2527939305</v>
      </c>
      <c r="AG44" s="103">
        <f t="shared" si="15"/>
        <v>2910180.5928991516</v>
      </c>
    </row>
    <row r="45" spans="1:33" x14ac:dyDescent="0.2">
      <c r="A45" s="104">
        <v>14</v>
      </c>
      <c r="B45" s="65" t="str">
        <f t="shared" si="0"/>
        <v>Retired</v>
      </c>
      <c r="C45" s="66">
        <f>N('Savings Projection'!$B$32)</f>
        <v>0</v>
      </c>
      <c r="D45" s="66">
        <f t="shared" si="1"/>
        <v>0</v>
      </c>
      <c r="E45" s="66">
        <f>IF(OR(B45="Retired",D45=0),0,MIN(D45,'Tax Assumptions'!$B$19))</f>
        <v>0</v>
      </c>
      <c r="F45" s="66">
        <f>IF(B45="Working",N('Savings Projection'!$E$32),0)</f>
        <v>0</v>
      </c>
      <c r="G45" s="66">
        <f>IF(B45="Working",N('Savings Projection'!$F$32),0)</f>
        <v>0</v>
      </c>
      <c r="H45" s="66">
        <f>IF(D45=0,0,((LOOKUP(MAX(D45-E45-F45-'Tax Assumptions'!$B$8,0),'Tax Assumptions'!$F$9:$F$15,'Tax Assumptions'!$I$9:$I$15)+(MAX(D45-E45-F45-'Tax Assumptions'!$B$8,0)-LOOKUP(MAX(D45-E45-F45-'Tax Assumptions'!$B$8,0),'Tax Assumptions'!$F$9:$F$15,'Tax Assumptions'!$F$9:$F$15))*LOOKUP(MAX(D45-E45-F45-'Tax Assumptions'!$B$8,0),'Tax Assumptions'!$F$9:$F$15,'Tax Assumptions'!$H$9:$H$15))+(MIN(MAX(D45-F45,0),'Tax Assumptions'!$B$11)*'Tax Assumptions'!$B$10)+(MAX(D45-F45,0)*'Tax Assumptions'!$B$12)+(MAX(MAX(D45-F45,0)-'Tax Assumptions'!$B$14,0)*'Tax Assumptions'!$B$13)+(MIN(D45*'Tax Assumptions'!$B$15,'Tax Assumptions'!$B$16))+(MIN(D45*'Tax Assumptions'!$B$17,'Tax Assumptions'!$B$18))+(LOOKUP(MAX(D45-E45-'Tax Assumptions'!$B$9,0),'Tax Assumptions'!$K$9:$K$17,'Tax Assumptions'!$N$9:$N$17)+(MAX(D45-E45-'Tax Assumptions'!$B$9,0)-LOOKUP(MAX(D45-E45-'Tax Assumptions'!$B$9,0),'Tax Assumptions'!$K$9:$K$17,'Tax Assumptions'!$K$9:$K$17))*LOOKUP(MAX(D45-E45-'Tax Assumptions'!$B$9,0),'Tax Assumptions'!$K$9:$K$17,'Tax Assumptions'!$M$9:$M$17))+(LOOKUP(MAX(D45-E45-'Tax Assumptions'!$B$9,0),'Tax Assumptions'!$P$9:$P$12,'Tax Assumptions'!$S$9:$S$12)+(MAX(D45-E45-'Tax Assumptions'!$B$9,0)-LOOKUP(MAX(D45-E45-'Tax Assumptions'!$B$9,0),'Tax Assumptions'!$P$9:$P$12,'Tax Assumptions'!$P$9:$P$12))*LOOKUP(MAX(D45-E45-'Tax Assumptions'!$B$9,0),'Tax Assumptions'!$P$9:$P$12,'Tax Assumptions'!$R$9:$R$12)))*$B$7)</f>
        <v>0</v>
      </c>
      <c r="I45" s="66">
        <f t="shared" si="2"/>
        <v>0</v>
      </c>
      <c r="J45" s="66">
        <f>IF(B45="Working",N('Savings Projection'!$S$32)*$B$8,0)</f>
        <v>0</v>
      </c>
      <c r="K45" s="66">
        <f>IF(B45="Working",N('Savings Projection'!$T$32)*$B$9,0)</f>
        <v>0</v>
      </c>
      <c r="L45" s="66">
        <f>IF(B45="Working",MIN(MAX(I45-J45-K45-AB45-AC45,0),'Tax Assumptions'!$B$20),0)</f>
        <v>0</v>
      </c>
      <c r="M45" s="66">
        <f t="shared" si="3"/>
        <v>0</v>
      </c>
      <c r="N45" s="66">
        <f t="shared" si="4"/>
        <v>-409128.03370943014</v>
      </c>
      <c r="O45" s="66">
        <f t="shared" si="5"/>
        <v>528935.27383938245</v>
      </c>
      <c r="P45" s="66">
        <f t="shared" si="6"/>
        <v>409128.03370943014</v>
      </c>
      <c r="Q45" s="66">
        <f t="shared" si="16"/>
        <v>0</v>
      </c>
      <c r="R45" s="66">
        <f t="shared" si="17"/>
        <v>312561.11898390442</v>
      </c>
      <c r="S45" s="66">
        <f t="shared" si="18"/>
        <v>96566.914725525698</v>
      </c>
      <c r="T45" s="66">
        <f t="shared" si="19"/>
        <v>0</v>
      </c>
      <c r="U45" s="66">
        <f t="shared" si="20"/>
        <v>0</v>
      </c>
      <c r="V45" s="66">
        <f t="shared" si="21"/>
        <v>0</v>
      </c>
      <c r="W45" s="66">
        <f t="shared" si="22"/>
        <v>0</v>
      </c>
      <c r="X45" s="66">
        <f t="shared" si="23"/>
        <v>0</v>
      </c>
      <c r="Y45" s="66">
        <f t="shared" si="7"/>
        <v>0</v>
      </c>
      <c r="Z45" s="66">
        <f t="shared" si="8"/>
        <v>119807.24012995232</v>
      </c>
      <c r="AA45" s="69">
        <f t="shared" si="9"/>
        <v>0</v>
      </c>
      <c r="AB45" s="66">
        <f t="shared" si="10"/>
        <v>0</v>
      </c>
      <c r="AC45" s="66">
        <f t="shared" si="11"/>
        <v>358935.27383938251</v>
      </c>
      <c r="AD45" s="66">
        <f t="shared" si="12"/>
        <v>5627544.0499999998</v>
      </c>
      <c r="AE45" s="66">
        <f t="shared" si="13"/>
        <v>2901940.300688487</v>
      </c>
      <c r="AF45" s="66">
        <f t="shared" si="14"/>
        <v>2725603.7493115128</v>
      </c>
      <c r="AG45" s="105">
        <f t="shared" si="15"/>
        <v>2725603.7493115128</v>
      </c>
    </row>
    <row r="46" spans="1:33" x14ac:dyDescent="0.2">
      <c r="A46" s="99">
        <v>15</v>
      </c>
      <c r="B46" s="100" t="str">
        <f t="shared" si="0"/>
        <v>Retired</v>
      </c>
      <c r="C46" s="101">
        <f>N('Savings Projection'!$B$33)</f>
        <v>0</v>
      </c>
      <c r="D46" s="68">
        <f t="shared" si="1"/>
        <v>0</v>
      </c>
      <c r="E46" s="101">
        <f>IF(OR(B46="Retired",D46=0),0,MIN(D46,'Tax Assumptions'!$B$19))</f>
        <v>0</v>
      </c>
      <c r="F46" s="101">
        <f>IF(B46="Working",N('Savings Projection'!$E$33),0)</f>
        <v>0</v>
      </c>
      <c r="G46" s="101">
        <f>IF(B46="Working",N('Savings Projection'!$F$33),0)</f>
        <v>0</v>
      </c>
      <c r="H46" s="68">
        <f>IF(D46=0,0,((LOOKUP(MAX(D46-E46-F46-'Tax Assumptions'!$B$8,0),'Tax Assumptions'!$F$9:$F$15,'Tax Assumptions'!$I$9:$I$15)+(MAX(D46-E46-F46-'Tax Assumptions'!$B$8,0)-LOOKUP(MAX(D46-E46-F46-'Tax Assumptions'!$B$8,0),'Tax Assumptions'!$F$9:$F$15,'Tax Assumptions'!$F$9:$F$15))*LOOKUP(MAX(D46-E46-F46-'Tax Assumptions'!$B$8,0),'Tax Assumptions'!$F$9:$F$15,'Tax Assumptions'!$H$9:$H$15))+(MIN(MAX(D46-F46,0),'Tax Assumptions'!$B$11)*'Tax Assumptions'!$B$10)+(MAX(D46-F46,0)*'Tax Assumptions'!$B$12)+(MAX(MAX(D46-F46,0)-'Tax Assumptions'!$B$14,0)*'Tax Assumptions'!$B$13)+(MIN(D46*'Tax Assumptions'!$B$15,'Tax Assumptions'!$B$16))+(MIN(D46*'Tax Assumptions'!$B$17,'Tax Assumptions'!$B$18))+(LOOKUP(MAX(D46-E46-'Tax Assumptions'!$B$9,0),'Tax Assumptions'!$K$9:$K$17,'Tax Assumptions'!$N$9:$N$17)+(MAX(D46-E46-'Tax Assumptions'!$B$9,0)-LOOKUP(MAX(D46-E46-'Tax Assumptions'!$B$9,0),'Tax Assumptions'!$K$9:$K$17,'Tax Assumptions'!$K$9:$K$17))*LOOKUP(MAX(D46-E46-'Tax Assumptions'!$B$9,0),'Tax Assumptions'!$K$9:$K$17,'Tax Assumptions'!$M$9:$M$17))+(LOOKUP(MAX(D46-E46-'Tax Assumptions'!$B$9,0),'Tax Assumptions'!$P$9:$P$12,'Tax Assumptions'!$S$9:$S$12)+(MAX(D46-E46-'Tax Assumptions'!$B$9,0)-LOOKUP(MAX(D46-E46-'Tax Assumptions'!$B$9,0),'Tax Assumptions'!$P$9:$P$12,'Tax Assumptions'!$P$9:$P$12))*LOOKUP(MAX(D46-E46-'Tax Assumptions'!$B$9,0),'Tax Assumptions'!$P$9:$P$12,'Tax Assumptions'!$R$9:$R$12)))*$B$7)</f>
        <v>0</v>
      </c>
      <c r="I46" s="68">
        <f t="shared" si="2"/>
        <v>0</v>
      </c>
      <c r="J46" s="101">
        <f>IF(B46="Working",N('Savings Projection'!$S$33)*$B$8,0)</f>
        <v>0</v>
      </c>
      <c r="K46" s="101">
        <f>IF(B46="Working",N('Savings Projection'!$T$33)*$B$9,0)</f>
        <v>0</v>
      </c>
      <c r="L46" s="68">
        <f>IF(B46="Working",MIN(MAX(I46-J46-K46-AB46-AC46,0),'Tax Assumptions'!$B$20),0)</f>
        <v>0</v>
      </c>
      <c r="M46" s="68">
        <f t="shared" si="3"/>
        <v>0</v>
      </c>
      <c r="N46" s="101">
        <f t="shared" si="4"/>
        <v>0</v>
      </c>
      <c r="O46" s="101">
        <f t="shared" si="5"/>
        <v>532649.45291238255</v>
      </c>
      <c r="P46" s="101">
        <f t="shared" si="6"/>
        <v>0</v>
      </c>
      <c r="Q46" s="101">
        <f t="shared" si="16"/>
        <v>0</v>
      </c>
      <c r="R46" s="101">
        <f t="shared" si="17"/>
        <v>0</v>
      </c>
      <c r="S46" s="101">
        <f t="shared" si="18"/>
        <v>0</v>
      </c>
      <c r="T46" s="101">
        <f t="shared" si="19"/>
        <v>0</v>
      </c>
      <c r="U46" s="68">
        <f t="shared" si="20"/>
        <v>0</v>
      </c>
      <c r="V46" s="68">
        <f t="shared" si="21"/>
        <v>0</v>
      </c>
      <c r="W46" s="68">
        <f t="shared" si="22"/>
        <v>0</v>
      </c>
      <c r="X46" s="68">
        <f t="shared" si="23"/>
        <v>0</v>
      </c>
      <c r="Y46" s="68">
        <f t="shared" si="7"/>
        <v>0</v>
      </c>
      <c r="Z46" s="101">
        <f t="shared" si="8"/>
        <v>532649.45291238255</v>
      </c>
      <c r="AA46" s="102">
        <f t="shared" si="9"/>
        <v>0</v>
      </c>
      <c r="AB46" s="68">
        <f t="shared" si="10"/>
        <v>0</v>
      </c>
      <c r="AC46" s="68">
        <f t="shared" si="11"/>
        <v>362649.45291238249</v>
      </c>
      <c r="AD46" s="68">
        <f t="shared" si="12"/>
        <v>5796370.3714999994</v>
      </c>
      <c r="AE46" s="68">
        <f t="shared" si="13"/>
        <v>2854026.386280769</v>
      </c>
      <c r="AF46" s="68">
        <f t="shared" si="14"/>
        <v>2942343.9852192304</v>
      </c>
      <c r="AG46" s="103">
        <f t="shared" si="15"/>
        <v>2942343.9852192304</v>
      </c>
    </row>
    <row r="47" spans="1:33" x14ac:dyDescent="0.2">
      <c r="A47" s="104">
        <v>16</v>
      </c>
      <c r="B47" s="65" t="str">
        <f t="shared" si="0"/>
        <v>Retired</v>
      </c>
      <c r="C47" s="66">
        <f>N('Savings Projection'!$B$34)</f>
        <v>0</v>
      </c>
      <c r="D47" s="66">
        <f t="shared" si="1"/>
        <v>0</v>
      </c>
      <c r="E47" s="66">
        <f>IF(OR(B47="Retired",D47=0),0,MIN(D47,'Tax Assumptions'!$B$19))</f>
        <v>0</v>
      </c>
      <c r="F47" s="66">
        <f>IF(B47="Working",N('Savings Projection'!$E$34),0)</f>
        <v>0</v>
      </c>
      <c r="G47" s="66">
        <f>IF(B47="Working",N('Savings Projection'!$F$34),0)</f>
        <v>0</v>
      </c>
      <c r="H47" s="66">
        <f>IF(D47=0,0,((LOOKUP(MAX(D47-E47-F47-'Tax Assumptions'!$B$8,0),'Tax Assumptions'!$F$9:$F$15,'Tax Assumptions'!$I$9:$I$15)+(MAX(D47-E47-F47-'Tax Assumptions'!$B$8,0)-LOOKUP(MAX(D47-E47-F47-'Tax Assumptions'!$B$8,0),'Tax Assumptions'!$F$9:$F$15,'Tax Assumptions'!$F$9:$F$15))*LOOKUP(MAX(D47-E47-F47-'Tax Assumptions'!$B$8,0),'Tax Assumptions'!$F$9:$F$15,'Tax Assumptions'!$H$9:$H$15))+(MIN(MAX(D47-F47,0),'Tax Assumptions'!$B$11)*'Tax Assumptions'!$B$10)+(MAX(D47-F47,0)*'Tax Assumptions'!$B$12)+(MAX(MAX(D47-F47,0)-'Tax Assumptions'!$B$14,0)*'Tax Assumptions'!$B$13)+(MIN(D47*'Tax Assumptions'!$B$15,'Tax Assumptions'!$B$16))+(MIN(D47*'Tax Assumptions'!$B$17,'Tax Assumptions'!$B$18))+(LOOKUP(MAX(D47-E47-'Tax Assumptions'!$B$9,0),'Tax Assumptions'!$K$9:$K$17,'Tax Assumptions'!$N$9:$N$17)+(MAX(D47-E47-'Tax Assumptions'!$B$9,0)-LOOKUP(MAX(D47-E47-'Tax Assumptions'!$B$9,0),'Tax Assumptions'!$K$9:$K$17,'Tax Assumptions'!$K$9:$K$17))*LOOKUP(MAX(D47-E47-'Tax Assumptions'!$B$9,0),'Tax Assumptions'!$K$9:$K$17,'Tax Assumptions'!$M$9:$M$17))+(LOOKUP(MAX(D47-E47-'Tax Assumptions'!$B$9,0),'Tax Assumptions'!$P$9:$P$12,'Tax Assumptions'!$S$9:$S$12)+(MAX(D47-E47-'Tax Assumptions'!$B$9,0)-LOOKUP(MAX(D47-E47-'Tax Assumptions'!$B$9,0),'Tax Assumptions'!$P$9:$P$12,'Tax Assumptions'!$P$9:$P$12))*LOOKUP(MAX(D47-E47-'Tax Assumptions'!$B$9,0),'Tax Assumptions'!$P$9:$P$12,'Tax Assumptions'!$R$9:$R$12)))*$B$7)</f>
        <v>0</v>
      </c>
      <c r="I47" s="66">
        <f t="shared" si="2"/>
        <v>0</v>
      </c>
      <c r="J47" s="66">
        <f>IF(B47="Working",N('Savings Projection'!$S$34)*$B$8,0)</f>
        <v>0</v>
      </c>
      <c r="K47" s="66">
        <f>IF(B47="Working",N('Savings Projection'!$T$34)*$B$9,0)</f>
        <v>0</v>
      </c>
      <c r="L47" s="66">
        <f>IF(B47="Working",MIN(MAX(I47-J47-K47-AB47-AC47,0),'Tax Assumptions'!$B$20),0)</f>
        <v>0</v>
      </c>
      <c r="M47" s="66">
        <f t="shared" si="3"/>
        <v>0</v>
      </c>
      <c r="N47" s="66">
        <f t="shared" si="4"/>
        <v>0</v>
      </c>
      <c r="O47" s="66">
        <f t="shared" si="5"/>
        <v>536475.05735757248</v>
      </c>
      <c r="P47" s="66">
        <f t="shared" si="6"/>
        <v>0</v>
      </c>
      <c r="Q47" s="66">
        <f t="shared" si="16"/>
        <v>0</v>
      </c>
      <c r="R47" s="66">
        <f t="shared" si="17"/>
        <v>0</v>
      </c>
      <c r="S47" s="66">
        <f t="shared" si="18"/>
        <v>0</v>
      </c>
      <c r="T47" s="66">
        <f t="shared" si="19"/>
        <v>0</v>
      </c>
      <c r="U47" s="66">
        <f t="shared" si="20"/>
        <v>0</v>
      </c>
      <c r="V47" s="66">
        <f t="shared" si="21"/>
        <v>0</v>
      </c>
      <c r="W47" s="66">
        <f t="shared" si="22"/>
        <v>0</v>
      </c>
      <c r="X47" s="66">
        <f t="shared" si="23"/>
        <v>0</v>
      </c>
      <c r="Y47" s="66">
        <f t="shared" si="7"/>
        <v>0</v>
      </c>
      <c r="Z47" s="66">
        <f t="shared" si="8"/>
        <v>536475.05735757248</v>
      </c>
      <c r="AA47" s="69">
        <f t="shared" si="9"/>
        <v>0</v>
      </c>
      <c r="AB47" s="66">
        <f t="shared" si="10"/>
        <v>0</v>
      </c>
      <c r="AC47" s="66">
        <f t="shared" si="11"/>
        <v>366475.05735757248</v>
      </c>
      <c r="AD47" s="66">
        <f t="shared" si="12"/>
        <v>5970261.4826449994</v>
      </c>
      <c r="AE47" s="66">
        <f t="shared" si="13"/>
        <v>2802903.5882884748</v>
      </c>
      <c r="AF47" s="66">
        <f t="shared" si="14"/>
        <v>3167357.8943565246</v>
      </c>
      <c r="AG47" s="105">
        <f t="shared" si="15"/>
        <v>3167357.8943565246</v>
      </c>
    </row>
    <row r="48" spans="1:33" x14ac:dyDescent="0.2">
      <c r="A48" s="99">
        <v>17</v>
      </c>
      <c r="B48" s="100" t="str">
        <f t="shared" si="0"/>
        <v>Retired</v>
      </c>
      <c r="C48" s="101">
        <f>N('Savings Projection'!$B$35)</f>
        <v>0</v>
      </c>
      <c r="D48" s="68">
        <f t="shared" si="1"/>
        <v>0</v>
      </c>
      <c r="E48" s="101">
        <f>IF(OR(B48="Retired",D48=0),0,MIN(D48,'Tax Assumptions'!$B$19))</f>
        <v>0</v>
      </c>
      <c r="F48" s="101">
        <f>IF(B48="Working",N('Savings Projection'!$E$35),0)</f>
        <v>0</v>
      </c>
      <c r="G48" s="101">
        <f>IF(B48="Working",N('Savings Projection'!$F$35),0)</f>
        <v>0</v>
      </c>
      <c r="H48" s="68">
        <f>IF(D48=0,0,((LOOKUP(MAX(D48-E48-F48-'Tax Assumptions'!$B$8,0),'Tax Assumptions'!$F$9:$F$15,'Tax Assumptions'!$I$9:$I$15)+(MAX(D48-E48-F48-'Tax Assumptions'!$B$8,0)-LOOKUP(MAX(D48-E48-F48-'Tax Assumptions'!$B$8,0),'Tax Assumptions'!$F$9:$F$15,'Tax Assumptions'!$F$9:$F$15))*LOOKUP(MAX(D48-E48-F48-'Tax Assumptions'!$B$8,0),'Tax Assumptions'!$F$9:$F$15,'Tax Assumptions'!$H$9:$H$15))+(MIN(MAX(D48-F48,0),'Tax Assumptions'!$B$11)*'Tax Assumptions'!$B$10)+(MAX(D48-F48,0)*'Tax Assumptions'!$B$12)+(MAX(MAX(D48-F48,0)-'Tax Assumptions'!$B$14,0)*'Tax Assumptions'!$B$13)+(MIN(D48*'Tax Assumptions'!$B$15,'Tax Assumptions'!$B$16))+(MIN(D48*'Tax Assumptions'!$B$17,'Tax Assumptions'!$B$18))+(LOOKUP(MAX(D48-E48-'Tax Assumptions'!$B$9,0),'Tax Assumptions'!$K$9:$K$17,'Tax Assumptions'!$N$9:$N$17)+(MAX(D48-E48-'Tax Assumptions'!$B$9,0)-LOOKUP(MAX(D48-E48-'Tax Assumptions'!$B$9,0),'Tax Assumptions'!$K$9:$K$17,'Tax Assumptions'!$K$9:$K$17))*LOOKUP(MAX(D48-E48-'Tax Assumptions'!$B$9,0),'Tax Assumptions'!$K$9:$K$17,'Tax Assumptions'!$M$9:$M$17))+(LOOKUP(MAX(D48-E48-'Tax Assumptions'!$B$9,0),'Tax Assumptions'!$P$9:$P$12,'Tax Assumptions'!$S$9:$S$12)+(MAX(D48-E48-'Tax Assumptions'!$B$9,0)-LOOKUP(MAX(D48-E48-'Tax Assumptions'!$B$9,0),'Tax Assumptions'!$P$9:$P$12,'Tax Assumptions'!$P$9:$P$12))*LOOKUP(MAX(D48-E48-'Tax Assumptions'!$B$9,0),'Tax Assumptions'!$P$9:$P$12,'Tax Assumptions'!$R$9:$R$12)))*$B$7)</f>
        <v>0</v>
      </c>
      <c r="I48" s="68">
        <f t="shared" si="2"/>
        <v>0</v>
      </c>
      <c r="J48" s="101">
        <f>IF(B48="Working",N('Savings Projection'!$S$35)*$B$8,0)</f>
        <v>0</v>
      </c>
      <c r="K48" s="101">
        <f>IF(B48="Working",N('Savings Projection'!$T$35)*$B$9,0)</f>
        <v>0</v>
      </c>
      <c r="L48" s="68">
        <f>IF(B48="Working",MIN(MAX(I48-J48-K48-AB48-AC48,0),'Tax Assumptions'!$B$20),0)</f>
        <v>0</v>
      </c>
      <c r="M48" s="68">
        <f t="shared" si="3"/>
        <v>0</v>
      </c>
      <c r="N48" s="101">
        <f t="shared" si="4"/>
        <v>0</v>
      </c>
      <c r="O48" s="101">
        <f t="shared" si="5"/>
        <v>540415.42993611819</v>
      </c>
      <c r="P48" s="101">
        <f t="shared" si="6"/>
        <v>0</v>
      </c>
      <c r="Q48" s="101">
        <f t="shared" si="16"/>
        <v>0</v>
      </c>
      <c r="R48" s="101">
        <f t="shared" si="17"/>
        <v>0</v>
      </c>
      <c r="S48" s="101">
        <f t="shared" si="18"/>
        <v>0</v>
      </c>
      <c r="T48" s="101">
        <f t="shared" si="19"/>
        <v>0</v>
      </c>
      <c r="U48" s="68">
        <f t="shared" si="20"/>
        <v>0</v>
      </c>
      <c r="V48" s="68">
        <f t="shared" si="21"/>
        <v>0</v>
      </c>
      <c r="W48" s="68">
        <f t="shared" si="22"/>
        <v>0</v>
      </c>
      <c r="X48" s="68">
        <f t="shared" si="23"/>
        <v>0</v>
      </c>
      <c r="Y48" s="68">
        <f t="shared" si="7"/>
        <v>0</v>
      </c>
      <c r="Z48" s="101">
        <f t="shared" si="8"/>
        <v>540415.42993611819</v>
      </c>
      <c r="AA48" s="102">
        <f t="shared" si="9"/>
        <v>0</v>
      </c>
      <c r="AB48" s="68">
        <f t="shared" si="10"/>
        <v>0</v>
      </c>
      <c r="AC48" s="68">
        <f t="shared" si="11"/>
        <v>370415.42993611819</v>
      </c>
      <c r="AD48" s="68">
        <f t="shared" si="12"/>
        <v>6149369.3271243498</v>
      </c>
      <c r="AE48" s="68">
        <f t="shared" si="13"/>
        <v>2748357.001835085</v>
      </c>
      <c r="AF48" s="68">
        <f t="shared" si="14"/>
        <v>3401012.3252892648</v>
      </c>
      <c r="AG48" s="103">
        <f t="shared" si="15"/>
        <v>3401012.3252892648</v>
      </c>
    </row>
    <row r="49" spans="1:33" x14ac:dyDescent="0.2">
      <c r="A49" s="104">
        <v>18</v>
      </c>
      <c r="B49" s="65" t="str">
        <f t="shared" si="0"/>
        <v>Retired</v>
      </c>
      <c r="C49" s="66">
        <f>N('Savings Projection'!$B$36)</f>
        <v>0</v>
      </c>
      <c r="D49" s="66">
        <f t="shared" si="1"/>
        <v>0</v>
      </c>
      <c r="E49" s="66">
        <f>IF(OR(B49="Retired",D49=0),0,MIN(D49,'Tax Assumptions'!$B$19))</f>
        <v>0</v>
      </c>
      <c r="F49" s="66">
        <f>IF(B49="Working",N('Savings Projection'!$E$36),0)</f>
        <v>0</v>
      </c>
      <c r="G49" s="66">
        <f>IF(B49="Working",N('Savings Projection'!$F$36),0)</f>
        <v>0</v>
      </c>
      <c r="H49" s="66">
        <f>IF(D49=0,0,((LOOKUP(MAX(D49-E49-F49-'Tax Assumptions'!$B$8,0),'Tax Assumptions'!$F$9:$F$15,'Tax Assumptions'!$I$9:$I$15)+(MAX(D49-E49-F49-'Tax Assumptions'!$B$8,0)-LOOKUP(MAX(D49-E49-F49-'Tax Assumptions'!$B$8,0),'Tax Assumptions'!$F$9:$F$15,'Tax Assumptions'!$F$9:$F$15))*LOOKUP(MAX(D49-E49-F49-'Tax Assumptions'!$B$8,0),'Tax Assumptions'!$F$9:$F$15,'Tax Assumptions'!$H$9:$H$15))+(MIN(MAX(D49-F49,0),'Tax Assumptions'!$B$11)*'Tax Assumptions'!$B$10)+(MAX(D49-F49,0)*'Tax Assumptions'!$B$12)+(MAX(MAX(D49-F49,0)-'Tax Assumptions'!$B$14,0)*'Tax Assumptions'!$B$13)+(MIN(D49*'Tax Assumptions'!$B$15,'Tax Assumptions'!$B$16))+(MIN(D49*'Tax Assumptions'!$B$17,'Tax Assumptions'!$B$18))+(LOOKUP(MAX(D49-E49-'Tax Assumptions'!$B$9,0),'Tax Assumptions'!$K$9:$K$17,'Tax Assumptions'!$N$9:$N$17)+(MAX(D49-E49-'Tax Assumptions'!$B$9,0)-LOOKUP(MAX(D49-E49-'Tax Assumptions'!$B$9,0),'Tax Assumptions'!$K$9:$K$17,'Tax Assumptions'!$K$9:$K$17))*LOOKUP(MAX(D49-E49-'Tax Assumptions'!$B$9,0),'Tax Assumptions'!$K$9:$K$17,'Tax Assumptions'!$M$9:$M$17))+(LOOKUP(MAX(D49-E49-'Tax Assumptions'!$B$9,0),'Tax Assumptions'!$P$9:$P$12,'Tax Assumptions'!$S$9:$S$12)+(MAX(D49-E49-'Tax Assumptions'!$B$9,0)-LOOKUP(MAX(D49-E49-'Tax Assumptions'!$B$9,0),'Tax Assumptions'!$P$9:$P$12,'Tax Assumptions'!$P$9:$P$12))*LOOKUP(MAX(D49-E49-'Tax Assumptions'!$B$9,0),'Tax Assumptions'!$P$9:$P$12,'Tax Assumptions'!$R$9:$R$12)))*$B$7)</f>
        <v>0</v>
      </c>
      <c r="I49" s="66">
        <f t="shared" si="2"/>
        <v>0</v>
      </c>
      <c r="J49" s="66">
        <f>IF(B49="Working",N('Savings Projection'!$S$36)*$B$8,0)</f>
        <v>0</v>
      </c>
      <c r="K49" s="66">
        <f>IF(B49="Working",N('Savings Projection'!$T$36)*$B$9,0)</f>
        <v>0</v>
      </c>
      <c r="L49" s="66">
        <f>IF(B49="Working",MIN(MAX(I49-J49-K49-AB49-AC49,0),'Tax Assumptions'!$B$20),0)</f>
        <v>0</v>
      </c>
      <c r="M49" s="66">
        <f t="shared" si="3"/>
        <v>0</v>
      </c>
      <c r="N49" s="66">
        <f t="shared" si="4"/>
        <v>0</v>
      </c>
      <c r="O49" s="66">
        <f t="shared" si="5"/>
        <v>544474.01369202021</v>
      </c>
      <c r="P49" s="66">
        <f t="shared" si="6"/>
        <v>0</v>
      </c>
      <c r="Q49" s="66">
        <f t="shared" si="16"/>
        <v>0</v>
      </c>
      <c r="R49" s="66">
        <f t="shared" si="17"/>
        <v>0</v>
      </c>
      <c r="S49" s="66">
        <f t="shared" si="18"/>
        <v>0</v>
      </c>
      <c r="T49" s="66">
        <f t="shared" si="19"/>
        <v>0</v>
      </c>
      <c r="U49" s="66">
        <f t="shared" si="20"/>
        <v>0</v>
      </c>
      <c r="V49" s="66">
        <f t="shared" si="21"/>
        <v>0</v>
      </c>
      <c r="W49" s="66">
        <f t="shared" si="22"/>
        <v>0</v>
      </c>
      <c r="X49" s="66">
        <f t="shared" si="23"/>
        <v>0</v>
      </c>
      <c r="Y49" s="66">
        <f t="shared" si="7"/>
        <v>0</v>
      </c>
      <c r="Z49" s="66">
        <f t="shared" si="8"/>
        <v>544474.01369202021</v>
      </c>
      <c r="AA49" s="69">
        <f t="shared" si="9"/>
        <v>0</v>
      </c>
      <c r="AB49" s="66">
        <f t="shared" si="10"/>
        <v>0</v>
      </c>
      <c r="AC49" s="66">
        <f t="shared" si="11"/>
        <v>374474.01369202026</v>
      </c>
      <c r="AD49" s="66">
        <f t="shared" si="12"/>
        <v>6333850.4069380797</v>
      </c>
      <c r="AE49" s="66">
        <f t="shared" si="13"/>
        <v>2690157.3294664947</v>
      </c>
      <c r="AF49" s="66">
        <f t="shared" si="14"/>
        <v>3643693.077471585</v>
      </c>
      <c r="AG49" s="105">
        <f t="shared" si="15"/>
        <v>3643693.077471585</v>
      </c>
    </row>
    <row r="50" spans="1:33" x14ac:dyDescent="0.2">
      <c r="A50" s="99">
        <v>19</v>
      </c>
      <c r="B50" s="100" t="str">
        <f t="shared" si="0"/>
        <v>Retired</v>
      </c>
      <c r="C50" s="101">
        <f>N('Savings Projection'!$B$37)</f>
        <v>0</v>
      </c>
      <c r="D50" s="68">
        <f t="shared" si="1"/>
        <v>0</v>
      </c>
      <c r="E50" s="101">
        <f>IF(OR(B50="Retired",D50=0),0,MIN(D50,'Tax Assumptions'!$B$19))</f>
        <v>0</v>
      </c>
      <c r="F50" s="101">
        <f>IF(B50="Working",N('Savings Projection'!$E$37),0)</f>
        <v>0</v>
      </c>
      <c r="G50" s="101">
        <f>IF(B50="Working",N('Savings Projection'!$F$37),0)</f>
        <v>0</v>
      </c>
      <c r="H50" s="68">
        <f>IF(D50=0,0,((LOOKUP(MAX(D50-E50-F50-'Tax Assumptions'!$B$8,0),'Tax Assumptions'!$F$9:$F$15,'Tax Assumptions'!$I$9:$I$15)+(MAX(D50-E50-F50-'Tax Assumptions'!$B$8,0)-LOOKUP(MAX(D50-E50-F50-'Tax Assumptions'!$B$8,0),'Tax Assumptions'!$F$9:$F$15,'Tax Assumptions'!$F$9:$F$15))*LOOKUP(MAX(D50-E50-F50-'Tax Assumptions'!$B$8,0),'Tax Assumptions'!$F$9:$F$15,'Tax Assumptions'!$H$9:$H$15))+(MIN(MAX(D50-F50,0),'Tax Assumptions'!$B$11)*'Tax Assumptions'!$B$10)+(MAX(D50-F50,0)*'Tax Assumptions'!$B$12)+(MAX(MAX(D50-F50,0)-'Tax Assumptions'!$B$14,0)*'Tax Assumptions'!$B$13)+(MIN(D50*'Tax Assumptions'!$B$15,'Tax Assumptions'!$B$16))+(MIN(D50*'Tax Assumptions'!$B$17,'Tax Assumptions'!$B$18))+(LOOKUP(MAX(D50-E50-'Tax Assumptions'!$B$9,0),'Tax Assumptions'!$K$9:$K$17,'Tax Assumptions'!$N$9:$N$17)+(MAX(D50-E50-'Tax Assumptions'!$B$9,0)-LOOKUP(MAX(D50-E50-'Tax Assumptions'!$B$9,0),'Tax Assumptions'!$K$9:$K$17,'Tax Assumptions'!$K$9:$K$17))*LOOKUP(MAX(D50-E50-'Tax Assumptions'!$B$9,0),'Tax Assumptions'!$K$9:$K$17,'Tax Assumptions'!$M$9:$M$17))+(LOOKUP(MAX(D50-E50-'Tax Assumptions'!$B$9,0),'Tax Assumptions'!$P$9:$P$12,'Tax Assumptions'!$S$9:$S$12)+(MAX(D50-E50-'Tax Assumptions'!$B$9,0)-LOOKUP(MAX(D50-E50-'Tax Assumptions'!$B$9,0),'Tax Assumptions'!$P$9:$P$12,'Tax Assumptions'!$P$9:$P$12))*LOOKUP(MAX(D50-E50-'Tax Assumptions'!$B$9,0),'Tax Assumptions'!$P$9:$P$12,'Tax Assumptions'!$R$9:$R$12)))*$B$7)</f>
        <v>0</v>
      </c>
      <c r="I50" s="68">
        <f t="shared" si="2"/>
        <v>0</v>
      </c>
      <c r="J50" s="101">
        <f>IF(B50="Working",N('Savings Projection'!$S$37)*$B$8,0)</f>
        <v>0</v>
      </c>
      <c r="K50" s="101">
        <f>IF(B50="Working",N('Savings Projection'!$T$37)*$B$9,0)</f>
        <v>0</v>
      </c>
      <c r="L50" s="68">
        <f>IF(B50="Working",MIN(MAX(I50-J50-K50-AB50-AC50,0),'Tax Assumptions'!$B$20),0)</f>
        <v>0</v>
      </c>
      <c r="M50" s="68">
        <f t="shared" si="3"/>
        <v>0</v>
      </c>
      <c r="N50" s="101">
        <f t="shared" si="4"/>
        <v>0</v>
      </c>
      <c r="O50" s="101">
        <f t="shared" si="5"/>
        <v>548654.35496059945</v>
      </c>
      <c r="P50" s="101">
        <f t="shared" si="6"/>
        <v>0</v>
      </c>
      <c r="Q50" s="101">
        <f t="shared" si="16"/>
        <v>0</v>
      </c>
      <c r="R50" s="101">
        <f t="shared" si="17"/>
        <v>0</v>
      </c>
      <c r="S50" s="101">
        <f t="shared" si="18"/>
        <v>0</v>
      </c>
      <c r="T50" s="101">
        <f t="shared" si="19"/>
        <v>0</v>
      </c>
      <c r="U50" s="68">
        <f t="shared" si="20"/>
        <v>0</v>
      </c>
      <c r="V50" s="68">
        <f t="shared" si="21"/>
        <v>0</v>
      </c>
      <c r="W50" s="68">
        <f t="shared" si="22"/>
        <v>0</v>
      </c>
      <c r="X50" s="68">
        <f t="shared" si="23"/>
        <v>0</v>
      </c>
      <c r="Y50" s="68">
        <f t="shared" si="7"/>
        <v>0</v>
      </c>
      <c r="Z50" s="101">
        <f t="shared" si="8"/>
        <v>548654.35496059945</v>
      </c>
      <c r="AA50" s="102">
        <f t="shared" si="9"/>
        <v>0</v>
      </c>
      <c r="AB50" s="68">
        <f t="shared" si="10"/>
        <v>0</v>
      </c>
      <c r="AC50" s="68">
        <f t="shared" si="11"/>
        <v>378654.35496059939</v>
      </c>
      <c r="AD50" s="68">
        <f t="shared" si="12"/>
        <v>6523865.9191462221</v>
      </c>
      <c r="AE50" s="68">
        <f t="shared" si="13"/>
        <v>2628059.9172534388</v>
      </c>
      <c r="AF50" s="68">
        <f t="shared" si="14"/>
        <v>3895806.0018927832</v>
      </c>
      <c r="AG50" s="103">
        <f t="shared" si="15"/>
        <v>3895806.0018927832</v>
      </c>
    </row>
    <row r="51" spans="1:33" x14ac:dyDescent="0.2">
      <c r="A51" s="104">
        <v>20</v>
      </c>
      <c r="B51" s="65" t="str">
        <f t="shared" si="0"/>
        <v>Retired</v>
      </c>
      <c r="C51" s="66">
        <f>N('Savings Projection'!$B$38)</f>
        <v>0</v>
      </c>
      <c r="D51" s="66">
        <f t="shared" si="1"/>
        <v>0</v>
      </c>
      <c r="E51" s="66">
        <f>IF(OR(B51="Retired",D51=0),0,MIN(D51,'Tax Assumptions'!$B$19))</f>
        <v>0</v>
      </c>
      <c r="F51" s="66">
        <f>IF(B51="Working",N('Savings Projection'!$E$38),0)</f>
        <v>0</v>
      </c>
      <c r="G51" s="66">
        <f>IF(B51="Working",N('Savings Projection'!$F$38),0)</f>
        <v>0</v>
      </c>
      <c r="H51" s="66">
        <f>IF(D51=0,0,((LOOKUP(MAX(D51-E51-F51-'Tax Assumptions'!$B$8,0),'Tax Assumptions'!$F$9:$F$15,'Tax Assumptions'!$I$9:$I$15)+(MAX(D51-E51-F51-'Tax Assumptions'!$B$8,0)-LOOKUP(MAX(D51-E51-F51-'Tax Assumptions'!$B$8,0),'Tax Assumptions'!$F$9:$F$15,'Tax Assumptions'!$F$9:$F$15))*LOOKUP(MAX(D51-E51-F51-'Tax Assumptions'!$B$8,0),'Tax Assumptions'!$F$9:$F$15,'Tax Assumptions'!$H$9:$H$15))+(MIN(MAX(D51-F51,0),'Tax Assumptions'!$B$11)*'Tax Assumptions'!$B$10)+(MAX(D51-F51,0)*'Tax Assumptions'!$B$12)+(MAX(MAX(D51-F51,0)-'Tax Assumptions'!$B$14,0)*'Tax Assumptions'!$B$13)+(MIN(D51*'Tax Assumptions'!$B$15,'Tax Assumptions'!$B$16))+(MIN(D51*'Tax Assumptions'!$B$17,'Tax Assumptions'!$B$18))+(LOOKUP(MAX(D51-E51-'Tax Assumptions'!$B$9,0),'Tax Assumptions'!$K$9:$K$17,'Tax Assumptions'!$N$9:$N$17)+(MAX(D51-E51-'Tax Assumptions'!$B$9,0)-LOOKUP(MAX(D51-E51-'Tax Assumptions'!$B$9,0),'Tax Assumptions'!$K$9:$K$17,'Tax Assumptions'!$K$9:$K$17))*LOOKUP(MAX(D51-E51-'Tax Assumptions'!$B$9,0),'Tax Assumptions'!$K$9:$K$17,'Tax Assumptions'!$M$9:$M$17))+(LOOKUP(MAX(D51-E51-'Tax Assumptions'!$B$9,0),'Tax Assumptions'!$P$9:$P$12,'Tax Assumptions'!$S$9:$S$12)+(MAX(D51-E51-'Tax Assumptions'!$B$9,0)-LOOKUP(MAX(D51-E51-'Tax Assumptions'!$B$9,0),'Tax Assumptions'!$P$9:$P$12,'Tax Assumptions'!$P$9:$P$12))*LOOKUP(MAX(D51-E51-'Tax Assumptions'!$B$9,0),'Tax Assumptions'!$P$9:$P$12,'Tax Assumptions'!$R$9:$R$12)))*$B$7)</f>
        <v>0</v>
      </c>
      <c r="I51" s="66">
        <f t="shared" si="2"/>
        <v>0</v>
      </c>
      <c r="J51" s="66">
        <f>IF(B51="Working",N('Savings Projection'!$S$38)*$B$8,0)</f>
        <v>0</v>
      </c>
      <c r="K51" s="66">
        <f>IF(B51="Working",N('Savings Projection'!$T$38)*$B$9,0)</f>
        <v>0</v>
      </c>
      <c r="L51" s="66">
        <f>IF(B51="Working",MIN(MAX(I51-J51-K51-AB51-AC51,0),'Tax Assumptions'!$B$20),0)</f>
        <v>0</v>
      </c>
      <c r="M51" s="66">
        <f t="shared" si="3"/>
        <v>0</v>
      </c>
      <c r="N51" s="66">
        <f t="shared" si="4"/>
        <v>0</v>
      </c>
      <c r="O51" s="66">
        <f t="shared" si="5"/>
        <v>552960.10646723595</v>
      </c>
      <c r="P51" s="66">
        <f t="shared" si="6"/>
        <v>0</v>
      </c>
      <c r="Q51" s="66">
        <f t="shared" si="16"/>
        <v>0</v>
      </c>
      <c r="R51" s="66">
        <f t="shared" si="17"/>
        <v>0</v>
      </c>
      <c r="S51" s="66">
        <f t="shared" si="18"/>
        <v>0</v>
      </c>
      <c r="T51" s="66">
        <f t="shared" si="19"/>
        <v>0</v>
      </c>
      <c r="U51" s="66">
        <f t="shared" si="20"/>
        <v>0</v>
      </c>
      <c r="V51" s="66">
        <f t="shared" si="21"/>
        <v>0</v>
      </c>
      <c r="W51" s="66">
        <f t="shared" si="22"/>
        <v>0</v>
      </c>
      <c r="X51" s="66">
        <f t="shared" si="23"/>
        <v>0</v>
      </c>
      <c r="Y51" s="66">
        <f t="shared" si="7"/>
        <v>0</v>
      </c>
      <c r="Z51" s="66">
        <f t="shared" si="8"/>
        <v>552960.10646723595</v>
      </c>
      <c r="AA51" s="69">
        <f t="shared" si="9"/>
        <v>0</v>
      </c>
      <c r="AB51" s="66">
        <f t="shared" si="10"/>
        <v>0</v>
      </c>
      <c r="AC51" s="66">
        <f t="shared" si="11"/>
        <v>382960.10646723595</v>
      </c>
      <c r="AD51" s="66">
        <f t="shared" si="12"/>
        <v>6719581.8967206087</v>
      </c>
      <c r="AE51" s="66">
        <f t="shared" si="13"/>
        <v>2561803.7263399083</v>
      </c>
      <c r="AF51" s="66">
        <f t="shared" si="14"/>
        <v>4157778.1703807004</v>
      </c>
      <c r="AG51" s="105">
        <f t="shared" si="15"/>
        <v>4157778.1703807004</v>
      </c>
    </row>
    <row r="52" spans="1:33" x14ac:dyDescent="0.2">
      <c r="A52" s="99">
        <v>21</v>
      </c>
      <c r="B52" s="100" t="str">
        <f t="shared" si="0"/>
        <v>Retired</v>
      </c>
      <c r="C52" s="101">
        <f>N('Savings Projection'!$B$39)</f>
        <v>0</v>
      </c>
      <c r="D52" s="68">
        <f t="shared" si="1"/>
        <v>0</v>
      </c>
      <c r="E52" s="101">
        <f>IF(OR(B52="Retired",D52=0),0,MIN(D52,'Tax Assumptions'!$B$19))</f>
        <v>0</v>
      </c>
      <c r="F52" s="101">
        <f>IF(B52="Working",N('Savings Projection'!$E$39),0)</f>
        <v>0</v>
      </c>
      <c r="G52" s="101">
        <f>IF(B52="Working",N('Savings Projection'!$F$39),0)</f>
        <v>0</v>
      </c>
      <c r="H52" s="68">
        <f>IF(D52=0,0,((LOOKUP(MAX(D52-E52-F52-'Tax Assumptions'!$B$8,0),'Tax Assumptions'!$F$9:$F$15,'Tax Assumptions'!$I$9:$I$15)+(MAX(D52-E52-F52-'Tax Assumptions'!$B$8,0)-LOOKUP(MAX(D52-E52-F52-'Tax Assumptions'!$B$8,0),'Tax Assumptions'!$F$9:$F$15,'Tax Assumptions'!$F$9:$F$15))*LOOKUP(MAX(D52-E52-F52-'Tax Assumptions'!$B$8,0),'Tax Assumptions'!$F$9:$F$15,'Tax Assumptions'!$H$9:$H$15))+(MIN(MAX(D52-F52,0),'Tax Assumptions'!$B$11)*'Tax Assumptions'!$B$10)+(MAX(D52-F52,0)*'Tax Assumptions'!$B$12)+(MAX(MAX(D52-F52,0)-'Tax Assumptions'!$B$14,0)*'Tax Assumptions'!$B$13)+(MIN(D52*'Tax Assumptions'!$B$15,'Tax Assumptions'!$B$16))+(MIN(D52*'Tax Assumptions'!$B$17,'Tax Assumptions'!$B$18))+(LOOKUP(MAX(D52-E52-'Tax Assumptions'!$B$9,0),'Tax Assumptions'!$K$9:$K$17,'Tax Assumptions'!$N$9:$N$17)+(MAX(D52-E52-'Tax Assumptions'!$B$9,0)-LOOKUP(MAX(D52-E52-'Tax Assumptions'!$B$9,0),'Tax Assumptions'!$K$9:$K$17,'Tax Assumptions'!$K$9:$K$17))*LOOKUP(MAX(D52-E52-'Tax Assumptions'!$B$9,0),'Tax Assumptions'!$K$9:$K$17,'Tax Assumptions'!$M$9:$M$17))+(LOOKUP(MAX(D52-E52-'Tax Assumptions'!$B$9,0),'Tax Assumptions'!$P$9:$P$12,'Tax Assumptions'!$S$9:$S$12)+(MAX(D52-E52-'Tax Assumptions'!$B$9,0)-LOOKUP(MAX(D52-E52-'Tax Assumptions'!$B$9,0),'Tax Assumptions'!$P$9:$P$12,'Tax Assumptions'!$P$9:$P$12))*LOOKUP(MAX(D52-E52-'Tax Assumptions'!$B$9,0),'Tax Assumptions'!$P$9:$P$12,'Tax Assumptions'!$R$9:$R$12)))*$B$7)</f>
        <v>0</v>
      </c>
      <c r="I52" s="68">
        <f t="shared" si="2"/>
        <v>0</v>
      </c>
      <c r="J52" s="101">
        <f>IF(B52="Working",N('Savings Projection'!$S$39)*$B$8,0)</f>
        <v>0</v>
      </c>
      <c r="K52" s="101">
        <f>IF(B52="Working",N('Savings Projection'!$T$39)*$B$9,0)</f>
        <v>0</v>
      </c>
      <c r="L52" s="68">
        <f>IF(B52="Working",MIN(MAX(I52-J52-K52-AB52-AC52,0),'Tax Assumptions'!$B$20),0)</f>
        <v>0</v>
      </c>
      <c r="M52" s="68">
        <f t="shared" si="3"/>
        <v>0</v>
      </c>
      <c r="N52" s="101">
        <f t="shared" si="4"/>
        <v>0</v>
      </c>
      <c r="O52" s="101">
        <f t="shared" si="5"/>
        <v>557395.0305190715</v>
      </c>
      <c r="P52" s="101">
        <f t="shared" si="6"/>
        <v>0</v>
      </c>
      <c r="Q52" s="101">
        <f t="shared" si="16"/>
        <v>0</v>
      </c>
      <c r="R52" s="101">
        <f t="shared" si="17"/>
        <v>0</v>
      </c>
      <c r="S52" s="101">
        <f t="shared" si="18"/>
        <v>0</v>
      </c>
      <c r="T52" s="101">
        <f t="shared" si="19"/>
        <v>0</v>
      </c>
      <c r="U52" s="68">
        <f t="shared" si="20"/>
        <v>0</v>
      </c>
      <c r="V52" s="68">
        <f t="shared" si="21"/>
        <v>0</v>
      </c>
      <c r="W52" s="68">
        <f t="shared" si="22"/>
        <v>0</v>
      </c>
      <c r="X52" s="68">
        <f t="shared" si="23"/>
        <v>0</v>
      </c>
      <c r="Y52" s="68">
        <f t="shared" si="7"/>
        <v>0</v>
      </c>
      <c r="Z52" s="101">
        <f t="shared" si="8"/>
        <v>557395.0305190715</v>
      </c>
      <c r="AA52" s="102">
        <f t="shared" si="9"/>
        <v>0</v>
      </c>
      <c r="AB52" s="68">
        <f t="shared" si="10"/>
        <v>0</v>
      </c>
      <c r="AC52" s="68">
        <f t="shared" si="11"/>
        <v>387395.0305190715</v>
      </c>
      <c r="AD52" s="68">
        <f t="shared" si="12"/>
        <v>6921169.353622227</v>
      </c>
      <c r="AE52" s="68">
        <f t="shared" si="13"/>
        <v>2491110.2356142653</v>
      </c>
      <c r="AF52" s="68">
        <f t="shared" si="14"/>
        <v>4430059.1180079617</v>
      </c>
      <c r="AG52" s="103">
        <f t="shared" si="15"/>
        <v>4430059.1180079617</v>
      </c>
    </row>
    <row r="53" spans="1:33" x14ac:dyDescent="0.2">
      <c r="A53" s="104">
        <v>22</v>
      </c>
      <c r="B53" s="65" t="str">
        <f t="shared" si="0"/>
        <v>Retired</v>
      </c>
      <c r="C53" s="66">
        <f>N('Savings Projection'!$B$40)</f>
        <v>0</v>
      </c>
      <c r="D53" s="66">
        <f t="shared" si="1"/>
        <v>0</v>
      </c>
      <c r="E53" s="66">
        <f>IF(OR(B53="Retired",D53=0),0,MIN(D53,'Tax Assumptions'!$B$19))</f>
        <v>0</v>
      </c>
      <c r="F53" s="66">
        <f>IF(B53="Working",N('Savings Projection'!$E$40),0)</f>
        <v>0</v>
      </c>
      <c r="G53" s="66">
        <f>IF(B53="Working",N('Savings Projection'!$F$40),0)</f>
        <v>0</v>
      </c>
      <c r="H53" s="66">
        <f>IF(D53=0,0,((LOOKUP(MAX(D53-E53-F53-'Tax Assumptions'!$B$8,0),'Tax Assumptions'!$F$9:$F$15,'Tax Assumptions'!$I$9:$I$15)+(MAX(D53-E53-F53-'Tax Assumptions'!$B$8,0)-LOOKUP(MAX(D53-E53-F53-'Tax Assumptions'!$B$8,0),'Tax Assumptions'!$F$9:$F$15,'Tax Assumptions'!$F$9:$F$15))*LOOKUP(MAX(D53-E53-F53-'Tax Assumptions'!$B$8,0),'Tax Assumptions'!$F$9:$F$15,'Tax Assumptions'!$H$9:$H$15))+(MIN(MAX(D53-F53,0),'Tax Assumptions'!$B$11)*'Tax Assumptions'!$B$10)+(MAX(D53-F53,0)*'Tax Assumptions'!$B$12)+(MAX(MAX(D53-F53,0)-'Tax Assumptions'!$B$14,0)*'Tax Assumptions'!$B$13)+(MIN(D53*'Tax Assumptions'!$B$15,'Tax Assumptions'!$B$16))+(MIN(D53*'Tax Assumptions'!$B$17,'Tax Assumptions'!$B$18))+(LOOKUP(MAX(D53-E53-'Tax Assumptions'!$B$9,0),'Tax Assumptions'!$K$9:$K$17,'Tax Assumptions'!$N$9:$N$17)+(MAX(D53-E53-'Tax Assumptions'!$B$9,0)-LOOKUP(MAX(D53-E53-'Tax Assumptions'!$B$9,0),'Tax Assumptions'!$K$9:$K$17,'Tax Assumptions'!$K$9:$K$17))*LOOKUP(MAX(D53-E53-'Tax Assumptions'!$B$9,0),'Tax Assumptions'!$K$9:$K$17,'Tax Assumptions'!$M$9:$M$17))+(LOOKUP(MAX(D53-E53-'Tax Assumptions'!$B$9,0),'Tax Assumptions'!$P$9:$P$12,'Tax Assumptions'!$S$9:$S$12)+(MAX(D53-E53-'Tax Assumptions'!$B$9,0)-LOOKUP(MAX(D53-E53-'Tax Assumptions'!$B$9,0),'Tax Assumptions'!$P$9:$P$12,'Tax Assumptions'!$P$9:$P$12))*LOOKUP(MAX(D53-E53-'Tax Assumptions'!$B$9,0),'Tax Assumptions'!$P$9:$P$12,'Tax Assumptions'!$R$9:$R$12)))*$B$7)</f>
        <v>0</v>
      </c>
      <c r="I53" s="66">
        <f t="shared" si="2"/>
        <v>0</v>
      </c>
      <c r="J53" s="66">
        <f>IF(B53="Working",N('Savings Projection'!$S$40)*$B$8,0)</f>
        <v>0</v>
      </c>
      <c r="K53" s="66">
        <f>IF(B53="Working",N('Savings Projection'!$T$40)*$B$9,0)</f>
        <v>0</v>
      </c>
      <c r="L53" s="66">
        <f>IF(B53="Working",MIN(MAX(I53-J53-K53-AB53-AC53,0),'Tax Assumptions'!$B$20),0)</f>
        <v>0</v>
      </c>
      <c r="M53" s="66">
        <f t="shared" si="3"/>
        <v>0</v>
      </c>
      <c r="N53" s="66">
        <f t="shared" si="4"/>
        <v>0</v>
      </c>
      <c r="O53" s="66">
        <f t="shared" si="5"/>
        <v>561963.00229246216</v>
      </c>
      <c r="P53" s="66">
        <f t="shared" si="6"/>
        <v>0</v>
      </c>
      <c r="Q53" s="66">
        <f t="shared" si="16"/>
        <v>0</v>
      </c>
      <c r="R53" s="66">
        <f t="shared" si="17"/>
        <v>0</v>
      </c>
      <c r="S53" s="66">
        <f t="shared" si="18"/>
        <v>0</v>
      </c>
      <c r="T53" s="66">
        <f t="shared" si="19"/>
        <v>0</v>
      </c>
      <c r="U53" s="66">
        <f t="shared" si="20"/>
        <v>0</v>
      </c>
      <c r="V53" s="66">
        <f t="shared" si="21"/>
        <v>0</v>
      </c>
      <c r="W53" s="66">
        <f t="shared" si="22"/>
        <v>0</v>
      </c>
      <c r="X53" s="66">
        <f t="shared" si="23"/>
        <v>0</v>
      </c>
      <c r="Y53" s="66">
        <f t="shared" si="7"/>
        <v>0</v>
      </c>
      <c r="Z53" s="66">
        <f t="shared" si="8"/>
        <v>561963.00229246216</v>
      </c>
      <c r="AA53" s="69">
        <f t="shared" si="9"/>
        <v>0</v>
      </c>
      <c r="AB53" s="66">
        <f t="shared" si="10"/>
        <v>0</v>
      </c>
      <c r="AC53" s="66">
        <f t="shared" si="11"/>
        <v>391963.00229246216</v>
      </c>
      <c r="AD53" s="66">
        <f t="shared" si="12"/>
        <v>7128804.4342308929</v>
      </c>
      <c r="AE53" s="66">
        <f t="shared" si="13"/>
        <v>2415682.2708902014</v>
      </c>
      <c r="AF53" s="66">
        <f t="shared" si="14"/>
        <v>4713122.1633406915</v>
      </c>
      <c r="AG53" s="105">
        <f t="shared" si="15"/>
        <v>4713122.1633406915</v>
      </c>
    </row>
    <row r="54" spans="1:33" x14ac:dyDescent="0.2">
      <c r="A54" s="99">
        <v>23</v>
      </c>
      <c r="B54" s="100" t="str">
        <f t="shared" si="0"/>
        <v>Retired</v>
      </c>
      <c r="C54" s="101">
        <f>N('Savings Projection'!$B$41)</f>
        <v>0</v>
      </c>
      <c r="D54" s="68">
        <f t="shared" si="1"/>
        <v>0</v>
      </c>
      <c r="E54" s="101">
        <f>IF(OR(B54="Retired",D54=0),0,MIN(D54,'Tax Assumptions'!$B$19))</f>
        <v>0</v>
      </c>
      <c r="F54" s="101">
        <f>IF(B54="Working",N('Savings Projection'!$E$41),0)</f>
        <v>0</v>
      </c>
      <c r="G54" s="101">
        <f>IF(B54="Working",N('Savings Projection'!$F$41),0)</f>
        <v>0</v>
      </c>
      <c r="H54" s="68">
        <f>IF(D54=0,0,((LOOKUP(MAX(D54-E54-F54-'Tax Assumptions'!$B$8,0),'Tax Assumptions'!$F$9:$F$15,'Tax Assumptions'!$I$9:$I$15)+(MAX(D54-E54-F54-'Tax Assumptions'!$B$8,0)-LOOKUP(MAX(D54-E54-F54-'Tax Assumptions'!$B$8,0),'Tax Assumptions'!$F$9:$F$15,'Tax Assumptions'!$F$9:$F$15))*LOOKUP(MAX(D54-E54-F54-'Tax Assumptions'!$B$8,0),'Tax Assumptions'!$F$9:$F$15,'Tax Assumptions'!$H$9:$H$15))+(MIN(MAX(D54-F54,0),'Tax Assumptions'!$B$11)*'Tax Assumptions'!$B$10)+(MAX(D54-F54,0)*'Tax Assumptions'!$B$12)+(MAX(MAX(D54-F54,0)-'Tax Assumptions'!$B$14,0)*'Tax Assumptions'!$B$13)+(MIN(D54*'Tax Assumptions'!$B$15,'Tax Assumptions'!$B$16))+(MIN(D54*'Tax Assumptions'!$B$17,'Tax Assumptions'!$B$18))+(LOOKUP(MAX(D54-E54-'Tax Assumptions'!$B$9,0),'Tax Assumptions'!$K$9:$K$17,'Tax Assumptions'!$N$9:$N$17)+(MAX(D54-E54-'Tax Assumptions'!$B$9,0)-LOOKUP(MAX(D54-E54-'Tax Assumptions'!$B$9,0),'Tax Assumptions'!$K$9:$K$17,'Tax Assumptions'!$K$9:$K$17))*LOOKUP(MAX(D54-E54-'Tax Assumptions'!$B$9,0),'Tax Assumptions'!$K$9:$K$17,'Tax Assumptions'!$M$9:$M$17))+(LOOKUP(MAX(D54-E54-'Tax Assumptions'!$B$9,0),'Tax Assumptions'!$P$9:$P$12,'Tax Assumptions'!$S$9:$S$12)+(MAX(D54-E54-'Tax Assumptions'!$B$9,0)-LOOKUP(MAX(D54-E54-'Tax Assumptions'!$B$9,0),'Tax Assumptions'!$P$9:$P$12,'Tax Assumptions'!$P$9:$P$12))*LOOKUP(MAX(D54-E54-'Tax Assumptions'!$B$9,0),'Tax Assumptions'!$P$9:$P$12,'Tax Assumptions'!$R$9:$R$12)))*$B$7)</f>
        <v>0</v>
      </c>
      <c r="I54" s="68">
        <f t="shared" si="2"/>
        <v>0</v>
      </c>
      <c r="J54" s="101">
        <f>IF(B54="Working",N('Savings Projection'!$S$41)*$B$8,0)</f>
        <v>0</v>
      </c>
      <c r="K54" s="101">
        <f>IF(B54="Working",N('Savings Projection'!$T$41)*$B$9,0)</f>
        <v>0</v>
      </c>
      <c r="L54" s="68">
        <f>IF(B54="Working",MIN(MAX(I54-J54-K54-AB54-AC54,0),'Tax Assumptions'!$B$20),0)</f>
        <v>0</v>
      </c>
      <c r="M54" s="68">
        <f t="shared" si="3"/>
        <v>0</v>
      </c>
      <c r="N54" s="101">
        <f t="shared" si="4"/>
        <v>0</v>
      </c>
      <c r="O54" s="101">
        <f t="shared" si="5"/>
        <v>566668.01321905456</v>
      </c>
      <c r="P54" s="101">
        <f t="shared" si="6"/>
        <v>0</v>
      </c>
      <c r="Q54" s="101">
        <f t="shared" si="16"/>
        <v>0</v>
      </c>
      <c r="R54" s="101">
        <f t="shared" si="17"/>
        <v>0</v>
      </c>
      <c r="S54" s="101">
        <f t="shared" si="18"/>
        <v>0</v>
      </c>
      <c r="T54" s="101">
        <f t="shared" si="19"/>
        <v>0</v>
      </c>
      <c r="U54" s="68">
        <f t="shared" si="20"/>
        <v>0</v>
      </c>
      <c r="V54" s="68">
        <f t="shared" si="21"/>
        <v>0</v>
      </c>
      <c r="W54" s="68">
        <f t="shared" si="22"/>
        <v>0</v>
      </c>
      <c r="X54" s="68">
        <f t="shared" si="23"/>
        <v>0</v>
      </c>
      <c r="Y54" s="68">
        <f t="shared" si="7"/>
        <v>0</v>
      </c>
      <c r="Z54" s="101">
        <f t="shared" si="8"/>
        <v>566668.01321905456</v>
      </c>
      <c r="AA54" s="102">
        <f t="shared" si="9"/>
        <v>0</v>
      </c>
      <c r="AB54" s="68">
        <f t="shared" si="10"/>
        <v>0</v>
      </c>
      <c r="AC54" s="68">
        <f t="shared" si="11"/>
        <v>396668.01321905456</v>
      </c>
      <c r="AD54" s="68">
        <f t="shared" si="12"/>
        <v>7342668.5672578197</v>
      </c>
      <c r="AE54" s="68">
        <f t="shared" si="13"/>
        <v>2335202.7556757852</v>
      </c>
      <c r="AF54" s="68">
        <f t="shared" si="14"/>
        <v>5007465.8115820345</v>
      </c>
      <c r="AG54" s="103">
        <f t="shared" si="15"/>
        <v>5007465.8115820345</v>
      </c>
    </row>
    <row r="55" spans="1:33" x14ac:dyDescent="0.2">
      <c r="A55" s="104">
        <v>24</v>
      </c>
      <c r="B55" s="65" t="str">
        <f t="shared" si="0"/>
        <v>Retired</v>
      </c>
      <c r="C55" s="66">
        <f>N('Savings Projection'!$B$42)</f>
        <v>0</v>
      </c>
      <c r="D55" s="66">
        <f t="shared" si="1"/>
        <v>0</v>
      </c>
      <c r="E55" s="66">
        <f>IF(OR(B55="Retired",D55=0),0,MIN(D55,'Tax Assumptions'!$B$19))</f>
        <v>0</v>
      </c>
      <c r="F55" s="66">
        <f>IF(B55="Working",N('Savings Projection'!$E$42),0)</f>
        <v>0</v>
      </c>
      <c r="G55" s="66">
        <f>IF(B55="Working",N('Savings Projection'!$F$42),0)</f>
        <v>0</v>
      </c>
      <c r="H55" s="66">
        <f>IF(D55=0,0,((LOOKUP(MAX(D55-E55-F55-'Tax Assumptions'!$B$8,0),'Tax Assumptions'!$F$9:$F$15,'Tax Assumptions'!$I$9:$I$15)+(MAX(D55-E55-F55-'Tax Assumptions'!$B$8,0)-LOOKUP(MAX(D55-E55-F55-'Tax Assumptions'!$B$8,0),'Tax Assumptions'!$F$9:$F$15,'Tax Assumptions'!$F$9:$F$15))*LOOKUP(MAX(D55-E55-F55-'Tax Assumptions'!$B$8,0),'Tax Assumptions'!$F$9:$F$15,'Tax Assumptions'!$H$9:$H$15))+(MIN(MAX(D55-F55,0),'Tax Assumptions'!$B$11)*'Tax Assumptions'!$B$10)+(MAX(D55-F55,0)*'Tax Assumptions'!$B$12)+(MAX(MAX(D55-F55,0)-'Tax Assumptions'!$B$14,0)*'Tax Assumptions'!$B$13)+(MIN(D55*'Tax Assumptions'!$B$15,'Tax Assumptions'!$B$16))+(MIN(D55*'Tax Assumptions'!$B$17,'Tax Assumptions'!$B$18))+(LOOKUP(MAX(D55-E55-'Tax Assumptions'!$B$9,0),'Tax Assumptions'!$K$9:$K$17,'Tax Assumptions'!$N$9:$N$17)+(MAX(D55-E55-'Tax Assumptions'!$B$9,0)-LOOKUP(MAX(D55-E55-'Tax Assumptions'!$B$9,0),'Tax Assumptions'!$K$9:$K$17,'Tax Assumptions'!$K$9:$K$17))*LOOKUP(MAX(D55-E55-'Tax Assumptions'!$B$9,0),'Tax Assumptions'!$K$9:$K$17,'Tax Assumptions'!$M$9:$M$17))+(LOOKUP(MAX(D55-E55-'Tax Assumptions'!$B$9,0),'Tax Assumptions'!$P$9:$P$12,'Tax Assumptions'!$S$9:$S$12)+(MAX(D55-E55-'Tax Assumptions'!$B$9,0)-LOOKUP(MAX(D55-E55-'Tax Assumptions'!$B$9,0),'Tax Assumptions'!$P$9:$P$12,'Tax Assumptions'!$P$9:$P$12))*LOOKUP(MAX(D55-E55-'Tax Assumptions'!$B$9,0),'Tax Assumptions'!$P$9:$P$12,'Tax Assumptions'!$R$9:$R$12)))*$B$7)</f>
        <v>0</v>
      </c>
      <c r="I55" s="66">
        <f t="shared" si="2"/>
        <v>0</v>
      </c>
      <c r="J55" s="66">
        <f>IF(B55="Working",N('Savings Projection'!$S$42)*$B$8,0)</f>
        <v>0</v>
      </c>
      <c r="K55" s="66">
        <f>IF(B55="Working",N('Savings Projection'!$T$42)*$B$9,0)</f>
        <v>0</v>
      </c>
      <c r="L55" s="66">
        <f>IF(B55="Working",MIN(MAX(I55-J55-K55-AB55-AC55,0),'Tax Assumptions'!$B$20),0)</f>
        <v>0</v>
      </c>
      <c r="M55" s="66">
        <f t="shared" si="3"/>
        <v>0</v>
      </c>
      <c r="N55" s="66">
        <f t="shared" si="4"/>
        <v>0</v>
      </c>
      <c r="O55" s="66">
        <f t="shared" si="5"/>
        <v>571514.1744734447</v>
      </c>
      <c r="P55" s="66">
        <f t="shared" si="6"/>
        <v>0</v>
      </c>
      <c r="Q55" s="66">
        <f t="shared" si="16"/>
        <v>0</v>
      </c>
      <c r="R55" s="66">
        <f t="shared" si="17"/>
        <v>0</v>
      </c>
      <c r="S55" s="66">
        <f t="shared" si="18"/>
        <v>0</v>
      </c>
      <c r="T55" s="66">
        <f t="shared" si="19"/>
        <v>0</v>
      </c>
      <c r="U55" s="66">
        <f t="shared" si="20"/>
        <v>0</v>
      </c>
      <c r="V55" s="66">
        <f t="shared" si="21"/>
        <v>0</v>
      </c>
      <c r="W55" s="66">
        <f t="shared" si="22"/>
        <v>0</v>
      </c>
      <c r="X55" s="66">
        <f t="shared" si="23"/>
        <v>0</v>
      </c>
      <c r="Y55" s="66">
        <f t="shared" si="7"/>
        <v>0</v>
      </c>
      <c r="Z55" s="66">
        <f t="shared" si="8"/>
        <v>571514.1744734447</v>
      </c>
      <c r="AA55" s="69">
        <f t="shared" si="9"/>
        <v>0</v>
      </c>
      <c r="AB55" s="66">
        <f t="shared" si="10"/>
        <v>0</v>
      </c>
      <c r="AC55" s="66">
        <f t="shared" si="11"/>
        <v>401514.1744734447</v>
      </c>
      <c r="AD55" s="66">
        <f t="shared" si="12"/>
        <v>7562948.6242755549</v>
      </c>
      <c r="AE55" s="66">
        <f t="shared" si="13"/>
        <v>2249333.3782791924</v>
      </c>
      <c r="AF55" s="66">
        <f t="shared" si="14"/>
        <v>5313615.2459963625</v>
      </c>
      <c r="AG55" s="105">
        <f t="shared" si="15"/>
        <v>5313615.2459963625</v>
      </c>
    </row>
    <row r="56" spans="1:33" x14ac:dyDescent="0.2">
      <c r="A56" s="99">
        <v>25</v>
      </c>
      <c r="B56" s="100" t="str">
        <f t="shared" si="0"/>
        <v>Retired</v>
      </c>
      <c r="C56" s="101">
        <f>N('Savings Projection'!$B$43)</f>
        <v>0</v>
      </c>
      <c r="D56" s="68">
        <f t="shared" si="1"/>
        <v>0</v>
      </c>
      <c r="E56" s="101">
        <f>IF(OR(B56="Retired",D56=0),0,MIN(D56,'Tax Assumptions'!$B$19))</f>
        <v>0</v>
      </c>
      <c r="F56" s="101">
        <f>IF(B56="Working",N('Savings Projection'!$E$43),0)</f>
        <v>0</v>
      </c>
      <c r="G56" s="101">
        <f>IF(B56="Working",N('Savings Projection'!$F$43),0)</f>
        <v>0</v>
      </c>
      <c r="H56" s="68">
        <f>IF(D56=0,0,((LOOKUP(MAX(D56-E56-F56-'Tax Assumptions'!$B$8,0),'Tax Assumptions'!$F$9:$F$15,'Tax Assumptions'!$I$9:$I$15)+(MAX(D56-E56-F56-'Tax Assumptions'!$B$8,0)-LOOKUP(MAX(D56-E56-F56-'Tax Assumptions'!$B$8,0),'Tax Assumptions'!$F$9:$F$15,'Tax Assumptions'!$F$9:$F$15))*LOOKUP(MAX(D56-E56-F56-'Tax Assumptions'!$B$8,0),'Tax Assumptions'!$F$9:$F$15,'Tax Assumptions'!$H$9:$H$15))+(MIN(MAX(D56-F56,0),'Tax Assumptions'!$B$11)*'Tax Assumptions'!$B$10)+(MAX(D56-F56,0)*'Tax Assumptions'!$B$12)+(MAX(MAX(D56-F56,0)-'Tax Assumptions'!$B$14,0)*'Tax Assumptions'!$B$13)+(MIN(D56*'Tax Assumptions'!$B$15,'Tax Assumptions'!$B$16))+(MIN(D56*'Tax Assumptions'!$B$17,'Tax Assumptions'!$B$18))+(LOOKUP(MAX(D56-E56-'Tax Assumptions'!$B$9,0),'Tax Assumptions'!$K$9:$K$17,'Tax Assumptions'!$N$9:$N$17)+(MAX(D56-E56-'Tax Assumptions'!$B$9,0)-LOOKUP(MAX(D56-E56-'Tax Assumptions'!$B$9,0),'Tax Assumptions'!$K$9:$K$17,'Tax Assumptions'!$K$9:$K$17))*LOOKUP(MAX(D56-E56-'Tax Assumptions'!$B$9,0),'Tax Assumptions'!$K$9:$K$17,'Tax Assumptions'!$M$9:$M$17))+(LOOKUP(MAX(D56-E56-'Tax Assumptions'!$B$9,0),'Tax Assumptions'!$P$9:$P$12,'Tax Assumptions'!$S$9:$S$12)+(MAX(D56-E56-'Tax Assumptions'!$B$9,0)-LOOKUP(MAX(D56-E56-'Tax Assumptions'!$B$9,0),'Tax Assumptions'!$P$9:$P$12,'Tax Assumptions'!$P$9:$P$12))*LOOKUP(MAX(D56-E56-'Tax Assumptions'!$B$9,0),'Tax Assumptions'!$P$9:$P$12,'Tax Assumptions'!$R$9:$R$12)))*$B$7)</f>
        <v>0</v>
      </c>
      <c r="I56" s="68">
        <f t="shared" si="2"/>
        <v>0</v>
      </c>
      <c r="J56" s="101">
        <f>IF(B56="Working",N('Savings Projection'!$S$43)*$B$8,0)</f>
        <v>0</v>
      </c>
      <c r="K56" s="101">
        <f>IF(B56="Working",N('Savings Projection'!$T$43)*$B$9,0)</f>
        <v>0</v>
      </c>
      <c r="L56" s="68">
        <f>IF(B56="Working",MIN(MAX(I56-J56-K56-AB56-AC56,0),'Tax Assumptions'!$B$20),0)</f>
        <v>0</v>
      </c>
      <c r="M56" s="68">
        <f t="shared" si="3"/>
        <v>0</v>
      </c>
      <c r="N56" s="101">
        <f t="shared" si="4"/>
        <v>0</v>
      </c>
      <c r="O56" s="101">
        <f t="shared" si="5"/>
        <v>576505.72056546656</v>
      </c>
      <c r="P56" s="101">
        <f t="shared" si="6"/>
        <v>0</v>
      </c>
      <c r="Q56" s="101">
        <f t="shared" si="16"/>
        <v>0</v>
      </c>
      <c r="R56" s="101">
        <f t="shared" si="17"/>
        <v>0</v>
      </c>
      <c r="S56" s="101">
        <f t="shared" si="18"/>
        <v>0</v>
      </c>
      <c r="T56" s="101">
        <f t="shared" si="19"/>
        <v>0</v>
      </c>
      <c r="U56" s="68">
        <f t="shared" si="20"/>
        <v>0</v>
      </c>
      <c r="V56" s="68">
        <f t="shared" si="21"/>
        <v>0</v>
      </c>
      <c r="W56" s="68">
        <f t="shared" si="22"/>
        <v>0</v>
      </c>
      <c r="X56" s="68">
        <f t="shared" si="23"/>
        <v>0</v>
      </c>
      <c r="Y56" s="68">
        <f t="shared" si="7"/>
        <v>0</v>
      </c>
      <c r="Z56" s="101">
        <f t="shared" si="8"/>
        <v>576505.72056546656</v>
      </c>
      <c r="AA56" s="102">
        <f t="shared" si="9"/>
        <v>0</v>
      </c>
      <c r="AB56" s="68">
        <f t="shared" si="10"/>
        <v>0</v>
      </c>
      <c r="AC56" s="68">
        <f t="shared" si="11"/>
        <v>406505.72056546656</v>
      </c>
      <c r="AD56" s="68">
        <f t="shared" si="12"/>
        <v>7789837.0830038218</v>
      </c>
      <c r="AE56" s="68">
        <f t="shared" si="13"/>
        <v>2157713.1696480438</v>
      </c>
      <c r="AF56" s="68">
        <f t="shared" si="14"/>
        <v>5632123.913355778</v>
      </c>
      <c r="AG56" s="103">
        <f t="shared" si="15"/>
        <v>5632123.913355778</v>
      </c>
    </row>
    <row r="57" spans="1:33" x14ac:dyDescent="0.2">
      <c r="A57" s="104">
        <v>26</v>
      </c>
      <c r="B57" s="65" t="str">
        <f t="shared" si="0"/>
        <v>Retired</v>
      </c>
      <c r="C57" s="66">
        <f>N('Savings Projection'!$B$44)</f>
        <v>0</v>
      </c>
      <c r="D57" s="66">
        <f t="shared" si="1"/>
        <v>0</v>
      </c>
      <c r="E57" s="66">
        <f>IF(OR(B57="Retired",D57=0),0,MIN(D57,'Tax Assumptions'!$B$19))</f>
        <v>0</v>
      </c>
      <c r="F57" s="66">
        <f>IF(B57="Working",N('Savings Projection'!$E$44),0)</f>
        <v>0</v>
      </c>
      <c r="G57" s="66">
        <f>IF(B57="Working",N('Savings Projection'!$F$44),0)</f>
        <v>0</v>
      </c>
      <c r="H57" s="66">
        <f>IF(D57=0,0,((LOOKUP(MAX(D57-E57-F57-'Tax Assumptions'!$B$8,0),'Tax Assumptions'!$F$9:$F$15,'Tax Assumptions'!$I$9:$I$15)+(MAX(D57-E57-F57-'Tax Assumptions'!$B$8,0)-LOOKUP(MAX(D57-E57-F57-'Tax Assumptions'!$B$8,0),'Tax Assumptions'!$F$9:$F$15,'Tax Assumptions'!$F$9:$F$15))*LOOKUP(MAX(D57-E57-F57-'Tax Assumptions'!$B$8,0),'Tax Assumptions'!$F$9:$F$15,'Tax Assumptions'!$H$9:$H$15))+(MIN(MAX(D57-F57,0),'Tax Assumptions'!$B$11)*'Tax Assumptions'!$B$10)+(MAX(D57-F57,0)*'Tax Assumptions'!$B$12)+(MAX(MAX(D57-F57,0)-'Tax Assumptions'!$B$14,0)*'Tax Assumptions'!$B$13)+(MIN(D57*'Tax Assumptions'!$B$15,'Tax Assumptions'!$B$16))+(MIN(D57*'Tax Assumptions'!$B$17,'Tax Assumptions'!$B$18))+(LOOKUP(MAX(D57-E57-'Tax Assumptions'!$B$9,0),'Tax Assumptions'!$K$9:$K$17,'Tax Assumptions'!$N$9:$N$17)+(MAX(D57-E57-'Tax Assumptions'!$B$9,0)-LOOKUP(MAX(D57-E57-'Tax Assumptions'!$B$9,0),'Tax Assumptions'!$K$9:$K$17,'Tax Assumptions'!$K$9:$K$17))*LOOKUP(MAX(D57-E57-'Tax Assumptions'!$B$9,0),'Tax Assumptions'!$K$9:$K$17,'Tax Assumptions'!$M$9:$M$17))+(LOOKUP(MAX(D57-E57-'Tax Assumptions'!$B$9,0),'Tax Assumptions'!$P$9:$P$12,'Tax Assumptions'!$S$9:$S$12)+(MAX(D57-E57-'Tax Assumptions'!$B$9,0)-LOOKUP(MAX(D57-E57-'Tax Assumptions'!$B$9,0),'Tax Assumptions'!$P$9:$P$12,'Tax Assumptions'!$P$9:$P$12))*LOOKUP(MAX(D57-E57-'Tax Assumptions'!$B$9,0),'Tax Assumptions'!$P$9:$P$12,'Tax Assumptions'!$R$9:$R$12)))*$B$7)</f>
        <v>0</v>
      </c>
      <c r="I57" s="66">
        <f t="shared" si="2"/>
        <v>0</v>
      </c>
      <c r="J57" s="66">
        <f>IF(B57="Working",N('Savings Projection'!$S$44)*$B$8,0)</f>
        <v>0</v>
      </c>
      <c r="K57" s="66">
        <f>IF(B57="Working",N('Savings Projection'!$T$44)*$B$9,0)</f>
        <v>0</v>
      </c>
      <c r="L57" s="66">
        <f>IF(B57="Working",MIN(MAX(I57-J57-K57-AB57-AC57,0),'Tax Assumptions'!$B$20),0)</f>
        <v>0</v>
      </c>
      <c r="M57" s="66">
        <f t="shared" si="3"/>
        <v>0</v>
      </c>
      <c r="N57" s="66">
        <f t="shared" si="4"/>
        <v>0</v>
      </c>
      <c r="O57" s="66">
        <f t="shared" si="5"/>
        <v>581647.01304024912</v>
      </c>
      <c r="P57" s="66">
        <f t="shared" si="6"/>
        <v>0</v>
      </c>
      <c r="Q57" s="66">
        <f t="shared" si="16"/>
        <v>0</v>
      </c>
      <c r="R57" s="66">
        <f t="shared" si="17"/>
        <v>0</v>
      </c>
      <c r="S57" s="66">
        <f t="shared" si="18"/>
        <v>0</v>
      </c>
      <c r="T57" s="66">
        <f t="shared" si="19"/>
        <v>0</v>
      </c>
      <c r="U57" s="66">
        <f t="shared" si="20"/>
        <v>0</v>
      </c>
      <c r="V57" s="66">
        <f t="shared" si="21"/>
        <v>0</v>
      </c>
      <c r="W57" s="66">
        <f t="shared" si="22"/>
        <v>0</v>
      </c>
      <c r="X57" s="66">
        <f t="shared" si="23"/>
        <v>0</v>
      </c>
      <c r="Y57" s="66">
        <f t="shared" si="7"/>
        <v>0</v>
      </c>
      <c r="Z57" s="66">
        <f t="shared" si="8"/>
        <v>581647.01304024912</v>
      </c>
      <c r="AA57" s="69">
        <f t="shared" si="9"/>
        <v>0</v>
      </c>
      <c r="AB57" s="66">
        <f t="shared" si="10"/>
        <v>0</v>
      </c>
      <c r="AC57" s="66">
        <f t="shared" si="11"/>
        <v>411647.01304024912</v>
      </c>
      <c r="AD57" s="66">
        <f t="shared" si="12"/>
        <v>8023532.1954939356</v>
      </c>
      <c r="AE57" s="66">
        <f t="shared" si="13"/>
        <v>2059956.9859640077</v>
      </c>
      <c r="AF57" s="66">
        <f t="shared" si="14"/>
        <v>5963575.2095299279</v>
      </c>
      <c r="AG57" s="105">
        <f t="shared" si="15"/>
        <v>5963575.2095299279</v>
      </c>
    </row>
    <row r="58" spans="1:33" x14ac:dyDescent="0.2">
      <c r="A58" s="99">
        <v>27</v>
      </c>
      <c r="B58" s="100" t="str">
        <f t="shared" si="0"/>
        <v>Retired</v>
      </c>
      <c r="C58" s="101">
        <f>N('Savings Projection'!$B$45)</f>
        <v>0</v>
      </c>
      <c r="D58" s="68">
        <f t="shared" si="1"/>
        <v>0</v>
      </c>
      <c r="E58" s="101">
        <f>IF(OR(B58="Retired",D58=0),0,MIN(D58,'Tax Assumptions'!$B$19))</f>
        <v>0</v>
      </c>
      <c r="F58" s="101">
        <f>IF(B58="Working",N('Savings Projection'!$E$45),0)</f>
        <v>0</v>
      </c>
      <c r="G58" s="101">
        <f>IF(B58="Working",N('Savings Projection'!$F$45),0)</f>
        <v>0</v>
      </c>
      <c r="H58" s="68">
        <f>IF(D58=0,0,((LOOKUP(MAX(D58-E58-F58-'Tax Assumptions'!$B$8,0),'Tax Assumptions'!$F$9:$F$15,'Tax Assumptions'!$I$9:$I$15)+(MAX(D58-E58-F58-'Tax Assumptions'!$B$8,0)-LOOKUP(MAX(D58-E58-F58-'Tax Assumptions'!$B$8,0),'Tax Assumptions'!$F$9:$F$15,'Tax Assumptions'!$F$9:$F$15))*LOOKUP(MAX(D58-E58-F58-'Tax Assumptions'!$B$8,0),'Tax Assumptions'!$F$9:$F$15,'Tax Assumptions'!$H$9:$H$15))+(MIN(MAX(D58-F58,0),'Tax Assumptions'!$B$11)*'Tax Assumptions'!$B$10)+(MAX(D58-F58,0)*'Tax Assumptions'!$B$12)+(MAX(MAX(D58-F58,0)-'Tax Assumptions'!$B$14,0)*'Tax Assumptions'!$B$13)+(MIN(D58*'Tax Assumptions'!$B$15,'Tax Assumptions'!$B$16))+(MIN(D58*'Tax Assumptions'!$B$17,'Tax Assumptions'!$B$18))+(LOOKUP(MAX(D58-E58-'Tax Assumptions'!$B$9,0),'Tax Assumptions'!$K$9:$K$17,'Tax Assumptions'!$N$9:$N$17)+(MAX(D58-E58-'Tax Assumptions'!$B$9,0)-LOOKUP(MAX(D58-E58-'Tax Assumptions'!$B$9,0),'Tax Assumptions'!$K$9:$K$17,'Tax Assumptions'!$K$9:$K$17))*LOOKUP(MAX(D58-E58-'Tax Assumptions'!$B$9,0),'Tax Assumptions'!$K$9:$K$17,'Tax Assumptions'!$M$9:$M$17))+(LOOKUP(MAX(D58-E58-'Tax Assumptions'!$B$9,0),'Tax Assumptions'!$P$9:$P$12,'Tax Assumptions'!$S$9:$S$12)+(MAX(D58-E58-'Tax Assumptions'!$B$9,0)-LOOKUP(MAX(D58-E58-'Tax Assumptions'!$B$9,0),'Tax Assumptions'!$P$9:$P$12,'Tax Assumptions'!$P$9:$P$12))*LOOKUP(MAX(D58-E58-'Tax Assumptions'!$B$9,0),'Tax Assumptions'!$P$9:$P$12,'Tax Assumptions'!$R$9:$R$12)))*$B$7)</f>
        <v>0</v>
      </c>
      <c r="I58" s="68">
        <f t="shared" si="2"/>
        <v>0</v>
      </c>
      <c r="J58" s="101">
        <f>IF(B58="Working",N('Savings Projection'!$S$45)*$B$8,0)</f>
        <v>0</v>
      </c>
      <c r="K58" s="101">
        <f>IF(B58="Working",N('Savings Projection'!$T$45)*$B$9,0)</f>
        <v>0</v>
      </c>
      <c r="L58" s="68">
        <f>IF(B58="Working",MIN(MAX(I58-J58-K58-AB58-AC58,0),'Tax Assumptions'!$B$20),0)</f>
        <v>0</v>
      </c>
      <c r="M58" s="68">
        <f t="shared" si="3"/>
        <v>0</v>
      </c>
      <c r="N58" s="101">
        <f t="shared" si="4"/>
        <v>0</v>
      </c>
      <c r="O58" s="101">
        <f t="shared" si="5"/>
        <v>586942.54428927507</v>
      </c>
      <c r="P58" s="101">
        <f t="shared" si="6"/>
        <v>0</v>
      </c>
      <c r="Q58" s="101">
        <f t="shared" si="16"/>
        <v>0</v>
      </c>
      <c r="R58" s="101">
        <f t="shared" si="17"/>
        <v>0</v>
      </c>
      <c r="S58" s="101">
        <f t="shared" si="18"/>
        <v>0</v>
      </c>
      <c r="T58" s="101">
        <f t="shared" si="19"/>
        <v>0</v>
      </c>
      <c r="U58" s="68">
        <f t="shared" si="20"/>
        <v>0</v>
      </c>
      <c r="V58" s="68">
        <f t="shared" si="21"/>
        <v>0</v>
      </c>
      <c r="W58" s="68">
        <f t="shared" si="22"/>
        <v>0</v>
      </c>
      <c r="X58" s="68">
        <f t="shared" si="23"/>
        <v>0</v>
      </c>
      <c r="Y58" s="68">
        <f t="shared" si="7"/>
        <v>0</v>
      </c>
      <c r="Z58" s="101">
        <f t="shared" si="8"/>
        <v>586942.54428927507</v>
      </c>
      <c r="AA58" s="102">
        <f t="shared" si="9"/>
        <v>0</v>
      </c>
      <c r="AB58" s="68">
        <f t="shared" si="10"/>
        <v>0</v>
      </c>
      <c r="AC58" s="68">
        <f t="shared" si="11"/>
        <v>416942.54428927507</v>
      </c>
      <c r="AD58" s="68">
        <f t="shared" si="12"/>
        <v>8264238.1613587532</v>
      </c>
      <c r="AE58" s="68">
        <f t="shared" si="13"/>
        <v>1955653.8896139525</v>
      </c>
      <c r="AF58" s="68">
        <f t="shared" si="14"/>
        <v>6308584.2717448007</v>
      </c>
      <c r="AG58" s="103">
        <f t="shared" si="15"/>
        <v>6308584.2717448007</v>
      </c>
    </row>
    <row r="59" spans="1:33" x14ac:dyDescent="0.2">
      <c r="A59" s="104">
        <v>28</v>
      </c>
      <c r="B59" s="65" t="str">
        <f t="shared" si="0"/>
        <v>Retired</v>
      </c>
      <c r="C59" s="66">
        <f>N('Savings Projection'!$B$46)</f>
        <v>0</v>
      </c>
      <c r="D59" s="66">
        <f t="shared" si="1"/>
        <v>0</v>
      </c>
      <c r="E59" s="66">
        <f>IF(OR(B59="Retired",D59=0),0,MIN(D59,'Tax Assumptions'!$B$19))</f>
        <v>0</v>
      </c>
      <c r="F59" s="66">
        <f>IF(B59="Working",N('Savings Projection'!$E$46),0)</f>
        <v>0</v>
      </c>
      <c r="G59" s="66">
        <f>IF(B59="Working",N('Savings Projection'!$F$46),0)</f>
        <v>0</v>
      </c>
      <c r="H59" s="66">
        <f>IF(D59=0,0,((LOOKUP(MAX(D59-E59-F59-'Tax Assumptions'!$B$8,0),'Tax Assumptions'!$F$9:$F$15,'Tax Assumptions'!$I$9:$I$15)+(MAX(D59-E59-F59-'Tax Assumptions'!$B$8,0)-LOOKUP(MAX(D59-E59-F59-'Tax Assumptions'!$B$8,0),'Tax Assumptions'!$F$9:$F$15,'Tax Assumptions'!$F$9:$F$15))*LOOKUP(MAX(D59-E59-F59-'Tax Assumptions'!$B$8,0),'Tax Assumptions'!$F$9:$F$15,'Tax Assumptions'!$H$9:$H$15))+(MIN(MAX(D59-F59,0),'Tax Assumptions'!$B$11)*'Tax Assumptions'!$B$10)+(MAX(D59-F59,0)*'Tax Assumptions'!$B$12)+(MAX(MAX(D59-F59,0)-'Tax Assumptions'!$B$14,0)*'Tax Assumptions'!$B$13)+(MIN(D59*'Tax Assumptions'!$B$15,'Tax Assumptions'!$B$16))+(MIN(D59*'Tax Assumptions'!$B$17,'Tax Assumptions'!$B$18))+(LOOKUP(MAX(D59-E59-'Tax Assumptions'!$B$9,0),'Tax Assumptions'!$K$9:$K$17,'Tax Assumptions'!$N$9:$N$17)+(MAX(D59-E59-'Tax Assumptions'!$B$9,0)-LOOKUP(MAX(D59-E59-'Tax Assumptions'!$B$9,0),'Tax Assumptions'!$K$9:$K$17,'Tax Assumptions'!$K$9:$K$17))*LOOKUP(MAX(D59-E59-'Tax Assumptions'!$B$9,0),'Tax Assumptions'!$K$9:$K$17,'Tax Assumptions'!$M$9:$M$17))+(LOOKUP(MAX(D59-E59-'Tax Assumptions'!$B$9,0),'Tax Assumptions'!$P$9:$P$12,'Tax Assumptions'!$S$9:$S$12)+(MAX(D59-E59-'Tax Assumptions'!$B$9,0)-LOOKUP(MAX(D59-E59-'Tax Assumptions'!$B$9,0),'Tax Assumptions'!$P$9:$P$12,'Tax Assumptions'!$P$9:$P$12))*LOOKUP(MAX(D59-E59-'Tax Assumptions'!$B$9,0),'Tax Assumptions'!$P$9:$P$12,'Tax Assumptions'!$R$9:$R$12)))*$B$7)</f>
        <v>0</v>
      </c>
      <c r="I59" s="66">
        <f t="shared" si="2"/>
        <v>0</v>
      </c>
      <c r="J59" s="66">
        <f>IF(B59="Working",N('Savings Projection'!$S$46)*$B$8,0)</f>
        <v>0</v>
      </c>
      <c r="K59" s="66">
        <f>IF(B59="Working",N('Savings Projection'!$T$46)*$B$9,0)</f>
        <v>0</v>
      </c>
      <c r="L59" s="66">
        <f>IF(B59="Working",MIN(MAX(I59-J59-K59-AB59-AC59,0),'Tax Assumptions'!$B$20),0)</f>
        <v>0</v>
      </c>
      <c r="M59" s="66">
        <f t="shared" si="3"/>
        <v>0</v>
      </c>
      <c r="N59" s="66">
        <f t="shared" si="4"/>
        <v>0</v>
      </c>
      <c r="O59" s="66">
        <f t="shared" si="5"/>
        <v>592396.94147577183</v>
      </c>
      <c r="P59" s="66">
        <f t="shared" si="6"/>
        <v>0</v>
      </c>
      <c r="Q59" s="66">
        <f t="shared" si="16"/>
        <v>0</v>
      </c>
      <c r="R59" s="66">
        <f t="shared" si="17"/>
        <v>0</v>
      </c>
      <c r="S59" s="66">
        <f t="shared" si="18"/>
        <v>0</v>
      </c>
      <c r="T59" s="66">
        <f t="shared" si="19"/>
        <v>0</v>
      </c>
      <c r="U59" s="66">
        <f t="shared" si="20"/>
        <v>0</v>
      </c>
      <c r="V59" s="66">
        <f t="shared" si="21"/>
        <v>0</v>
      </c>
      <c r="W59" s="66">
        <f t="shared" si="22"/>
        <v>0</v>
      </c>
      <c r="X59" s="66">
        <f t="shared" si="23"/>
        <v>0</v>
      </c>
      <c r="Y59" s="66">
        <f t="shared" si="7"/>
        <v>0</v>
      </c>
      <c r="Z59" s="66">
        <f t="shared" si="8"/>
        <v>592396.94147577183</v>
      </c>
      <c r="AA59" s="69">
        <f t="shared" si="9"/>
        <v>0</v>
      </c>
      <c r="AB59" s="66">
        <f t="shared" si="10"/>
        <v>0</v>
      </c>
      <c r="AC59" s="66">
        <f t="shared" si="11"/>
        <v>422396.94147577183</v>
      </c>
      <c r="AD59" s="66">
        <f t="shared" si="12"/>
        <v>8512165.3061995152</v>
      </c>
      <c r="AE59" s="66">
        <f t="shared" si="13"/>
        <v>1844365.4217317328</v>
      </c>
      <c r="AF59" s="66">
        <f t="shared" si="14"/>
        <v>6667799.8844677825</v>
      </c>
      <c r="AG59" s="105">
        <f t="shared" si="15"/>
        <v>6667799.8844677825</v>
      </c>
    </row>
    <row r="60" spans="1:33" x14ac:dyDescent="0.2">
      <c r="A60" s="99">
        <v>29</v>
      </c>
      <c r="B60" s="100" t="str">
        <f t="shared" si="0"/>
        <v>Retired</v>
      </c>
      <c r="C60" s="101">
        <f>N('Savings Projection'!$B$47)</f>
        <v>0</v>
      </c>
      <c r="D60" s="68">
        <f t="shared" si="1"/>
        <v>0</v>
      </c>
      <c r="E60" s="101">
        <f>IF(OR(B60="Retired",D60=0),0,MIN(D60,'Tax Assumptions'!$B$19))</f>
        <v>0</v>
      </c>
      <c r="F60" s="101">
        <f>IF(B60="Working",N('Savings Projection'!$E$47),0)</f>
        <v>0</v>
      </c>
      <c r="G60" s="101">
        <f>IF(B60="Working",N('Savings Projection'!$F$47),0)</f>
        <v>0</v>
      </c>
      <c r="H60" s="68">
        <f>IF(D60=0,0,((LOOKUP(MAX(D60-E60-F60-'Tax Assumptions'!$B$8,0),'Tax Assumptions'!$F$9:$F$15,'Tax Assumptions'!$I$9:$I$15)+(MAX(D60-E60-F60-'Tax Assumptions'!$B$8,0)-LOOKUP(MAX(D60-E60-F60-'Tax Assumptions'!$B$8,0),'Tax Assumptions'!$F$9:$F$15,'Tax Assumptions'!$F$9:$F$15))*LOOKUP(MAX(D60-E60-F60-'Tax Assumptions'!$B$8,0),'Tax Assumptions'!$F$9:$F$15,'Tax Assumptions'!$H$9:$H$15))+(MIN(MAX(D60-F60,0),'Tax Assumptions'!$B$11)*'Tax Assumptions'!$B$10)+(MAX(D60-F60,0)*'Tax Assumptions'!$B$12)+(MAX(MAX(D60-F60,0)-'Tax Assumptions'!$B$14,0)*'Tax Assumptions'!$B$13)+(MIN(D60*'Tax Assumptions'!$B$15,'Tax Assumptions'!$B$16))+(MIN(D60*'Tax Assumptions'!$B$17,'Tax Assumptions'!$B$18))+(LOOKUP(MAX(D60-E60-'Tax Assumptions'!$B$9,0),'Tax Assumptions'!$K$9:$K$17,'Tax Assumptions'!$N$9:$N$17)+(MAX(D60-E60-'Tax Assumptions'!$B$9,0)-LOOKUP(MAX(D60-E60-'Tax Assumptions'!$B$9,0),'Tax Assumptions'!$K$9:$K$17,'Tax Assumptions'!$K$9:$K$17))*LOOKUP(MAX(D60-E60-'Tax Assumptions'!$B$9,0),'Tax Assumptions'!$K$9:$K$17,'Tax Assumptions'!$M$9:$M$17))+(LOOKUP(MAX(D60-E60-'Tax Assumptions'!$B$9,0),'Tax Assumptions'!$P$9:$P$12,'Tax Assumptions'!$S$9:$S$12)+(MAX(D60-E60-'Tax Assumptions'!$B$9,0)-LOOKUP(MAX(D60-E60-'Tax Assumptions'!$B$9,0),'Tax Assumptions'!$P$9:$P$12,'Tax Assumptions'!$P$9:$P$12))*LOOKUP(MAX(D60-E60-'Tax Assumptions'!$B$9,0),'Tax Assumptions'!$P$9:$P$12,'Tax Assumptions'!$R$9:$R$12)))*$B$7)</f>
        <v>0</v>
      </c>
      <c r="I60" s="68">
        <f t="shared" si="2"/>
        <v>0</v>
      </c>
      <c r="J60" s="101">
        <f>IF(B60="Working",N('Savings Projection'!$S$47)*$B$8,0)</f>
        <v>0</v>
      </c>
      <c r="K60" s="101">
        <f>IF(B60="Working",N('Savings Projection'!$T$47)*$B$9,0)</f>
        <v>0</v>
      </c>
      <c r="L60" s="68">
        <f>IF(B60="Working",MIN(MAX(I60-J60-K60-AB60-AC60,0),'Tax Assumptions'!$B$20),0)</f>
        <v>0</v>
      </c>
      <c r="M60" s="68">
        <f t="shared" si="3"/>
        <v>0</v>
      </c>
      <c r="N60" s="101">
        <f t="shared" si="4"/>
        <v>0</v>
      </c>
      <c r="O60" s="101">
        <f t="shared" si="5"/>
        <v>598014.97057786351</v>
      </c>
      <c r="P60" s="101">
        <f t="shared" si="6"/>
        <v>0</v>
      </c>
      <c r="Q60" s="101">
        <f t="shared" si="16"/>
        <v>0</v>
      </c>
      <c r="R60" s="101">
        <f t="shared" si="17"/>
        <v>0</v>
      </c>
      <c r="S60" s="101">
        <f t="shared" si="18"/>
        <v>0</v>
      </c>
      <c r="T60" s="101">
        <f t="shared" si="19"/>
        <v>0</v>
      </c>
      <c r="U60" s="68">
        <f t="shared" si="20"/>
        <v>0</v>
      </c>
      <c r="V60" s="68">
        <f t="shared" si="21"/>
        <v>0</v>
      </c>
      <c r="W60" s="68">
        <f t="shared" si="22"/>
        <v>0</v>
      </c>
      <c r="X60" s="68">
        <f t="shared" si="23"/>
        <v>0</v>
      </c>
      <c r="Y60" s="68">
        <f t="shared" si="7"/>
        <v>0</v>
      </c>
      <c r="Z60" s="101">
        <f t="shared" si="8"/>
        <v>598014.97057786351</v>
      </c>
      <c r="AA60" s="102">
        <f t="shared" si="9"/>
        <v>0</v>
      </c>
      <c r="AB60" s="68">
        <f t="shared" si="10"/>
        <v>0</v>
      </c>
      <c r="AC60" s="68">
        <f t="shared" si="11"/>
        <v>428014.97057786351</v>
      </c>
      <c r="AD60" s="68">
        <f t="shared" si="12"/>
        <v>8767530.2653855011</v>
      </c>
      <c r="AE60" s="68">
        <f t="shared" si="13"/>
        <v>1725623.7590489127</v>
      </c>
      <c r="AF60" s="68">
        <f t="shared" si="14"/>
        <v>7041906.5063365884</v>
      </c>
      <c r="AG60" s="103">
        <f t="shared" si="15"/>
        <v>7041906.5063365884</v>
      </c>
    </row>
    <row r="61" spans="1:33" x14ac:dyDescent="0.2">
      <c r="A61" s="104">
        <v>30</v>
      </c>
      <c r="B61" s="65" t="str">
        <f t="shared" si="0"/>
        <v>Retired</v>
      </c>
      <c r="C61" s="66">
        <f>N('Savings Projection'!$B$48)</f>
        <v>0</v>
      </c>
      <c r="D61" s="66">
        <f t="shared" si="1"/>
        <v>0</v>
      </c>
      <c r="E61" s="66">
        <f>IF(OR(B61="Retired",D61=0),0,MIN(D61,'Tax Assumptions'!$B$19))</f>
        <v>0</v>
      </c>
      <c r="F61" s="66">
        <f>IF(B61="Working",N('Savings Projection'!$E$48),0)</f>
        <v>0</v>
      </c>
      <c r="G61" s="66">
        <f>IF(B61="Working",N('Savings Projection'!$F$48),0)</f>
        <v>0</v>
      </c>
      <c r="H61" s="66">
        <f>IF(D61=0,0,((LOOKUP(MAX(D61-E61-F61-'Tax Assumptions'!$B$8,0),'Tax Assumptions'!$F$9:$F$15,'Tax Assumptions'!$I$9:$I$15)+(MAX(D61-E61-F61-'Tax Assumptions'!$B$8,0)-LOOKUP(MAX(D61-E61-F61-'Tax Assumptions'!$B$8,0),'Tax Assumptions'!$F$9:$F$15,'Tax Assumptions'!$F$9:$F$15))*LOOKUP(MAX(D61-E61-F61-'Tax Assumptions'!$B$8,0),'Tax Assumptions'!$F$9:$F$15,'Tax Assumptions'!$H$9:$H$15))+(MIN(MAX(D61-F61,0),'Tax Assumptions'!$B$11)*'Tax Assumptions'!$B$10)+(MAX(D61-F61,0)*'Tax Assumptions'!$B$12)+(MAX(MAX(D61-F61,0)-'Tax Assumptions'!$B$14,0)*'Tax Assumptions'!$B$13)+(MIN(D61*'Tax Assumptions'!$B$15,'Tax Assumptions'!$B$16))+(MIN(D61*'Tax Assumptions'!$B$17,'Tax Assumptions'!$B$18))+(LOOKUP(MAX(D61-E61-'Tax Assumptions'!$B$9,0),'Tax Assumptions'!$K$9:$K$17,'Tax Assumptions'!$N$9:$N$17)+(MAX(D61-E61-'Tax Assumptions'!$B$9,0)-LOOKUP(MAX(D61-E61-'Tax Assumptions'!$B$9,0),'Tax Assumptions'!$K$9:$K$17,'Tax Assumptions'!$K$9:$K$17))*LOOKUP(MAX(D61-E61-'Tax Assumptions'!$B$9,0),'Tax Assumptions'!$K$9:$K$17,'Tax Assumptions'!$M$9:$M$17))+(LOOKUP(MAX(D61-E61-'Tax Assumptions'!$B$9,0),'Tax Assumptions'!$P$9:$P$12,'Tax Assumptions'!$S$9:$S$12)+(MAX(D61-E61-'Tax Assumptions'!$B$9,0)-LOOKUP(MAX(D61-E61-'Tax Assumptions'!$B$9,0),'Tax Assumptions'!$P$9:$P$12,'Tax Assumptions'!$P$9:$P$12))*LOOKUP(MAX(D61-E61-'Tax Assumptions'!$B$9,0),'Tax Assumptions'!$P$9:$P$12,'Tax Assumptions'!$R$9:$R$12)))*$B$7)</f>
        <v>0</v>
      </c>
      <c r="I61" s="66">
        <f t="shared" si="2"/>
        <v>0</v>
      </c>
      <c r="J61" s="66">
        <f>IF(B61="Working",N('Savings Projection'!$S$48)*$B$8,0)</f>
        <v>0</v>
      </c>
      <c r="K61" s="66">
        <f>IF(B61="Working",N('Savings Projection'!$T$48)*$B$9,0)</f>
        <v>0</v>
      </c>
      <c r="L61" s="66">
        <f>IF(B61="Working",MIN(MAX(I61-J61-K61-AB61-AC61,0),'Tax Assumptions'!$B$20),0)</f>
        <v>0</v>
      </c>
      <c r="M61" s="66">
        <f t="shared" si="3"/>
        <v>0</v>
      </c>
      <c r="N61" s="66">
        <f t="shared" si="4"/>
        <v>0</v>
      </c>
      <c r="O61" s="66">
        <f t="shared" si="5"/>
        <v>603801.54055301799</v>
      </c>
      <c r="P61" s="66">
        <f t="shared" si="6"/>
        <v>0</v>
      </c>
      <c r="Q61" s="66">
        <f t="shared" si="16"/>
        <v>0</v>
      </c>
      <c r="R61" s="66">
        <f t="shared" si="17"/>
        <v>0</v>
      </c>
      <c r="S61" s="66">
        <f t="shared" si="18"/>
        <v>0</v>
      </c>
      <c r="T61" s="66">
        <f t="shared" si="19"/>
        <v>0</v>
      </c>
      <c r="U61" s="66">
        <f t="shared" si="20"/>
        <v>0</v>
      </c>
      <c r="V61" s="66">
        <f t="shared" si="21"/>
        <v>0</v>
      </c>
      <c r="W61" s="66">
        <f t="shared" si="22"/>
        <v>0</v>
      </c>
      <c r="X61" s="66">
        <f t="shared" si="23"/>
        <v>0</v>
      </c>
      <c r="Y61" s="66">
        <f t="shared" si="7"/>
        <v>0</v>
      </c>
      <c r="Z61" s="66">
        <f t="shared" si="8"/>
        <v>603801.54055301799</v>
      </c>
      <c r="AA61" s="69">
        <f t="shared" si="9"/>
        <v>0</v>
      </c>
      <c r="AB61" s="66">
        <f t="shared" si="10"/>
        <v>0</v>
      </c>
      <c r="AC61" s="66">
        <f t="shared" si="11"/>
        <v>433801.54055301799</v>
      </c>
      <c r="AD61" s="66">
        <f t="shared" si="12"/>
        <v>9030556.1733470671</v>
      </c>
      <c r="AE61" s="66">
        <f t="shared" si="13"/>
        <v>1598929.7473063674</v>
      </c>
      <c r="AF61" s="66">
        <f t="shared" si="14"/>
        <v>7431626.4260406997</v>
      </c>
      <c r="AG61" s="105">
        <f t="shared" si="15"/>
        <v>7431626.4260406997</v>
      </c>
    </row>
    <row r="62" spans="1:33" x14ac:dyDescent="0.2">
      <c r="A62" s="99">
        <v>31</v>
      </c>
      <c r="B62" s="100" t="str">
        <f t="shared" si="0"/>
        <v>Retired</v>
      </c>
      <c r="C62" s="101">
        <f>N('Savings Projection'!$B$49)</f>
        <v>0</v>
      </c>
      <c r="D62" s="68">
        <f t="shared" si="1"/>
        <v>0</v>
      </c>
      <c r="E62" s="101">
        <f>IF(OR(B62="Retired",D62=0),0,MIN(D62,'Tax Assumptions'!$B$19))</f>
        <v>0</v>
      </c>
      <c r="F62" s="101">
        <f>IF(B62="Working",N('Savings Projection'!$E$49),0)</f>
        <v>0</v>
      </c>
      <c r="G62" s="101">
        <f>IF(B62="Working",N('Savings Projection'!$F$49),0)</f>
        <v>0</v>
      </c>
      <c r="H62" s="68">
        <f>IF(D62=0,0,((LOOKUP(MAX(D62-E62-F62-'Tax Assumptions'!$B$8,0),'Tax Assumptions'!$F$9:$F$15,'Tax Assumptions'!$I$9:$I$15)+(MAX(D62-E62-F62-'Tax Assumptions'!$B$8,0)-LOOKUP(MAX(D62-E62-F62-'Tax Assumptions'!$B$8,0),'Tax Assumptions'!$F$9:$F$15,'Tax Assumptions'!$F$9:$F$15))*LOOKUP(MAX(D62-E62-F62-'Tax Assumptions'!$B$8,0),'Tax Assumptions'!$F$9:$F$15,'Tax Assumptions'!$H$9:$H$15))+(MIN(MAX(D62-F62,0),'Tax Assumptions'!$B$11)*'Tax Assumptions'!$B$10)+(MAX(D62-F62,0)*'Tax Assumptions'!$B$12)+(MAX(MAX(D62-F62,0)-'Tax Assumptions'!$B$14,0)*'Tax Assumptions'!$B$13)+(MIN(D62*'Tax Assumptions'!$B$15,'Tax Assumptions'!$B$16))+(MIN(D62*'Tax Assumptions'!$B$17,'Tax Assumptions'!$B$18))+(LOOKUP(MAX(D62-E62-'Tax Assumptions'!$B$9,0),'Tax Assumptions'!$K$9:$K$17,'Tax Assumptions'!$N$9:$N$17)+(MAX(D62-E62-'Tax Assumptions'!$B$9,0)-LOOKUP(MAX(D62-E62-'Tax Assumptions'!$B$9,0),'Tax Assumptions'!$K$9:$K$17,'Tax Assumptions'!$K$9:$K$17))*LOOKUP(MAX(D62-E62-'Tax Assumptions'!$B$9,0),'Tax Assumptions'!$K$9:$K$17,'Tax Assumptions'!$M$9:$M$17))+(LOOKUP(MAX(D62-E62-'Tax Assumptions'!$B$9,0),'Tax Assumptions'!$P$9:$P$12,'Tax Assumptions'!$S$9:$S$12)+(MAX(D62-E62-'Tax Assumptions'!$B$9,0)-LOOKUP(MAX(D62-E62-'Tax Assumptions'!$B$9,0),'Tax Assumptions'!$P$9:$P$12,'Tax Assumptions'!$P$9:$P$12))*LOOKUP(MAX(D62-E62-'Tax Assumptions'!$B$9,0),'Tax Assumptions'!$P$9:$P$12,'Tax Assumptions'!$R$9:$R$12)))*$B$7)</f>
        <v>0</v>
      </c>
      <c r="I62" s="68">
        <f t="shared" si="2"/>
        <v>0</v>
      </c>
      <c r="J62" s="101">
        <f>IF(B62="Working",N('Savings Projection'!$S$49)*$B$8,0)</f>
        <v>0</v>
      </c>
      <c r="K62" s="101">
        <f>IF(B62="Working",N('Savings Projection'!$T$49)*$B$9,0)</f>
        <v>0</v>
      </c>
      <c r="L62" s="68">
        <f>IF(B62="Working",MIN(MAX(I62-J62-K62-AB62-AC62,0),'Tax Assumptions'!$B$20),0)</f>
        <v>0</v>
      </c>
      <c r="M62" s="68">
        <f t="shared" si="3"/>
        <v>0</v>
      </c>
      <c r="N62" s="101">
        <f t="shared" si="4"/>
        <v>0</v>
      </c>
      <c r="O62" s="101">
        <f t="shared" si="5"/>
        <v>609761.70762742707</v>
      </c>
      <c r="P62" s="101">
        <f t="shared" si="6"/>
        <v>0</v>
      </c>
      <c r="Q62" s="101">
        <f t="shared" si="16"/>
        <v>0</v>
      </c>
      <c r="R62" s="101">
        <f t="shared" si="17"/>
        <v>0</v>
      </c>
      <c r="S62" s="101">
        <f t="shared" si="18"/>
        <v>0</v>
      </c>
      <c r="T62" s="101">
        <f t="shared" si="19"/>
        <v>0</v>
      </c>
      <c r="U62" s="68">
        <f t="shared" si="20"/>
        <v>0</v>
      </c>
      <c r="V62" s="68">
        <f t="shared" si="21"/>
        <v>0</v>
      </c>
      <c r="W62" s="68">
        <f t="shared" si="22"/>
        <v>0</v>
      </c>
      <c r="X62" s="68">
        <f t="shared" si="23"/>
        <v>0</v>
      </c>
      <c r="Y62" s="68">
        <f t="shared" si="7"/>
        <v>0</v>
      </c>
      <c r="Z62" s="101">
        <f t="shared" si="8"/>
        <v>609761.70762742707</v>
      </c>
      <c r="AA62" s="102">
        <f t="shared" si="9"/>
        <v>0</v>
      </c>
      <c r="AB62" s="68">
        <f t="shared" si="10"/>
        <v>0</v>
      </c>
      <c r="AC62" s="68">
        <f t="shared" si="11"/>
        <v>439761.70762742701</v>
      </c>
      <c r="AD62" s="68">
        <f t="shared" si="12"/>
        <v>9301472.8585474771</v>
      </c>
      <c r="AE62" s="68">
        <f t="shared" si="13"/>
        <v>1463750.8029597923</v>
      </c>
      <c r="AF62" s="68">
        <f t="shared" si="14"/>
        <v>7837722.0555876847</v>
      </c>
      <c r="AG62" s="103">
        <f t="shared" si="15"/>
        <v>7837722.0555876847</v>
      </c>
    </row>
    <row r="63" spans="1:33" x14ac:dyDescent="0.2">
      <c r="A63" s="104">
        <v>32</v>
      </c>
      <c r="B63" s="65" t="str">
        <f t="shared" si="0"/>
        <v>Retired</v>
      </c>
      <c r="C63" s="66">
        <f>N('Savings Projection'!$B$50)</f>
        <v>0</v>
      </c>
      <c r="D63" s="66">
        <f t="shared" si="1"/>
        <v>0</v>
      </c>
      <c r="E63" s="66">
        <f>IF(OR(B63="Retired",D63=0),0,MIN(D63,'Tax Assumptions'!$B$19))</f>
        <v>0</v>
      </c>
      <c r="F63" s="66">
        <f>IF(B63="Working",N('Savings Projection'!$E$50),0)</f>
        <v>0</v>
      </c>
      <c r="G63" s="66">
        <f>IF(B63="Working",N('Savings Projection'!$F$50),0)</f>
        <v>0</v>
      </c>
      <c r="H63" s="66">
        <f>IF(D63=0,0,((LOOKUP(MAX(D63-E63-F63-'Tax Assumptions'!$B$8,0),'Tax Assumptions'!$F$9:$F$15,'Tax Assumptions'!$I$9:$I$15)+(MAX(D63-E63-F63-'Tax Assumptions'!$B$8,0)-LOOKUP(MAX(D63-E63-F63-'Tax Assumptions'!$B$8,0),'Tax Assumptions'!$F$9:$F$15,'Tax Assumptions'!$F$9:$F$15))*LOOKUP(MAX(D63-E63-F63-'Tax Assumptions'!$B$8,0),'Tax Assumptions'!$F$9:$F$15,'Tax Assumptions'!$H$9:$H$15))+(MIN(MAX(D63-F63,0),'Tax Assumptions'!$B$11)*'Tax Assumptions'!$B$10)+(MAX(D63-F63,0)*'Tax Assumptions'!$B$12)+(MAX(MAX(D63-F63,0)-'Tax Assumptions'!$B$14,0)*'Tax Assumptions'!$B$13)+(MIN(D63*'Tax Assumptions'!$B$15,'Tax Assumptions'!$B$16))+(MIN(D63*'Tax Assumptions'!$B$17,'Tax Assumptions'!$B$18))+(LOOKUP(MAX(D63-E63-'Tax Assumptions'!$B$9,0),'Tax Assumptions'!$K$9:$K$17,'Tax Assumptions'!$N$9:$N$17)+(MAX(D63-E63-'Tax Assumptions'!$B$9,0)-LOOKUP(MAX(D63-E63-'Tax Assumptions'!$B$9,0),'Tax Assumptions'!$K$9:$K$17,'Tax Assumptions'!$K$9:$K$17))*LOOKUP(MAX(D63-E63-'Tax Assumptions'!$B$9,0),'Tax Assumptions'!$K$9:$K$17,'Tax Assumptions'!$M$9:$M$17))+(LOOKUP(MAX(D63-E63-'Tax Assumptions'!$B$9,0),'Tax Assumptions'!$P$9:$P$12,'Tax Assumptions'!$S$9:$S$12)+(MAX(D63-E63-'Tax Assumptions'!$B$9,0)-LOOKUP(MAX(D63-E63-'Tax Assumptions'!$B$9,0),'Tax Assumptions'!$P$9:$P$12,'Tax Assumptions'!$P$9:$P$12))*LOOKUP(MAX(D63-E63-'Tax Assumptions'!$B$9,0),'Tax Assumptions'!$P$9:$P$12,'Tax Assumptions'!$R$9:$R$12)))*$B$7)</f>
        <v>0</v>
      </c>
      <c r="I63" s="66">
        <f t="shared" si="2"/>
        <v>0</v>
      </c>
      <c r="J63" s="66">
        <f>IF(B63="Working",N('Savings Projection'!$S$50)*$B$8,0)</f>
        <v>0</v>
      </c>
      <c r="K63" s="66">
        <f>IF(B63="Working",N('Savings Projection'!$T$50)*$B$9,0)</f>
        <v>0</v>
      </c>
      <c r="L63" s="66">
        <f>IF(B63="Working",MIN(MAX(I63-J63-K63-AB63-AC63,0),'Tax Assumptions'!$B$20),0)</f>
        <v>0</v>
      </c>
      <c r="M63" s="66">
        <f t="shared" si="3"/>
        <v>0</v>
      </c>
      <c r="N63" s="66">
        <f t="shared" si="4"/>
        <v>0</v>
      </c>
      <c r="O63" s="66">
        <f t="shared" si="5"/>
        <v>615900.6797140683</v>
      </c>
      <c r="P63" s="66">
        <f t="shared" si="6"/>
        <v>0</v>
      </c>
      <c r="Q63" s="66">
        <f t="shared" si="16"/>
        <v>0</v>
      </c>
      <c r="R63" s="66">
        <f t="shared" si="17"/>
        <v>0</v>
      </c>
      <c r="S63" s="66">
        <f t="shared" si="18"/>
        <v>0</v>
      </c>
      <c r="T63" s="66">
        <f t="shared" si="19"/>
        <v>0</v>
      </c>
      <c r="U63" s="66">
        <f t="shared" si="20"/>
        <v>0</v>
      </c>
      <c r="V63" s="66">
        <f t="shared" si="21"/>
        <v>0</v>
      </c>
      <c r="W63" s="66">
        <f t="shared" si="22"/>
        <v>0</v>
      </c>
      <c r="X63" s="66">
        <f t="shared" si="23"/>
        <v>0</v>
      </c>
      <c r="Y63" s="66">
        <f t="shared" si="7"/>
        <v>0</v>
      </c>
      <c r="Z63" s="66">
        <f t="shared" si="8"/>
        <v>615900.6797140683</v>
      </c>
      <c r="AA63" s="69">
        <f t="shared" si="9"/>
        <v>0</v>
      </c>
      <c r="AB63" s="66">
        <f t="shared" si="10"/>
        <v>0</v>
      </c>
      <c r="AC63" s="66">
        <f t="shared" si="11"/>
        <v>445900.6797140683</v>
      </c>
      <c r="AD63" s="66">
        <f t="shared" si="12"/>
        <v>9580517.0443039015</v>
      </c>
      <c r="AE63" s="66">
        <f t="shared" si="13"/>
        <v>1319518.6743585747</v>
      </c>
      <c r="AF63" s="66">
        <f t="shared" si="14"/>
        <v>8260998.3699453268</v>
      </c>
      <c r="AG63" s="105">
        <f t="shared" si="15"/>
        <v>8260998.3699453268</v>
      </c>
    </row>
    <row r="64" spans="1:33" x14ac:dyDescent="0.2">
      <c r="A64" s="99">
        <v>33</v>
      </c>
      <c r="B64" s="100" t="str">
        <f t="shared" si="0"/>
        <v>Retired</v>
      </c>
      <c r="C64" s="101">
        <f>N('Savings Projection'!$B$51)</f>
        <v>0</v>
      </c>
      <c r="D64" s="68">
        <f t="shared" si="1"/>
        <v>0</v>
      </c>
      <c r="E64" s="101">
        <f>IF(OR(B64="Retired",D64=0),0,MIN(D64,'Tax Assumptions'!$B$19))</f>
        <v>0</v>
      </c>
      <c r="F64" s="101">
        <f>IF(B64="Working",N('Savings Projection'!$E$51),0)</f>
        <v>0</v>
      </c>
      <c r="G64" s="101">
        <f>IF(B64="Working",N('Savings Projection'!$F$51),0)</f>
        <v>0</v>
      </c>
      <c r="H64" s="68">
        <f>IF(D64=0,0,((LOOKUP(MAX(D64-E64-F64-'Tax Assumptions'!$B$8,0),'Tax Assumptions'!$F$9:$F$15,'Tax Assumptions'!$I$9:$I$15)+(MAX(D64-E64-F64-'Tax Assumptions'!$B$8,0)-LOOKUP(MAX(D64-E64-F64-'Tax Assumptions'!$B$8,0),'Tax Assumptions'!$F$9:$F$15,'Tax Assumptions'!$F$9:$F$15))*LOOKUP(MAX(D64-E64-F64-'Tax Assumptions'!$B$8,0),'Tax Assumptions'!$F$9:$F$15,'Tax Assumptions'!$H$9:$H$15))+(MIN(MAX(D64-F64,0),'Tax Assumptions'!$B$11)*'Tax Assumptions'!$B$10)+(MAX(D64-F64,0)*'Tax Assumptions'!$B$12)+(MAX(MAX(D64-F64,0)-'Tax Assumptions'!$B$14,0)*'Tax Assumptions'!$B$13)+(MIN(D64*'Tax Assumptions'!$B$15,'Tax Assumptions'!$B$16))+(MIN(D64*'Tax Assumptions'!$B$17,'Tax Assumptions'!$B$18))+(LOOKUP(MAX(D64-E64-'Tax Assumptions'!$B$9,0),'Tax Assumptions'!$K$9:$K$17,'Tax Assumptions'!$N$9:$N$17)+(MAX(D64-E64-'Tax Assumptions'!$B$9,0)-LOOKUP(MAX(D64-E64-'Tax Assumptions'!$B$9,0),'Tax Assumptions'!$K$9:$K$17,'Tax Assumptions'!$K$9:$K$17))*LOOKUP(MAX(D64-E64-'Tax Assumptions'!$B$9,0),'Tax Assumptions'!$K$9:$K$17,'Tax Assumptions'!$M$9:$M$17))+(LOOKUP(MAX(D64-E64-'Tax Assumptions'!$B$9,0),'Tax Assumptions'!$P$9:$P$12,'Tax Assumptions'!$S$9:$S$12)+(MAX(D64-E64-'Tax Assumptions'!$B$9,0)-LOOKUP(MAX(D64-E64-'Tax Assumptions'!$B$9,0),'Tax Assumptions'!$P$9:$P$12,'Tax Assumptions'!$P$9:$P$12))*LOOKUP(MAX(D64-E64-'Tax Assumptions'!$B$9,0),'Tax Assumptions'!$P$9:$P$12,'Tax Assumptions'!$R$9:$R$12)))*$B$7)</f>
        <v>0</v>
      </c>
      <c r="I64" s="68">
        <f t="shared" si="2"/>
        <v>0</v>
      </c>
      <c r="J64" s="101">
        <f>IF(B64="Working",N('Savings Projection'!$S$51)*$B$8,0)</f>
        <v>0</v>
      </c>
      <c r="K64" s="101">
        <f>IF(B64="Working",N('Savings Projection'!$T$51)*$B$9,0)</f>
        <v>0</v>
      </c>
      <c r="L64" s="68">
        <f>IF(B64="Working",MIN(MAX(I64-J64-K64-AB64-AC64,0),'Tax Assumptions'!$B$20),0)</f>
        <v>0</v>
      </c>
      <c r="M64" s="68">
        <f t="shared" si="3"/>
        <v>0</v>
      </c>
      <c r="N64" s="101">
        <f t="shared" si="4"/>
        <v>0</v>
      </c>
      <c r="O64" s="101">
        <f t="shared" si="5"/>
        <v>622223.82096330891</v>
      </c>
      <c r="P64" s="101">
        <f t="shared" si="6"/>
        <v>0</v>
      </c>
      <c r="Q64" s="101">
        <f t="shared" si="16"/>
        <v>0</v>
      </c>
      <c r="R64" s="101">
        <f t="shared" si="17"/>
        <v>0</v>
      </c>
      <c r="S64" s="101">
        <f t="shared" si="18"/>
        <v>0</v>
      </c>
      <c r="T64" s="101">
        <f t="shared" si="19"/>
        <v>0</v>
      </c>
      <c r="U64" s="68">
        <f t="shared" si="20"/>
        <v>0</v>
      </c>
      <c r="V64" s="68">
        <f t="shared" si="21"/>
        <v>0</v>
      </c>
      <c r="W64" s="68">
        <f t="shared" si="22"/>
        <v>0</v>
      </c>
      <c r="X64" s="68">
        <f t="shared" si="23"/>
        <v>0</v>
      </c>
      <c r="Y64" s="68">
        <f t="shared" si="7"/>
        <v>0</v>
      </c>
      <c r="Z64" s="101">
        <f t="shared" si="8"/>
        <v>622223.82096330891</v>
      </c>
      <c r="AA64" s="102">
        <f t="shared" si="9"/>
        <v>0</v>
      </c>
      <c r="AB64" s="68">
        <f t="shared" si="10"/>
        <v>0</v>
      </c>
      <c r="AC64" s="68">
        <f t="shared" si="11"/>
        <v>452223.82096330891</v>
      </c>
      <c r="AD64" s="68">
        <f t="shared" si="12"/>
        <v>9867932.5556330197</v>
      </c>
      <c r="AE64" s="68">
        <f t="shared" si="13"/>
        <v>1165627.0529866666</v>
      </c>
      <c r="AF64" s="68">
        <f t="shared" si="14"/>
        <v>8702305.5026463531</v>
      </c>
      <c r="AG64" s="103">
        <f t="shared" si="15"/>
        <v>8702305.5026463531</v>
      </c>
    </row>
    <row r="65" spans="1:33" x14ac:dyDescent="0.2">
      <c r="A65" s="104">
        <v>34</v>
      </c>
      <c r="B65" s="65" t="str">
        <f t="shared" si="0"/>
        <v>Retired</v>
      </c>
      <c r="C65" s="66">
        <f>N('Savings Projection'!$B$52)</f>
        <v>0</v>
      </c>
      <c r="D65" s="66">
        <f t="shared" si="1"/>
        <v>0</v>
      </c>
      <c r="E65" s="66">
        <f>IF(OR(B65="Retired",D65=0),0,MIN(D65,'Tax Assumptions'!$B$19))</f>
        <v>0</v>
      </c>
      <c r="F65" s="66">
        <f>IF(B65="Working",N('Savings Projection'!$E$52),0)</f>
        <v>0</v>
      </c>
      <c r="G65" s="66">
        <f>IF(B65="Working",N('Savings Projection'!$F$52),0)</f>
        <v>0</v>
      </c>
      <c r="H65" s="66">
        <f>IF(D65=0,0,((LOOKUP(MAX(D65-E65-F65-'Tax Assumptions'!$B$8,0),'Tax Assumptions'!$F$9:$F$15,'Tax Assumptions'!$I$9:$I$15)+(MAX(D65-E65-F65-'Tax Assumptions'!$B$8,0)-LOOKUP(MAX(D65-E65-F65-'Tax Assumptions'!$B$8,0),'Tax Assumptions'!$F$9:$F$15,'Tax Assumptions'!$F$9:$F$15))*LOOKUP(MAX(D65-E65-F65-'Tax Assumptions'!$B$8,0),'Tax Assumptions'!$F$9:$F$15,'Tax Assumptions'!$H$9:$H$15))+(MIN(MAX(D65-F65,0),'Tax Assumptions'!$B$11)*'Tax Assumptions'!$B$10)+(MAX(D65-F65,0)*'Tax Assumptions'!$B$12)+(MAX(MAX(D65-F65,0)-'Tax Assumptions'!$B$14,0)*'Tax Assumptions'!$B$13)+(MIN(D65*'Tax Assumptions'!$B$15,'Tax Assumptions'!$B$16))+(MIN(D65*'Tax Assumptions'!$B$17,'Tax Assumptions'!$B$18))+(LOOKUP(MAX(D65-E65-'Tax Assumptions'!$B$9,0),'Tax Assumptions'!$K$9:$K$17,'Tax Assumptions'!$N$9:$N$17)+(MAX(D65-E65-'Tax Assumptions'!$B$9,0)-LOOKUP(MAX(D65-E65-'Tax Assumptions'!$B$9,0),'Tax Assumptions'!$K$9:$K$17,'Tax Assumptions'!$K$9:$K$17))*LOOKUP(MAX(D65-E65-'Tax Assumptions'!$B$9,0),'Tax Assumptions'!$K$9:$K$17,'Tax Assumptions'!$M$9:$M$17))+(LOOKUP(MAX(D65-E65-'Tax Assumptions'!$B$9,0),'Tax Assumptions'!$P$9:$P$12,'Tax Assumptions'!$S$9:$S$12)+(MAX(D65-E65-'Tax Assumptions'!$B$9,0)-LOOKUP(MAX(D65-E65-'Tax Assumptions'!$B$9,0),'Tax Assumptions'!$P$9:$P$12,'Tax Assumptions'!$P$9:$P$12))*LOOKUP(MAX(D65-E65-'Tax Assumptions'!$B$9,0),'Tax Assumptions'!$P$9:$P$12,'Tax Assumptions'!$R$9:$R$12)))*$B$7)</f>
        <v>0</v>
      </c>
      <c r="I65" s="66">
        <f t="shared" si="2"/>
        <v>0</v>
      </c>
      <c r="J65" s="66">
        <f>IF(B65="Working",N('Savings Projection'!$S$52)*$B$8,0)</f>
        <v>0</v>
      </c>
      <c r="K65" s="66">
        <f>IF(B65="Working",N('Savings Projection'!$T$52)*$B$9,0)</f>
        <v>0</v>
      </c>
      <c r="L65" s="66">
        <f>IF(B65="Working",MIN(MAX(I65-J65-K65-AB65-AC65,0),'Tax Assumptions'!$B$20),0)</f>
        <v>0</v>
      </c>
      <c r="M65" s="66">
        <f t="shared" si="3"/>
        <v>0</v>
      </c>
      <c r="N65" s="66">
        <f t="shared" si="4"/>
        <v>0</v>
      </c>
      <c r="O65" s="66">
        <f t="shared" si="5"/>
        <v>628736.65645002667</v>
      </c>
      <c r="P65" s="66">
        <f t="shared" si="6"/>
        <v>0</v>
      </c>
      <c r="Q65" s="66">
        <f t="shared" si="16"/>
        <v>0</v>
      </c>
      <c r="R65" s="66">
        <f t="shared" si="17"/>
        <v>0</v>
      </c>
      <c r="S65" s="66">
        <f t="shared" si="18"/>
        <v>0</v>
      </c>
      <c r="T65" s="66">
        <f t="shared" si="19"/>
        <v>0</v>
      </c>
      <c r="U65" s="66">
        <f t="shared" si="20"/>
        <v>0</v>
      </c>
      <c r="V65" s="66">
        <f t="shared" si="21"/>
        <v>0</v>
      </c>
      <c r="W65" s="66">
        <f t="shared" si="22"/>
        <v>0</v>
      </c>
      <c r="X65" s="66">
        <f t="shared" si="23"/>
        <v>0</v>
      </c>
      <c r="Y65" s="66">
        <f t="shared" si="7"/>
        <v>0</v>
      </c>
      <c r="Z65" s="66">
        <f t="shared" si="8"/>
        <v>628736.65645002667</v>
      </c>
      <c r="AA65" s="69">
        <f t="shared" si="9"/>
        <v>0</v>
      </c>
      <c r="AB65" s="66">
        <f t="shared" si="10"/>
        <v>0</v>
      </c>
      <c r="AC65" s="66">
        <f t="shared" si="11"/>
        <v>458736.65645002667</v>
      </c>
      <c r="AD65" s="66">
        <f t="shared" si="12"/>
        <v>10163970.532302009</v>
      </c>
      <c r="AE65" s="66">
        <f t="shared" si="13"/>
        <v>1001429.0247238073</v>
      </c>
      <c r="AF65" s="66">
        <f t="shared" si="14"/>
        <v>9162541.5075782016</v>
      </c>
      <c r="AG65" s="105">
        <f t="shared" si="15"/>
        <v>9162541.5075782016</v>
      </c>
    </row>
    <row r="66" spans="1:33" x14ac:dyDescent="0.2">
      <c r="A66" s="99">
        <v>35</v>
      </c>
      <c r="B66" s="100" t="str">
        <f t="shared" si="0"/>
        <v>Retired</v>
      </c>
      <c r="C66" s="101">
        <f>N('Savings Projection'!$B$53)</f>
        <v>0</v>
      </c>
      <c r="D66" s="68">
        <f t="shared" si="1"/>
        <v>0</v>
      </c>
      <c r="E66" s="101">
        <f>IF(OR(B66="Retired",D66=0),0,MIN(D66,'Tax Assumptions'!$B$19))</f>
        <v>0</v>
      </c>
      <c r="F66" s="101">
        <f>IF(B66="Working",N('Savings Projection'!$E$53),0)</f>
        <v>0</v>
      </c>
      <c r="G66" s="101">
        <f>IF(B66="Working",N('Savings Projection'!$F$53),0)</f>
        <v>0</v>
      </c>
      <c r="H66" s="68">
        <f>IF(D66=0,0,((LOOKUP(MAX(D66-E66-F66-'Tax Assumptions'!$B$8,0),'Tax Assumptions'!$F$9:$F$15,'Tax Assumptions'!$I$9:$I$15)+(MAX(D66-E66-F66-'Tax Assumptions'!$B$8,0)-LOOKUP(MAX(D66-E66-F66-'Tax Assumptions'!$B$8,0),'Tax Assumptions'!$F$9:$F$15,'Tax Assumptions'!$F$9:$F$15))*LOOKUP(MAX(D66-E66-F66-'Tax Assumptions'!$B$8,0),'Tax Assumptions'!$F$9:$F$15,'Tax Assumptions'!$H$9:$H$15))+(MIN(MAX(D66-F66,0),'Tax Assumptions'!$B$11)*'Tax Assumptions'!$B$10)+(MAX(D66-F66,0)*'Tax Assumptions'!$B$12)+(MAX(MAX(D66-F66,0)-'Tax Assumptions'!$B$14,0)*'Tax Assumptions'!$B$13)+(MIN(D66*'Tax Assumptions'!$B$15,'Tax Assumptions'!$B$16))+(MIN(D66*'Tax Assumptions'!$B$17,'Tax Assumptions'!$B$18))+(LOOKUP(MAX(D66-E66-'Tax Assumptions'!$B$9,0),'Tax Assumptions'!$K$9:$K$17,'Tax Assumptions'!$N$9:$N$17)+(MAX(D66-E66-'Tax Assumptions'!$B$9,0)-LOOKUP(MAX(D66-E66-'Tax Assumptions'!$B$9,0),'Tax Assumptions'!$K$9:$K$17,'Tax Assumptions'!$K$9:$K$17))*LOOKUP(MAX(D66-E66-'Tax Assumptions'!$B$9,0),'Tax Assumptions'!$K$9:$K$17,'Tax Assumptions'!$M$9:$M$17))+(LOOKUP(MAX(D66-E66-'Tax Assumptions'!$B$9,0),'Tax Assumptions'!$P$9:$P$12,'Tax Assumptions'!$S$9:$S$12)+(MAX(D66-E66-'Tax Assumptions'!$B$9,0)-LOOKUP(MAX(D66-E66-'Tax Assumptions'!$B$9,0),'Tax Assumptions'!$P$9:$P$12,'Tax Assumptions'!$P$9:$P$12))*LOOKUP(MAX(D66-E66-'Tax Assumptions'!$B$9,0),'Tax Assumptions'!$P$9:$P$12,'Tax Assumptions'!$R$9:$R$12)))*$B$7)</f>
        <v>0</v>
      </c>
      <c r="I66" s="68">
        <f t="shared" si="2"/>
        <v>0</v>
      </c>
      <c r="J66" s="101">
        <f>IF(B66="Working",N('Savings Projection'!$S$53)*$B$8,0)</f>
        <v>0</v>
      </c>
      <c r="K66" s="101">
        <f>IF(B66="Working",N('Savings Projection'!$T$53)*$B$9,0)</f>
        <v>0</v>
      </c>
      <c r="L66" s="68">
        <f>IF(B66="Working",MIN(MAX(I66-J66-K66-AB66-AC66,0),'Tax Assumptions'!$B$20),0)</f>
        <v>0</v>
      </c>
      <c r="M66" s="68">
        <f t="shared" si="3"/>
        <v>0</v>
      </c>
      <c r="N66" s="101">
        <f t="shared" si="4"/>
        <v>0</v>
      </c>
      <c r="O66" s="101">
        <f t="shared" si="5"/>
        <v>635444.87700134609</v>
      </c>
      <c r="P66" s="101">
        <f t="shared" si="6"/>
        <v>0</v>
      </c>
      <c r="Q66" s="101">
        <f t="shared" si="16"/>
        <v>0</v>
      </c>
      <c r="R66" s="101">
        <f t="shared" si="17"/>
        <v>0</v>
      </c>
      <c r="S66" s="101">
        <f t="shared" si="18"/>
        <v>0</v>
      </c>
      <c r="T66" s="101">
        <f t="shared" si="19"/>
        <v>0</v>
      </c>
      <c r="U66" s="68">
        <f t="shared" si="20"/>
        <v>0</v>
      </c>
      <c r="V66" s="68">
        <f t="shared" si="21"/>
        <v>0</v>
      </c>
      <c r="W66" s="68">
        <f t="shared" si="22"/>
        <v>0</v>
      </c>
      <c r="X66" s="68">
        <f t="shared" si="23"/>
        <v>0</v>
      </c>
      <c r="Y66" s="68">
        <f t="shared" si="7"/>
        <v>0</v>
      </c>
      <c r="Z66" s="101">
        <f t="shared" si="8"/>
        <v>635444.87700134609</v>
      </c>
      <c r="AA66" s="102">
        <f t="shared" si="9"/>
        <v>0</v>
      </c>
      <c r="AB66" s="68">
        <f t="shared" si="10"/>
        <v>0</v>
      </c>
      <c r="AC66" s="68">
        <f t="shared" si="11"/>
        <v>465444.87700134603</v>
      </c>
      <c r="AD66" s="68">
        <f t="shared" si="12"/>
        <v>10468889.648271069</v>
      </c>
      <c r="AE66" s="68">
        <f t="shared" si="13"/>
        <v>826234.35041301697</v>
      </c>
      <c r="AF66" s="68">
        <f t="shared" si="14"/>
        <v>9642655.297858052</v>
      </c>
      <c r="AG66" s="103">
        <f t="shared" si="15"/>
        <v>9642655.297858052</v>
      </c>
    </row>
    <row r="67" spans="1:33" x14ac:dyDescent="0.2">
      <c r="A67" s="104">
        <v>36</v>
      </c>
      <c r="B67" s="65" t="str">
        <f t="shared" si="0"/>
        <v>Retired</v>
      </c>
      <c r="C67" s="66">
        <f>N('Savings Projection'!$B$54)</f>
        <v>0</v>
      </c>
      <c r="D67" s="66">
        <f t="shared" si="1"/>
        <v>0</v>
      </c>
      <c r="E67" s="66">
        <f>IF(OR(B67="Retired",D67=0),0,MIN(D67,'Tax Assumptions'!$B$19))</f>
        <v>0</v>
      </c>
      <c r="F67" s="66">
        <f>IF(B67="Working",N('Savings Projection'!$E$54),0)</f>
        <v>0</v>
      </c>
      <c r="G67" s="66">
        <f>IF(B67="Working",N('Savings Projection'!$F$54),0)</f>
        <v>0</v>
      </c>
      <c r="H67" s="66">
        <f>IF(D67=0,0,((LOOKUP(MAX(D67-E67-F67-'Tax Assumptions'!$B$8,0),'Tax Assumptions'!$F$9:$F$15,'Tax Assumptions'!$I$9:$I$15)+(MAX(D67-E67-F67-'Tax Assumptions'!$B$8,0)-LOOKUP(MAX(D67-E67-F67-'Tax Assumptions'!$B$8,0),'Tax Assumptions'!$F$9:$F$15,'Tax Assumptions'!$F$9:$F$15))*LOOKUP(MAX(D67-E67-F67-'Tax Assumptions'!$B$8,0),'Tax Assumptions'!$F$9:$F$15,'Tax Assumptions'!$H$9:$H$15))+(MIN(MAX(D67-F67,0),'Tax Assumptions'!$B$11)*'Tax Assumptions'!$B$10)+(MAX(D67-F67,0)*'Tax Assumptions'!$B$12)+(MAX(MAX(D67-F67,0)-'Tax Assumptions'!$B$14,0)*'Tax Assumptions'!$B$13)+(MIN(D67*'Tax Assumptions'!$B$15,'Tax Assumptions'!$B$16))+(MIN(D67*'Tax Assumptions'!$B$17,'Tax Assumptions'!$B$18))+(LOOKUP(MAX(D67-E67-'Tax Assumptions'!$B$9,0),'Tax Assumptions'!$K$9:$K$17,'Tax Assumptions'!$N$9:$N$17)+(MAX(D67-E67-'Tax Assumptions'!$B$9,0)-LOOKUP(MAX(D67-E67-'Tax Assumptions'!$B$9,0),'Tax Assumptions'!$K$9:$K$17,'Tax Assumptions'!$K$9:$K$17))*LOOKUP(MAX(D67-E67-'Tax Assumptions'!$B$9,0),'Tax Assumptions'!$K$9:$K$17,'Tax Assumptions'!$M$9:$M$17))+(LOOKUP(MAX(D67-E67-'Tax Assumptions'!$B$9,0),'Tax Assumptions'!$P$9:$P$12,'Tax Assumptions'!$S$9:$S$12)+(MAX(D67-E67-'Tax Assumptions'!$B$9,0)-LOOKUP(MAX(D67-E67-'Tax Assumptions'!$B$9,0),'Tax Assumptions'!$P$9:$P$12,'Tax Assumptions'!$P$9:$P$12))*LOOKUP(MAX(D67-E67-'Tax Assumptions'!$B$9,0),'Tax Assumptions'!$P$9:$P$12,'Tax Assumptions'!$R$9:$R$12)))*$B$7)</f>
        <v>0</v>
      </c>
      <c r="I67" s="66">
        <f t="shared" si="2"/>
        <v>0</v>
      </c>
      <c r="J67" s="66">
        <f>IF(B67="Working",N('Savings Projection'!$S$54)*$B$8,0)</f>
        <v>0</v>
      </c>
      <c r="K67" s="66">
        <f>IF(B67="Working",N('Savings Projection'!$T$54)*$B$9,0)</f>
        <v>0</v>
      </c>
      <c r="L67" s="66">
        <f>IF(B67="Working",MIN(MAX(I67-J67-K67-AB67-AC67,0),'Tax Assumptions'!$B$20),0)</f>
        <v>0</v>
      </c>
      <c r="M67" s="66">
        <f t="shared" si="3"/>
        <v>0</v>
      </c>
      <c r="N67" s="66">
        <f t="shared" si="4"/>
        <v>0</v>
      </c>
      <c r="O67" s="66">
        <f t="shared" si="5"/>
        <v>642354.34416920494</v>
      </c>
      <c r="P67" s="66">
        <f t="shared" si="6"/>
        <v>0</v>
      </c>
      <c r="Q67" s="66">
        <f t="shared" si="16"/>
        <v>0</v>
      </c>
      <c r="R67" s="66">
        <f t="shared" si="17"/>
        <v>0</v>
      </c>
      <c r="S67" s="66">
        <f t="shared" si="18"/>
        <v>0</v>
      </c>
      <c r="T67" s="66">
        <f t="shared" si="19"/>
        <v>0</v>
      </c>
      <c r="U67" s="66">
        <f t="shared" si="20"/>
        <v>0</v>
      </c>
      <c r="V67" s="66">
        <f t="shared" si="21"/>
        <v>0</v>
      </c>
      <c r="W67" s="66">
        <f t="shared" si="22"/>
        <v>0</v>
      </c>
      <c r="X67" s="66">
        <f t="shared" si="23"/>
        <v>0</v>
      </c>
      <c r="Y67" s="66">
        <f t="shared" si="7"/>
        <v>0</v>
      </c>
      <c r="Z67" s="66">
        <f t="shared" si="8"/>
        <v>642354.34416920494</v>
      </c>
      <c r="AA67" s="69">
        <f t="shared" si="9"/>
        <v>0</v>
      </c>
      <c r="AB67" s="66">
        <f t="shared" si="10"/>
        <v>0</v>
      </c>
      <c r="AC67" s="66">
        <f t="shared" si="11"/>
        <v>472354.34416920494</v>
      </c>
      <c r="AD67" s="66">
        <f t="shared" si="12"/>
        <v>10782956.337719202</v>
      </c>
      <c r="AE67" s="66">
        <f t="shared" si="13"/>
        <v>639306.5643026568</v>
      </c>
      <c r="AF67" s="66">
        <f t="shared" si="14"/>
        <v>10143649.773416545</v>
      </c>
      <c r="AG67" s="105">
        <f t="shared" si="15"/>
        <v>10143649.773416545</v>
      </c>
    </row>
    <row r="68" spans="1:33" x14ac:dyDescent="0.2">
      <c r="A68" s="99">
        <v>37</v>
      </c>
      <c r="B68" s="100" t="str">
        <f t="shared" si="0"/>
        <v>Retired</v>
      </c>
      <c r="C68" s="101">
        <f>N('Savings Projection'!$B$55)</f>
        <v>0</v>
      </c>
      <c r="D68" s="68">
        <f t="shared" si="1"/>
        <v>0</v>
      </c>
      <c r="E68" s="101">
        <f>IF(OR(B68="Retired",D68=0),0,MIN(D68,'Tax Assumptions'!$B$19))</f>
        <v>0</v>
      </c>
      <c r="F68" s="101">
        <f>IF(B68="Working",N('Savings Projection'!$E$55),0)</f>
        <v>0</v>
      </c>
      <c r="G68" s="101">
        <f>IF(B68="Working",N('Savings Projection'!$F$55),0)</f>
        <v>0</v>
      </c>
      <c r="H68" s="68">
        <f>IF(D68=0,0,((LOOKUP(MAX(D68-E68-F68-'Tax Assumptions'!$B$8,0),'Tax Assumptions'!$F$9:$F$15,'Tax Assumptions'!$I$9:$I$15)+(MAX(D68-E68-F68-'Tax Assumptions'!$B$8,0)-LOOKUP(MAX(D68-E68-F68-'Tax Assumptions'!$B$8,0),'Tax Assumptions'!$F$9:$F$15,'Tax Assumptions'!$F$9:$F$15))*LOOKUP(MAX(D68-E68-F68-'Tax Assumptions'!$B$8,0),'Tax Assumptions'!$F$9:$F$15,'Tax Assumptions'!$H$9:$H$15))+(MIN(MAX(D68-F68,0),'Tax Assumptions'!$B$11)*'Tax Assumptions'!$B$10)+(MAX(D68-F68,0)*'Tax Assumptions'!$B$12)+(MAX(MAX(D68-F68,0)-'Tax Assumptions'!$B$14,0)*'Tax Assumptions'!$B$13)+(MIN(D68*'Tax Assumptions'!$B$15,'Tax Assumptions'!$B$16))+(MIN(D68*'Tax Assumptions'!$B$17,'Tax Assumptions'!$B$18))+(LOOKUP(MAX(D68-E68-'Tax Assumptions'!$B$9,0),'Tax Assumptions'!$K$9:$K$17,'Tax Assumptions'!$N$9:$N$17)+(MAX(D68-E68-'Tax Assumptions'!$B$9,0)-LOOKUP(MAX(D68-E68-'Tax Assumptions'!$B$9,0),'Tax Assumptions'!$K$9:$K$17,'Tax Assumptions'!$K$9:$K$17))*LOOKUP(MAX(D68-E68-'Tax Assumptions'!$B$9,0),'Tax Assumptions'!$K$9:$K$17,'Tax Assumptions'!$M$9:$M$17))+(LOOKUP(MAX(D68-E68-'Tax Assumptions'!$B$9,0),'Tax Assumptions'!$P$9:$P$12,'Tax Assumptions'!$S$9:$S$12)+(MAX(D68-E68-'Tax Assumptions'!$B$9,0)-LOOKUP(MAX(D68-E68-'Tax Assumptions'!$B$9,0),'Tax Assumptions'!$P$9:$P$12,'Tax Assumptions'!$P$9:$P$12))*LOOKUP(MAX(D68-E68-'Tax Assumptions'!$B$9,0),'Tax Assumptions'!$P$9:$P$12,'Tax Assumptions'!$R$9:$R$12)))*$B$7)</f>
        <v>0</v>
      </c>
      <c r="I68" s="68">
        <f t="shared" si="2"/>
        <v>0</v>
      </c>
      <c r="J68" s="101">
        <f>IF(B68="Working",N('Savings Projection'!$S$55)*$B$8,0)</f>
        <v>0</v>
      </c>
      <c r="K68" s="101">
        <f>IF(B68="Working",N('Savings Projection'!$T$55)*$B$9,0)</f>
        <v>0</v>
      </c>
      <c r="L68" s="68">
        <f>IF(B68="Working",MIN(MAX(I68-J68-K68-AB68-AC68,0),'Tax Assumptions'!$B$20),0)</f>
        <v>0</v>
      </c>
      <c r="M68" s="68">
        <f t="shared" si="3"/>
        <v>0</v>
      </c>
      <c r="N68" s="101">
        <f t="shared" si="4"/>
        <v>0</v>
      </c>
      <c r="O68" s="101">
        <f t="shared" si="5"/>
        <v>649471.09535209963</v>
      </c>
      <c r="P68" s="101">
        <f t="shared" si="6"/>
        <v>0</v>
      </c>
      <c r="Q68" s="101">
        <f t="shared" si="16"/>
        <v>0</v>
      </c>
      <c r="R68" s="101">
        <f t="shared" si="17"/>
        <v>0</v>
      </c>
      <c r="S68" s="101">
        <f t="shared" si="18"/>
        <v>0</v>
      </c>
      <c r="T68" s="101">
        <f t="shared" si="19"/>
        <v>0</v>
      </c>
      <c r="U68" s="68">
        <f t="shared" si="20"/>
        <v>0</v>
      </c>
      <c r="V68" s="68">
        <f t="shared" si="21"/>
        <v>0</v>
      </c>
      <c r="W68" s="68">
        <f t="shared" si="22"/>
        <v>0</v>
      </c>
      <c r="X68" s="68">
        <f t="shared" si="23"/>
        <v>0</v>
      </c>
      <c r="Y68" s="68">
        <f t="shared" si="7"/>
        <v>0</v>
      </c>
      <c r="Z68" s="101">
        <f t="shared" si="8"/>
        <v>649471.09535209963</v>
      </c>
      <c r="AA68" s="102">
        <f t="shared" si="9"/>
        <v>0</v>
      </c>
      <c r="AB68" s="68">
        <f t="shared" si="10"/>
        <v>0</v>
      </c>
      <c r="AC68" s="68">
        <f t="shared" si="11"/>
        <v>479471.09535209963</v>
      </c>
      <c r="AD68" s="68">
        <f t="shared" si="12"/>
        <v>11106445.027850777</v>
      </c>
      <c r="AE68" s="68">
        <f t="shared" si="13"/>
        <v>439859.87816574425</v>
      </c>
      <c r="AF68" s="68">
        <f t="shared" si="14"/>
        <v>10666585.149685033</v>
      </c>
      <c r="AG68" s="103">
        <f t="shared" si="15"/>
        <v>10666585.149685033</v>
      </c>
    </row>
    <row r="69" spans="1:33" x14ac:dyDescent="0.2">
      <c r="A69" s="104">
        <v>38</v>
      </c>
      <c r="B69" s="65" t="str">
        <f t="shared" si="0"/>
        <v>Retired</v>
      </c>
      <c r="C69" s="66">
        <f>N('Savings Projection'!$B$56)</f>
        <v>0</v>
      </c>
      <c r="D69" s="66">
        <f t="shared" si="1"/>
        <v>0</v>
      </c>
      <c r="E69" s="66">
        <f>IF(OR(B69="Retired",D69=0),0,MIN(D69,'Tax Assumptions'!$B$19))</f>
        <v>0</v>
      </c>
      <c r="F69" s="66">
        <f>IF(B69="Working",N('Savings Projection'!$E$56),0)</f>
        <v>0</v>
      </c>
      <c r="G69" s="66">
        <f>IF(B69="Working",N('Savings Projection'!$F$56),0)</f>
        <v>0</v>
      </c>
      <c r="H69" s="66">
        <f>IF(D69=0,0,((LOOKUP(MAX(D69-E69-F69-'Tax Assumptions'!$B$8,0),'Tax Assumptions'!$F$9:$F$15,'Tax Assumptions'!$I$9:$I$15)+(MAX(D69-E69-F69-'Tax Assumptions'!$B$8,0)-LOOKUP(MAX(D69-E69-F69-'Tax Assumptions'!$B$8,0),'Tax Assumptions'!$F$9:$F$15,'Tax Assumptions'!$F$9:$F$15))*LOOKUP(MAX(D69-E69-F69-'Tax Assumptions'!$B$8,0),'Tax Assumptions'!$F$9:$F$15,'Tax Assumptions'!$H$9:$H$15))+(MIN(MAX(D69-F69,0),'Tax Assumptions'!$B$11)*'Tax Assumptions'!$B$10)+(MAX(D69-F69,0)*'Tax Assumptions'!$B$12)+(MAX(MAX(D69-F69,0)-'Tax Assumptions'!$B$14,0)*'Tax Assumptions'!$B$13)+(MIN(D69*'Tax Assumptions'!$B$15,'Tax Assumptions'!$B$16))+(MIN(D69*'Tax Assumptions'!$B$17,'Tax Assumptions'!$B$18))+(LOOKUP(MAX(D69-E69-'Tax Assumptions'!$B$9,0),'Tax Assumptions'!$K$9:$K$17,'Tax Assumptions'!$N$9:$N$17)+(MAX(D69-E69-'Tax Assumptions'!$B$9,0)-LOOKUP(MAX(D69-E69-'Tax Assumptions'!$B$9,0),'Tax Assumptions'!$K$9:$K$17,'Tax Assumptions'!$K$9:$K$17))*LOOKUP(MAX(D69-E69-'Tax Assumptions'!$B$9,0),'Tax Assumptions'!$K$9:$K$17,'Tax Assumptions'!$M$9:$M$17))+(LOOKUP(MAX(D69-E69-'Tax Assumptions'!$B$9,0),'Tax Assumptions'!$P$9:$P$12,'Tax Assumptions'!$S$9:$S$12)+(MAX(D69-E69-'Tax Assumptions'!$B$9,0)-LOOKUP(MAX(D69-E69-'Tax Assumptions'!$B$9,0),'Tax Assumptions'!$P$9:$P$12,'Tax Assumptions'!$P$9:$P$12))*LOOKUP(MAX(D69-E69-'Tax Assumptions'!$B$9,0),'Tax Assumptions'!$P$9:$P$12,'Tax Assumptions'!$R$9:$R$12)))*$B$7)</f>
        <v>0</v>
      </c>
      <c r="I69" s="66">
        <f t="shared" si="2"/>
        <v>0</v>
      </c>
      <c r="J69" s="66">
        <f>IF(B69="Working",N('Savings Projection'!$S$56)*$B$8,0)</f>
        <v>0</v>
      </c>
      <c r="K69" s="66">
        <f>IF(B69="Working",N('Savings Projection'!$T$56)*$B$9,0)</f>
        <v>0</v>
      </c>
      <c r="L69" s="66">
        <f>IF(B69="Working",MIN(MAX(I69-J69-K69-AB69-AC69,0),'Tax Assumptions'!$B$20),0)</f>
        <v>0</v>
      </c>
      <c r="M69" s="66">
        <f t="shared" si="3"/>
        <v>0</v>
      </c>
      <c r="N69" s="66">
        <f t="shared" si="4"/>
        <v>0</v>
      </c>
      <c r="O69" s="66">
        <f t="shared" si="5"/>
        <v>656801.34907048114</v>
      </c>
      <c r="P69" s="66">
        <f t="shared" si="6"/>
        <v>0</v>
      </c>
      <c r="Q69" s="66">
        <f t="shared" si="16"/>
        <v>0</v>
      </c>
      <c r="R69" s="66">
        <f t="shared" si="17"/>
        <v>0</v>
      </c>
      <c r="S69" s="66">
        <f t="shared" si="18"/>
        <v>0</v>
      </c>
      <c r="T69" s="66">
        <f t="shared" si="19"/>
        <v>0</v>
      </c>
      <c r="U69" s="66">
        <f t="shared" si="20"/>
        <v>0</v>
      </c>
      <c r="V69" s="66">
        <f t="shared" si="21"/>
        <v>0</v>
      </c>
      <c r="W69" s="66">
        <f t="shared" si="22"/>
        <v>0</v>
      </c>
      <c r="X69" s="66">
        <f t="shared" si="23"/>
        <v>0</v>
      </c>
      <c r="Y69" s="66">
        <f t="shared" si="7"/>
        <v>0</v>
      </c>
      <c r="Z69" s="66">
        <f t="shared" si="8"/>
        <v>656801.34907048114</v>
      </c>
      <c r="AA69" s="69">
        <f t="shared" si="9"/>
        <v>0</v>
      </c>
      <c r="AB69" s="66">
        <f t="shared" si="10"/>
        <v>0</v>
      </c>
      <c r="AC69" s="66">
        <f t="shared" si="11"/>
        <v>486801.34907048114</v>
      </c>
      <c r="AD69" s="66">
        <f t="shared" si="12"/>
        <v>11439638.378686301</v>
      </c>
      <c r="AE69" s="66">
        <f t="shared" si="13"/>
        <v>227055.87808247283</v>
      </c>
      <c r="AF69" s="66">
        <f t="shared" si="14"/>
        <v>11212582.500603829</v>
      </c>
      <c r="AG69" s="105">
        <f t="shared" si="15"/>
        <v>11212582.500603829</v>
      </c>
    </row>
    <row r="70" spans="1:33" x14ac:dyDescent="0.2">
      <c r="A70" s="99">
        <v>39</v>
      </c>
      <c r="B70" s="100" t="str">
        <f t="shared" si="0"/>
        <v>Retired</v>
      </c>
      <c r="C70" s="101">
        <f>N('Savings Projection'!$B$57)</f>
        <v>0</v>
      </c>
      <c r="D70" s="68">
        <f t="shared" si="1"/>
        <v>0</v>
      </c>
      <c r="E70" s="101">
        <f>IF(OR(B70="Retired",D70=0),0,MIN(D70,'Tax Assumptions'!$B$19))</f>
        <v>0</v>
      </c>
      <c r="F70" s="101">
        <f>IF(B70="Working",N('Savings Projection'!$E$57),0)</f>
        <v>0</v>
      </c>
      <c r="G70" s="101">
        <f>IF(B70="Working",N('Savings Projection'!$F$57),0)</f>
        <v>0</v>
      </c>
      <c r="H70" s="68">
        <f>IF(D70=0,0,((LOOKUP(MAX(D70-E70-F70-'Tax Assumptions'!$B$8,0),'Tax Assumptions'!$F$9:$F$15,'Tax Assumptions'!$I$9:$I$15)+(MAX(D70-E70-F70-'Tax Assumptions'!$B$8,0)-LOOKUP(MAX(D70-E70-F70-'Tax Assumptions'!$B$8,0),'Tax Assumptions'!$F$9:$F$15,'Tax Assumptions'!$F$9:$F$15))*LOOKUP(MAX(D70-E70-F70-'Tax Assumptions'!$B$8,0),'Tax Assumptions'!$F$9:$F$15,'Tax Assumptions'!$H$9:$H$15))+(MIN(MAX(D70-F70,0),'Tax Assumptions'!$B$11)*'Tax Assumptions'!$B$10)+(MAX(D70-F70,0)*'Tax Assumptions'!$B$12)+(MAX(MAX(D70-F70,0)-'Tax Assumptions'!$B$14,0)*'Tax Assumptions'!$B$13)+(MIN(D70*'Tax Assumptions'!$B$15,'Tax Assumptions'!$B$16))+(MIN(D70*'Tax Assumptions'!$B$17,'Tax Assumptions'!$B$18))+(LOOKUP(MAX(D70-E70-'Tax Assumptions'!$B$9,0),'Tax Assumptions'!$K$9:$K$17,'Tax Assumptions'!$N$9:$N$17)+(MAX(D70-E70-'Tax Assumptions'!$B$9,0)-LOOKUP(MAX(D70-E70-'Tax Assumptions'!$B$9,0),'Tax Assumptions'!$K$9:$K$17,'Tax Assumptions'!$K$9:$K$17))*LOOKUP(MAX(D70-E70-'Tax Assumptions'!$B$9,0),'Tax Assumptions'!$K$9:$K$17,'Tax Assumptions'!$M$9:$M$17))+(LOOKUP(MAX(D70-E70-'Tax Assumptions'!$B$9,0),'Tax Assumptions'!$P$9:$P$12,'Tax Assumptions'!$S$9:$S$12)+(MAX(D70-E70-'Tax Assumptions'!$B$9,0)-LOOKUP(MAX(D70-E70-'Tax Assumptions'!$B$9,0),'Tax Assumptions'!$P$9:$P$12,'Tax Assumptions'!$P$9:$P$12))*LOOKUP(MAX(D70-E70-'Tax Assumptions'!$B$9,0),'Tax Assumptions'!$P$9:$P$12,'Tax Assumptions'!$R$9:$R$12)))*$B$7)</f>
        <v>0</v>
      </c>
      <c r="I70" s="68">
        <f t="shared" si="2"/>
        <v>0</v>
      </c>
      <c r="J70" s="101">
        <f>IF(B70="Working",N('Savings Projection'!$S$57)*$B$8,0)</f>
        <v>0</v>
      </c>
      <c r="K70" s="101">
        <f>IF(B70="Working",N('Savings Projection'!$T$57)*$B$9,0)</f>
        <v>0</v>
      </c>
      <c r="L70" s="68">
        <f>IF(B70="Working",MIN(MAX(I70-J70-K70-AB70-AC70,0),'Tax Assumptions'!$B$20),0)</f>
        <v>0</v>
      </c>
      <c r="M70" s="68">
        <f t="shared" si="3"/>
        <v>0</v>
      </c>
      <c r="N70" s="101">
        <f t="shared" si="4"/>
        <v>0</v>
      </c>
      <c r="O70" s="101">
        <f t="shared" si="5"/>
        <v>664351.51040041412</v>
      </c>
      <c r="P70" s="101">
        <f t="shared" si="6"/>
        <v>0</v>
      </c>
      <c r="Q70" s="101">
        <f t="shared" si="16"/>
        <v>0</v>
      </c>
      <c r="R70" s="101">
        <f t="shared" si="17"/>
        <v>0</v>
      </c>
      <c r="S70" s="101">
        <f t="shared" si="18"/>
        <v>0</v>
      </c>
      <c r="T70" s="101">
        <f t="shared" si="19"/>
        <v>0</v>
      </c>
      <c r="U70" s="68">
        <f t="shared" si="20"/>
        <v>0</v>
      </c>
      <c r="V70" s="68">
        <f t="shared" si="21"/>
        <v>0</v>
      </c>
      <c r="W70" s="68">
        <f t="shared" si="22"/>
        <v>0</v>
      </c>
      <c r="X70" s="68">
        <f t="shared" si="23"/>
        <v>0</v>
      </c>
      <c r="Y70" s="68">
        <f t="shared" si="7"/>
        <v>0</v>
      </c>
      <c r="Z70" s="101">
        <f t="shared" si="8"/>
        <v>664351.51040041412</v>
      </c>
      <c r="AA70" s="102">
        <f t="shared" si="9"/>
        <v>0</v>
      </c>
      <c r="AB70" s="68">
        <f t="shared" si="10"/>
        <v>0</v>
      </c>
      <c r="AC70" s="68">
        <f t="shared" si="11"/>
        <v>494351.51040041412</v>
      </c>
      <c r="AD70" s="68">
        <f t="shared" si="12"/>
        <v>11782827.53004689</v>
      </c>
      <c r="AE70" s="68">
        <f t="shared" si="13"/>
        <v>0</v>
      </c>
      <c r="AF70" s="68">
        <f t="shared" si="14"/>
        <v>11782827.53004689</v>
      </c>
      <c r="AG70" s="103">
        <f t="shared" si="15"/>
        <v>11782827.53004689</v>
      </c>
    </row>
    <row r="71" spans="1:33" x14ac:dyDescent="0.2">
      <c r="A71" s="104">
        <v>40</v>
      </c>
      <c r="B71" s="65" t="str">
        <f t="shared" si="0"/>
        <v>Retired</v>
      </c>
      <c r="C71" s="66">
        <f>N('Savings Projection'!$B$58)</f>
        <v>0</v>
      </c>
      <c r="D71" s="66">
        <f t="shared" si="1"/>
        <v>0</v>
      </c>
      <c r="E71" s="66">
        <f>IF(OR(B71="Retired",D71=0),0,MIN(D71,'Tax Assumptions'!$B$19))</f>
        <v>0</v>
      </c>
      <c r="F71" s="66">
        <f>IF(B71="Working",N('Savings Projection'!$E$58),0)</f>
        <v>0</v>
      </c>
      <c r="G71" s="66">
        <f>IF(B71="Working",N('Savings Projection'!$F$58),0)</f>
        <v>0</v>
      </c>
      <c r="H71" s="66">
        <f>IF(D71=0,0,((LOOKUP(MAX(D71-E71-F71-'Tax Assumptions'!$B$8,0),'Tax Assumptions'!$F$9:$F$15,'Tax Assumptions'!$I$9:$I$15)+(MAX(D71-E71-F71-'Tax Assumptions'!$B$8,0)-LOOKUP(MAX(D71-E71-F71-'Tax Assumptions'!$B$8,0),'Tax Assumptions'!$F$9:$F$15,'Tax Assumptions'!$F$9:$F$15))*LOOKUP(MAX(D71-E71-F71-'Tax Assumptions'!$B$8,0),'Tax Assumptions'!$F$9:$F$15,'Tax Assumptions'!$H$9:$H$15))+(MIN(MAX(D71-F71,0),'Tax Assumptions'!$B$11)*'Tax Assumptions'!$B$10)+(MAX(D71-F71,0)*'Tax Assumptions'!$B$12)+(MAX(MAX(D71-F71,0)-'Tax Assumptions'!$B$14,0)*'Tax Assumptions'!$B$13)+(MIN(D71*'Tax Assumptions'!$B$15,'Tax Assumptions'!$B$16))+(MIN(D71*'Tax Assumptions'!$B$17,'Tax Assumptions'!$B$18))+(LOOKUP(MAX(D71-E71-'Tax Assumptions'!$B$9,0),'Tax Assumptions'!$K$9:$K$17,'Tax Assumptions'!$N$9:$N$17)+(MAX(D71-E71-'Tax Assumptions'!$B$9,0)-LOOKUP(MAX(D71-E71-'Tax Assumptions'!$B$9,0),'Tax Assumptions'!$K$9:$K$17,'Tax Assumptions'!$K$9:$K$17))*LOOKUP(MAX(D71-E71-'Tax Assumptions'!$B$9,0),'Tax Assumptions'!$K$9:$K$17,'Tax Assumptions'!$M$9:$M$17))+(LOOKUP(MAX(D71-E71-'Tax Assumptions'!$B$9,0),'Tax Assumptions'!$P$9:$P$12,'Tax Assumptions'!$S$9:$S$12)+(MAX(D71-E71-'Tax Assumptions'!$B$9,0)-LOOKUP(MAX(D71-E71-'Tax Assumptions'!$B$9,0),'Tax Assumptions'!$P$9:$P$12,'Tax Assumptions'!$P$9:$P$12))*LOOKUP(MAX(D71-E71-'Tax Assumptions'!$B$9,0),'Tax Assumptions'!$P$9:$P$12,'Tax Assumptions'!$R$9:$R$12)))*$B$7)</f>
        <v>0</v>
      </c>
      <c r="I71" s="66">
        <f t="shared" si="2"/>
        <v>0</v>
      </c>
      <c r="J71" s="66">
        <f>IF(B71="Working",N('Savings Projection'!$S$58)*$B$8,0)</f>
        <v>0</v>
      </c>
      <c r="K71" s="66">
        <f>IF(B71="Working",N('Savings Projection'!$T$58)*$B$9,0)</f>
        <v>0</v>
      </c>
      <c r="L71" s="66">
        <f>IF(B71="Working",MIN(MAX(I71-J71-K71-AB71-AC71,0),'Tax Assumptions'!$B$20),0)</f>
        <v>0</v>
      </c>
      <c r="M71" s="66">
        <f t="shared" si="3"/>
        <v>0</v>
      </c>
      <c r="N71" s="66">
        <f t="shared" si="4"/>
        <v>0</v>
      </c>
      <c r="O71" s="66">
        <f t="shared" si="5"/>
        <v>436998.87183086248</v>
      </c>
      <c r="P71" s="66">
        <f t="shared" si="6"/>
        <v>0</v>
      </c>
      <c r="Q71" s="66">
        <f t="shared" si="16"/>
        <v>0</v>
      </c>
      <c r="R71" s="66">
        <f t="shared" si="17"/>
        <v>0</v>
      </c>
      <c r="S71" s="66">
        <f t="shared" si="18"/>
        <v>0</v>
      </c>
      <c r="T71" s="66">
        <f t="shared" si="19"/>
        <v>0</v>
      </c>
      <c r="U71" s="66">
        <f t="shared" si="20"/>
        <v>0</v>
      </c>
      <c r="V71" s="66">
        <f t="shared" si="21"/>
        <v>0</v>
      </c>
      <c r="W71" s="66">
        <f t="shared" si="22"/>
        <v>0</v>
      </c>
      <c r="X71" s="66">
        <f t="shared" si="23"/>
        <v>0</v>
      </c>
      <c r="Y71" s="66">
        <f t="shared" si="7"/>
        <v>0</v>
      </c>
      <c r="Z71" s="66">
        <f t="shared" si="8"/>
        <v>436998.87183086248</v>
      </c>
      <c r="AA71" s="69">
        <f t="shared" si="9"/>
        <v>0</v>
      </c>
      <c r="AB71" s="66">
        <f t="shared" si="10"/>
        <v>0</v>
      </c>
      <c r="AC71" s="66">
        <f t="shared" si="11"/>
        <v>266998.87183086248</v>
      </c>
      <c r="AD71" s="66">
        <f t="shared" si="12"/>
        <v>12136312.355948295</v>
      </c>
      <c r="AE71" s="66">
        <f t="shared" si="13"/>
        <v>0</v>
      </c>
      <c r="AF71" s="66">
        <f t="shared" si="14"/>
        <v>12136312.355948295</v>
      </c>
      <c r="AG71" s="105">
        <f t="shared" si="15"/>
        <v>12136312.355948295</v>
      </c>
    </row>
    <row r="72" spans="1:33" x14ac:dyDescent="0.2">
      <c r="A72" s="106" t="s">
        <v>277</v>
      </c>
      <c r="B72" s="107"/>
      <c r="C72" s="107"/>
      <c r="D72" s="108">
        <f t="shared" ref="D72:T72" si="24">SUM(D32:D71)</f>
        <v>9285171.0172066782</v>
      </c>
      <c r="E72" s="108">
        <f t="shared" si="24"/>
        <v>245000</v>
      </c>
      <c r="F72" s="108">
        <f t="shared" si="24"/>
        <v>0</v>
      </c>
      <c r="G72" s="108">
        <f t="shared" si="24"/>
        <v>0</v>
      </c>
      <c r="H72" s="108">
        <f t="shared" si="24"/>
        <v>4325922.0709873894</v>
      </c>
      <c r="I72" s="108">
        <f t="shared" si="24"/>
        <v>4714248.9462192887</v>
      </c>
      <c r="J72" s="108">
        <f t="shared" si="24"/>
        <v>906492.07329765835</v>
      </c>
      <c r="K72" s="108">
        <f t="shared" si="24"/>
        <v>525249.26729485963</v>
      </c>
      <c r="L72" s="108">
        <f t="shared" si="24"/>
        <v>67500</v>
      </c>
      <c r="M72" s="108">
        <f t="shared" si="24"/>
        <v>844878.30088738748</v>
      </c>
      <c r="N72" s="108">
        <f t="shared" si="24"/>
        <v>-817336.61704019038</v>
      </c>
      <c r="O72" s="108">
        <f t="shared" si="24"/>
        <v>17309044.436968375</v>
      </c>
      <c r="P72" s="108">
        <f t="shared" si="24"/>
        <v>1974714.9179275776</v>
      </c>
      <c r="Q72" s="108">
        <f t="shared" si="24"/>
        <v>1535248.0984750583</v>
      </c>
      <c r="R72" s="108">
        <f t="shared" si="24"/>
        <v>342899.9047269937</v>
      </c>
      <c r="S72" s="108">
        <f t="shared" si="24"/>
        <v>96566.914725525698</v>
      </c>
      <c r="T72" s="108">
        <f t="shared" si="24"/>
        <v>0</v>
      </c>
      <c r="U72" s="108">
        <f t="shared" ref="U72:Z72" si="25">U71</f>
        <v>0</v>
      </c>
      <c r="V72" s="108">
        <f t="shared" si="25"/>
        <v>0</v>
      </c>
      <c r="W72" s="108">
        <f t="shared" si="25"/>
        <v>0</v>
      </c>
      <c r="X72" s="108">
        <f t="shared" si="25"/>
        <v>0</v>
      </c>
      <c r="Y72" s="108">
        <f t="shared" si="25"/>
        <v>0</v>
      </c>
      <c r="Z72" s="108">
        <f t="shared" si="25"/>
        <v>436998.87183086248</v>
      </c>
      <c r="AA72" s="109">
        <f>AVERAGEIF(AA32:AA71,"&gt;0",AA32:AA71)</f>
        <v>0.35130148232557618</v>
      </c>
      <c r="AB72" s="108">
        <f>SUM(AB32:AB71)</f>
        <v>2025000.0000000002</v>
      </c>
      <c r="AC72" s="108">
        <f>SUM(AC32:AC71)</f>
        <v>12554173.741707761</v>
      </c>
      <c r="AD72" s="108">
        <f>AD71</f>
        <v>12136312.355948295</v>
      </c>
      <c r="AE72" s="108">
        <f>AE71</f>
        <v>0</v>
      </c>
      <c r="AF72" s="108">
        <f>AF71</f>
        <v>12136312.355948295</v>
      </c>
      <c r="AG72" s="110">
        <f>AG71</f>
        <v>12136312.355948295</v>
      </c>
    </row>
    <row r="73" spans="1:33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24" customHeight="1" x14ac:dyDescent="0.25">
      <c r="A78" s="323" t="str">
        <f>C$5&amp;" Scenario"</f>
        <v>Base Scenario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0"/>
      <c r="AC78" s="280"/>
      <c r="AD78" s="280"/>
      <c r="AE78" s="280"/>
      <c r="AF78" s="280"/>
      <c r="AG78" s="281"/>
    </row>
    <row r="79" spans="1:33" ht="34" customHeight="1" x14ac:dyDescent="0.2">
      <c r="A79" s="111" t="s">
        <v>224</v>
      </c>
      <c r="B79" s="112" t="s">
        <v>106</v>
      </c>
      <c r="C79" s="112" t="s">
        <v>297</v>
      </c>
      <c r="D79" s="112" t="s">
        <v>298</v>
      </c>
      <c r="E79" s="112" t="s">
        <v>62</v>
      </c>
      <c r="F79" s="112" t="s">
        <v>98</v>
      </c>
      <c r="G79" s="112" t="s">
        <v>227</v>
      </c>
      <c r="H79" s="112" t="s">
        <v>299</v>
      </c>
      <c r="I79" s="112" t="s">
        <v>66</v>
      </c>
      <c r="J79" s="112" t="s">
        <v>300</v>
      </c>
      <c r="K79" s="112" t="s">
        <v>301</v>
      </c>
      <c r="L79" s="112" t="s">
        <v>69</v>
      </c>
      <c r="M79" s="112" t="s">
        <v>241</v>
      </c>
      <c r="N79" s="112" t="s">
        <v>302</v>
      </c>
      <c r="O79" s="112" t="s">
        <v>303</v>
      </c>
      <c r="P79" s="112" t="s">
        <v>244</v>
      </c>
      <c r="Q79" s="112" t="s">
        <v>304</v>
      </c>
      <c r="R79" s="112" t="s">
        <v>305</v>
      </c>
      <c r="S79" s="112" t="s">
        <v>306</v>
      </c>
      <c r="T79" s="112" t="s">
        <v>307</v>
      </c>
      <c r="U79" s="112" t="s">
        <v>71</v>
      </c>
      <c r="V79" s="112" t="s">
        <v>249</v>
      </c>
      <c r="W79" s="112" t="s">
        <v>250</v>
      </c>
      <c r="X79" s="112" t="s">
        <v>251</v>
      </c>
      <c r="Y79" s="112" t="s">
        <v>308</v>
      </c>
      <c r="Z79" s="112" t="s">
        <v>309</v>
      </c>
      <c r="AA79" s="112" t="s">
        <v>256</v>
      </c>
      <c r="AB79" s="112" t="s">
        <v>310</v>
      </c>
      <c r="AC79" s="112" t="s">
        <v>18</v>
      </c>
      <c r="AD79" s="112" t="s">
        <v>311</v>
      </c>
      <c r="AE79" s="112" t="s">
        <v>312</v>
      </c>
      <c r="AF79" s="112" t="s">
        <v>313</v>
      </c>
      <c r="AG79" s="113" t="s">
        <v>314</v>
      </c>
    </row>
    <row r="80" spans="1:33" x14ac:dyDescent="0.2">
      <c r="A80" s="114">
        <v>1</v>
      </c>
      <c r="B80" s="100" t="str">
        <f t="shared" ref="B80:B119" si="26">IF(AND(C80&gt;0,A80&lt;=$C$11),"Working","Retired")</f>
        <v>Working</v>
      </c>
      <c r="C80" s="101">
        <f>N('Savings Projection'!$B$19)</f>
        <v>550000</v>
      </c>
      <c r="D80" s="68">
        <f t="shared" ref="D80:D119" si="27">IF(B80="Working",C80*$C$6,0)</f>
        <v>550000</v>
      </c>
      <c r="E80" s="101">
        <f>IF(OR(B80="Retired",D80=0),0,MIN(D80,'Tax Assumptions'!$B$19))</f>
        <v>24500</v>
      </c>
      <c r="F80" s="101">
        <f>IF(B80="Working",N('Savings Projection'!$E$19),0)</f>
        <v>0</v>
      </c>
      <c r="G80" s="101">
        <f>IF(B80="Working",N('Savings Projection'!$F$19),0)</f>
        <v>0</v>
      </c>
      <c r="H80" s="68">
        <f>IF(D80=0,0,((LOOKUP(MAX(D80-E80-F80-'Tax Assumptions'!$B$8,0),'Tax Assumptions'!$F$9:$F$15,'Tax Assumptions'!$I$9:$I$15)+(MAX(D80-E80-F80-'Tax Assumptions'!$B$8,0)-LOOKUP(MAX(D80-E80-F80-'Tax Assumptions'!$B$8,0),'Tax Assumptions'!$F$9:$F$15,'Tax Assumptions'!$F$9:$F$15))*LOOKUP(MAX(D80-E80-F80-'Tax Assumptions'!$B$8,0),'Tax Assumptions'!$F$9:$F$15,'Tax Assumptions'!$H$9:$H$15))+(MIN(MAX(D80-F80,0),'Tax Assumptions'!$B$11)*'Tax Assumptions'!$B$10)+(MAX(D80-F80,0)*'Tax Assumptions'!$B$12)+(MAX(MAX(D80-F80,0)-'Tax Assumptions'!$B$14,0)*'Tax Assumptions'!$B$13)+(MIN(D80*'Tax Assumptions'!$B$15,'Tax Assumptions'!$B$16))+(MIN(D80*'Tax Assumptions'!$B$17,'Tax Assumptions'!$B$18))+(LOOKUP(MAX(D80-E80-'Tax Assumptions'!$B$9,0),'Tax Assumptions'!$K$9:$K$17,'Tax Assumptions'!$N$9:$N$17)+(MAX(D80-E80-'Tax Assumptions'!$B$9,0)-LOOKUP(MAX(D80-E80-'Tax Assumptions'!$B$9,0),'Tax Assumptions'!$K$9:$K$17,'Tax Assumptions'!$K$9:$K$17))*LOOKUP(MAX(D80-E80-'Tax Assumptions'!$B$9,0),'Tax Assumptions'!$K$9:$K$17,'Tax Assumptions'!$M$9:$M$17))+(LOOKUP(MAX(D80-E80-'Tax Assumptions'!$B$9,0),'Tax Assumptions'!$P$9:$P$12,'Tax Assumptions'!$S$9:$S$12)+(MAX(D80-E80-'Tax Assumptions'!$B$9,0)-LOOKUP(MAX(D80-E80-'Tax Assumptions'!$B$9,0),'Tax Assumptions'!$P$9:$P$12,'Tax Assumptions'!$P$9:$P$12))*LOOKUP(MAX(D80-E80-'Tax Assumptions'!$B$9,0),'Tax Assumptions'!$P$9:$P$12,'Tax Assumptions'!$R$9:$R$12)))*$C$7)</f>
        <v>222834.53000000003</v>
      </c>
      <c r="I80" s="68">
        <f t="shared" ref="I80:I119" si="28">IF(B80="Working",D80-E80-F80-G80-H80,0)</f>
        <v>302665.46999999997</v>
      </c>
      <c r="J80" s="101">
        <f>IF(B80="Working",N('Savings Projection'!$S$19)*$C$8,0)</f>
        <v>78000</v>
      </c>
      <c r="K80" s="101">
        <f>IF(B80="Working",N('Savings Projection'!$T$19)*$C$9,0)</f>
        <v>40000</v>
      </c>
      <c r="L80" s="68">
        <f>IF(B80="Working",MIN(MAX(I80-J80-K80-AB80-AC80,0),'Tax Assumptions'!$B$20),0)</f>
        <v>7500</v>
      </c>
      <c r="M80" s="68">
        <f t="shared" ref="M80:M119" si="29">IF(B80="Working",I80-J80-K80-L80-AB80-AC80,0)</f>
        <v>177165.46999999997</v>
      </c>
      <c r="N80" s="101">
        <f t="shared" ref="N80:N119" si="30">IF(B80="Working",M80+L80+E80+F80,-P80)</f>
        <v>209165.46999999997</v>
      </c>
      <c r="O80" s="101">
        <f t="shared" ref="O80:O119" si="31">IF(B80="Retired",$C$12+AB80+AC80,0)</f>
        <v>0</v>
      </c>
      <c r="P80" s="101">
        <f t="shared" ref="P80:P119" si="32">Q80+R80+S80+T80</f>
        <v>0</v>
      </c>
      <c r="Q80" s="101">
        <f>IF(B80="Retired",MIN((('Savings Projection'!$B$7)*(1+$C$10)+IF(B80="Working",M80,0)),O80),0)</f>
        <v>0</v>
      </c>
      <c r="R80" s="101">
        <f>IF(B80="Retired",MIN(MAX(O80-Q80,0),(('Savings Projection'!$B$8)*(1+$C$10)+IF(B80="Working",E80,0))),0)</f>
        <v>0</v>
      </c>
      <c r="S80" s="101">
        <f>IF(B80="Retired",MIN(MAX(O80-Q80-R80,0),(('Savings Projection'!$B$9)*(1+$C$10)+IF(B80="Working",L80,0))),0)</f>
        <v>0</v>
      </c>
      <c r="T80" s="101">
        <f>IF(B80="Retired",MIN(MAX(O80-Q80-R80-S80,0),(('Savings Projection'!$B$10)*(1+$C$10)+IF(B80="Working",F80,0))),0)</f>
        <v>0</v>
      </c>
      <c r="U80" s="68">
        <f>MAX((('Savings Projection'!$B$7)*(1+$C$10)+IF(B80="Working",M80,0))-Q80,0)</f>
        <v>336165.47</v>
      </c>
      <c r="V80" s="68">
        <f>MAX((('Savings Projection'!$B$8)*(1+$C$10)+IF(B80="Working",E80,0))-R80,0)</f>
        <v>24500</v>
      </c>
      <c r="W80" s="68">
        <f>MAX((('Savings Projection'!$B$9)*(1+$C$10)+IF(B80="Working",L80,0))-S80,0)</f>
        <v>7500</v>
      </c>
      <c r="X80" s="68">
        <f>MAX((('Savings Projection'!$B$10)*(1+$C$10)+IF(B80="Working",F80,0))-T80,0)</f>
        <v>0</v>
      </c>
      <c r="Y80" s="68">
        <f t="shared" ref="Y80:Y119" si="33">U80+V80+W80+X80</f>
        <v>368165.47</v>
      </c>
      <c r="Z80" s="101">
        <f t="shared" ref="Z80:Z119" si="34">IF(B80="Retired",MAX(O80-P80,0),0)</f>
        <v>0</v>
      </c>
      <c r="AA80" s="102">
        <f t="shared" ref="AA80:AA119" si="35">IF(B80="Working",IF(D80=0,0,N80/D80),0)</f>
        <v>0.38030085454545448</v>
      </c>
      <c r="AB80" s="68">
        <f t="shared" ref="AB80:AB119" si="36">IF(AND($C$14&gt;0,A80=$C$13),$C$14*($C$15+$C$18),0)+IF(AND($C$14&gt;0,A80=$C$13),$C$24,0)</f>
        <v>0</v>
      </c>
      <c r="AC80" s="68">
        <f t="shared" ref="AC80:AC119" si="37">IF(OR($C$14&lt;=0,A80&lt;$C$13),0,IF(AND($C$14&gt;0,$C$17&gt;0,A80&gt;=$C$13,A80&lt;($C$13+$C$17)),IF($C$17&lt;=0,0,IF($C$16=0,MAX($C$14*(1-$C$15),0)/$C$17,-PMT($C$16/12,$C$17*12,MAX($C$14*(1-$C$15),0))*12)),0)+AD80*($C$19+$C$20+$C$21)+$C$22+$C$23)</f>
        <v>0</v>
      </c>
      <c r="AD80" s="68">
        <f t="shared" ref="AD80:AD119" si="38">IF(AND($C$14&gt;0,A80&gt;=$C$13),$C$14*(1+$C$25)^(A80-$C$13),0)</f>
        <v>0</v>
      </c>
      <c r="AE80" s="68">
        <f t="shared" ref="AE80:AE119" si="39">IF(OR($C$14&lt;=0,$C$17&lt;=0,A80&lt;$C$13,MIN(MAX((A80-$C$13+1)*12,0),$C$17*12)&gt;=$C$17*12),0,IF($C$16=0,MAX(MAX($C$14*(1-$C$15),0)-(IF($C$17&lt;=0,0,IF($C$16=0,MAX($C$14*(1-$C$15),0)/$C$17,-PMT($C$16/12,$C$17*12,MAX($C$14*(1-$C$15),0))*12))/12)*MIN(MAX((A80-$C$13+1)*12,0),$C$17*12),0),MAX(MAX($C$14*(1-$C$15),0)*(1+$C$16/12)^MIN(MAX((A80-$C$13+1)*12,0),$C$17*12)-(IF($C$17&lt;=0,0,IF($C$16=0,MAX($C$14*(1-$C$15),0)/$C$17,-PMT($C$16/12,$C$17*12,MAX($C$14*(1-$C$15),0))*12))/12)*(((1+$C$16/12)^MIN(MAX((A80-$C$13+1)*12,0),$C$17*12)-1)/($C$16/12)),0)))</f>
        <v>0</v>
      </c>
      <c r="AF80" s="68">
        <f t="shared" ref="AF80:AF119" si="40">MAX(AD80-AE80,0)</f>
        <v>0</v>
      </c>
      <c r="AG80" s="115">
        <f t="shared" ref="AG80:AG119" si="41">Y80+AF80</f>
        <v>368165.47</v>
      </c>
    </row>
    <row r="81" spans="1:33" x14ac:dyDescent="0.2">
      <c r="A81" s="116">
        <v>2</v>
      </c>
      <c r="B81" s="65" t="str">
        <f t="shared" si="26"/>
        <v>Working</v>
      </c>
      <c r="C81" s="66">
        <f>N('Savings Projection'!$B$20)</f>
        <v>412500</v>
      </c>
      <c r="D81" s="66">
        <f t="shared" si="27"/>
        <v>412500</v>
      </c>
      <c r="E81" s="66">
        <f>IF(OR(B81="Retired",D81=0),0,MIN(D81,'Tax Assumptions'!$B$19))</f>
        <v>24500</v>
      </c>
      <c r="F81" s="66">
        <f>IF(B81="Working",N('Savings Projection'!$E$20),0)</f>
        <v>0</v>
      </c>
      <c r="G81" s="66">
        <f>IF(B81="Working",N('Savings Projection'!$F$20),0)</f>
        <v>0</v>
      </c>
      <c r="H81" s="66">
        <f>IF(D81=0,0,((LOOKUP(MAX(D81-E81-F81-'Tax Assumptions'!$B$8,0),'Tax Assumptions'!$F$9:$F$15,'Tax Assumptions'!$I$9:$I$15)+(MAX(D81-E81-F81-'Tax Assumptions'!$B$8,0)-LOOKUP(MAX(D81-E81-F81-'Tax Assumptions'!$B$8,0),'Tax Assumptions'!$F$9:$F$15,'Tax Assumptions'!$F$9:$F$15))*LOOKUP(MAX(D81-E81-F81-'Tax Assumptions'!$B$8,0),'Tax Assumptions'!$F$9:$F$15,'Tax Assumptions'!$H$9:$H$15))+(MIN(MAX(D81-F81,0),'Tax Assumptions'!$B$11)*'Tax Assumptions'!$B$10)+(MAX(D81-F81,0)*'Tax Assumptions'!$B$12)+(MAX(MAX(D81-F81,0)-'Tax Assumptions'!$B$14,0)*'Tax Assumptions'!$B$13)+(MIN(D81*'Tax Assumptions'!$B$15,'Tax Assumptions'!$B$16))+(MIN(D81*'Tax Assumptions'!$B$17,'Tax Assumptions'!$B$18))+(LOOKUP(MAX(D81-E81-'Tax Assumptions'!$B$9,0),'Tax Assumptions'!$K$9:$K$17,'Tax Assumptions'!$N$9:$N$17)+(MAX(D81-E81-'Tax Assumptions'!$B$9,0)-LOOKUP(MAX(D81-E81-'Tax Assumptions'!$B$9,0),'Tax Assumptions'!$K$9:$K$17,'Tax Assumptions'!$K$9:$K$17))*LOOKUP(MAX(D81-E81-'Tax Assumptions'!$B$9,0),'Tax Assumptions'!$K$9:$K$17,'Tax Assumptions'!$M$9:$M$17))+(LOOKUP(MAX(D81-E81-'Tax Assumptions'!$B$9,0),'Tax Assumptions'!$P$9:$P$12,'Tax Assumptions'!$S$9:$S$12)+(MAX(D81-E81-'Tax Assumptions'!$B$9,0)-LOOKUP(MAX(D81-E81-'Tax Assumptions'!$B$9,0),'Tax Assumptions'!$P$9:$P$12,'Tax Assumptions'!$P$9:$P$12))*LOOKUP(MAX(D81-E81-'Tax Assumptions'!$B$9,0),'Tax Assumptions'!$P$9:$P$12,'Tax Assumptions'!$R$9:$R$12)))*$C$7)</f>
        <v>156730.03</v>
      </c>
      <c r="I81" s="66">
        <f t="shared" si="28"/>
        <v>231269.97</v>
      </c>
      <c r="J81" s="66">
        <f>IF(B81="Working",N('Savings Projection'!$S$20)*$C$8,0)</f>
        <v>80340</v>
      </c>
      <c r="K81" s="66">
        <f>IF(B81="Working",N('Savings Projection'!$T$20)*$C$9,0)</f>
        <v>41200</v>
      </c>
      <c r="L81" s="66">
        <f>IF(B81="Working",MIN(MAX(I81-J81-K81-AB81-AC81,0),'Tax Assumptions'!$B$20),0)</f>
        <v>7500</v>
      </c>
      <c r="M81" s="66">
        <f t="shared" si="29"/>
        <v>102229.97</v>
      </c>
      <c r="N81" s="66">
        <f t="shared" si="30"/>
        <v>134229.97</v>
      </c>
      <c r="O81" s="66">
        <f t="shared" si="31"/>
        <v>0</v>
      </c>
      <c r="P81" s="66">
        <f t="shared" si="32"/>
        <v>0</v>
      </c>
      <c r="Q81" s="66">
        <f t="shared" ref="Q81:Q119" si="42">IF(B81="Retired",MIN(((U80)*(1+$C$10)+IF(B81="Working",M81,0)),O81),0)</f>
        <v>0</v>
      </c>
      <c r="R81" s="66">
        <f t="shared" ref="R81:R119" si="43">IF(B81="Retired",MIN(MAX(O81-Q81,0),((V80)*(1+$C$10)+IF(B81="Working",E81,0))),0)</f>
        <v>0</v>
      </c>
      <c r="S81" s="66">
        <f t="shared" ref="S81:S119" si="44">IF(B81="Retired",MIN(MAX(O81-Q81-R81,0),((W80)*(1+$C$10)+IF(B81="Working",L81,0))),0)</f>
        <v>0</v>
      </c>
      <c r="T81" s="66">
        <f t="shared" ref="T81:T119" si="45">IF(B81="Retired",MIN(MAX(O81-Q81-R81-S81,0),((X80)*(1+$C$10)+IF(B81="Working",F81,0))),0)</f>
        <v>0</v>
      </c>
      <c r="U81" s="66">
        <f t="shared" ref="U81:U119" si="46">MAX(((U80)*(1+$C$10)+IF(B81="Working",M81,0))-Q81,0)</f>
        <v>458565.36820000003</v>
      </c>
      <c r="V81" s="66">
        <f t="shared" ref="V81:V119" si="47">MAX(((V80)*(1+$C$10)+IF(B81="Working",E81,0))-R81,0)</f>
        <v>50470</v>
      </c>
      <c r="W81" s="66">
        <f t="shared" ref="W81:W119" si="48">MAX(((W80)*(1+$C$10)+IF(B81="Working",L81,0))-S81,0)</f>
        <v>15450</v>
      </c>
      <c r="X81" s="66">
        <f t="shared" ref="X81:X119" si="49">MAX(((X80)*(1+$C$10)+IF(B81="Working",F81,0))-T81,0)</f>
        <v>0</v>
      </c>
      <c r="Y81" s="66">
        <f t="shared" si="33"/>
        <v>524485.36820000003</v>
      </c>
      <c r="Z81" s="66">
        <f t="shared" si="34"/>
        <v>0</v>
      </c>
      <c r="AA81" s="69">
        <f t="shared" si="35"/>
        <v>0.32540598787878788</v>
      </c>
      <c r="AB81" s="66">
        <f t="shared" si="36"/>
        <v>0</v>
      </c>
      <c r="AC81" s="66">
        <f t="shared" si="37"/>
        <v>0</v>
      </c>
      <c r="AD81" s="66">
        <f t="shared" si="38"/>
        <v>0</v>
      </c>
      <c r="AE81" s="66">
        <f t="shared" si="39"/>
        <v>0</v>
      </c>
      <c r="AF81" s="66">
        <f t="shared" si="40"/>
        <v>0</v>
      </c>
      <c r="AG81" s="117">
        <f t="shared" si="41"/>
        <v>524485.36820000003</v>
      </c>
    </row>
    <row r="82" spans="1:33" x14ac:dyDescent="0.2">
      <c r="A82" s="114">
        <v>3</v>
      </c>
      <c r="B82" s="100" t="str">
        <f t="shared" si="26"/>
        <v>Working</v>
      </c>
      <c r="C82" s="101">
        <f>N('Savings Projection'!$B$21)</f>
        <v>675000</v>
      </c>
      <c r="D82" s="68">
        <f t="shared" si="27"/>
        <v>675000</v>
      </c>
      <c r="E82" s="101">
        <f>IF(OR(B82="Retired",D82=0),0,MIN(D82,'Tax Assumptions'!$B$19))</f>
        <v>24500</v>
      </c>
      <c r="F82" s="101">
        <f>IF(B82="Working",N('Savings Projection'!$E$21),0)</f>
        <v>0</v>
      </c>
      <c r="G82" s="101">
        <f>IF(B82="Working",N('Savings Projection'!$F$21),0)</f>
        <v>0</v>
      </c>
      <c r="H82" s="68">
        <f>IF(D82=0,0,((LOOKUP(MAX(D82-E82-F82-'Tax Assumptions'!$B$8,0),'Tax Assumptions'!$F$9:$F$15,'Tax Assumptions'!$I$9:$I$15)+(MAX(D82-E82-F82-'Tax Assumptions'!$B$8,0)-LOOKUP(MAX(D82-E82-F82-'Tax Assumptions'!$B$8,0),'Tax Assumptions'!$F$9:$F$15,'Tax Assumptions'!$F$9:$F$15))*LOOKUP(MAX(D82-E82-F82-'Tax Assumptions'!$B$8,0),'Tax Assumptions'!$F$9:$F$15,'Tax Assumptions'!$H$9:$H$15))+(MIN(MAX(D82-F82,0),'Tax Assumptions'!$B$11)*'Tax Assumptions'!$B$10)+(MAX(D82-F82,0)*'Tax Assumptions'!$B$12)+(MAX(MAX(D82-F82,0)-'Tax Assumptions'!$B$14,0)*'Tax Assumptions'!$B$13)+(MIN(D82*'Tax Assumptions'!$B$15,'Tax Assumptions'!$B$16))+(MIN(D82*'Tax Assumptions'!$B$17,'Tax Assumptions'!$B$18))+(LOOKUP(MAX(D82-E82-'Tax Assumptions'!$B$9,0),'Tax Assumptions'!$K$9:$K$17,'Tax Assumptions'!$N$9:$N$17)+(MAX(D82-E82-'Tax Assumptions'!$B$9,0)-LOOKUP(MAX(D82-E82-'Tax Assumptions'!$B$9,0),'Tax Assumptions'!$K$9:$K$17,'Tax Assumptions'!$K$9:$K$17))*LOOKUP(MAX(D82-E82-'Tax Assumptions'!$B$9,0),'Tax Assumptions'!$K$9:$K$17,'Tax Assumptions'!$M$9:$M$17))+(LOOKUP(MAX(D82-E82-'Tax Assumptions'!$B$9,0),'Tax Assumptions'!$P$9:$P$12,'Tax Assumptions'!$S$9:$S$12)+(MAX(D82-E82-'Tax Assumptions'!$B$9,0)-LOOKUP(MAX(D82-E82-'Tax Assumptions'!$B$9,0),'Tax Assumptions'!$P$9:$P$12,'Tax Assumptions'!$P$9:$P$12))*LOOKUP(MAX(D82-E82-'Tax Assumptions'!$B$9,0),'Tax Assumptions'!$P$9:$P$12,'Tax Assumptions'!$R$9:$R$12)))*$C$7)</f>
        <v>282929.53000000003</v>
      </c>
      <c r="I82" s="68">
        <f t="shared" si="28"/>
        <v>367570.47</v>
      </c>
      <c r="J82" s="101">
        <f>IF(B82="Working",N('Savings Projection'!$S$21)*$C$8,0)</f>
        <v>82750.2</v>
      </c>
      <c r="K82" s="101">
        <f>IF(B82="Working",N('Savings Projection'!$T$21)*$C$9,0)</f>
        <v>53045</v>
      </c>
      <c r="L82" s="68">
        <f>IF(B82="Working",MIN(MAX(I82-J82-K82-AB82-AC82,0),'Tax Assumptions'!$B$20),0)</f>
        <v>7500</v>
      </c>
      <c r="M82" s="68">
        <f t="shared" si="29"/>
        <v>224275.26999999996</v>
      </c>
      <c r="N82" s="101">
        <f t="shared" si="30"/>
        <v>256275.26999999996</v>
      </c>
      <c r="O82" s="101">
        <f t="shared" si="31"/>
        <v>0</v>
      </c>
      <c r="P82" s="101">
        <f t="shared" si="32"/>
        <v>0</v>
      </c>
      <c r="Q82" s="101">
        <f t="shared" si="42"/>
        <v>0</v>
      </c>
      <c r="R82" s="101">
        <f t="shared" si="43"/>
        <v>0</v>
      </c>
      <c r="S82" s="101">
        <f t="shared" si="44"/>
        <v>0</v>
      </c>
      <c r="T82" s="101">
        <f t="shared" si="45"/>
        <v>0</v>
      </c>
      <c r="U82" s="68">
        <f t="shared" si="46"/>
        <v>710354.56029199995</v>
      </c>
      <c r="V82" s="68">
        <f t="shared" si="47"/>
        <v>77998.200000000012</v>
      </c>
      <c r="W82" s="68">
        <f t="shared" si="48"/>
        <v>23877</v>
      </c>
      <c r="X82" s="68">
        <f t="shared" si="49"/>
        <v>0</v>
      </c>
      <c r="Y82" s="68">
        <f t="shared" si="33"/>
        <v>812229.7602919999</v>
      </c>
      <c r="Z82" s="101">
        <f t="shared" si="34"/>
        <v>0</v>
      </c>
      <c r="AA82" s="102">
        <f t="shared" si="35"/>
        <v>0.37966706666666661</v>
      </c>
      <c r="AB82" s="68">
        <f t="shared" si="36"/>
        <v>0</v>
      </c>
      <c r="AC82" s="68">
        <f t="shared" si="37"/>
        <v>0</v>
      </c>
      <c r="AD82" s="68">
        <f t="shared" si="38"/>
        <v>0</v>
      </c>
      <c r="AE82" s="68">
        <f t="shared" si="39"/>
        <v>0</v>
      </c>
      <c r="AF82" s="68">
        <f t="shared" si="40"/>
        <v>0</v>
      </c>
      <c r="AG82" s="115">
        <f t="shared" si="41"/>
        <v>812229.7602919999</v>
      </c>
    </row>
    <row r="83" spans="1:33" x14ac:dyDescent="0.2">
      <c r="A83" s="116">
        <v>4</v>
      </c>
      <c r="B83" s="65" t="str">
        <f t="shared" si="26"/>
        <v>Working</v>
      </c>
      <c r="C83" s="66">
        <f>N('Savings Projection'!$B$22)</f>
        <v>750000</v>
      </c>
      <c r="D83" s="66">
        <f t="shared" si="27"/>
        <v>750000</v>
      </c>
      <c r="E83" s="66">
        <f>IF(OR(B83="Retired",D83=0),0,MIN(D83,'Tax Assumptions'!$B$19))</f>
        <v>24500</v>
      </c>
      <c r="F83" s="66">
        <f>IF(B83="Working",N('Savings Projection'!$E$22),0)</f>
        <v>0</v>
      </c>
      <c r="G83" s="66">
        <f>IF(B83="Working",N('Savings Projection'!$F$22),0)</f>
        <v>0</v>
      </c>
      <c r="H83" s="66">
        <f>IF(D83=0,0,((LOOKUP(MAX(D83-E83-F83-'Tax Assumptions'!$B$8,0),'Tax Assumptions'!$F$9:$F$15,'Tax Assumptions'!$I$9:$I$15)+(MAX(D83-E83-F83-'Tax Assumptions'!$B$8,0)-LOOKUP(MAX(D83-E83-F83-'Tax Assumptions'!$B$8,0),'Tax Assumptions'!$F$9:$F$15,'Tax Assumptions'!$F$9:$F$15))*LOOKUP(MAX(D83-E83-F83-'Tax Assumptions'!$B$8,0),'Tax Assumptions'!$F$9:$F$15,'Tax Assumptions'!$H$9:$H$15))+(MIN(MAX(D83-F83,0),'Tax Assumptions'!$B$11)*'Tax Assumptions'!$B$10)+(MAX(D83-F83,0)*'Tax Assumptions'!$B$12)+(MAX(MAX(D83-F83,0)-'Tax Assumptions'!$B$14,0)*'Tax Assumptions'!$B$13)+(MIN(D83*'Tax Assumptions'!$B$15,'Tax Assumptions'!$B$16))+(MIN(D83*'Tax Assumptions'!$B$17,'Tax Assumptions'!$B$18))+(LOOKUP(MAX(D83-E83-'Tax Assumptions'!$B$9,0),'Tax Assumptions'!$K$9:$K$17,'Tax Assumptions'!$N$9:$N$17)+(MAX(D83-E83-'Tax Assumptions'!$B$9,0)-LOOKUP(MAX(D83-E83-'Tax Assumptions'!$B$9,0),'Tax Assumptions'!$K$9:$K$17,'Tax Assumptions'!$K$9:$K$17))*LOOKUP(MAX(D83-E83-'Tax Assumptions'!$B$9,0),'Tax Assumptions'!$K$9:$K$17,'Tax Assumptions'!$M$9:$M$17))+(LOOKUP(MAX(D83-E83-'Tax Assumptions'!$B$9,0),'Tax Assumptions'!$P$9:$P$12,'Tax Assumptions'!$S$9:$S$12)+(MAX(D83-E83-'Tax Assumptions'!$B$9,0)-LOOKUP(MAX(D83-E83-'Tax Assumptions'!$B$9,0),'Tax Assumptions'!$P$9:$P$12,'Tax Assumptions'!$P$9:$P$12))*LOOKUP(MAX(D83-E83-'Tax Assumptions'!$B$9,0),'Tax Assumptions'!$P$9:$P$12,'Tax Assumptions'!$R$9:$R$12)))*$C$7)</f>
        <v>320362.53000000003</v>
      </c>
      <c r="I83" s="66">
        <f t="shared" si="28"/>
        <v>405137.47</v>
      </c>
      <c r="J83" s="66">
        <f>IF(B83="Working",N('Savings Projection'!$S$22)*$C$8,0)</f>
        <v>85232.706000000006</v>
      </c>
      <c r="K83" s="66">
        <f>IF(B83="Working",N('Savings Projection'!$T$22)*$C$9,0)</f>
        <v>54636.35</v>
      </c>
      <c r="L83" s="66">
        <f>IF(B83="Working",MIN(MAX(I83-J83-K83-AB83-AC83,0),'Tax Assumptions'!$B$20),0)</f>
        <v>7500</v>
      </c>
      <c r="M83" s="66">
        <f t="shared" si="29"/>
        <v>257768.41399999999</v>
      </c>
      <c r="N83" s="66">
        <f t="shared" si="30"/>
        <v>289768.41399999999</v>
      </c>
      <c r="O83" s="66">
        <f t="shared" si="31"/>
        <v>0</v>
      </c>
      <c r="P83" s="66">
        <f t="shared" si="32"/>
        <v>0</v>
      </c>
      <c r="Q83" s="66">
        <f t="shared" si="42"/>
        <v>0</v>
      </c>
      <c r="R83" s="66">
        <f t="shared" si="43"/>
        <v>0</v>
      </c>
      <c r="S83" s="66">
        <f t="shared" si="44"/>
        <v>0</v>
      </c>
      <c r="T83" s="66">
        <f t="shared" si="45"/>
        <v>0</v>
      </c>
      <c r="U83" s="66">
        <f t="shared" si="46"/>
        <v>1010744.2479095199</v>
      </c>
      <c r="V83" s="66">
        <f t="shared" si="47"/>
        <v>107178.09200000002</v>
      </c>
      <c r="W83" s="66">
        <f t="shared" si="48"/>
        <v>32809.620000000003</v>
      </c>
      <c r="X83" s="66">
        <f t="shared" si="49"/>
        <v>0</v>
      </c>
      <c r="Y83" s="66">
        <f t="shared" si="33"/>
        <v>1150731.9599095201</v>
      </c>
      <c r="Z83" s="66">
        <f t="shared" si="34"/>
        <v>0</v>
      </c>
      <c r="AA83" s="69">
        <f t="shared" si="35"/>
        <v>0.38635788533333332</v>
      </c>
      <c r="AB83" s="66">
        <f t="shared" si="36"/>
        <v>0</v>
      </c>
      <c r="AC83" s="66">
        <f t="shared" si="37"/>
        <v>0</v>
      </c>
      <c r="AD83" s="66">
        <f t="shared" si="38"/>
        <v>0</v>
      </c>
      <c r="AE83" s="66">
        <f t="shared" si="39"/>
        <v>0</v>
      </c>
      <c r="AF83" s="66">
        <f t="shared" si="40"/>
        <v>0</v>
      </c>
      <c r="AG83" s="117">
        <f t="shared" si="41"/>
        <v>1150731.9599095201</v>
      </c>
    </row>
    <row r="84" spans="1:33" x14ac:dyDescent="0.2">
      <c r="A84" s="114">
        <v>5</v>
      </c>
      <c r="B84" s="100" t="str">
        <f t="shared" si="26"/>
        <v>Working</v>
      </c>
      <c r="C84" s="101">
        <f>N('Savings Projection'!$B$23)</f>
        <v>953837.51358640334</v>
      </c>
      <c r="D84" s="68">
        <f t="shared" si="27"/>
        <v>953837.51358640334</v>
      </c>
      <c r="E84" s="101">
        <f>IF(OR(B84="Retired",D84=0),0,MIN(D84,'Tax Assumptions'!$B$19))</f>
        <v>24500</v>
      </c>
      <c r="F84" s="101">
        <f>IF(B84="Working",N('Savings Projection'!$E$23),0)</f>
        <v>0</v>
      </c>
      <c r="G84" s="101">
        <f>IF(B84="Working",N('Savings Projection'!$F$23),0)</f>
        <v>0</v>
      </c>
      <c r="H84" s="68">
        <f>IF(D84=0,0,((LOOKUP(MAX(D84-E84-F84-'Tax Assumptions'!$B$8,0),'Tax Assumptions'!$F$9:$F$15,'Tax Assumptions'!$I$9:$I$15)+(MAX(D84-E84-F84-'Tax Assumptions'!$B$8,0)-LOOKUP(MAX(D84-E84-F84-'Tax Assumptions'!$B$8,0),'Tax Assumptions'!$F$9:$F$15,'Tax Assumptions'!$F$9:$F$15))*LOOKUP(MAX(D84-E84-F84-'Tax Assumptions'!$B$8,0),'Tax Assumptions'!$F$9:$F$15,'Tax Assumptions'!$H$9:$H$15))+(MIN(MAX(D84-F84,0),'Tax Assumptions'!$B$11)*'Tax Assumptions'!$B$10)+(MAX(D84-F84,0)*'Tax Assumptions'!$B$12)+(MAX(MAX(D84-F84,0)-'Tax Assumptions'!$B$14,0)*'Tax Assumptions'!$B$13)+(MIN(D84*'Tax Assumptions'!$B$15,'Tax Assumptions'!$B$16))+(MIN(D84*'Tax Assumptions'!$B$17,'Tax Assumptions'!$B$18))+(LOOKUP(MAX(D84-E84-'Tax Assumptions'!$B$9,0),'Tax Assumptions'!$K$9:$K$17,'Tax Assumptions'!$N$9:$N$17)+(MAX(D84-E84-'Tax Assumptions'!$B$9,0)-LOOKUP(MAX(D84-E84-'Tax Assumptions'!$B$9,0),'Tax Assumptions'!$K$9:$K$17,'Tax Assumptions'!$K$9:$K$17))*LOOKUP(MAX(D84-E84-'Tax Assumptions'!$B$9,0),'Tax Assumptions'!$K$9:$K$17,'Tax Assumptions'!$M$9:$M$17))+(LOOKUP(MAX(D84-E84-'Tax Assumptions'!$B$9,0),'Tax Assumptions'!$P$9:$P$12,'Tax Assumptions'!$S$9:$S$12)+(MAX(D84-E84-'Tax Assumptions'!$B$9,0)-LOOKUP(MAX(D84-E84-'Tax Assumptions'!$B$9,0),'Tax Assumptions'!$P$9:$P$12,'Tax Assumptions'!$P$9:$P$12))*LOOKUP(MAX(D84-E84-'Tax Assumptions'!$B$9,0),'Tax Assumptions'!$P$9:$P$12,'Tax Assumptions'!$R$9:$R$12)))*$C$7)</f>
        <v>422436.20330352732</v>
      </c>
      <c r="I84" s="68">
        <f t="shared" si="28"/>
        <v>506901.31028287602</v>
      </c>
      <c r="J84" s="101">
        <f>IF(B84="Working",N('Savings Projection'!$S$23)*$C$8,0)</f>
        <v>87789.687179999994</v>
      </c>
      <c r="K84" s="101">
        <f>IF(B84="Working",N('Savings Projection'!$T$23)*$C$9,0)</f>
        <v>56275.440499999997</v>
      </c>
      <c r="L84" s="68">
        <f>IF(B84="Working",MIN(MAX(I84-J84-K84-AB84-AC84,0),'Tax Assumptions'!$B$20),0)</f>
        <v>7500</v>
      </c>
      <c r="M84" s="68">
        <f t="shared" si="29"/>
        <v>355336.18260287598</v>
      </c>
      <c r="N84" s="101">
        <f t="shared" si="30"/>
        <v>387336.18260287598</v>
      </c>
      <c r="O84" s="101">
        <f t="shared" si="31"/>
        <v>0</v>
      </c>
      <c r="P84" s="101">
        <f t="shared" si="32"/>
        <v>0</v>
      </c>
      <c r="Q84" s="101">
        <f t="shared" si="42"/>
        <v>0</v>
      </c>
      <c r="R84" s="101">
        <f t="shared" si="43"/>
        <v>0</v>
      </c>
      <c r="S84" s="101">
        <f t="shared" si="44"/>
        <v>0</v>
      </c>
      <c r="T84" s="101">
        <f t="shared" si="45"/>
        <v>0</v>
      </c>
      <c r="U84" s="68">
        <f t="shared" si="46"/>
        <v>1426725.0853869673</v>
      </c>
      <c r="V84" s="68">
        <f t="shared" si="47"/>
        <v>138108.77752000003</v>
      </c>
      <c r="W84" s="68">
        <f t="shared" si="48"/>
        <v>42278.197200000002</v>
      </c>
      <c r="X84" s="68">
        <f t="shared" si="49"/>
        <v>0</v>
      </c>
      <c r="Y84" s="68">
        <f t="shared" si="33"/>
        <v>1607112.0601069673</v>
      </c>
      <c r="Z84" s="101">
        <f t="shared" si="34"/>
        <v>0</v>
      </c>
      <c r="AA84" s="102">
        <f t="shared" si="35"/>
        <v>0.40608193438157236</v>
      </c>
      <c r="AB84" s="68">
        <f t="shared" si="36"/>
        <v>0</v>
      </c>
      <c r="AC84" s="68">
        <f t="shared" si="37"/>
        <v>0</v>
      </c>
      <c r="AD84" s="68">
        <f t="shared" si="38"/>
        <v>0</v>
      </c>
      <c r="AE84" s="68">
        <f t="shared" si="39"/>
        <v>0</v>
      </c>
      <c r="AF84" s="68">
        <f t="shared" si="40"/>
        <v>0</v>
      </c>
      <c r="AG84" s="115">
        <f t="shared" si="41"/>
        <v>1607112.0601069673</v>
      </c>
    </row>
    <row r="85" spans="1:33" x14ac:dyDescent="0.2">
      <c r="A85" s="116">
        <v>6</v>
      </c>
      <c r="B85" s="65" t="str">
        <f t="shared" si="26"/>
        <v>Working</v>
      </c>
      <c r="C85" s="66">
        <f>N('Savings Projection'!$B$24)</f>
        <v>1118900.665838565</v>
      </c>
      <c r="D85" s="66">
        <f t="shared" si="27"/>
        <v>1118900.665838565</v>
      </c>
      <c r="E85" s="66">
        <f>IF(OR(B85="Retired",D85=0),0,MIN(D85,'Tax Assumptions'!$B$19))</f>
        <v>24500</v>
      </c>
      <c r="F85" s="66">
        <f>IF(B85="Working",N('Savings Projection'!$E$24),0)</f>
        <v>0</v>
      </c>
      <c r="G85" s="66">
        <f>IF(B85="Working",N('Savings Projection'!$F$24),0)</f>
        <v>0</v>
      </c>
      <c r="H85" s="66">
        <f>IF(D85=0,0,((LOOKUP(MAX(D85-E85-F85-'Tax Assumptions'!$B$8,0),'Tax Assumptions'!$F$9:$F$15,'Tax Assumptions'!$I$9:$I$15)+(MAX(D85-E85-F85-'Tax Assumptions'!$B$8,0)-LOOKUP(MAX(D85-E85-F85-'Tax Assumptions'!$B$8,0),'Tax Assumptions'!$F$9:$F$15,'Tax Assumptions'!$F$9:$F$15))*LOOKUP(MAX(D85-E85-F85-'Tax Assumptions'!$B$8,0),'Tax Assumptions'!$F$9:$F$15,'Tax Assumptions'!$H$9:$H$15))+(MIN(MAX(D85-F85,0),'Tax Assumptions'!$B$11)*'Tax Assumptions'!$B$10)+(MAX(D85-F85,0)*'Tax Assumptions'!$B$12)+(MAX(MAX(D85-F85,0)-'Tax Assumptions'!$B$14,0)*'Tax Assumptions'!$B$13)+(MIN(D85*'Tax Assumptions'!$B$15,'Tax Assumptions'!$B$16))+(MIN(D85*'Tax Assumptions'!$B$17,'Tax Assumptions'!$B$18))+(LOOKUP(MAX(D85-E85-'Tax Assumptions'!$B$9,0),'Tax Assumptions'!$K$9:$K$17,'Tax Assumptions'!$N$9:$N$17)+(MAX(D85-E85-'Tax Assumptions'!$B$9,0)-LOOKUP(MAX(D85-E85-'Tax Assumptions'!$B$9,0),'Tax Assumptions'!$K$9:$K$17,'Tax Assumptions'!$K$9:$K$17))*LOOKUP(MAX(D85-E85-'Tax Assumptions'!$B$9,0),'Tax Assumptions'!$K$9:$K$17,'Tax Assumptions'!$M$9:$M$17))+(LOOKUP(MAX(D85-E85-'Tax Assumptions'!$B$9,0),'Tax Assumptions'!$P$9:$P$12,'Tax Assumptions'!$S$9:$S$12)+(MAX(D85-E85-'Tax Assumptions'!$B$9,0)-LOOKUP(MAX(D85-E85-'Tax Assumptions'!$B$9,0),'Tax Assumptions'!$P$9:$P$12,'Tax Assumptions'!$P$9:$P$12))*LOOKUP(MAX(D85-E85-'Tax Assumptions'!$B$9,0),'Tax Assumptions'!$P$9:$P$12,'Tax Assumptions'!$R$9:$R$12)))*$C$7)</f>
        <v>505340.55106879957</v>
      </c>
      <c r="I85" s="66">
        <f t="shared" si="28"/>
        <v>589060.11476976541</v>
      </c>
      <c r="J85" s="66">
        <f>IF(B85="Working",N('Savings Projection'!$S$24)*$C$8,0)</f>
        <v>92741.925943999988</v>
      </c>
      <c r="K85" s="66">
        <f>IF(B85="Working",N('Savings Projection'!$T$24)*$C$9,0)</f>
        <v>57963.703714999989</v>
      </c>
      <c r="L85" s="66">
        <f>IF(B85="Working",MIN(MAX(I85-J85-K85-AB85-AC85,0),'Tax Assumptions'!$B$20),0)</f>
        <v>7500</v>
      </c>
      <c r="M85" s="66">
        <f t="shared" si="29"/>
        <v>430854.48511076538</v>
      </c>
      <c r="N85" s="66">
        <f t="shared" si="30"/>
        <v>462854.48511076538</v>
      </c>
      <c r="O85" s="66">
        <f t="shared" si="31"/>
        <v>0</v>
      </c>
      <c r="P85" s="66">
        <f t="shared" si="32"/>
        <v>0</v>
      </c>
      <c r="Q85" s="66">
        <f t="shared" si="42"/>
        <v>0</v>
      </c>
      <c r="R85" s="66">
        <f t="shared" si="43"/>
        <v>0</v>
      </c>
      <c r="S85" s="66">
        <f t="shared" si="44"/>
        <v>0</v>
      </c>
      <c r="T85" s="66">
        <f t="shared" si="45"/>
        <v>0</v>
      </c>
      <c r="U85" s="66">
        <f t="shared" si="46"/>
        <v>1943183.0756209507</v>
      </c>
      <c r="V85" s="66">
        <f t="shared" si="47"/>
        <v>170895.30417120006</v>
      </c>
      <c r="W85" s="66">
        <f t="shared" si="48"/>
        <v>52314.889032000006</v>
      </c>
      <c r="X85" s="66">
        <f t="shared" si="49"/>
        <v>0</v>
      </c>
      <c r="Y85" s="66">
        <f t="shared" si="33"/>
        <v>2166393.2688241508</v>
      </c>
      <c r="Z85" s="66">
        <f t="shared" si="34"/>
        <v>0</v>
      </c>
      <c r="AA85" s="69">
        <f t="shared" si="35"/>
        <v>0.4136689692322929</v>
      </c>
      <c r="AB85" s="66">
        <f t="shared" si="36"/>
        <v>0</v>
      </c>
      <c r="AC85" s="66">
        <f t="shared" si="37"/>
        <v>0</v>
      </c>
      <c r="AD85" s="66">
        <f t="shared" si="38"/>
        <v>0</v>
      </c>
      <c r="AE85" s="66">
        <f t="shared" si="39"/>
        <v>0</v>
      </c>
      <c r="AF85" s="66">
        <f t="shared" si="40"/>
        <v>0</v>
      </c>
      <c r="AG85" s="117">
        <f t="shared" si="41"/>
        <v>2166393.2688241508</v>
      </c>
    </row>
    <row r="86" spans="1:33" x14ac:dyDescent="0.2">
      <c r="A86" s="114">
        <v>7</v>
      </c>
      <c r="B86" s="100" t="str">
        <f t="shared" si="26"/>
        <v>Working</v>
      </c>
      <c r="C86" s="101">
        <f>N('Savings Projection'!$B$25)</f>
        <v>1418318.448466131</v>
      </c>
      <c r="D86" s="68">
        <f t="shared" si="27"/>
        <v>1418318.448466131</v>
      </c>
      <c r="E86" s="101">
        <f>IF(OR(B86="Retired",D86=0),0,MIN(D86,'Tax Assumptions'!$B$19))</f>
        <v>24500</v>
      </c>
      <c r="F86" s="101">
        <f>IF(B86="Working",N('Savings Projection'!$E$25),0)</f>
        <v>0</v>
      </c>
      <c r="G86" s="101">
        <f>IF(B86="Working",N('Savings Projection'!$F$25),0)</f>
        <v>0</v>
      </c>
      <c r="H86" s="68">
        <f>IF(D86=0,0,((LOOKUP(MAX(D86-E86-F86-'Tax Assumptions'!$B$8,0),'Tax Assumptions'!$F$9:$F$15,'Tax Assumptions'!$I$9:$I$15)+(MAX(D86-E86-F86-'Tax Assumptions'!$B$8,0)-LOOKUP(MAX(D86-E86-F86-'Tax Assumptions'!$B$8,0),'Tax Assumptions'!$F$9:$F$15,'Tax Assumptions'!$F$9:$F$15))*LOOKUP(MAX(D86-E86-F86-'Tax Assumptions'!$B$8,0),'Tax Assumptions'!$F$9:$F$15,'Tax Assumptions'!$H$9:$H$15))+(MIN(MAX(D86-F86,0),'Tax Assumptions'!$B$11)*'Tax Assumptions'!$B$10)+(MAX(D86-F86,0)*'Tax Assumptions'!$B$12)+(MAX(MAX(D86-F86,0)-'Tax Assumptions'!$B$14,0)*'Tax Assumptions'!$B$13)+(MIN(D86*'Tax Assumptions'!$B$15,'Tax Assumptions'!$B$16))+(MIN(D86*'Tax Assumptions'!$B$17,'Tax Assumptions'!$B$18))+(LOOKUP(MAX(D86-E86-'Tax Assumptions'!$B$9,0),'Tax Assumptions'!$K$9:$K$17,'Tax Assumptions'!$N$9:$N$17)+(MAX(D86-E86-'Tax Assumptions'!$B$9,0)-LOOKUP(MAX(D86-E86-'Tax Assumptions'!$B$9,0),'Tax Assumptions'!$K$9:$K$17,'Tax Assumptions'!$K$9:$K$17))*LOOKUP(MAX(D86-E86-'Tax Assumptions'!$B$9,0),'Tax Assumptions'!$K$9:$K$17,'Tax Assumptions'!$M$9:$M$17))+(LOOKUP(MAX(D86-E86-'Tax Assumptions'!$B$9,0),'Tax Assumptions'!$P$9:$P$12,'Tax Assumptions'!$S$9:$S$12)+(MAX(D86-E86-'Tax Assumptions'!$B$9,0)-LOOKUP(MAX(D86-E86-'Tax Assumptions'!$B$9,0),'Tax Assumptions'!$P$9:$P$12,'Tax Assumptions'!$P$9:$P$12))*LOOKUP(MAX(D86-E86-'Tax Assumptions'!$B$9,0),'Tax Assumptions'!$P$9:$P$12,'Tax Assumptions'!$R$9:$R$12)))*$C$7)</f>
        <v>663660.6978109515</v>
      </c>
      <c r="I86" s="68">
        <f t="shared" si="28"/>
        <v>730157.75065517949</v>
      </c>
      <c r="J86" s="101">
        <f>IF(B86="Working",N('Savings Projection'!$S$25)*$C$8,0)</f>
        <v>95524.183722319998</v>
      </c>
      <c r="K86" s="101">
        <f>IF(B86="Working",N('Savings Projection'!$T$25)*$C$9,0)</f>
        <v>59702.614826449993</v>
      </c>
      <c r="L86" s="68">
        <f>IF(B86="Working",MIN(MAX(I86-J86-K86-AB86-AC86,0),'Tax Assumptions'!$B$20),0)</f>
        <v>7500</v>
      </c>
      <c r="M86" s="68">
        <f t="shared" si="29"/>
        <v>567430.95210640947</v>
      </c>
      <c r="N86" s="101">
        <f t="shared" si="30"/>
        <v>599430.95210640947</v>
      </c>
      <c r="O86" s="101">
        <f t="shared" si="31"/>
        <v>0</v>
      </c>
      <c r="P86" s="101">
        <f t="shared" si="32"/>
        <v>0</v>
      </c>
      <c r="Q86" s="101">
        <f t="shared" si="42"/>
        <v>0</v>
      </c>
      <c r="R86" s="101">
        <f t="shared" si="43"/>
        <v>0</v>
      </c>
      <c r="S86" s="101">
        <f t="shared" si="44"/>
        <v>0</v>
      </c>
      <c r="T86" s="101">
        <f t="shared" si="45"/>
        <v>0</v>
      </c>
      <c r="U86" s="68">
        <f t="shared" si="46"/>
        <v>2627205.0122646173</v>
      </c>
      <c r="V86" s="68">
        <f t="shared" si="47"/>
        <v>205649.02242147207</v>
      </c>
      <c r="W86" s="68">
        <f t="shared" si="48"/>
        <v>62953.78237392001</v>
      </c>
      <c r="X86" s="68">
        <f t="shared" si="49"/>
        <v>0</v>
      </c>
      <c r="Y86" s="68">
        <f t="shared" si="33"/>
        <v>2895807.8170600096</v>
      </c>
      <c r="Z86" s="101">
        <f t="shared" si="34"/>
        <v>0</v>
      </c>
      <c r="AA86" s="102">
        <f t="shared" si="35"/>
        <v>0.42263495391650313</v>
      </c>
      <c r="AB86" s="68">
        <f t="shared" si="36"/>
        <v>0</v>
      </c>
      <c r="AC86" s="68">
        <f t="shared" si="37"/>
        <v>0</v>
      </c>
      <c r="AD86" s="68">
        <f t="shared" si="38"/>
        <v>0</v>
      </c>
      <c r="AE86" s="68">
        <f t="shared" si="39"/>
        <v>0</v>
      </c>
      <c r="AF86" s="68">
        <f t="shared" si="40"/>
        <v>0</v>
      </c>
      <c r="AG86" s="115">
        <f t="shared" si="41"/>
        <v>2895807.8170600096</v>
      </c>
    </row>
    <row r="87" spans="1:33" x14ac:dyDescent="0.2">
      <c r="A87" s="116">
        <v>8</v>
      </c>
      <c r="B87" s="65" t="str">
        <f t="shared" si="26"/>
        <v>Working</v>
      </c>
      <c r="C87" s="66">
        <f>N('Savings Projection'!$B$26)</f>
        <v>1872205.6657868917</v>
      </c>
      <c r="D87" s="66">
        <f t="shared" si="27"/>
        <v>1872205.6657868917</v>
      </c>
      <c r="E87" s="66">
        <f>IF(OR(B87="Retired",D87=0),0,MIN(D87,'Tax Assumptions'!$B$19))</f>
        <v>24500</v>
      </c>
      <c r="F87" s="66">
        <f>IF(B87="Working",N('Savings Projection'!$E$26),0)</f>
        <v>0</v>
      </c>
      <c r="G87" s="66">
        <f>IF(B87="Working",N('Savings Projection'!$F$26),0)</f>
        <v>0</v>
      </c>
      <c r="H87" s="66">
        <f>IF(D87=0,0,((LOOKUP(MAX(D87-E87-F87-'Tax Assumptions'!$B$8,0),'Tax Assumptions'!$F$9:$F$15,'Tax Assumptions'!$I$9:$I$15)+(MAX(D87-E87-F87-'Tax Assumptions'!$B$8,0)-LOOKUP(MAX(D87-E87-F87-'Tax Assumptions'!$B$8,0),'Tax Assumptions'!$F$9:$F$15,'Tax Assumptions'!$F$9:$F$15))*LOOKUP(MAX(D87-E87-F87-'Tax Assumptions'!$B$8,0),'Tax Assumptions'!$F$9:$F$15,'Tax Assumptions'!$H$9:$H$15))+(MIN(MAX(D87-F87,0),'Tax Assumptions'!$B$11)*'Tax Assumptions'!$B$10)+(MAX(D87-F87,0)*'Tax Assumptions'!$B$12)+(MAX(MAX(D87-F87,0)-'Tax Assumptions'!$B$14,0)*'Tax Assumptions'!$B$13)+(MIN(D87*'Tax Assumptions'!$B$15,'Tax Assumptions'!$B$16))+(MIN(D87*'Tax Assumptions'!$B$17,'Tax Assumptions'!$B$18))+(LOOKUP(MAX(D87-E87-'Tax Assumptions'!$B$9,0),'Tax Assumptions'!$K$9:$K$17,'Tax Assumptions'!$N$9:$N$17)+(MAX(D87-E87-'Tax Assumptions'!$B$9,0)-LOOKUP(MAX(D87-E87-'Tax Assumptions'!$B$9,0),'Tax Assumptions'!$K$9:$K$17,'Tax Assumptions'!$K$9:$K$17))*LOOKUP(MAX(D87-E87-'Tax Assumptions'!$B$9,0),'Tax Assumptions'!$K$9:$K$17,'Tax Assumptions'!$M$9:$M$17))+(LOOKUP(MAX(D87-E87-'Tax Assumptions'!$B$9,0),'Tax Assumptions'!$P$9:$P$12,'Tax Assumptions'!$S$9:$S$12)+(MAX(D87-E87-'Tax Assumptions'!$B$9,0)-LOOKUP(MAX(D87-E87-'Tax Assumptions'!$B$9,0),'Tax Assumptions'!$P$9:$P$12,'Tax Assumptions'!$P$9:$P$12))*LOOKUP(MAX(D87-E87-'Tax Assumptions'!$B$9,0),'Tax Assumptions'!$P$9:$P$12,'Tax Assumptions'!$R$9:$R$12)))*$C$7)</f>
        <v>903658.10284147691</v>
      </c>
      <c r="I87" s="66">
        <f t="shared" si="28"/>
        <v>944047.5629454148</v>
      </c>
      <c r="J87" s="66">
        <f>IF(B87="Working",N('Savings Projection'!$S$26)*$C$8,0)</f>
        <v>98389.909233989601</v>
      </c>
      <c r="K87" s="66">
        <f>IF(B87="Working",N('Savings Projection'!$T$26)*$C$9,0)</f>
        <v>61493.693271243501</v>
      </c>
      <c r="L87" s="66">
        <f>IF(B87="Working",MIN(MAX(I87-J87-K87-AB87-AC87,0),'Tax Assumptions'!$B$20),0)</f>
        <v>7500</v>
      </c>
      <c r="M87" s="66">
        <f t="shared" si="29"/>
        <v>776663.96044018166</v>
      </c>
      <c r="N87" s="66">
        <f t="shared" si="30"/>
        <v>808663.96044018166</v>
      </c>
      <c r="O87" s="66">
        <f t="shared" si="31"/>
        <v>0</v>
      </c>
      <c r="P87" s="66">
        <f t="shared" si="32"/>
        <v>0</v>
      </c>
      <c r="Q87" s="66">
        <f t="shared" si="42"/>
        <v>0</v>
      </c>
      <c r="R87" s="66">
        <f t="shared" si="43"/>
        <v>0</v>
      </c>
      <c r="S87" s="66">
        <f t="shared" si="44"/>
        <v>0</v>
      </c>
      <c r="T87" s="66">
        <f t="shared" si="45"/>
        <v>0</v>
      </c>
      <c r="U87" s="66">
        <f t="shared" si="46"/>
        <v>3561501.2734406763</v>
      </c>
      <c r="V87" s="66">
        <f t="shared" si="47"/>
        <v>242487.9637667604</v>
      </c>
      <c r="W87" s="66">
        <f t="shared" si="48"/>
        <v>74231.009316355208</v>
      </c>
      <c r="X87" s="66">
        <f t="shared" si="49"/>
        <v>0</v>
      </c>
      <c r="Y87" s="66">
        <f t="shared" si="33"/>
        <v>3878220.2465237915</v>
      </c>
      <c r="Z87" s="66">
        <f t="shared" si="34"/>
        <v>0</v>
      </c>
      <c r="AA87" s="69">
        <f t="shared" si="35"/>
        <v>0.43193115757413253</v>
      </c>
      <c r="AB87" s="66">
        <f t="shared" si="36"/>
        <v>0</v>
      </c>
      <c r="AC87" s="66">
        <f t="shared" si="37"/>
        <v>0</v>
      </c>
      <c r="AD87" s="66">
        <f t="shared" si="38"/>
        <v>0</v>
      </c>
      <c r="AE87" s="66">
        <f t="shared" si="39"/>
        <v>0</v>
      </c>
      <c r="AF87" s="66">
        <f t="shared" si="40"/>
        <v>0</v>
      </c>
      <c r="AG87" s="117">
        <f t="shared" si="41"/>
        <v>3878220.2465237915</v>
      </c>
    </row>
    <row r="88" spans="1:33" x14ac:dyDescent="0.2">
      <c r="A88" s="114">
        <v>9</v>
      </c>
      <c r="B88" s="100" t="str">
        <f t="shared" si="26"/>
        <v>Working</v>
      </c>
      <c r="C88" s="101">
        <f>N('Savings Projection'!$B$27)</f>
        <v>2033969.9666232408</v>
      </c>
      <c r="D88" s="68">
        <f t="shared" si="27"/>
        <v>2033969.9666232408</v>
      </c>
      <c r="E88" s="101">
        <f>IF(OR(B88="Retired",D88=0),0,MIN(D88,'Tax Assumptions'!$B$19))</f>
        <v>24500</v>
      </c>
      <c r="F88" s="101">
        <f>IF(B88="Working",N('Savings Projection'!$E$27),0)</f>
        <v>0</v>
      </c>
      <c r="G88" s="101">
        <f>IF(B88="Working",N('Savings Projection'!$F$27),0)</f>
        <v>0</v>
      </c>
      <c r="H88" s="68">
        <f>IF(D88=0,0,((LOOKUP(MAX(D88-E88-F88-'Tax Assumptions'!$B$8,0),'Tax Assumptions'!$F$9:$F$15,'Tax Assumptions'!$I$9:$I$15)+(MAX(D88-E88-F88-'Tax Assumptions'!$B$8,0)-LOOKUP(MAX(D88-E88-F88-'Tax Assumptions'!$B$8,0),'Tax Assumptions'!$F$9:$F$15,'Tax Assumptions'!$F$9:$F$15))*LOOKUP(MAX(D88-E88-F88-'Tax Assumptions'!$B$8,0),'Tax Assumptions'!$F$9:$F$15,'Tax Assumptions'!$H$9:$H$15))+(MIN(MAX(D88-F88,0),'Tax Assumptions'!$B$11)*'Tax Assumptions'!$B$10)+(MAX(D88-F88,0)*'Tax Assumptions'!$B$12)+(MAX(MAX(D88-F88,0)-'Tax Assumptions'!$B$14,0)*'Tax Assumptions'!$B$13)+(MIN(D88*'Tax Assumptions'!$B$15,'Tax Assumptions'!$B$16))+(MIN(D88*'Tax Assumptions'!$B$17,'Tax Assumptions'!$B$18))+(LOOKUP(MAX(D88-E88-'Tax Assumptions'!$B$9,0),'Tax Assumptions'!$K$9:$K$17,'Tax Assumptions'!$N$9:$N$17)+(MAX(D88-E88-'Tax Assumptions'!$B$9,0)-LOOKUP(MAX(D88-E88-'Tax Assumptions'!$B$9,0),'Tax Assumptions'!$K$9:$K$17,'Tax Assumptions'!$K$9:$K$17))*LOOKUP(MAX(D88-E88-'Tax Assumptions'!$B$9,0),'Tax Assumptions'!$K$9:$K$17,'Tax Assumptions'!$M$9:$M$17))+(LOOKUP(MAX(D88-E88-'Tax Assumptions'!$B$9,0),'Tax Assumptions'!$P$9:$P$12,'Tax Assumptions'!$S$9:$S$12)+(MAX(D88-E88-'Tax Assumptions'!$B$9,0)-LOOKUP(MAX(D88-E88-'Tax Assumptions'!$B$9,0),'Tax Assumptions'!$P$9:$P$12,'Tax Assumptions'!$P$9:$P$12))*LOOKUP(MAX(D88-E88-'Tax Assumptions'!$B$9,0),'Tax Assumptions'!$P$9:$P$12,'Tax Assumptions'!$R$9:$R$12)))*$C$7)</f>
        <v>989192.59455170482</v>
      </c>
      <c r="I88" s="68">
        <f t="shared" si="28"/>
        <v>1020277.372071536</v>
      </c>
      <c r="J88" s="101">
        <f>IF(B88="Working",N('Savings Projection'!$S$27)*$C$8,0)</f>
        <v>101341.60651100927</v>
      </c>
      <c r="K88" s="101">
        <f>IF(B88="Working",N('Savings Projection'!$T$27)*$C$9,0)</f>
        <v>63338.504069380797</v>
      </c>
      <c r="L88" s="68">
        <f>IF(B88="Working",MIN(MAX(I88-J88-K88-AB88-AC88,0),'Tax Assumptions'!$B$20),0)</f>
        <v>7500</v>
      </c>
      <c r="M88" s="68">
        <f t="shared" si="29"/>
        <v>848097.26149114594</v>
      </c>
      <c r="N88" s="101">
        <f t="shared" si="30"/>
        <v>880097.26149114594</v>
      </c>
      <c r="O88" s="101">
        <f t="shared" si="31"/>
        <v>0</v>
      </c>
      <c r="P88" s="101">
        <f t="shared" si="32"/>
        <v>0</v>
      </c>
      <c r="Q88" s="101">
        <f t="shared" si="42"/>
        <v>0</v>
      </c>
      <c r="R88" s="101">
        <f t="shared" si="43"/>
        <v>0</v>
      </c>
      <c r="S88" s="101">
        <f t="shared" si="44"/>
        <v>0</v>
      </c>
      <c r="T88" s="101">
        <f t="shared" si="45"/>
        <v>0</v>
      </c>
      <c r="U88" s="68">
        <f t="shared" si="46"/>
        <v>4623288.6113382634</v>
      </c>
      <c r="V88" s="68">
        <f t="shared" si="47"/>
        <v>281537.24159276602</v>
      </c>
      <c r="W88" s="68">
        <f t="shared" si="48"/>
        <v>86184.869875336532</v>
      </c>
      <c r="X88" s="68">
        <f t="shared" si="49"/>
        <v>0</v>
      </c>
      <c r="Y88" s="68">
        <f t="shared" si="33"/>
        <v>4991010.7228063662</v>
      </c>
      <c r="Z88" s="101">
        <f t="shared" si="34"/>
        <v>0</v>
      </c>
      <c r="AA88" s="102">
        <f t="shared" si="35"/>
        <v>0.43269924135225413</v>
      </c>
      <c r="AB88" s="68">
        <f t="shared" si="36"/>
        <v>0</v>
      </c>
      <c r="AC88" s="68">
        <f t="shared" si="37"/>
        <v>0</v>
      </c>
      <c r="AD88" s="68">
        <f t="shared" si="38"/>
        <v>0</v>
      </c>
      <c r="AE88" s="68">
        <f t="shared" si="39"/>
        <v>0</v>
      </c>
      <c r="AF88" s="68">
        <f t="shared" si="40"/>
        <v>0</v>
      </c>
      <c r="AG88" s="115">
        <f t="shared" si="41"/>
        <v>4991010.7228063662</v>
      </c>
    </row>
    <row r="89" spans="1:33" x14ac:dyDescent="0.2">
      <c r="A89" s="116">
        <v>10</v>
      </c>
      <c r="B89" s="65" t="str">
        <f t="shared" si="26"/>
        <v>Working</v>
      </c>
      <c r="C89" s="66">
        <f>N('Savings Projection'!$B$28)</f>
        <v>2595495.7626410057</v>
      </c>
      <c r="D89" s="66">
        <f t="shared" si="27"/>
        <v>2595495.7626410057</v>
      </c>
      <c r="E89" s="66">
        <f>IF(OR(B89="Retired",D89=0),0,MIN(D89,'Tax Assumptions'!$B$19))</f>
        <v>24500</v>
      </c>
      <c r="F89" s="66">
        <f>IF(B89="Working",N('Savings Projection'!$E$28),0)</f>
        <v>0</v>
      </c>
      <c r="G89" s="66">
        <f>IF(B89="Working",N('Savings Projection'!$F$28),0)</f>
        <v>0</v>
      </c>
      <c r="H89" s="66">
        <f>IF(D89=0,0,((LOOKUP(MAX(D89-E89-F89-'Tax Assumptions'!$B$8,0),'Tax Assumptions'!$F$9:$F$15,'Tax Assumptions'!$I$9:$I$15)+(MAX(D89-E89-F89-'Tax Assumptions'!$B$8,0)-LOOKUP(MAX(D89-E89-F89-'Tax Assumptions'!$B$8,0),'Tax Assumptions'!$F$9:$F$15,'Tax Assumptions'!$F$9:$F$15))*LOOKUP(MAX(D89-E89-F89-'Tax Assumptions'!$B$8,0),'Tax Assumptions'!$F$9:$F$15,'Tax Assumptions'!$H$9:$H$15))+(MIN(MAX(D89-F89,0),'Tax Assumptions'!$B$11)*'Tax Assumptions'!$B$10)+(MAX(D89-F89,0)*'Tax Assumptions'!$B$12)+(MAX(MAX(D89-F89,0)-'Tax Assumptions'!$B$14,0)*'Tax Assumptions'!$B$13)+(MIN(D89*'Tax Assumptions'!$B$15,'Tax Assumptions'!$B$16))+(MIN(D89*'Tax Assumptions'!$B$17,'Tax Assumptions'!$B$18))+(LOOKUP(MAX(D89-E89-'Tax Assumptions'!$B$9,0),'Tax Assumptions'!$K$9:$K$17,'Tax Assumptions'!$N$9:$N$17)+(MAX(D89-E89-'Tax Assumptions'!$B$9,0)-LOOKUP(MAX(D89-E89-'Tax Assumptions'!$B$9,0),'Tax Assumptions'!$K$9:$K$17,'Tax Assumptions'!$K$9:$K$17))*LOOKUP(MAX(D89-E89-'Tax Assumptions'!$B$9,0),'Tax Assumptions'!$K$9:$K$17,'Tax Assumptions'!$M$9:$M$17))+(LOOKUP(MAX(D89-E89-'Tax Assumptions'!$B$9,0),'Tax Assumptions'!$P$9:$P$12,'Tax Assumptions'!$S$9:$S$12)+(MAX(D89-E89-'Tax Assumptions'!$B$9,0)-LOOKUP(MAX(D89-E89-'Tax Assumptions'!$B$9,0),'Tax Assumptions'!$P$9:$P$12,'Tax Assumptions'!$P$9:$P$12))*LOOKUP(MAX(D89-E89-'Tax Assumptions'!$B$9,0),'Tax Assumptions'!$P$9:$P$12,'Tax Assumptions'!$R$9:$R$12)))*$C$7)</f>
        <v>1286104.9744540581</v>
      </c>
      <c r="I89" s="66">
        <f t="shared" si="28"/>
        <v>1284890.7881869476</v>
      </c>
      <c r="J89" s="66">
        <f>IF(B89="Working",N('Savings Projection'!$S$28)*$C$8,0)</f>
        <v>104381.85470633955</v>
      </c>
      <c r="K89" s="66">
        <f>IF(B89="Working",N('Savings Projection'!$T$28)*$C$9,0)</f>
        <v>65238.659191462226</v>
      </c>
      <c r="L89" s="66">
        <f>IF(B89="Working",MIN(MAX(I89-J89-K89-AB89-AC89,0),'Tax Assumptions'!$B$20),0)</f>
        <v>0</v>
      </c>
      <c r="M89" s="66">
        <f t="shared" si="29"/>
        <v>-1578312.1734635322</v>
      </c>
      <c r="N89" s="66">
        <f t="shared" si="30"/>
        <v>-1553812.1734635322</v>
      </c>
      <c r="O89" s="66">
        <f t="shared" si="31"/>
        <v>0</v>
      </c>
      <c r="P89" s="66">
        <f t="shared" si="32"/>
        <v>0</v>
      </c>
      <c r="Q89" s="66">
        <f t="shared" si="42"/>
        <v>0</v>
      </c>
      <c r="R89" s="66">
        <f t="shared" si="43"/>
        <v>0</v>
      </c>
      <c r="S89" s="66">
        <f t="shared" si="44"/>
        <v>0</v>
      </c>
      <c r="T89" s="66">
        <f t="shared" si="45"/>
        <v>0</v>
      </c>
      <c r="U89" s="66">
        <f t="shared" si="46"/>
        <v>3322373.7545550275</v>
      </c>
      <c r="V89" s="66">
        <f t="shared" si="47"/>
        <v>322929.47608833201</v>
      </c>
      <c r="W89" s="66">
        <f t="shared" si="48"/>
        <v>91355.96206785673</v>
      </c>
      <c r="X89" s="66">
        <f t="shared" si="49"/>
        <v>0</v>
      </c>
      <c r="Y89" s="66">
        <f t="shared" si="33"/>
        <v>3736659.1927112164</v>
      </c>
      <c r="Z89" s="66">
        <f t="shared" si="34"/>
        <v>0</v>
      </c>
      <c r="AA89" s="69">
        <f t="shared" si="35"/>
        <v>-0.59865717980694189</v>
      </c>
      <c r="AB89" s="66">
        <f t="shared" si="36"/>
        <v>2375000</v>
      </c>
      <c r="AC89" s="66">
        <f t="shared" si="37"/>
        <v>318582.44775267807</v>
      </c>
      <c r="AD89" s="66">
        <f t="shared" si="38"/>
        <v>5000000</v>
      </c>
      <c r="AE89" s="66">
        <f t="shared" si="39"/>
        <v>2719262.549603601</v>
      </c>
      <c r="AF89" s="66">
        <f t="shared" si="40"/>
        <v>2280737.450396399</v>
      </c>
      <c r="AG89" s="117">
        <f t="shared" si="41"/>
        <v>6017396.6431076154</v>
      </c>
    </row>
    <row r="90" spans="1:33" x14ac:dyDescent="0.2">
      <c r="A90" s="114">
        <v>11</v>
      </c>
      <c r="B90" s="100" t="str">
        <f t="shared" si="26"/>
        <v>Retired</v>
      </c>
      <c r="C90" s="101">
        <f>N('Savings Projection'!$B$29)</f>
        <v>0</v>
      </c>
      <c r="D90" s="68">
        <f t="shared" si="27"/>
        <v>0</v>
      </c>
      <c r="E90" s="101">
        <f>IF(OR(B90="Retired",D90=0),0,MIN(D90,'Tax Assumptions'!$B$19))</f>
        <v>0</v>
      </c>
      <c r="F90" s="101">
        <f>IF(B90="Working",N('Savings Projection'!$E$29),0)</f>
        <v>0</v>
      </c>
      <c r="G90" s="101">
        <f>IF(B90="Working",N('Savings Projection'!$F$29),0)</f>
        <v>0</v>
      </c>
      <c r="H90" s="68">
        <f>IF(D90=0,0,((LOOKUP(MAX(D90-E90-F90-'Tax Assumptions'!$B$8,0),'Tax Assumptions'!$F$9:$F$15,'Tax Assumptions'!$I$9:$I$15)+(MAX(D90-E90-F90-'Tax Assumptions'!$B$8,0)-LOOKUP(MAX(D90-E90-F90-'Tax Assumptions'!$B$8,0),'Tax Assumptions'!$F$9:$F$15,'Tax Assumptions'!$F$9:$F$15))*LOOKUP(MAX(D90-E90-F90-'Tax Assumptions'!$B$8,0),'Tax Assumptions'!$F$9:$F$15,'Tax Assumptions'!$H$9:$H$15))+(MIN(MAX(D90-F90,0),'Tax Assumptions'!$B$11)*'Tax Assumptions'!$B$10)+(MAX(D90-F90,0)*'Tax Assumptions'!$B$12)+(MAX(MAX(D90-F90,0)-'Tax Assumptions'!$B$14,0)*'Tax Assumptions'!$B$13)+(MIN(D90*'Tax Assumptions'!$B$15,'Tax Assumptions'!$B$16))+(MIN(D90*'Tax Assumptions'!$B$17,'Tax Assumptions'!$B$18))+(LOOKUP(MAX(D90-E90-'Tax Assumptions'!$B$9,0),'Tax Assumptions'!$K$9:$K$17,'Tax Assumptions'!$N$9:$N$17)+(MAX(D90-E90-'Tax Assumptions'!$B$9,0)-LOOKUP(MAX(D90-E90-'Tax Assumptions'!$B$9,0),'Tax Assumptions'!$K$9:$K$17,'Tax Assumptions'!$K$9:$K$17))*LOOKUP(MAX(D90-E90-'Tax Assumptions'!$B$9,0),'Tax Assumptions'!$K$9:$K$17,'Tax Assumptions'!$M$9:$M$17))+(LOOKUP(MAX(D90-E90-'Tax Assumptions'!$B$9,0),'Tax Assumptions'!$P$9:$P$12,'Tax Assumptions'!$S$9:$S$12)+(MAX(D90-E90-'Tax Assumptions'!$B$9,0)-LOOKUP(MAX(D90-E90-'Tax Assumptions'!$B$9,0),'Tax Assumptions'!$P$9:$P$12,'Tax Assumptions'!$P$9:$P$12))*LOOKUP(MAX(D90-E90-'Tax Assumptions'!$B$9,0),'Tax Assumptions'!$P$9:$P$12,'Tax Assumptions'!$R$9:$R$12)))*$C$7)</f>
        <v>0</v>
      </c>
      <c r="I90" s="68">
        <f t="shared" si="28"/>
        <v>0</v>
      </c>
      <c r="J90" s="101">
        <f>IF(B90="Working",N('Savings Projection'!$S$29)*$C$8,0)</f>
        <v>0</v>
      </c>
      <c r="K90" s="101">
        <f>IF(B90="Working",N('Savings Projection'!$T$29)*$C$9,0)</f>
        <v>0</v>
      </c>
      <c r="L90" s="68">
        <f>IF(B90="Working",MIN(MAX(I90-J90-K90-AB90-AC90,0),'Tax Assumptions'!$B$20),0)</f>
        <v>0</v>
      </c>
      <c r="M90" s="68">
        <f t="shared" si="29"/>
        <v>0</v>
      </c>
      <c r="N90" s="101">
        <f t="shared" si="30"/>
        <v>-521882.44775267807</v>
      </c>
      <c r="O90" s="101">
        <f t="shared" si="31"/>
        <v>521882.44775267807</v>
      </c>
      <c r="P90" s="101">
        <f t="shared" si="32"/>
        <v>521882.44775267807</v>
      </c>
      <c r="Q90" s="101">
        <f t="shared" si="42"/>
        <v>521882.44775267807</v>
      </c>
      <c r="R90" s="101">
        <f t="shared" si="43"/>
        <v>0</v>
      </c>
      <c r="S90" s="101">
        <f t="shared" si="44"/>
        <v>0</v>
      </c>
      <c r="T90" s="101">
        <f t="shared" si="45"/>
        <v>0</v>
      </c>
      <c r="U90" s="68">
        <f t="shared" si="46"/>
        <v>2999833.7320756512</v>
      </c>
      <c r="V90" s="68">
        <f t="shared" si="47"/>
        <v>342305.24465363193</v>
      </c>
      <c r="W90" s="68">
        <f t="shared" si="48"/>
        <v>96837.319791928137</v>
      </c>
      <c r="X90" s="68">
        <f t="shared" si="49"/>
        <v>0</v>
      </c>
      <c r="Y90" s="68">
        <f t="shared" si="33"/>
        <v>3438976.296521211</v>
      </c>
      <c r="Z90" s="101">
        <f t="shared" si="34"/>
        <v>0</v>
      </c>
      <c r="AA90" s="102">
        <f t="shared" si="35"/>
        <v>0</v>
      </c>
      <c r="AB90" s="68">
        <f t="shared" si="36"/>
        <v>0</v>
      </c>
      <c r="AC90" s="68">
        <f t="shared" si="37"/>
        <v>321882.44775267807</v>
      </c>
      <c r="AD90" s="68">
        <f t="shared" si="38"/>
        <v>5150000</v>
      </c>
      <c r="AE90" s="68">
        <f t="shared" si="39"/>
        <v>2686466.5552283181</v>
      </c>
      <c r="AF90" s="68">
        <f t="shared" si="40"/>
        <v>2463533.4447716819</v>
      </c>
      <c r="AG90" s="115">
        <f t="shared" si="41"/>
        <v>5902509.741292893</v>
      </c>
    </row>
    <row r="91" spans="1:33" x14ac:dyDescent="0.2">
      <c r="A91" s="116">
        <v>12</v>
      </c>
      <c r="B91" s="65" t="str">
        <f t="shared" si="26"/>
        <v>Retired</v>
      </c>
      <c r="C91" s="66">
        <f>N('Savings Projection'!$B$30)</f>
        <v>0</v>
      </c>
      <c r="D91" s="66">
        <f t="shared" si="27"/>
        <v>0</v>
      </c>
      <c r="E91" s="66">
        <f>IF(OR(B91="Retired",D91=0),0,MIN(D91,'Tax Assumptions'!$B$19))</f>
        <v>0</v>
      </c>
      <c r="F91" s="66">
        <f>IF(B91="Working",N('Savings Projection'!$E$30),0)</f>
        <v>0</v>
      </c>
      <c r="G91" s="66">
        <f>IF(B91="Working",N('Savings Projection'!$F$30),0)</f>
        <v>0</v>
      </c>
      <c r="H91" s="66">
        <f>IF(D91=0,0,((LOOKUP(MAX(D91-E91-F91-'Tax Assumptions'!$B$8,0),'Tax Assumptions'!$F$9:$F$15,'Tax Assumptions'!$I$9:$I$15)+(MAX(D91-E91-F91-'Tax Assumptions'!$B$8,0)-LOOKUP(MAX(D91-E91-F91-'Tax Assumptions'!$B$8,0),'Tax Assumptions'!$F$9:$F$15,'Tax Assumptions'!$F$9:$F$15))*LOOKUP(MAX(D91-E91-F91-'Tax Assumptions'!$B$8,0),'Tax Assumptions'!$F$9:$F$15,'Tax Assumptions'!$H$9:$H$15))+(MIN(MAX(D91-F91,0),'Tax Assumptions'!$B$11)*'Tax Assumptions'!$B$10)+(MAX(D91-F91,0)*'Tax Assumptions'!$B$12)+(MAX(MAX(D91-F91,0)-'Tax Assumptions'!$B$14,0)*'Tax Assumptions'!$B$13)+(MIN(D91*'Tax Assumptions'!$B$15,'Tax Assumptions'!$B$16))+(MIN(D91*'Tax Assumptions'!$B$17,'Tax Assumptions'!$B$18))+(LOOKUP(MAX(D91-E91-'Tax Assumptions'!$B$9,0),'Tax Assumptions'!$K$9:$K$17,'Tax Assumptions'!$N$9:$N$17)+(MAX(D91-E91-'Tax Assumptions'!$B$9,0)-LOOKUP(MAX(D91-E91-'Tax Assumptions'!$B$9,0),'Tax Assumptions'!$K$9:$K$17,'Tax Assumptions'!$K$9:$K$17))*LOOKUP(MAX(D91-E91-'Tax Assumptions'!$B$9,0),'Tax Assumptions'!$K$9:$K$17,'Tax Assumptions'!$M$9:$M$17))+(LOOKUP(MAX(D91-E91-'Tax Assumptions'!$B$9,0),'Tax Assumptions'!$P$9:$P$12,'Tax Assumptions'!$S$9:$S$12)+(MAX(D91-E91-'Tax Assumptions'!$B$9,0)-LOOKUP(MAX(D91-E91-'Tax Assumptions'!$B$9,0),'Tax Assumptions'!$P$9:$P$12,'Tax Assumptions'!$P$9:$P$12))*LOOKUP(MAX(D91-E91-'Tax Assumptions'!$B$9,0),'Tax Assumptions'!$P$9:$P$12,'Tax Assumptions'!$R$9:$R$12)))*$C$7)</f>
        <v>0</v>
      </c>
      <c r="I91" s="66">
        <f t="shared" si="28"/>
        <v>0</v>
      </c>
      <c r="J91" s="66">
        <f>IF(B91="Working",N('Savings Projection'!$S$30)*$C$8,0)</f>
        <v>0</v>
      </c>
      <c r="K91" s="66">
        <f>IF(B91="Working",N('Savings Projection'!$T$30)*$C$9,0)</f>
        <v>0</v>
      </c>
      <c r="L91" s="66">
        <f>IF(B91="Working",MIN(MAX(I91-J91-K91-AB91-AC91,0),'Tax Assumptions'!$B$20),0)</f>
        <v>0</v>
      </c>
      <c r="M91" s="66">
        <f t="shared" si="29"/>
        <v>0</v>
      </c>
      <c r="N91" s="66">
        <f t="shared" si="30"/>
        <v>-525281.44775267807</v>
      </c>
      <c r="O91" s="66">
        <f t="shared" si="31"/>
        <v>525281.44775267807</v>
      </c>
      <c r="P91" s="66">
        <f t="shared" si="32"/>
        <v>525281.44775267807</v>
      </c>
      <c r="Q91" s="66">
        <f t="shared" si="42"/>
        <v>525281.44775267807</v>
      </c>
      <c r="R91" s="66">
        <f t="shared" si="43"/>
        <v>0</v>
      </c>
      <c r="S91" s="66">
        <f t="shared" si="44"/>
        <v>0</v>
      </c>
      <c r="T91" s="66">
        <f t="shared" si="45"/>
        <v>0</v>
      </c>
      <c r="U91" s="66">
        <f t="shared" si="46"/>
        <v>2654542.3082475122</v>
      </c>
      <c r="V91" s="66">
        <f t="shared" si="47"/>
        <v>362843.55933284987</v>
      </c>
      <c r="W91" s="66">
        <f t="shared" si="48"/>
        <v>102647.55897944383</v>
      </c>
      <c r="X91" s="66">
        <f t="shared" si="49"/>
        <v>0</v>
      </c>
      <c r="Y91" s="66">
        <f t="shared" si="33"/>
        <v>3120033.4265598059</v>
      </c>
      <c r="Z91" s="66">
        <f t="shared" si="34"/>
        <v>0</v>
      </c>
      <c r="AA91" s="69">
        <f t="shared" si="35"/>
        <v>0</v>
      </c>
      <c r="AB91" s="66">
        <f t="shared" si="36"/>
        <v>0</v>
      </c>
      <c r="AC91" s="66">
        <f t="shared" si="37"/>
        <v>325281.44775267807</v>
      </c>
      <c r="AD91" s="66">
        <f t="shared" si="38"/>
        <v>5304500</v>
      </c>
      <c r="AE91" s="66">
        <f t="shared" si="39"/>
        <v>2651474.1523714578</v>
      </c>
      <c r="AF91" s="66">
        <f t="shared" si="40"/>
        <v>2653025.8476285422</v>
      </c>
      <c r="AG91" s="117">
        <f t="shared" si="41"/>
        <v>5773059.2741883481</v>
      </c>
    </row>
    <row r="92" spans="1:33" x14ac:dyDescent="0.2">
      <c r="A92" s="114">
        <v>13</v>
      </c>
      <c r="B92" s="100" t="str">
        <f t="shared" si="26"/>
        <v>Retired</v>
      </c>
      <c r="C92" s="101">
        <f>N('Savings Projection'!$B$31)</f>
        <v>0</v>
      </c>
      <c r="D92" s="68">
        <f t="shared" si="27"/>
        <v>0</v>
      </c>
      <c r="E92" s="101">
        <f>IF(OR(B92="Retired",D92=0),0,MIN(D92,'Tax Assumptions'!$B$19))</f>
        <v>0</v>
      </c>
      <c r="F92" s="101">
        <f>IF(B92="Working",N('Savings Projection'!$E$31),0)</f>
        <v>0</v>
      </c>
      <c r="G92" s="101">
        <f>IF(B92="Working",N('Savings Projection'!$F$31),0)</f>
        <v>0</v>
      </c>
      <c r="H92" s="68">
        <f>IF(D92=0,0,((LOOKUP(MAX(D92-E92-F92-'Tax Assumptions'!$B$8,0),'Tax Assumptions'!$F$9:$F$15,'Tax Assumptions'!$I$9:$I$15)+(MAX(D92-E92-F92-'Tax Assumptions'!$B$8,0)-LOOKUP(MAX(D92-E92-F92-'Tax Assumptions'!$B$8,0),'Tax Assumptions'!$F$9:$F$15,'Tax Assumptions'!$F$9:$F$15))*LOOKUP(MAX(D92-E92-F92-'Tax Assumptions'!$B$8,0),'Tax Assumptions'!$F$9:$F$15,'Tax Assumptions'!$H$9:$H$15))+(MIN(MAX(D92-F92,0),'Tax Assumptions'!$B$11)*'Tax Assumptions'!$B$10)+(MAX(D92-F92,0)*'Tax Assumptions'!$B$12)+(MAX(MAX(D92-F92,0)-'Tax Assumptions'!$B$14,0)*'Tax Assumptions'!$B$13)+(MIN(D92*'Tax Assumptions'!$B$15,'Tax Assumptions'!$B$16))+(MIN(D92*'Tax Assumptions'!$B$17,'Tax Assumptions'!$B$18))+(LOOKUP(MAX(D92-E92-'Tax Assumptions'!$B$9,0),'Tax Assumptions'!$K$9:$K$17,'Tax Assumptions'!$N$9:$N$17)+(MAX(D92-E92-'Tax Assumptions'!$B$9,0)-LOOKUP(MAX(D92-E92-'Tax Assumptions'!$B$9,0),'Tax Assumptions'!$K$9:$K$17,'Tax Assumptions'!$K$9:$K$17))*LOOKUP(MAX(D92-E92-'Tax Assumptions'!$B$9,0),'Tax Assumptions'!$K$9:$K$17,'Tax Assumptions'!$M$9:$M$17))+(LOOKUP(MAX(D92-E92-'Tax Assumptions'!$B$9,0),'Tax Assumptions'!$P$9:$P$12,'Tax Assumptions'!$S$9:$S$12)+(MAX(D92-E92-'Tax Assumptions'!$B$9,0)-LOOKUP(MAX(D92-E92-'Tax Assumptions'!$B$9,0),'Tax Assumptions'!$P$9:$P$12,'Tax Assumptions'!$P$9:$P$12))*LOOKUP(MAX(D92-E92-'Tax Assumptions'!$B$9,0),'Tax Assumptions'!$P$9:$P$12,'Tax Assumptions'!$R$9:$R$12)))*$C$7)</f>
        <v>0</v>
      </c>
      <c r="I92" s="68">
        <f t="shared" si="28"/>
        <v>0</v>
      </c>
      <c r="J92" s="101">
        <f>IF(B92="Working",N('Savings Projection'!$S$31)*$C$8,0)</f>
        <v>0</v>
      </c>
      <c r="K92" s="101">
        <f>IF(B92="Working",N('Savings Projection'!$T$31)*$C$9,0)</f>
        <v>0</v>
      </c>
      <c r="L92" s="68">
        <f>IF(B92="Working",MIN(MAX(I92-J92-K92-AB92-AC92,0),'Tax Assumptions'!$B$20),0)</f>
        <v>0</v>
      </c>
      <c r="M92" s="68">
        <f t="shared" si="29"/>
        <v>0</v>
      </c>
      <c r="N92" s="101">
        <f t="shared" si="30"/>
        <v>-528782.41775267804</v>
      </c>
      <c r="O92" s="101">
        <f t="shared" si="31"/>
        <v>528782.41775267804</v>
      </c>
      <c r="P92" s="101">
        <f t="shared" si="32"/>
        <v>528782.41775267804</v>
      </c>
      <c r="Q92" s="101">
        <f t="shared" si="42"/>
        <v>528782.41775267804</v>
      </c>
      <c r="R92" s="101">
        <f t="shared" si="43"/>
        <v>0</v>
      </c>
      <c r="S92" s="101">
        <f t="shared" si="44"/>
        <v>0</v>
      </c>
      <c r="T92" s="101">
        <f t="shared" si="45"/>
        <v>0</v>
      </c>
      <c r="U92" s="68">
        <f t="shared" si="46"/>
        <v>2285032.4289896851</v>
      </c>
      <c r="V92" s="68">
        <f t="shared" si="47"/>
        <v>384614.1728928209</v>
      </c>
      <c r="W92" s="68">
        <f t="shared" si="48"/>
        <v>108806.41251821046</v>
      </c>
      <c r="X92" s="68">
        <f t="shared" si="49"/>
        <v>0</v>
      </c>
      <c r="Y92" s="68">
        <f t="shared" si="33"/>
        <v>2778453.0144007164</v>
      </c>
      <c r="Z92" s="101">
        <f t="shared" si="34"/>
        <v>0</v>
      </c>
      <c r="AA92" s="102">
        <f t="shared" si="35"/>
        <v>0</v>
      </c>
      <c r="AB92" s="68">
        <f t="shared" si="36"/>
        <v>0</v>
      </c>
      <c r="AC92" s="68">
        <f t="shared" si="37"/>
        <v>328782.41775267804</v>
      </c>
      <c r="AD92" s="68">
        <f t="shared" si="38"/>
        <v>5463635</v>
      </c>
      <c r="AE92" s="68">
        <f t="shared" si="39"/>
        <v>2614138.2434892552</v>
      </c>
      <c r="AF92" s="68">
        <f t="shared" si="40"/>
        <v>2849496.7565107448</v>
      </c>
      <c r="AG92" s="115">
        <f t="shared" si="41"/>
        <v>5627949.7709114607</v>
      </c>
    </row>
    <row r="93" spans="1:33" x14ac:dyDescent="0.2">
      <c r="A93" s="116">
        <v>14</v>
      </c>
      <c r="B93" s="65" t="str">
        <f t="shared" si="26"/>
        <v>Retired</v>
      </c>
      <c r="C93" s="66">
        <f>N('Savings Projection'!$B$32)</f>
        <v>0</v>
      </c>
      <c r="D93" s="66">
        <f t="shared" si="27"/>
        <v>0</v>
      </c>
      <c r="E93" s="66">
        <f>IF(OR(B93="Retired",D93=0),0,MIN(D93,'Tax Assumptions'!$B$19))</f>
        <v>0</v>
      </c>
      <c r="F93" s="66">
        <f>IF(B93="Working",N('Savings Projection'!$E$32),0)</f>
        <v>0</v>
      </c>
      <c r="G93" s="66">
        <f>IF(B93="Working",N('Savings Projection'!$F$32),0)</f>
        <v>0</v>
      </c>
      <c r="H93" s="66">
        <f>IF(D93=0,0,((LOOKUP(MAX(D93-E93-F93-'Tax Assumptions'!$B$8,0),'Tax Assumptions'!$F$9:$F$15,'Tax Assumptions'!$I$9:$I$15)+(MAX(D93-E93-F93-'Tax Assumptions'!$B$8,0)-LOOKUP(MAX(D93-E93-F93-'Tax Assumptions'!$B$8,0),'Tax Assumptions'!$F$9:$F$15,'Tax Assumptions'!$F$9:$F$15))*LOOKUP(MAX(D93-E93-F93-'Tax Assumptions'!$B$8,0),'Tax Assumptions'!$F$9:$F$15,'Tax Assumptions'!$H$9:$H$15))+(MIN(MAX(D93-F93,0),'Tax Assumptions'!$B$11)*'Tax Assumptions'!$B$10)+(MAX(D93-F93,0)*'Tax Assumptions'!$B$12)+(MAX(MAX(D93-F93,0)-'Tax Assumptions'!$B$14,0)*'Tax Assumptions'!$B$13)+(MIN(D93*'Tax Assumptions'!$B$15,'Tax Assumptions'!$B$16))+(MIN(D93*'Tax Assumptions'!$B$17,'Tax Assumptions'!$B$18))+(LOOKUP(MAX(D93-E93-'Tax Assumptions'!$B$9,0),'Tax Assumptions'!$K$9:$K$17,'Tax Assumptions'!$N$9:$N$17)+(MAX(D93-E93-'Tax Assumptions'!$B$9,0)-LOOKUP(MAX(D93-E93-'Tax Assumptions'!$B$9,0),'Tax Assumptions'!$K$9:$K$17,'Tax Assumptions'!$K$9:$K$17))*LOOKUP(MAX(D93-E93-'Tax Assumptions'!$B$9,0),'Tax Assumptions'!$K$9:$K$17,'Tax Assumptions'!$M$9:$M$17))+(LOOKUP(MAX(D93-E93-'Tax Assumptions'!$B$9,0),'Tax Assumptions'!$P$9:$P$12,'Tax Assumptions'!$S$9:$S$12)+(MAX(D93-E93-'Tax Assumptions'!$B$9,0)-LOOKUP(MAX(D93-E93-'Tax Assumptions'!$B$9,0),'Tax Assumptions'!$P$9:$P$12,'Tax Assumptions'!$P$9:$P$12))*LOOKUP(MAX(D93-E93-'Tax Assumptions'!$B$9,0),'Tax Assumptions'!$P$9:$P$12,'Tax Assumptions'!$R$9:$R$12)))*$C$7)</f>
        <v>0</v>
      </c>
      <c r="I93" s="66">
        <f t="shared" si="28"/>
        <v>0</v>
      </c>
      <c r="J93" s="66">
        <f>IF(B93="Working",N('Savings Projection'!$S$32)*$C$8,0)</f>
        <v>0</v>
      </c>
      <c r="K93" s="66">
        <f>IF(B93="Working",N('Savings Projection'!$T$32)*$C$9,0)</f>
        <v>0</v>
      </c>
      <c r="L93" s="66">
        <f>IF(B93="Working",MIN(MAX(I93-J93-K93-AB93-AC93,0),'Tax Assumptions'!$B$20),0)</f>
        <v>0</v>
      </c>
      <c r="M93" s="66">
        <f t="shared" si="29"/>
        <v>0</v>
      </c>
      <c r="N93" s="66">
        <f t="shared" si="30"/>
        <v>-532388.41685267806</v>
      </c>
      <c r="O93" s="66">
        <f t="shared" si="31"/>
        <v>532388.41685267806</v>
      </c>
      <c r="P93" s="66">
        <f t="shared" si="32"/>
        <v>532388.41685267806</v>
      </c>
      <c r="Q93" s="66">
        <f t="shared" si="42"/>
        <v>532388.41685267806</v>
      </c>
      <c r="R93" s="66">
        <f t="shared" si="43"/>
        <v>0</v>
      </c>
      <c r="S93" s="66">
        <f t="shared" si="44"/>
        <v>0</v>
      </c>
      <c r="T93" s="66">
        <f t="shared" si="45"/>
        <v>0</v>
      </c>
      <c r="U93" s="66">
        <f t="shared" si="46"/>
        <v>1889745.957876388</v>
      </c>
      <c r="V93" s="66">
        <f t="shared" si="47"/>
        <v>407691.0232663902</v>
      </c>
      <c r="W93" s="66">
        <f t="shared" si="48"/>
        <v>115334.79726930309</v>
      </c>
      <c r="X93" s="66">
        <f t="shared" si="49"/>
        <v>0</v>
      </c>
      <c r="Y93" s="66">
        <f t="shared" si="33"/>
        <v>2412771.7784120808</v>
      </c>
      <c r="Z93" s="66">
        <f t="shared" si="34"/>
        <v>0</v>
      </c>
      <c r="AA93" s="69">
        <f t="shared" si="35"/>
        <v>0</v>
      </c>
      <c r="AB93" s="66">
        <f t="shared" si="36"/>
        <v>0</v>
      </c>
      <c r="AC93" s="66">
        <f t="shared" si="37"/>
        <v>332388.41685267806</v>
      </c>
      <c r="AD93" s="66">
        <f t="shared" si="38"/>
        <v>5627544.0499999998</v>
      </c>
      <c r="AE93" s="66">
        <f t="shared" si="39"/>
        <v>2574301.8796430128</v>
      </c>
      <c r="AF93" s="66">
        <f t="shared" si="40"/>
        <v>3053242.170356987</v>
      </c>
      <c r="AG93" s="117">
        <f t="shared" si="41"/>
        <v>5466013.9487690683</v>
      </c>
    </row>
    <row r="94" spans="1:33" x14ac:dyDescent="0.2">
      <c r="A94" s="114">
        <v>15</v>
      </c>
      <c r="B94" s="100" t="str">
        <f t="shared" si="26"/>
        <v>Retired</v>
      </c>
      <c r="C94" s="101">
        <f>N('Savings Projection'!$B$33)</f>
        <v>0</v>
      </c>
      <c r="D94" s="68">
        <f t="shared" si="27"/>
        <v>0</v>
      </c>
      <c r="E94" s="101">
        <f>IF(OR(B94="Retired",D94=0),0,MIN(D94,'Tax Assumptions'!$B$19))</f>
        <v>0</v>
      </c>
      <c r="F94" s="101">
        <f>IF(B94="Working",N('Savings Projection'!$E$33),0)</f>
        <v>0</v>
      </c>
      <c r="G94" s="101">
        <f>IF(B94="Working",N('Savings Projection'!$F$33),0)</f>
        <v>0</v>
      </c>
      <c r="H94" s="68">
        <f>IF(D94=0,0,((LOOKUP(MAX(D94-E94-F94-'Tax Assumptions'!$B$8,0),'Tax Assumptions'!$F$9:$F$15,'Tax Assumptions'!$I$9:$I$15)+(MAX(D94-E94-F94-'Tax Assumptions'!$B$8,0)-LOOKUP(MAX(D94-E94-F94-'Tax Assumptions'!$B$8,0),'Tax Assumptions'!$F$9:$F$15,'Tax Assumptions'!$F$9:$F$15))*LOOKUP(MAX(D94-E94-F94-'Tax Assumptions'!$B$8,0),'Tax Assumptions'!$F$9:$F$15,'Tax Assumptions'!$H$9:$H$15))+(MIN(MAX(D94-F94,0),'Tax Assumptions'!$B$11)*'Tax Assumptions'!$B$10)+(MAX(D94-F94,0)*'Tax Assumptions'!$B$12)+(MAX(MAX(D94-F94,0)-'Tax Assumptions'!$B$14,0)*'Tax Assumptions'!$B$13)+(MIN(D94*'Tax Assumptions'!$B$15,'Tax Assumptions'!$B$16))+(MIN(D94*'Tax Assumptions'!$B$17,'Tax Assumptions'!$B$18))+(LOOKUP(MAX(D94-E94-'Tax Assumptions'!$B$9,0),'Tax Assumptions'!$K$9:$K$17,'Tax Assumptions'!$N$9:$N$17)+(MAX(D94-E94-'Tax Assumptions'!$B$9,0)-LOOKUP(MAX(D94-E94-'Tax Assumptions'!$B$9,0),'Tax Assumptions'!$K$9:$K$17,'Tax Assumptions'!$K$9:$K$17))*LOOKUP(MAX(D94-E94-'Tax Assumptions'!$B$9,0),'Tax Assumptions'!$K$9:$K$17,'Tax Assumptions'!$M$9:$M$17))+(LOOKUP(MAX(D94-E94-'Tax Assumptions'!$B$9,0),'Tax Assumptions'!$P$9:$P$12,'Tax Assumptions'!$S$9:$S$12)+(MAX(D94-E94-'Tax Assumptions'!$B$9,0)-LOOKUP(MAX(D94-E94-'Tax Assumptions'!$B$9,0),'Tax Assumptions'!$P$9:$P$12,'Tax Assumptions'!$P$9:$P$12))*LOOKUP(MAX(D94-E94-'Tax Assumptions'!$B$9,0),'Tax Assumptions'!$P$9:$P$12,'Tax Assumptions'!$R$9:$R$12)))*$C$7)</f>
        <v>0</v>
      </c>
      <c r="I94" s="68">
        <f t="shared" si="28"/>
        <v>0</v>
      </c>
      <c r="J94" s="101">
        <f>IF(B94="Working",N('Savings Projection'!$S$33)*$C$8,0)</f>
        <v>0</v>
      </c>
      <c r="K94" s="101">
        <f>IF(B94="Working",N('Savings Projection'!$T$33)*$C$9,0)</f>
        <v>0</v>
      </c>
      <c r="L94" s="68">
        <f>IF(B94="Working",MIN(MAX(I94-J94-K94-AB94-AC94,0),'Tax Assumptions'!$B$20),0)</f>
        <v>0</v>
      </c>
      <c r="M94" s="68">
        <f t="shared" si="29"/>
        <v>0</v>
      </c>
      <c r="N94" s="101">
        <f t="shared" si="30"/>
        <v>-536102.59592567803</v>
      </c>
      <c r="O94" s="101">
        <f t="shared" si="31"/>
        <v>536102.59592567803</v>
      </c>
      <c r="P94" s="101">
        <f t="shared" si="32"/>
        <v>536102.59592567803</v>
      </c>
      <c r="Q94" s="101">
        <f t="shared" si="42"/>
        <v>536102.59592567803</v>
      </c>
      <c r="R94" s="101">
        <f t="shared" si="43"/>
        <v>0</v>
      </c>
      <c r="S94" s="101">
        <f t="shared" si="44"/>
        <v>0</v>
      </c>
      <c r="T94" s="101">
        <f t="shared" si="45"/>
        <v>0</v>
      </c>
      <c r="U94" s="68">
        <f t="shared" si="46"/>
        <v>1467028.1194232933</v>
      </c>
      <c r="V94" s="68">
        <f t="shared" si="47"/>
        <v>432152.48466237361</v>
      </c>
      <c r="W94" s="68">
        <f t="shared" si="48"/>
        <v>122254.88510546128</v>
      </c>
      <c r="X94" s="68">
        <f t="shared" si="49"/>
        <v>0</v>
      </c>
      <c r="Y94" s="68">
        <f t="shared" si="33"/>
        <v>2021435.4891911282</v>
      </c>
      <c r="Z94" s="101">
        <f t="shared" si="34"/>
        <v>0</v>
      </c>
      <c r="AA94" s="102">
        <f t="shared" si="35"/>
        <v>0</v>
      </c>
      <c r="AB94" s="68">
        <f t="shared" si="36"/>
        <v>0</v>
      </c>
      <c r="AC94" s="68">
        <f t="shared" si="37"/>
        <v>336102.59592567803</v>
      </c>
      <c r="AD94" s="68">
        <f t="shared" si="38"/>
        <v>5796370.3714999994</v>
      </c>
      <c r="AE94" s="68">
        <f t="shared" si="39"/>
        <v>2531797.6007329402</v>
      </c>
      <c r="AF94" s="68">
        <f t="shared" si="40"/>
        <v>3264572.7707670592</v>
      </c>
      <c r="AG94" s="115">
        <f t="shared" si="41"/>
        <v>5286008.2599581871</v>
      </c>
    </row>
    <row r="95" spans="1:33" x14ac:dyDescent="0.2">
      <c r="A95" s="116">
        <v>16</v>
      </c>
      <c r="B95" s="65" t="str">
        <f t="shared" si="26"/>
        <v>Retired</v>
      </c>
      <c r="C95" s="66">
        <f>N('Savings Projection'!$B$34)</f>
        <v>0</v>
      </c>
      <c r="D95" s="66">
        <f t="shared" si="27"/>
        <v>0</v>
      </c>
      <c r="E95" s="66">
        <f>IF(OR(B95="Retired",D95=0),0,MIN(D95,'Tax Assumptions'!$B$19))</f>
        <v>0</v>
      </c>
      <c r="F95" s="66">
        <f>IF(B95="Working",N('Savings Projection'!$E$34),0)</f>
        <v>0</v>
      </c>
      <c r="G95" s="66">
        <f>IF(B95="Working",N('Savings Projection'!$F$34),0)</f>
        <v>0</v>
      </c>
      <c r="H95" s="66">
        <f>IF(D95=0,0,((LOOKUP(MAX(D95-E95-F95-'Tax Assumptions'!$B$8,0),'Tax Assumptions'!$F$9:$F$15,'Tax Assumptions'!$I$9:$I$15)+(MAX(D95-E95-F95-'Tax Assumptions'!$B$8,0)-LOOKUP(MAX(D95-E95-F95-'Tax Assumptions'!$B$8,0),'Tax Assumptions'!$F$9:$F$15,'Tax Assumptions'!$F$9:$F$15))*LOOKUP(MAX(D95-E95-F95-'Tax Assumptions'!$B$8,0),'Tax Assumptions'!$F$9:$F$15,'Tax Assumptions'!$H$9:$H$15))+(MIN(MAX(D95-F95,0),'Tax Assumptions'!$B$11)*'Tax Assumptions'!$B$10)+(MAX(D95-F95,0)*'Tax Assumptions'!$B$12)+(MAX(MAX(D95-F95,0)-'Tax Assumptions'!$B$14,0)*'Tax Assumptions'!$B$13)+(MIN(D95*'Tax Assumptions'!$B$15,'Tax Assumptions'!$B$16))+(MIN(D95*'Tax Assumptions'!$B$17,'Tax Assumptions'!$B$18))+(LOOKUP(MAX(D95-E95-'Tax Assumptions'!$B$9,0),'Tax Assumptions'!$K$9:$K$17,'Tax Assumptions'!$N$9:$N$17)+(MAX(D95-E95-'Tax Assumptions'!$B$9,0)-LOOKUP(MAX(D95-E95-'Tax Assumptions'!$B$9,0),'Tax Assumptions'!$K$9:$K$17,'Tax Assumptions'!$K$9:$K$17))*LOOKUP(MAX(D95-E95-'Tax Assumptions'!$B$9,0),'Tax Assumptions'!$K$9:$K$17,'Tax Assumptions'!$M$9:$M$17))+(LOOKUP(MAX(D95-E95-'Tax Assumptions'!$B$9,0),'Tax Assumptions'!$P$9:$P$12,'Tax Assumptions'!$S$9:$S$12)+(MAX(D95-E95-'Tax Assumptions'!$B$9,0)-LOOKUP(MAX(D95-E95-'Tax Assumptions'!$B$9,0),'Tax Assumptions'!$P$9:$P$12,'Tax Assumptions'!$P$9:$P$12))*LOOKUP(MAX(D95-E95-'Tax Assumptions'!$B$9,0),'Tax Assumptions'!$P$9:$P$12,'Tax Assumptions'!$R$9:$R$12)))*$C$7)</f>
        <v>0</v>
      </c>
      <c r="I95" s="66">
        <f t="shared" si="28"/>
        <v>0</v>
      </c>
      <c r="J95" s="66">
        <f>IF(B95="Working",N('Savings Projection'!$S$34)*$C$8,0)</f>
        <v>0</v>
      </c>
      <c r="K95" s="66">
        <f>IF(B95="Working",N('Savings Projection'!$T$34)*$C$9,0)</f>
        <v>0</v>
      </c>
      <c r="L95" s="66">
        <f>IF(B95="Working",MIN(MAX(I95-J95-K95-AB95-AC95,0),'Tax Assumptions'!$B$20),0)</f>
        <v>0</v>
      </c>
      <c r="M95" s="66">
        <f t="shared" si="29"/>
        <v>0</v>
      </c>
      <c r="N95" s="66">
        <f t="shared" si="30"/>
        <v>-539928.20037086809</v>
      </c>
      <c r="O95" s="66">
        <f t="shared" si="31"/>
        <v>539928.20037086809</v>
      </c>
      <c r="P95" s="66">
        <f t="shared" si="32"/>
        <v>539928.20037086809</v>
      </c>
      <c r="Q95" s="66">
        <f t="shared" si="42"/>
        <v>539928.20037086809</v>
      </c>
      <c r="R95" s="66">
        <f t="shared" si="43"/>
        <v>0</v>
      </c>
      <c r="S95" s="66">
        <f t="shared" si="44"/>
        <v>0</v>
      </c>
      <c r="T95" s="66">
        <f t="shared" si="45"/>
        <v>0</v>
      </c>
      <c r="U95" s="66">
        <f t="shared" si="46"/>
        <v>1015121.6062178229</v>
      </c>
      <c r="V95" s="66">
        <f t="shared" si="47"/>
        <v>458081.63374211604</v>
      </c>
      <c r="W95" s="66">
        <f t="shared" si="48"/>
        <v>129590.17821178895</v>
      </c>
      <c r="X95" s="66">
        <f t="shared" si="49"/>
        <v>0</v>
      </c>
      <c r="Y95" s="66">
        <f t="shared" si="33"/>
        <v>1602793.4181717278</v>
      </c>
      <c r="Z95" s="66">
        <f t="shared" si="34"/>
        <v>0</v>
      </c>
      <c r="AA95" s="69">
        <f t="shared" si="35"/>
        <v>0</v>
      </c>
      <c r="AB95" s="66">
        <f t="shared" si="36"/>
        <v>0</v>
      </c>
      <c r="AC95" s="66">
        <f t="shared" si="37"/>
        <v>339928.20037086809</v>
      </c>
      <c r="AD95" s="66">
        <f t="shared" si="38"/>
        <v>5970261.4826449994</v>
      </c>
      <c r="AE95" s="66">
        <f t="shared" si="39"/>
        <v>2486446.7315462278</v>
      </c>
      <c r="AF95" s="66">
        <f t="shared" si="40"/>
        <v>3483814.7510987716</v>
      </c>
      <c r="AG95" s="117">
        <f t="shared" si="41"/>
        <v>5086608.1692704996</v>
      </c>
    </row>
    <row r="96" spans="1:33" x14ac:dyDescent="0.2">
      <c r="A96" s="114">
        <v>17</v>
      </c>
      <c r="B96" s="100" t="str">
        <f t="shared" si="26"/>
        <v>Retired</v>
      </c>
      <c r="C96" s="101">
        <f>N('Savings Projection'!$B$35)</f>
        <v>0</v>
      </c>
      <c r="D96" s="68">
        <f t="shared" si="27"/>
        <v>0</v>
      </c>
      <c r="E96" s="101">
        <f>IF(OR(B96="Retired",D96=0),0,MIN(D96,'Tax Assumptions'!$B$19))</f>
        <v>0</v>
      </c>
      <c r="F96" s="101">
        <f>IF(B96="Working",N('Savings Projection'!$E$35),0)</f>
        <v>0</v>
      </c>
      <c r="G96" s="101">
        <f>IF(B96="Working",N('Savings Projection'!$F$35),0)</f>
        <v>0</v>
      </c>
      <c r="H96" s="68">
        <f>IF(D96=0,0,((LOOKUP(MAX(D96-E96-F96-'Tax Assumptions'!$B$8,0),'Tax Assumptions'!$F$9:$F$15,'Tax Assumptions'!$I$9:$I$15)+(MAX(D96-E96-F96-'Tax Assumptions'!$B$8,0)-LOOKUP(MAX(D96-E96-F96-'Tax Assumptions'!$B$8,0),'Tax Assumptions'!$F$9:$F$15,'Tax Assumptions'!$F$9:$F$15))*LOOKUP(MAX(D96-E96-F96-'Tax Assumptions'!$B$8,0),'Tax Assumptions'!$F$9:$F$15,'Tax Assumptions'!$H$9:$H$15))+(MIN(MAX(D96-F96,0),'Tax Assumptions'!$B$11)*'Tax Assumptions'!$B$10)+(MAX(D96-F96,0)*'Tax Assumptions'!$B$12)+(MAX(MAX(D96-F96,0)-'Tax Assumptions'!$B$14,0)*'Tax Assumptions'!$B$13)+(MIN(D96*'Tax Assumptions'!$B$15,'Tax Assumptions'!$B$16))+(MIN(D96*'Tax Assumptions'!$B$17,'Tax Assumptions'!$B$18))+(LOOKUP(MAX(D96-E96-'Tax Assumptions'!$B$9,0),'Tax Assumptions'!$K$9:$K$17,'Tax Assumptions'!$N$9:$N$17)+(MAX(D96-E96-'Tax Assumptions'!$B$9,0)-LOOKUP(MAX(D96-E96-'Tax Assumptions'!$B$9,0),'Tax Assumptions'!$K$9:$K$17,'Tax Assumptions'!$K$9:$K$17))*LOOKUP(MAX(D96-E96-'Tax Assumptions'!$B$9,0),'Tax Assumptions'!$K$9:$K$17,'Tax Assumptions'!$M$9:$M$17))+(LOOKUP(MAX(D96-E96-'Tax Assumptions'!$B$9,0),'Tax Assumptions'!$P$9:$P$12,'Tax Assumptions'!$S$9:$S$12)+(MAX(D96-E96-'Tax Assumptions'!$B$9,0)-LOOKUP(MAX(D96-E96-'Tax Assumptions'!$B$9,0),'Tax Assumptions'!$P$9:$P$12,'Tax Assumptions'!$P$9:$P$12))*LOOKUP(MAX(D96-E96-'Tax Assumptions'!$B$9,0),'Tax Assumptions'!$P$9:$P$12,'Tax Assumptions'!$R$9:$R$12)))*$C$7)</f>
        <v>0</v>
      </c>
      <c r="I96" s="68">
        <f t="shared" si="28"/>
        <v>0</v>
      </c>
      <c r="J96" s="101">
        <f>IF(B96="Working",N('Savings Projection'!$S$35)*$C$8,0)</f>
        <v>0</v>
      </c>
      <c r="K96" s="101">
        <f>IF(B96="Working",N('Savings Projection'!$T$35)*$C$9,0)</f>
        <v>0</v>
      </c>
      <c r="L96" s="68">
        <f>IF(B96="Working",MIN(MAX(I96-J96-K96-AB96-AC96,0),'Tax Assumptions'!$B$20),0)</f>
        <v>0</v>
      </c>
      <c r="M96" s="68">
        <f t="shared" si="29"/>
        <v>0</v>
      </c>
      <c r="N96" s="101">
        <f t="shared" si="30"/>
        <v>-543868.57294941379</v>
      </c>
      <c r="O96" s="101">
        <f t="shared" si="31"/>
        <v>543868.57294941379</v>
      </c>
      <c r="P96" s="101">
        <f t="shared" si="32"/>
        <v>543868.57294941379</v>
      </c>
      <c r="Q96" s="101">
        <f t="shared" si="42"/>
        <v>543868.57294941379</v>
      </c>
      <c r="R96" s="101">
        <f t="shared" si="43"/>
        <v>0</v>
      </c>
      <c r="S96" s="101">
        <f t="shared" si="44"/>
        <v>0</v>
      </c>
      <c r="T96" s="101">
        <f t="shared" si="45"/>
        <v>0</v>
      </c>
      <c r="U96" s="68">
        <f t="shared" si="46"/>
        <v>532160.32964147849</v>
      </c>
      <c r="V96" s="68">
        <f t="shared" si="47"/>
        <v>485566.53176664305</v>
      </c>
      <c r="W96" s="68">
        <f t="shared" si="48"/>
        <v>137365.58890449628</v>
      </c>
      <c r="X96" s="68">
        <f t="shared" si="49"/>
        <v>0</v>
      </c>
      <c r="Y96" s="68">
        <f t="shared" si="33"/>
        <v>1155092.4503126177</v>
      </c>
      <c r="Z96" s="101">
        <f t="shared" si="34"/>
        <v>0</v>
      </c>
      <c r="AA96" s="102">
        <f t="shared" si="35"/>
        <v>0</v>
      </c>
      <c r="AB96" s="68">
        <f t="shared" si="36"/>
        <v>0</v>
      </c>
      <c r="AC96" s="68">
        <f t="shared" si="37"/>
        <v>343868.57294941379</v>
      </c>
      <c r="AD96" s="68">
        <f t="shared" si="38"/>
        <v>6149369.3271243498</v>
      </c>
      <c r="AE96" s="68">
        <f t="shared" si="39"/>
        <v>2438058.6306601558</v>
      </c>
      <c r="AF96" s="68">
        <f t="shared" si="40"/>
        <v>3711310.696464194</v>
      </c>
      <c r="AG96" s="115">
        <f t="shared" si="41"/>
        <v>4866403.1467768122</v>
      </c>
    </row>
    <row r="97" spans="1:33" x14ac:dyDescent="0.2">
      <c r="A97" s="116">
        <v>18</v>
      </c>
      <c r="B97" s="65" t="str">
        <f t="shared" si="26"/>
        <v>Retired</v>
      </c>
      <c r="C97" s="66">
        <f>N('Savings Projection'!$B$36)</f>
        <v>0</v>
      </c>
      <c r="D97" s="66">
        <f t="shared" si="27"/>
        <v>0</v>
      </c>
      <c r="E97" s="66">
        <f>IF(OR(B97="Retired",D97=0),0,MIN(D97,'Tax Assumptions'!$B$19))</f>
        <v>0</v>
      </c>
      <c r="F97" s="66">
        <f>IF(B97="Working",N('Savings Projection'!$E$36),0)</f>
        <v>0</v>
      </c>
      <c r="G97" s="66">
        <f>IF(B97="Working",N('Savings Projection'!$F$36),0)</f>
        <v>0</v>
      </c>
      <c r="H97" s="66">
        <f>IF(D97=0,0,((LOOKUP(MAX(D97-E97-F97-'Tax Assumptions'!$B$8,0),'Tax Assumptions'!$F$9:$F$15,'Tax Assumptions'!$I$9:$I$15)+(MAX(D97-E97-F97-'Tax Assumptions'!$B$8,0)-LOOKUP(MAX(D97-E97-F97-'Tax Assumptions'!$B$8,0),'Tax Assumptions'!$F$9:$F$15,'Tax Assumptions'!$F$9:$F$15))*LOOKUP(MAX(D97-E97-F97-'Tax Assumptions'!$B$8,0),'Tax Assumptions'!$F$9:$F$15,'Tax Assumptions'!$H$9:$H$15))+(MIN(MAX(D97-F97,0),'Tax Assumptions'!$B$11)*'Tax Assumptions'!$B$10)+(MAX(D97-F97,0)*'Tax Assumptions'!$B$12)+(MAX(MAX(D97-F97,0)-'Tax Assumptions'!$B$14,0)*'Tax Assumptions'!$B$13)+(MIN(D97*'Tax Assumptions'!$B$15,'Tax Assumptions'!$B$16))+(MIN(D97*'Tax Assumptions'!$B$17,'Tax Assumptions'!$B$18))+(LOOKUP(MAX(D97-E97-'Tax Assumptions'!$B$9,0),'Tax Assumptions'!$K$9:$K$17,'Tax Assumptions'!$N$9:$N$17)+(MAX(D97-E97-'Tax Assumptions'!$B$9,0)-LOOKUP(MAX(D97-E97-'Tax Assumptions'!$B$9,0),'Tax Assumptions'!$K$9:$K$17,'Tax Assumptions'!$K$9:$K$17))*LOOKUP(MAX(D97-E97-'Tax Assumptions'!$B$9,0),'Tax Assumptions'!$K$9:$K$17,'Tax Assumptions'!$M$9:$M$17))+(LOOKUP(MAX(D97-E97-'Tax Assumptions'!$B$9,0),'Tax Assumptions'!$P$9:$P$12,'Tax Assumptions'!$S$9:$S$12)+(MAX(D97-E97-'Tax Assumptions'!$B$9,0)-LOOKUP(MAX(D97-E97-'Tax Assumptions'!$B$9,0),'Tax Assumptions'!$P$9:$P$12,'Tax Assumptions'!$P$9:$P$12))*LOOKUP(MAX(D97-E97-'Tax Assumptions'!$B$9,0),'Tax Assumptions'!$P$9:$P$12,'Tax Assumptions'!$R$9:$R$12)))*$C$7)</f>
        <v>0</v>
      </c>
      <c r="I97" s="66">
        <f t="shared" si="28"/>
        <v>0</v>
      </c>
      <c r="J97" s="66">
        <f>IF(B97="Working",N('Savings Projection'!$S$36)*$C$8,0)</f>
        <v>0</v>
      </c>
      <c r="K97" s="66">
        <f>IF(B97="Working",N('Savings Projection'!$T$36)*$C$9,0)</f>
        <v>0</v>
      </c>
      <c r="L97" s="66">
        <f>IF(B97="Working",MIN(MAX(I97-J97-K97-AB97-AC97,0),'Tax Assumptions'!$B$20),0)</f>
        <v>0</v>
      </c>
      <c r="M97" s="66">
        <f t="shared" si="29"/>
        <v>0</v>
      </c>
      <c r="N97" s="66">
        <f t="shared" si="30"/>
        <v>-547927.15670531581</v>
      </c>
      <c r="O97" s="66">
        <f t="shared" si="31"/>
        <v>547927.15670531581</v>
      </c>
      <c r="P97" s="66">
        <f t="shared" si="32"/>
        <v>547927.15670531581</v>
      </c>
      <c r="Q97" s="66">
        <f t="shared" si="42"/>
        <v>547927.15670531581</v>
      </c>
      <c r="R97" s="66">
        <f t="shared" si="43"/>
        <v>0</v>
      </c>
      <c r="S97" s="66">
        <f t="shared" si="44"/>
        <v>0</v>
      </c>
      <c r="T97" s="66">
        <f t="shared" si="45"/>
        <v>0</v>
      </c>
      <c r="U97" s="66">
        <f t="shared" si="46"/>
        <v>16162.792714651441</v>
      </c>
      <c r="V97" s="66">
        <f t="shared" si="47"/>
        <v>514700.52367264166</v>
      </c>
      <c r="W97" s="66">
        <f t="shared" si="48"/>
        <v>145607.52423876605</v>
      </c>
      <c r="X97" s="66">
        <f t="shared" si="49"/>
        <v>0</v>
      </c>
      <c r="Y97" s="66">
        <f t="shared" si="33"/>
        <v>676470.84062605922</v>
      </c>
      <c r="Z97" s="66">
        <f t="shared" si="34"/>
        <v>0</v>
      </c>
      <c r="AA97" s="69">
        <f t="shared" si="35"/>
        <v>0</v>
      </c>
      <c r="AB97" s="66">
        <f t="shared" si="36"/>
        <v>0</v>
      </c>
      <c r="AC97" s="66">
        <f t="shared" si="37"/>
        <v>347927.15670531581</v>
      </c>
      <c r="AD97" s="66">
        <f t="shared" si="38"/>
        <v>6333850.4069380797</v>
      </c>
      <c r="AE97" s="66">
        <f t="shared" si="39"/>
        <v>2386429.889042858</v>
      </c>
      <c r="AF97" s="66">
        <f t="shared" si="40"/>
        <v>3947420.5178952217</v>
      </c>
      <c r="AG97" s="117">
        <f t="shared" si="41"/>
        <v>4623891.3585212808</v>
      </c>
    </row>
    <row r="98" spans="1:33" x14ac:dyDescent="0.2">
      <c r="A98" s="114">
        <v>19</v>
      </c>
      <c r="B98" s="100" t="str">
        <f t="shared" si="26"/>
        <v>Retired</v>
      </c>
      <c r="C98" s="101">
        <f>N('Savings Projection'!$B$37)</f>
        <v>0</v>
      </c>
      <c r="D98" s="68">
        <f t="shared" si="27"/>
        <v>0</v>
      </c>
      <c r="E98" s="101">
        <f>IF(OR(B98="Retired",D98=0),0,MIN(D98,'Tax Assumptions'!$B$19))</f>
        <v>0</v>
      </c>
      <c r="F98" s="101">
        <f>IF(B98="Working",N('Savings Projection'!$E$37),0)</f>
        <v>0</v>
      </c>
      <c r="G98" s="101">
        <f>IF(B98="Working",N('Savings Projection'!$F$37),0)</f>
        <v>0</v>
      </c>
      <c r="H98" s="68">
        <f>IF(D98=0,0,((LOOKUP(MAX(D98-E98-F98-'Tax Assumptions'!$B$8,0),'Tax Assumptions'!$F$9:$F$15,'Tax Assumptions'!$I$9:$I$15)+(MAX(D98-E98-F98-'Tax Assumptions'!$B$8,0)-LOOKUP(MAX(D98-E98-F98-'Tax Assumptions'!$B$8,0),'Tax Assumptions'!$F$9:$F$15,'Tax Assumptions'!$F$9:$F$15))*LOOKUP(MAX(D98-E98-F98-'Tax Assumptions'!$B$8,0),'Tax Assumptions'!$F$9:$F$15,'Tax Assumptions'!$H$9:$H$15))+(MIN(MAX(D98-F98,0),'Tax Assumptions'!$B$11)*'Tax Assumptions'!$B$10)+(MAX(D98-F98,0)*'Tax Assumptions'!$B$12)+(MAX(MAX(D98-F98,0)-'Tax Assumptions'!$B$14,0)*'Tax Assumptions'!$B$13)+(MIN(D98*'Tax Assumptions'!$B$15,'Tax Assumptions'!$B$16))+(MIN(D98*'Tax Assumptions'!$B$17,'Tax Assumptions'!$B$18))+(LOOKUP(MAX(D98-E98-'Tax Assumptions'!$B$9,0),'Tax Assumptions'!$K$9:$K$17,'Tax Assumptions'!$N$9:$N$17)+(MAX(D98-E98-'Tax Assumptions'!$B$9,0)-LOOKUP(MAX(D98-E98-'Tax Assumptions'!$B$9,0),'Tax Assumptions'!$K$9:$K$17,'Tax Assumptions'!$K$9:$K$17))*LOOKUP(MAX(D98-E98-'Tax Assumptions'!$B$9,0),'Tax Assumptions'!$K$9:$K$17,'Tax Assumptions'!$M$9:$M$17))+(LOOKUP(MAX(D98-E98-'Tax Assumptions'!$B$9,0),'Tax Assumptions'!$P$9:$P$12,'Tax Assumptions'!$S$9:$S$12)+(MAX(D98-E98-'Tax Assumptions'!$B$9,0)-LOOKUP(MAX(D98-E98-'Tax Assumptions'!$B$9,0),'Tax Assumptions'!$P$9:$P$12,'Tax Assumptions'!$P$9:$P$12))*LOOKUP(MAX(D98-E98-'Tax Assumptions'!$B$9,0),'Tax Assumptions'!$P$9:$P$12,'Tax Assumptions'!$R$9:$R$12)))*$C$7)</f>
        <v>0</v>
      </c>
      <c r="I98" s="68">
        <f t="shared" si="28"/>
        <v>0</v>
      </c>
      <c r="J98" s="101">
        <f>IF(B98="Working",N('Savings Projection'!$S$37)*$C$8,0)</f>
        <v>0</v>
      </c>
      <c r="K98" s="101">
        <f>IF(B98="Working",N('Savings Projection'!$T$37)*$C$9,0)</f>
        <v>0</v>
      </c>
      <c r="L98" s="68">
        <f>IF(B98="Working",MIN(MAX(I98-J98-K98-AB98-AC98,0),'Tax Assumptions'!$B$20),0)</f>
        <v>0</v>
      </c>
      <c r="M98" s="68">
        <f t="shared" si="29"/>
        <v>0</v>
      </c>
      <c r="N98" s="101">
        <f t="shared" si="30"/>
        <v>-552107.49797389493</v>
      </c>
      <c r="O98" s="101">
        <f t="shared" si="31"/>
        <v>552107.49797389493</v>
      </c>
      <c r="P98" s="101">
        <f t="shared" si="32"/>
        <v>552107.49797389493</v>
      </c>
      <c r="Q98" s="101">
        <f t="shared" si="42"/>
        <v>17132.560277530527</v>
      </c>
      <c r="R98" s="101">
        <f t="shared" si="43"/>
        <v>534974.93769636436</v>
      </c>
      <c r="S98" s="101">
        <f t="shared" si="44"/>
        <v>0</v>
      </c>
      <c r="T98" s="101">
        <f t="shared" si="45"/>
        <v>0</v>
      </c>
      <c r="U98" s="68">
        <f t="shared" si="46"/>
        <v>0</v>
      </c>
      <c r="V98" s="68">
        <f t="shared" si="47"/>
        <v>10607.617396635818</v>
      </c>
      <c r="W98" s="68">
        <f t="shared" si="48"/>
        <v>154343.97569309201</v>
      </c>
      <c r="X98" s="68">
        <f t="shared" si="49"/>
        <v>0</v>
      </c>
      <c r="Y98" s="68">
        <f t="shared" si="33"/>
        <v>164951.59308972783</v>
      </c>
      <c r="Z98" s="101">
        <f t="shared" si="34"/>
        <v>0</v>
      </c>
      <c r="AA98" s="102">
        <f t="shared" si="35"/>
        <v>0</v>
      </c>
      <c r="AB98" s="68">
        <f t="shared" si="36"/>
        <v>0</v>
      </c>
      <c r="AC98" s="68">
        <f t="shared" si="37"/>
        <v>352107.49797389493</v>
      </c>
      <c r="AD98" s="68">
        <f t="shared" si="38"/>
        <v>6523865.9191462221</v>
      </c>
      <c r="AE98" s="68">
        <f t="shared" si="39"/>
        <v>2331343.4749828884</v>
      </c>
      <c r="AF98" s="68">
        <f t="shared" si="40"/>
        <v>4192522.4441633336</v>
      </c>
      <c r="AG98" s="115">
        <f t="shared" si="41"/>
        <v>4357474.0372530613</v>
      </c>
    </row>
    <row r="99" spans="1:33" x14ac:dyDescent="0.2">
      <c r="A99" s="116">
        <v>20</v>
      </c>
      <c r="B99" s="65" t="str">
        <f t="shared" si="26"/>
        <v>Retired</v>
      </c>
      <c r="C99" s="66">
        <f>N('Savings Projection'!$B$38)</f>
        <v>0</v>
      </c>
      <c r="D99" s="66">
        <f t="shared" si="27"/>
        <v>0</v>
      </c>
      <c r="E99" s="66">
        <f>IF(OR(B99="Retired",D99=0),0,MIN(D99,'Tax Assumptions'!$B$19))</f>
        <v>0</v>
      </c>
      <c r="F99" s="66">
        <f>IF(B99="Working",N('Savings Projection'!$E$38),0)</f>
        <v>0</v>
      </c>
      <c r="G99" s="66">
        <f>IF(B99="Working",N('Savings Projection'!$F$38),0)</f>
        <v>0</v>
      </c>
      <c r="H99" s="66">
        <f>IF(D99=0,0,((LOOKUP(MAX(D99-E99-F99-'Tax Assumptions'!$B$8,0),'Tax Assumptions'!$F$9:$F$15,'Tax Assumptions'!$I$9:$I$15)+(MAX(D99-E99-F99-'Tax Assumptions'!$B$8,0)-LOOKUP(MAX(D99-E99-F99-'Tax Assumptions'!$B$8,0),'Tax Assumptions'!$F$9:$F$15,'Tax Assumptions'!$F$9:$F$15))*LOOKUP(MAX(D99-E99-F99-'Tax Assumptions'!$B$8,0),'Tax Assumptions'!$F$9:$F$15,'Tax Assumptions'!$H$9:$H$15))+(MIN(MAX(D99-F99,0),'Tax Assumptions'!$B$11)*'Tax Assumptions'!$B$10)+(MAX(D99-F99,0)*'Tax Assumptions'!$B$12)+(MAX(MAX(D99-F99,0)-'Tax Assumptions'!$B$14,0)*'Tax Assumptions'!$B$13)+(MIN(D99*'Tax Assumptions'!$B$15,'Tax Assumptions'!$B$16))+(MIN(D99*'Tax Assumptions'!$B$17,'Tax Assumptions'!$B$18))+(LOOKUP(MAX(D99-E99-'Tax Assumptions'!$B$9,0),'Tax Assumptions'!$K$9:$K$17,'Tax Assumptions'!$N$9:$N$17)+(MAX(D99-E99-'Tax Assumptions'!$B$9,0)-LOOKUP(MAX(D99-E99-'Tax Assumptions'!$B$9,0),'Tax Assumptions'!$K$9:$K$17,'Tax Assumptions'!$K$9:$K$17))*LOOKUP(MAX(D99-E99-'Tax Assumptions'!$B$9,0),'Tax Assumptions'!$K$9:$K$17,'Tax Assumptions'!$M$9:$M$17))+(LOOKUP(MAX(D99-E99-'Tax Assumptions'!$B$9,0),'Tax Assumptions'!$P$9:$P$12,'Tax Assumptions'!$S$9:$S$12)+(MAX(D99-E99-'Tax Assumptions'!$B$9,0)-LOOKUP(MAX(D99-E99-'Tax Assumptions'!$B$9,0),'Tax Assumptions'!$P$9:$P$12,'Tax Assumptions'!$P$9:$P$12))*LOOKUP(MAX(D99-E99-'Tax Assumptions'!$B$9,0),'Tax Assumptions'!$P$9:$P$12,'Tax Assumptions'!$R$9:$R$12)))*$C$7)</f>
        <v>0</v>
      </c>
      <c r="I99" s="66">
        <f t="shared" si="28"/>
        <v>0</v>
      </c>
      <c r="J99" s="66">
        <f>IF(B99="Working",N('Savings Projection'!$S$38)*$C$8,0)</f>
        <v>0</v>
      </c>
      <c r="K99" s="66">
        <f>IF(B99="Working",N('Savings Projection'!$T$38)*$C$9,0)</f>
        <v>0</v>
      </c>
      <c r="L99" s="66">
        <f>IF(B99="Working",MIN(MAX(I99-J99-K99-AB99-AC99,0),'Tax Assumptions'!$B$20),0)</f>
        <v>0</v>
      </c>
      <c r="M99" s="66">
        <f t="shared" si="29"/>
        <v>0</v>
      </c>
      <c r="N99" s="66">
        <f t="shared" si="30"/>
        <v>-174848.68867511151</v>
      </c>
      <c r="O99" s="66">
        <f t="shared" si="31"/>
        <v>556413.24948053143</v>
      </c>
      <c r="P99" s="66">
        <f t="shared" si="32"/>
        <v>174848.68867511151</v>
      </c>
      <c r="Q99" s="66">
        <f t="shared" si="42"/>
        <v>0</v>
      </c>
      <c r="R99" s="66">
        <f t="shared" si="43"/>
        <v>11244.074440433968</v>
      </c>
      <c r="S99" s="66">
        <f t="shared" si="44"/>
        <v>163604.61423467755</v>
      </c>
      <c r="T99" s="66">
        <f t="shared" si="45"/>
        <v>0</v>
      </c>
      <c r="U99" s="66">
        <f t="shared" si="46"/>
        <v>0</v>
      </c>
      <c r="V99" s="66">
        <f t="shared" si="47"/>
        <v>0</v>
      </c>
      <c r="W99" s="66">
        <f t="shared" si="48"/>
        <v>0</v>
      </c>
      <c r="X99" s="66">
        <f t="shared" si="49"/>
        <v>0</v>
      </c>
      <c r="Y99" s="66">
        <f t="shared" si="33"/>
        <v>0</v>
      </c>
      <c r="Z99" s="66">
        <f t="shared" si="34"/>
        <v>381564.56080541993</v>
      </c>
      <c r="AA99" s="69">
        <f t="shared" si="35"/>
        <v>0</v>
      </c>
      <c r="AB99" s="66">
        <f t="shared" si="36"/>
        <v>0</v>
      </c>
      <c r="AC99" s="66">
        <f t="shared" si="37"/>
        <v>356413.24948053143</v>
      </c>
      <c r="AD99" s="66">
        <f t="shared" si="38"/>
        <v>6719581.8967206087</v>
      </c>
      <c r="AE99" s="66">
        <f t="shared" si="39"/>
        <v>2272567.8217531447</v>
      </c>
      <c r="AF99" s="66">
        <f t="shared" si="40"/>
        <v>4447014.0749674644</v>
      </c>
      <c r="AG99" s="117">
        <f t="shared" si="41"/>
        <v>4447014.0749674644</v>
      </c>
    </row>
    <row r="100" spans="1:33" x14ac:dyDescent="0.2">
      <c r="A100" s="114">
        <v>21</v>
      </c>
      <c r="B100" s="100" t="str">
        <f t="shared" si="26"/>
        <v>Retired</v>
      </c>
      <c r="C100" s="101">
        <f>N('Savings Projection'!$B$39)</f>
        <v>0</v>
      </c>
      <c r="D100" s="68">
        <f t="shared" si="27"/>
        <v>0</v>
      </c>
      <c r="E100" s="101">
        <f>IF(OR(B100="Retired",D100=0),0,MIN(D100,'Tax Assumptions'!$B$19))</f>
        <v>0</v>
      </c>
      <c r="F100" s="101">
        <f>IF(B100="Working",N('Savings Projection'!$E$39),0)</f>
        <v>0</v>
      </c>
      <c r="G100" s="101">
        <f>IF(B100="Working",N('Savings Projection'!$F$39),0)</f>
        <v>0</v>
      </c>
      <c r="H100" s="68">
        <f>IF(D100=0,0,((LOOKUP(MAX(D100-E100-F100-'Tax Assumptions'!$B$8,0),'Tax Assumptions'!$F$9:$F$15,'Tax Assumptions'!$I$9:$I$15)+(MAX(D100-E100-F100-'Tax Assumptions'!$B$8,0)-LOOKUP(MAX(D100-E100-F100-'Tax Assumptions'!$B$8,0),'Tax Assumptions'!$F$9:$F$15,'Tax Assumptions'!$F$9:$F$15))*LOOKUP(MAX(D100-E100-F100-'Tax Assumptions'!$B$8,0),'Tax Assumptions'!$F$9:$F$15,'Tax Assumptions'!$H$9:$H$15))+(MIN(MAX(D100-F100,0),'Tax Assumptions'!$B$11)*'Tax Assumptions'!$B$10)+(MAX(D100-F100,0)*'Tax Assumptions'!$B$12)+(MAX(MAX(D100-F100,0)-'Tax Assumptions'!$B$14,0)*'Tax Assumptions'!$B$13)+(MIN(D100*'Tax Assumptions'!$B$15,'Tax Assumptions'!$B$16))+(MIN(D100*'Tax Assumptions'!$B$17,'Tax Assumptions'!$B$18))+(LOOKUP(MAX(D100-E100-'Tax Assumptions'!$B$9,0),'Tax Assumptions'!$K$9:$K$17,'Tax Assumptions'!$N$9:$N$17)+(MAX(D100-E100-'Tax Assumptions'!$B$9,0)-LOOKUP(MAX(D100-E100-'Tax Assumptions'!$B$9,0),'Tax Assumptions'!$K$9:$K$17,'Tax Assumptions'!$K$9:$K$17))*LOOKUP(MAX(D100-E100-'Tax Assumptions'!$B$9,0),'Tax Assumptions'!$K$9:$K$17,'Tax Assumptions'!$M$9:$M$17))+(LOOKUP(MAX(D100-E100-'Tax Assumptions'!$B$9,0),'Tax Assumptions'!$P$9:$P$12,'Tax Assumptions'!$S$9:$S$12)+(MAX(D100-E100-'Tax Assumptions'!$B$9,0)-LOOKUP(MAX(D100-E100-'Tax Assumptions'!$B$9,0),'Tax Assumptions'!$P$9:$P$12,'Tax Assumptions'!$P$9:$P$12))*LOOKUP(MAX(D100-E100-'Tax Assumptions'!$B$9,0),'Tax Assumptions'!$P$9:$P$12,'Tax Assumptions'!$R$9:$R$12)))*$C$7)</f>
        <v>0</v>
      </c>
      <c r="I100" s="68">
        <f t="shared" si="28"/>
        <v>0</v>
      </c>
      <c r="J100" s="101">
        <f>IF(B100="Working",N('Savings Projection'!$S$39)*$C$8,0)</f>
        <v>0</v>
      </c>
      <c r="K100" s="101">
        <f>IF(B100="Working",N('Savings Projection'!$T$39)*$C$9,0)</f>
        <v>0</v>
      </c>
      <c r="L100" s="68">
        <f>IF(B100="Working",MIN(MAX(I100-J100-K100-AB100-AC100,0),'Tax Assumptions'!$B$20),0)</f>
        <v>0</v>
      </c>
      <c r="M100" s="68">
        <f t="shared" si="29"/>
        <v>0</v>
      </c>
      <c r="N100" s="101">
        <f t="shared" si="30"/>
        <v>0</v>
      </c>
      <c r="O100" s="101">
        <f t="shared" si="31"/>
        <v>560848.17353236699</v>
      </c>
      <c r="P100" s="101">
        <f t="shared" si="32"/>
        <v>0</v>
      </c>
      <c r="Q100" s="101">
        <f t="shared" si="42"/>
        <v>0</v>
      </c>
      <c r="R100" s="101">
        <f t="shared" si="43"/>
        <v>0</v>
      </c>
      <c r="S100" s="101">
        <f t="shared" si="44"/>
        <v>0</v>
      </c>
      <c r="T100" s="101">
        <f t="shared" si="45"/>
        <v>0</v>
      </c>
      <c r="U100" s="68">
        <f t="shared" si="46"/>
        <v>0</v>
      </c>
      <c r="V100" s="68">
        <f t="shared" si="47"/>
        <v>0</v>
      </c>
      <c r="W100" s="68">
        <f t="shared" si="48"/>
        <v>0</v>
      </c>
      <c r="X100" s="68">
        <f t="shared" si="49"/>
        <v>0</v>
      </c>
      <c r="Y100" s="68">
        <f t="shared" si="33"/>
        <v>0</v>
      </c>
      <c r="Z100" s="101">
        <f t="shared" si="34"/>
        <v>560848.17353236699</v>
      </c>
      <c r="AA100" s="102">
        <f t="shared" si="35"/>
        <v>0</v>
      </c>
      <c r="AB100" s="68">
        <f t="shared" si="36"/>
        <v>0</v>
      </c>
      <c r="AC100" s="68">
        <f t="shared" si="37"/>
        <v>360848.17353236704</v>
      </c>
      <c r="AD100" s="68">
        <f t="shared" si="38"/>
        <v>6921169.353622227</v>
      </c>
      <c r="AE100" s="68">
        <f t="shared" si="39"/>
        <v>2209855.8541739448</v>
      </c>
      <c r="AF100" s="68">
        <f t="shared" si="40"/>
        <v>4711313.4994482826</v>
      </c>
      <c r="AG100" s="115">
        <f t="shared" si="41"/>
        <v>4711313.4994482826</v>
      </c>
    </row>
    <row r="101" spans="1:33" x14ac:dyDescent="0.2">
      <c r="A101" s="116">
        <v>22</v>
      </c>
      <c r="B101" s="65" t="str">
        <f t="shared" si="26"/>
        <v>Retired</v>
      </c>
      <c r="C101" s="66">
        <f>N('Savings Projection'!$B$40)</f>
        <v>0</v>
      </c>
      <c r="D101" s="66">
        <f t="shared" si="27"/>
        <v>0</v>
      </c>
      <c r="E101" s="66">
        <f>IF(OR(B101="Retired",D101=0),0,MIN(D101,'Tax Assumptions'!$B$19))</f>
        <v>0</v>
      </c>
      <c r="F101" s="66">
        <f>IF(B101="Working",N('Savings Projection'!$E$40),0)</f>
        <v>0</v>
      </c>
      <c r="G101" s="66">
        <f>IF(B101="Working",N('Savings Projection'!$F$40),0)</f>
        <v>0</v>
      </c>
      <c r="H101" s="66">
        <f>IF(D101=0,0,((LOOKUP(MAX(D101-E101-F101-'Tax Assumptions'!$B$8,0),'Tax Assumptions'!$F$9:$F$15,'Tax Assumptions'!$I$9:$I$15)+(MAX(D101-E101-F101-'Tax Assumptions'!$B$8,0)-LOOKUP(MAX(D101-E101-F101-'Tax Assumptions'!$B$8,0),'Tax Assumptions'!$F$9:$F$15,'Tax Assumptions'!$F$9:$F$15))*LOOKUP(MAX(D101-E101-F101-'Tax Assumptions'!$B$8,0),'Tax Assumptions'!$F$9:$F$15,'Tax Assumptions'!$H$9:$H$15))+(MIN(MAX(D101-F101,0),'Tax Assumptions'!$B$11)*'Tax Assumptions'!$B$10)+(MAX(D101-F101,0)*'Tax Assumptions'!$B$12)+(MAX(MAX(D101-F101,0)-'Tax Assumptions'!$B$14,0)*'Tax Assumptions'!$B$13)+(MIN(D101*'Tax Assumptions'!$B$15,'Tax Assumptions'!$B$16))+(MIN(D101*'Tax Assumptions'!$B$17,'Tax Assumptions'!$B$18))+(LOOKUP(MAX(D101-E101-'Tax Assumptions'!$B$9,0),'Tax Assumptions'!$K$9:$K$17,'Tax Assumptions'!$N$9:$N$17)+(MAX(D101-E101-'Tax Assumptions'!$B$9,0)-LOOKUP(MAX(D101-E101-'Tax Assumptions'!$B$9,0),'Tax Assumptions'!$K$9:$K$17,'Tax Assumptions'!$K$9:$K$17))*LOOKUP(MAX(D101-E101-'Tax Assumptions'!$B$9,0),'Tax Assumptions'!$K$9:$K$17,'Tax Assumptions'!$M$9:$M$17))+(LOOKUP(MAX(D101-E101-'Tax Assumptions'!$B$9,0),'Tax Assumptions'!$P$9:$P$12,'Tax Assumptions'!$S$9:$S$12)+(MAX(D101-E101-'Tax Assumptions'!$B$9,0)-LOOKUP(MAX(D101-E101-'Tax Assumptions'!$B$9,0),'Tax Assumptions'!$P$9:$P$12,'Tax Assumptions'!$P$9:$P$12))*LOOKUP(MAX(D101-E101-'Tax Assumptions'!$B$9,0),'Tax Assumptions'!$P$9:$P$12,'Tax Assumptions'!$R$9:$R$12)))*$C$7)</f>
        <v>0</v>
      </c>
      <c r="I101" s="66">
        <f t="shared" si="28"/>
        <v>0</v>
      </c>
      <c r="J101" s="66">
        <f>IF(B101="Working",N('Savings Projection'!$S$40)*$C$8,0)</f>
        <v>0</v>
      </c>
      <c r="K101" s="66">
        <f>IF(B101="Working",N('Savings Projection'!$T$40)*$C$9,0)</f>
        <v>0</v>
      </c>
      <c r="L101" s="66">
        <f>IF(B101="Working",MIN(MAX(I101-J101-K101-AB101-AC101,0),'Tax Assumptions'!$B$20),0)</f>
        <v>0</v>
      </c>
      <c r="M101" s="66">
        <f t="shared" si="29"/>
        <v>0</v>
      </c>
      <c r="N101" s="66">
        <f t="shared" si="30"/>
        <v>0</v>
      </c>
      <c r="O101" s="66">
        <f t="shared" si="31"/>
        <v>565416.14530575764</v>
      </c>
      <c r="P101" s="66">
        <f t="shared" si="32"/>
        <v>0</v>
      </c>
      <c r="Q101" s="66">
        <f t="shared" si="42"/>
        <v>0</v>
      </c>
      <c r="R101" s="66">
        <f t="shared" si="43"/>
        <v>0</v>
      </c>
      <c r="S101" s="66">
        <f t="shared" si="44"/>
        <v>0</v>
      </c>
      <c r="T101" s="66">
        <f t="shared" si="45"/>
        <v>0</v>
      </c>
      <c r="U101" s="66">
        <f t="shared" si="46"/>
        <v>0</v>
      </c>
      <c r="V101" s="66">
        <f t="shared" si="47"/>
        <v>0</v>
      </c>
      <c r="W101" s="66">
        <f t="shared" si="48"/>
        <v>0</v>
      </c>
      <c r="X101" s="66">
        <f t="shared" si="49"/>
        <v>0</v>
      </c>
      <c r="Y101" s="66">
        <f t="shared" si="33"/>
        <v>0</v>
      </c>
      <c r="Z101" s="66">
        <f t="shared" si="34"/>
        <v>565416.14530575764</v>
      </c>
      <c r="AA101" s="69">
        <f t="shared" si="35"/>
        <v>0</v>
      </c>
      <c r="AB101" s="66">
        <f t="shared" si="36"/>
        <v>0</v>
      </c>
      <c r="AC101" s="66">
        <f t="shared" si="37"/>
        <v>365416.1453057577</v>
      </c>
      <c r="AD101" s="66">
        <f t="shared" si="38"/>
        <v>7128804.4342308929</v>
      </c>
      <c r="AE101" s="66">
        <f t="shared" si="39"/>
        <v>2142943.9499832438</v>
      </c>
      <c r="AF101" s="66">
        <f t="shared" si="40"/>
        <v>4985860.4842476491</v>
      </c>
      <c r="AG101" s="117">
        <f t="shared" si="41"/>
        <v>4985860.4842476491</v>
      </c>
    </row>
    <row r="102" spans="1:33" x14ac:dyDescent="0.2">
      <c r="A102" s="114">
        <v>23</v>
      </c>
      <c r="B102" s="100" t="str">
        <f t="shared" si="26"/>
        <v>Retired</v>
      </c>
      <c r="C102" s="101">
        <f>N('Savings Projection'!$B$41)</f>
        <v>0</v>
      </c>
      <c r="D102" s="68">
        <f t="shared" si="27"/>
        <v>0</v>
      </c>
      <c r="E102" s="101">
        <f>IF(OR(B102="Retired",D102=0),0,MIN(D102,'Tax Assumptions'!$B$19))</f>
        <v>0</v>
      </c>
      <c r="F102" s="101">
        <f>IF(B102="Working",N('Savings Projection'!$E$41),0)</f>
        <v>0</v>
      </c>
      <c r="G102" s="101">
        <f>IF(B102="Working",N('Savings Projection'!$F$41),0)</f>
        <v>0</v>
      </c>
      <c r="H102" s="68">
        <f>IF(D102=0,0,((LOOKUP(MAX(D102-E102-F102-'Tax Assumptions'!$B$8,0),'Tax Assumptions'!$F$9:$F$15,'Tax Assumptions'!$I$9:$I$15)+(MAX(D102-E102-F102-'Tax Assumptions'!$B$8,0)-LOOKUP(MAX(D102-E102-F102-'Tax Assumptions'!$B$8,0),'Tax Assumptions'!$F$9:$F$15,'Tax Assumptions'!$F$9:$F$15))*LOOKUP(MAX(D102-E102-F102-'Tax Assumptions'!$B$8,0),'Tax Assumptions'!$F$9:$F$15,'Tax Assumptions'!$H$9:$H$15))+(MIN(MAX(D102-F102,0),'Tax Assumptions'!$B$11)*'Tax Assumptions'!$B$10)+(MAX(D102-F102,0)*'Tax Assumptions'!$B$12)+(MAX(MAX(D102-F102,0)-'Tax Assumptions'!$B$14,0)*'Tax Assumptions'!$B$13)+(MIN(D102*'Tax Assumptions'!$B$15,'Tax Assumptions'!$B$16))+(MIN(D102*'Tax Assumptions'!$B$17,'Tax Assumptions'!$B$18))+(LOOKUP(MAX(D102-E102-'Tax Assumptions'!$B$9,0),'Tax Assumptions'!$K$9:$K$17,'Tax Assumptions'!$N$9:$N$17)+(MAX(D102-E102-'Tax Assumptions'!$B$9,0)-LOOKUP(MAX(D102-E102-'Tax Assumptions'!$B$9,0),'Tax Assumptions'!$K$9:$K$17,'Tax Assumptions'!$K$9:$K$17))*LOOKUP(MAX(D102-E102-'Tax Assumptions'!$B$9,0),'Tax Assumptions'!$K$9:$K$17,'Tax Assumptions'!$M$9:$M$17))+(LOOKUP(MAX(D102-E102-'Tax Assumptions'!$B$9,0),'Tax Assumptions'!$P$9:$P$12,'Tax Assumptions'!$S$9:$S$12)+(MAX(D102-E102-'Tax Assumptions'!$B$9,0)-LOOKUP(MAX(D102-E102-'Tax Assumptions'!$B$9,0),'Tax Assumptions'!$P$9:$P$12,'Tax Assumptions'!$P$9:$P$12))*LOOKUP(MAX(D102-E102-'Tax Assumptions'!$B$9,0),'Tax Assumptions'!$P$9:$P$12,'Tax Assumptions'!$R$9:$R$12)))*$C$7)</f>
        <v>0</v>
      </c>
      <c r="I102" s="68">
        <f t="shared" si="28"/>
        <v>0</v>
      </c>
      <c r="J102" s="101">
        <f>IF(B102="Working",N('Savings Projection'!$S$41)*$C$8,0)</f>
        <v>0</v>
      </c>
      <c r="K102" s="101">
        <f>IF(B102="Working",N('Savings Projection'!$T$41)*$C$9,0)</f>
        <v>0</v>
      </c>
      <c r="L102" s="68">
        <f>IF(B102="Working",MIN(MAX(I102-J102-K102-AB102-AC102,0),'Tax Assumptions'!$B$20),0)</f>
        <v>0</v>
      </c>
      <c r="M102" s="68">
        <f t="shared" si="29"/>
        <v>0</v>
      </c>
      <c r="N102" s="101">
        <f t="shared" si="30"/>
        <v>0</v>
      </c>
      <c r="O102" s="101">
        <f t="shared" si="31"/>
        <v>570121.15623235004</v>
      </c>
      <c r="P102" s="101">
        <f t="shared" si="32"/>
        <v>0</v>
      </c>
      <c r="Q102" s="101">
        <f t="shared" si="42"/>
        <v>0</v>
      </c>
      <c r="R102" s="101">
        <f t="shared" si="43"/>
        <v>0</v>
      </c>
      <c r="S102" s="101">
        <f t="shared" si="44"/>
        <v>0</v>
      </c>
      <c r="T102" s="101">
        <f t="shared" si="45"/>
        <v>0</v>
      </c>
      <c r="U102" s="68">
        <f t="shared" si="46"/>
        <v>0</v>
      </c>
      <c r="V102" s="68">
        <f t="shared" si="47"/>
        <v>0</v>
      </c>
      <c r="W102" s="68">
        <f t="shared" si="48"/>
        <v>0</v>
      </c>
      <c r="X102" s="68">
        <f t="shared" si="49"/>
        <v>0</v>
      </c>
      <c r="Y102" s="68">
        <f t="shared" si="33"/>
        <v>0</v>
      </c>
      <c r="Z102" s="101">
        <f t="shared" si="34"/>
        <v>570121.15623235004</v>
      </c>
      <c r="AA102" s="102">
        <f t="shared" si="35"/>
        <v>0</v>
      </c>
      <c r="AB102" s="68">
        <f t="shared" si="36"/>
        <v>0</v>
      </c>
      <c r="AC102" s="68">
        <f t="shared" si="37"/>
        <v>370121.1562323501</v>
      </c>
      <c r="AD102" s="68">
        <f t="shared" si="38"/>
        <v>7342668.5672578197</v>
      </c>
      <c r="AE102" s="68">
        <f t="shared" si="39"/>
        <v>2071550.8316478739</v>
      </c>
      <c r="AF102" s="68">
        <f t="shared" si="40"/>
        <v>5271117.7356099458</v>
      </c>
      <c r="AG102" s="115">
        <f t="shared" si="41"/>
        <v>5271117.7356099458</v>
      </c>
    </row>
    <row r="103" spans="1:33" x14ac:dyDescent="0.2">
      <c r="A103" s="116">
        <v>24</v>
      </c>
      <c r="B103" s="65" t="str">
        <f t="shared" si="26"/>
        <v>Retired</v>
      </c>
      <c r="C103" s="66">
        <f>N('Savings Projection'!$B$42)</f>
        <v>0</v>
      </c>
      <c r="D103" s="66">
        <f t="shared" si="27"/>
        <v>0</v>
      </c>
      <c r="E103" s="66">
        <f>IF(OR(B103="Retired",D103=0),0,MIN(D103,'Tax Assumptions'!$B$19))</f>
        <v>0</v>
      </c>
      <c r="F103" s="66">
        <f>IF(B103="Working",N('Savings Projection'!$E$42),0)</f>
        <v>0</v>
      </c>
      <c r="G103" s="66">
        <f>IF(B103="Working",N('Savings Projection'!$F$42),0)</f>
        <v>0</v>
      </c>
      <c r="H103" s="66">
        <f>IF(D103=0,0,((LOOKUP(MAX(D103-E103-F103-'Tax Assumptions'!$B$8,0),'Tax Assumptions'!$F$9:$F$15,'Tax Assumptions'!$I$9:$I$15)+(MAX(D103-E103-F103-'Tax Assumptions'!$B$8,0)-LOOKUP(MAX(D103-E103-F103-'Tax Assumptions'!$B$8,0),'Tax Assumptions'!$F$9:$F$15,'Tax Assumptions'!$F$9:$F$15))*LOOKUP(MAX(D103-E103-F103-'Tax Assumptions'!$B$8,0),'Tax Assumptions'!$F$9:$F$15,'Tax Assumptions'!$H$9:$H$15))+(MIN(MAX(D103-F103,0),'Tax Assumptions'!$B$11)*'Tax Assumptions'!$B$10)+(MAX(D103-F103,0)*'Tax Assumptions'!$B$12)+(MAX(MAX(D103-F103,0)-'Tax Assumptions'!$B$14,0)*'Tax Assumptions'!$B$13)+(MIN(D103*'Tax Assumptions'!$B$15,'Tax Assumptions'!$B$16))+(MIN(D103*'Tax Assumptions'!$B$17,'Tax Assumptions'!$B$18))+(LOOKUP(MAX(D103-E103-'Tax Assumptions'!$B$9,0),'Tax Assumptions'!$K$9:$K$17,'Tax Assumptions'!$N$9:$N$17)+(MAX(D103-E103-'Tax Assumptions'!$B$9,0)-LOOKUP(MAX(D103-E103-'Tax Assumptions'!$B$9,0),'Tax Assumptions'!$K$9:$K$17,'Tax Assumptions'!$K$9:$K$17))*LOOKUP(MAX(D103-E103-'Tax Assumptions'!$B$9,0),'Tax Assumptions'!$K$9:$K$17,'Tax Assumptions'!$M$9:$M$17))+(LOOKUP(MAX(D103-E103-'Tax Assumptions'!$B$9,0),'Tax Assumptions'!$P$9:$P$12,'Tax Assumptions'!$S$9:$S$12)+(MAX(D103-E103-'Tax Assumptions'!$B$9,0)-LOOKUP(MAX(D103-E103-'Tax Assumptions'!$B$9,0),'Tax Assumptions'!$P$9:$P$12,'Tax Assumptions'!$P$9:$P$12))*LOOKUP(MAX(D103-E103-'Tax Assumptions'!$B$9,0),'Tax Assumptions'!$P$9:$P$12,'Tax Assumptions'!$R$9:$R$12)))*$C$7)</f>
        <v>0</v>
      </c>
      <c r="I103" s="66">
        <f t="shared" si="28"/>
        <v>0</v>
      </c>
      <c r="J103" s="66">
        <f>IF(B103="Working",N('Savings Projection'!$S$42)*$C$8,0)</f>
        <v>0</v>
      </c>
      <c r="K103" s="66">
        <f>IF(B103="Working",N('Savings Projection'!$T$42)*$C$9,0)</f>
        <v>0</v>
      </c>
      <c r="L103" s="66">
        <f>IF(B103="Working",MIN(MAX(I103-J103-K103-AB103-AC103,0),'Tax Assumptions'!$B$20),0)</f>
        <v>0</v>
      </c>
      <c r="M103" s="66">
        <f t="shared" si="29"/>
        <v>0</v>
      </c>
      <c r="N103" s="66">
        <f t="shared" si="30"/>
        <v>0</v>
      </c>
      <c r="O103" s="66">
        <f t="shared" si="31"/>
        <v>574967.3174867403</v>
      </c>
      <c r="P103" s="66">
        <f t="shared" si="32"/>
        <v>0</v>
      </c>
      <c r="Q103" s="66">
        <f t="shared" si="42"/>
        <v>0</v>
      </c>
      <c r="R103" s="66">
        <f t="shared" si="43"/>
        <v>0</v>
      </c>
      <c r="S103" s="66">
        <f t="shared" si="44"/>
        <v>0</v>
      </c>
      <c r="T103" s="66">
        <f t="shared" si="45"/>
        <v>0</v>
      </c>
      <c r="U103" s="66">
        <f t="shared" si="46"/>
        <v>0</v>
      </c>
      <c r="V103" s="66">
        <f t="shared" si="47"/>
        <v>0</v>
      </c>
      <c r="W103" s="66">
        <f t="shared" si="48"/>
        <v>0</v>
      </c>
      <c r="X103" s="66">
        <f t="shared" si="49"/>
        <v>0</v>
      </c>
      <c r="Y103" s="66">
        <f t="shared" si="33"/>
        <v>0</v>
      </c>
      <c r="Z103" s="66">
        <f t="shared" si="34"/>
        <v>574967.3174867403</v>
      </c>
      <c r="AA103" s="69">
        <f t="shared" si="35"/>
        <v>0</v>
      </c>
      <c r="AB103" s="66">
        <f t="shared" si="36"/>
        <v>0</v>
      </c>
      <c r="AC103" s="66">
        <f t="shared" si="37"/>
        <v>374967.3174867403</v>
      </c>
      <c r="AD103" s="66">
        <f t="shared" si="38"/>
        <v>7562948.6242755549</v>
      </c>
      <c r="AE103" s="66">
        <f t="shared" si="39"/>
        <v>1995376.3839573469</v>
      </c>
      <c r="AF103" s="66">
        <f t="shared" si="40"/>
        <v>5567572.240318208</v>
      </c>
      <c r="AG103" s="117">
        <f t="shared" si="41"/>
        <v>5567572.240318208</v>
      </c>
    </row>
    <row r="104" spans="1:33" x14ac:dyDescent="0.2">
      <c r="A104" s="114">
        <v>25</v>
      </c>
      <c r="B104" s="100" t="str">
        <f t="shared" si="26"/>
        <v>Retired</v>
      </c>
      <c r="C104" s="101">
        <f>N('Savings Projection'!$B$43)</f>
        <v>0</v>
      </c>
      <c r="D104" s="68">
        <f t="shared" si="27"/>
        <v>0</v>
      </c>
      <c r="E104" s="101">
        <f>IF(OR(B104="Retired",D104=0),0,MIN(D104,'Tax Assumptions'!$B$19))</f>
        <v>0</v>
      </c>
      <c r="F104" s="101">
        <f>IF(B104="Working",N('Savings Projection'!$E$43),0)</f>
        <v>0</v>
      </c>
      <c r="G104" s="101">
        <f>IF(B104="Working",N('Savings Projection'!$F$43),0)</f>
        <v>0</v>
      </c>
      <c r="H104" s="68">
        <f>IF(D104=0,0,((LOOKUP(MAX(D104-E104-F104-'Tax Assumptions'!$B$8,0),'Tax Assumptions'!$F$9:$F$15,'Tax Assumptions'!$I$9:$I$15)+(MAX(D104-E104-F104-'Tax Assumptions'!$B$8,0)-LOOKUP(MAX(D104-E104-F104-'Tax Assumptions'!$B$8,0),'Tax Assumptions'!$F$9:$F$15,'Tax Assumptions'!$F$9:$F$15))*LOOKUP(MAX(D104-E104-F104-'Tax Assumptions'!$B$8,0),'Tax Assumptions'!$F$9:$F$15,'Tax Assumptions'!$H$9:$H$15))+(MIN(MAX(D104-F104,0),'Tax Assumptions'!$B$11)*'Tax Assumptions'!$B$10)+(MAX(D104-F104,0)*'Tax Assumptions'!$B$12)+(MAX(MAX(D104-F104,0)-'Tax Assumptions'!$B$14,0)*'Tax Assumptions'!$B$13)+(MIN(D104*'Tax Assumptions'!$B$15,'Tax Assumptions'!$B$16))+(MIN(D104*'Tax Assumptions'!$B$17,'Tax Assumptions'!$B$18))+(LOOKUP(MAX(D104-E104-'Tax Assumptions'!$B$9,0),'Tax Assumptions'!$K$9:$K$17,'Tax Assumptions'!$N$9:$N$17)+(MAX(D104-E104-'Tax Assumptions'!$B$9,0)-LOOKUP(MAX(D104-E104-'Tax Assumptions'!$B$9,0),'Tax Assumptions'!$K$9:$K$17,'Tax Assumptions'!$K$9:$K$17))*LOOKUP(MAX(D104-E104-'Tax Assumptions'!$B$9,0),'Tax Assumptions'!$K$9:$K$17,'Tax Assumptions'!$M$9:$M$17))+(LOOKUP(MAX(D104-E104-'Tax Assumptions'!$B$9,0),'Tax Assumptions'!$P$9:$P$12,'Tax Assumptions'!$S$9:$S$12)+(MAX(D104-E104-'Tax Assumptions'!$B$9,0)-LOOKUP(MAX(D104-E104-'Tax Assumptions'!$B$9,0),'Tax Assumptions'!$P$9:$P$12,'Tax Assumptions'!$P$9:$P$12))*LOOKUP(MAX(D104-E104-'Tax Assumptions'!$B$9,0),'Tax Assumptions'!$P$9:$P$12,'Tax Assumptions'!$R$9:$R$12)))*$C$7)</f>
        <v>0</v>
      </c>
      <c r="I104" s="68">
        <f t="shared" si="28"/>
        <v>0</v>
      </c>
      <c r="J104" s="101">
        <f>IF(B104="Working",N('Savings Projection'!$S$43)*$C$8,0)</f>
        <v>0</v>
      </c>
      <c r="K104" s="101">
        <f>IF(B104="Working",N('Savings Projection'!$T$43)*$C$9,0)</f>
        <v>0</v>
      </c>
      <c r="L104" s="68">
        <f>IF(B104="Working",MIN(MAX(I104-J104-K104-AB104-AC104,0),'Tax Assumptions'!$B$20),0)</f>
        <v>0</v>
      </c>
      <c r="M104" s="68">
        <f t="shared" si="29"/>
        <v>0</v>
      </c>
      <c r="N104" s="101">
        <f t="shared" si="30"/>
        <v>0</v>
      </c>
      <c r="O104" s="101">
        <f t="shared" si="31"/>
        <v>579958.86357876216</v>
      </c>
      <c r="P104" s="101">
        <f t="shared" si="32"/>
        <v>0</v>
      </c>
      <c r="Q104" s="101">
        <f t="shared" si="42"/>
        <v>0</v>
      </c>
      <c r="R104" s="101">
        <f t="shared" si="43"/>
        <v>0</v>
      </c>
      <c r="S104" s="101">
        <f t="shared" si="44"/>
        <v>0</v>
      </c>
      <c r="T104" s="101">
        <f t="shared" si="45"/>
        <v>0</v>
      </c>
      <c r="U104" s="68">
        <f t="shared" si="46"/>
        <v>0</v>
      </c>
      <c r="V104" s="68">
        <f t="shared" si="47"/>
        <v>0</v>
      </c>
      <c r="W104" s="68">
        <f t="shared" si="48"/>
        <v>0</v>
      </c>
      <c r="X104" s="68">
        <f t="shared" si="49"/>
        <v>0</v>
      </c>
      <c r="Y104" s="68">
        <f t="shared" si="33"/>
        <v>0</v>
      </c>
      <c r="Z104" s="101">
        <f t="shared" si="34"/>
        <v>579958.86357876216</v>
      </c>
      <c r="AA104" s="102">
        <f t="shared" si="35"/>
        <v>0</v>
      </c>
      <c r="AB104" s="68">
        <f t="shared" si="36"/>
        <v>0</v>
      </c>
      <c r="AC104" s="68">
        <f t="shared" si="37"/>
        <v>379958.86357876216</v>
      </c>
      <c r="AD104" s="68">
        <f t="shared" si="38"/>
        <v>7789837.0830038218</v>
      </c>
      <c r="AE104" s="68">
        <f t="shared" si="39"/>
        <v>1914100.392429716</v>
      </c>
      <c r="AF104" s="68">
        <f t="shared" si="40"/>
        <v>5875736.6905741058</v>
      </c>
      <c r="AG104" s="115">
        <f t="shared" si="41"/>
        <v>5875736.6905741058</v>
      </c>
    </row>
    <row r="105" spans="1:33" x14ac:dyDescent="0.2">
      <c r="A105" s="116">
        <v>26</v>
      </c>
      <c r="B105" s="65" t="str">
        <f t="shared" si="26"/>
        <v>Retired</v>
      </c>
      <c r="C105" s="66">
        <f>N('Savings Projection'!$B$44)</f>
        <v>0</v>
      </c>
      <c r="D105" s="66">
        <f t="shared" si="27"/>
        <v>0</v>
      </c>
      <c r="E105" s="66">
        <f>IF(OR(B105="Retired",D105=0),0,MIN(D105,'Tax Assumptions'!$B$19))</f>
        <v>0</v>
      </c>
      <c r="F105" s="66">
        <f>IF(B105="Working",N('Savings Projection'!$E$44),0)</f>
        <v>0</v>
      </c>
      <c r="G105" s="66">
        <f>IF(B105="Working",N('Savings Projection'!$F$44),0)</f>
        <v>0</v>
      </c>
      <c r="H105" s="66">
        <f>IF(D105=0,0,((LOOKUP(MAX(D105-E105-F105-'Tax Assumptions'!$B$8,0),'Tax Assumptions'!$F$9:$F$15,'Tax Assumptions'!$I$9:$I$15)+(MAX(D105-E105-F105-'Tax Assumptions'!$B$8,0)-LOOKUP(MAX(D105-E105-F105-'Tax Assumptions'!$B$8,0),'Tax Assumptions'!$F$9:$F$15,'Tax Assumptions'!$F$9:$F$15))*LOOKUP(MAX(D105-E105-F105-'Tax Assumptions'!$B$8,0),'Tax Assumptions'!$F$9:$F$15,'Tax Assumptions'!$H$9:$H$15))+(MIN(MAX(D105-F105,0),'Tax Assumptions'!$B$11)*'Tax Assumptions'!$B$10)+(MAX(D105-F105,0)*'Tax Assumptions'!$B$12)+(MAX(MAX(D105-F105,0)-'Tax Assumptions'!$B$14,0)*'Tax Assumptions'!$B$13)+(MIN(D105*'Tax Assumptions'!$B$15,'Tax Assumptions'!$B$16))+(MIN(D105*'Tax Assumptions'!$B$17,'Tax Assumptions'!$B$18))+(LOOKUP(MAX(D105-E105-'Tax Assumptions'!$B$9,0),'Tax Assumptions'!$K$9:$K$17,'Tax Assumptions'!$N$9:$N$17)+(MAX(D105-E105-'Tax Assumptions'!$B$9,0)-LOOKUP(MAX(D105-E105-'Tax Assumptions'!$B$9,0),'Tax Assumptions'!$K$9:$K$17,'Tax Assumptions'!$K$9:$K$17))*LOOKUP(MAX(D105-E105-'Tax Assumptions'!$B$9,0),'Tax Assumptions'!$K$9:$K$17,'Tax Assumptions'!$M$9:$M$17))+(LOOKUP(MAX(D105-E105-'Tax Assumptions'!$B$9,0),'Tax Assumptions'!$P$9:$P$12,'Tax Assumptions'!$S$9:$S$12)+(MAX(D105-E105-'Tax Assumptions'!$B$9,0)-LOOKUP(MAX(D105-E105-'Tax Assumptions'!$B$9,0),'Tax Assumptions'!$P$9:$P$12,'Tax Assumptions'!$P$9:$P$12))*LOOKUP(MAX(D105-E105-'Tax Assumptions'!$B$9,0),'Tax Assumptions'!$P$9:$P$12,'Tax Assumptions'!$R$9:$R$12)))*$C$7)</f>
        <v>0</v>
      </c>
      <c r="I105" s="66">
        <f t="shared" si="28"/>
        <v>0</v>
      </c>
      <c r="J105" s="66">
        <f>IF(B105="Working",N('Savings Projection'!$S$44)*$C$8,0)</f>
        <v>0</v>
      </c>
      <c r="K105" s="66">
        <f>IF(B105="Working",N('Savings Projection'!$T$44)*$C$9,0)</f>
        <v>0</v>
      </c>
      <c r="L105" s="66">
        <f>IF(B105="Working",MIN(MAX(I105-J105-K105-AB105-AC105,0),'Tax Assumptions'!$B$20),0)</f>
        <v>0</v>
      </c>
      <c r="M105" s="66">
        <f t="shared" si="29"/>
        <v>0</v>
      </c>
      <c r="N105" s="66">
        <f t="shared" si="30"/>
        <v>0</v>
      </c>
      <c r="O105" s="66">
        <f t="shared" si="31"/>
        <v>585100.1560535446</v>
      </c>
      <c r="P105" s="66">
        <f t="shared" si="32"/>
        <v>0</v>
      </c>
      <c r="Q105" s="66">
        <f t="shared" si="42"/>
        <v>0</v>
      </c>
      <c r="R105" s="66">
        <f t="shared" si="43"/>
        <v>0</v>
      </c>
      <c r="S105" s="66">
        <f t="shared" si="44"/>
        <v>0</v>
      </c>
      <c r="T105" s="66">
        <f t="shared" si="45"/>
        <v>0</v>
      </c>
      <c r="U105" s="66">
        <f t="shared" si="46"/>
        <v>0</v>
      </c>
      <c r="V105" s="66">
        <f t="shared" si="47"/>
        <v>0</v>
      </c>
      <c r="W105" s="66">
        <f t="shared" si="48"/>
        <v>0</v>
      </c>
      <c r="X105" s="66">
        <f t="shared" si="49"/>
        <v>0</v>
      </c>
      <c r="Y105" s="66">
        <f t="shared" si="33"/>
        <v>0</v>
      </c>
      <c r="Z105" s="66">
        <f t="shared" si="34"/>
        <v>585100.1560535446</v>
      </c>
      <c r="AA105" s="69">
        <f t="shared" si="35"/>
        <v>0</v>
      </c>
      <c r="AB105" s="66">
        <f t="shared" si="36"/>
        <v>0</v>
      </c>
      <c r="AC105" s="66">
        <f t="shared" si="37"/>
        <v>385100.1560535446</v>
      </c>
      <c r="AD105" s="66">
        <f t="shared" si="38"/>
        <v>8023532.1954939356</v>
      </c>
      <c r="AE105" s="66">
        <f t="shared" si="39"/>
        <v>1827381.197226136</v>
      </c>
      <c r="AF105" s="66">
        <f t="shared" si="40"/>
        <v>6196150.9982677996</v>
      </c>
      <c r="AG105" s="117">
        <f t="shared" si="41"/>
        <v>6196150.9982677996</v>
      </c>
    </row>
    <row r="106" spans="1:33" x14ac:dyDescent="0.2">
      <c r="A106" s="114">
        <v>27</v>
      </c>
      <c r="B106" s="100" t="str">
        <f t="shared" si="26"/>
        <v>Retired</v>
      </c>
      <c r="C106" s="101">
        <f>N('Savings Projection'!$B$45)</f>
        <v>0</v>
      </c>
      <c r="D106" s="68">
        <f t="shared" si="27"/>
        <v>0</v>
      </c>
      <c r="E106" s="101">
        <f>IF(OR(B106="Retired",D106=0),0,MIN(D106,'Tax Assumptions'!$B$19))</f>
        <v>0</v>
      </c>
      <c r="F106" s="101">
        <f>IF(B106="Working",N('Savings Projection'!$E$45),0)</f>
        <v>0</v>
      </c>
      <c r="G106" s="101">
        <f>IF(B106="Working",N('Savings Projection'!$F$45),0)</f>
        <v>0</v>
      </c>
      <c r="H106" s="68">
        <f>IF(D106=0,0,((LOOKUP(MAX(D106-E106-F106-'Tax Assumptions'!$B$8,0),'Tax Assumptions'!$F$9:$F$15,'Tax Assumptions'!$I$9:$I$15)+(MAX(D106-E106-F106-'Tax Assumptions'!$B$8,0)-LOOKUP(MAX(D106-E106-F106-'Tax Assumptions'!$B$8,0),'Tax Assumptions'!$F$9:$F$15,'Tax Assumptions'!$F$9:$F$15))*LOOKUP(MAX(D106-E106-F106-'Tax Assumptions'!$B$8,0),'Tax Assumptions'!$F$9:$F$15,'Tax Assumptions'!$H$9:$H$15))+(MIN(MAX(D106-F106,0),'Tax Assumptions'!$B$11)*'Tax Assumptions'!$B$10)+(MAX(D106-F106,0)*'Tax Assumptions'!$B$12)+(MAX(MAX(D106-F106,0)-'Tax Assumptions'!$B$14,0)*'Tax Assumptions'!$B$13)+(MIN(D106*'Tax Assumptions'!$B$15,'Tax Assumptions'!$B$16))+(MIN(D106*'Tax Assumptions'!$B$17,'Tax Assumptions'!$B$18))+(LOOKUP(MAX(D106-E106-'Tax Assumptions'!$B$9,0),'Tax Assumptions'!$K$9:$K$17,'Tax Assumptions'!$N$9:$N$17)+(MAX(D106-E106-'Tax Assumptions'!$B$9,0)-LOOKUP(MAX(D106-E106-'Tax Assumptions'!$B$9,0),'Tax Assumptions'!$K$9:$K$17,'Tax Assumptions'!$K$9:$K$17))*LOOKUP(MAX(D106-E106-'Tax Assumptions'!$B$9,0),'Tax Assumptions'!$K$9:$K$17,'Tax Assumptions'!$M$9:$M$17))+(LOOKUP(MAX(D106-E106-'Tax Assumptions'!$B$9,0),'Tax Assumptions'!$P$9:$P$12,'Tax Assumptions'!$S$9:$S$12)+(MAX(D106-E106-'Tax Assumptions'!$B$9,0)-LOOKUP(MAX(D106-E106-'Tax Assumptions'!$B$9,0),'Tax Assumptions'!$P$9:$P$12,'Tax Assumptions'!$P$9:$P$12))*LOOKUP(MAX(D106-E106-'Tax Assumptions'!$B$9,0),'Tax Assumptions'!$P$9:$P$12,'Tax Assumptions'!$R$9:$R$12)))*$C$7)</f>
        <v>0</v>
      </c>
      <c r="I106" s="68">
        <f t="shared" si="28"/>
        <v>0</v>
      </c>
      <c r="J106" s="101">
        <f>IF(B106="Working",N('Savings Projection'!$S$45)*$C$8,0)</f>
        <v>0</v>
      </c>
      <c r="K106" s="101">
        <f>IF(B106="Working",N('Savings Projection'!$T$45)*$C$9,0)</f>
        <v>0</v>
      </c>
      <c r="L106" s="68">
        <f>IF(B106="Working",MIN(MAX(I106-J106-K106-AB106-AC106,0),'Tax Assumptions'!$B$20),0)</f>
        <v>0</v>
      </c>
      <c r="M106" s="68">
        <f t="shared" si="29"/>
        <v>0</v>
      </c>
      <c r="N106" s="101">
        <f t="shared" si="30"/>
        <v>0</v>
      </c>
      <c r="O106" s="101">
        <f t="shared" si="31"/>
        <v>590395.68730257056</v>
      </c>
      <c r="P106" s="101">
        <f t="shared" si="32"/>
        <v>0</v>
      </c>
      <c r="Q106" s="101">
        <f t="shared" si="42"/>
        <v>0</v>
      </c>
      <c r="R106" s="101">
        <f t="shared" si="43"/>
        <v>0</v>
      </c>
      <c r="S106" s="101">
        <f t="shared" si="44"/>
        <v>0</v>
      </c>
      <c r="T106" s="101">
        <f t="shared" si="45"/>
        <v>0</v>
      </c>
      <c r="U106" s="68">
        <f t="shared" si="46"/>
        <v>0</v>
      </c>
      <c r="V106" s="68">
        <f t="shared" si="47"/>
        <v>0</v>
      </c>
      <c r="W106" s="68">
        <f t="shared" si="48"/>
        <v>0</v>
      </c>
      <c r="X106" s="68">
        <f t="shared" si="49"/>
        <v>0</v>
      </c>
      <c r="Y106" s="68">
        <f t="shared" si="33"/>
        <v>0</v>
      </c>
      <c r="Z106" s="101">
        <f t="shared" si="34"/>
        <v>590395.68730257056</v>
      </c>
      <c r="AA106" s="102">
        <f t="shared" si="35"/>
        <v>0</v>
      </c>
      <c r="AB106" s="68">
        <f t="shared" si="36"/>
        <v>0</v>
      </c>
      <c r="AC106" s="68">
        <f t="shared" si="37"/>
        <v>390395.68730257062</v>
      </c>
      <c r="AD106" s="68">
        <f t="shared" si="38"/>
        <v>8264238.1613587532</v>
      </c>
      <c r="AE106" s="68">
        <f t="shared" si="39"/>
        <v>1734854.2569156019</v>
      </c>
      <c r="AF106" s="68">
        <f t="shared" si="40"/>
        <v>6529383.9044431513</v>
      </c>
      <c r="AG106" s="115">
        <f t="shared" si="41"/>
        <v>6529383.9044431513</v>
      </c>
    </row>
    <row r="107" spans="1:33" x14ac:dyDescent="0.2">
      <c r="A107" s="116">
        <v>28</v>
      </c>
      <c r="B107" s="65" t="str">
        <f t="shared" si="26"/>
        <v>Retired</v>
      </c>
      <c r="C107" s="66">
        <f>N('Savings Projection'!$B$46)</f>
        <v>0</v>
      </c>
      <c r="D107" s="66">
        <f t="shared" si="27"/>
        <v>0</v>
      </c>
      <c r="E107" s="66">
        <f>IF(OR(B107="Retired",D107=0),0,MIN(D107,'Tax Assumptions'!$B$19))</f>
        <v>0</v>
      </c>
      <c r="F107" s="66">
        <f>IF(B107="Working",N('Savings Projection'!$E$46),0)</f>
        <v>0</v>
      </c>
      <c r="G107" s="66">
        <f>IF(B107="Working",N('Savings Projection'!$F$46),0)</f>
        <v>0</v>
      </c>
      <c r="H107" s="66">
        <f>IF(D107=0,0,((LOOKUP(MAX(D107-E107-F107-'Tax Assumptions'!$B$8,0),'Tax Assumptions'!$F$9:$F$15,'Tax Assumptions'!$I$9:$I$15)+(MAX(D107-E107-F107-'Tax Assumptions'!$B$8,0)-LOOKUP(MAX(D107-E107-F107-'Tax Assumptions'!$B$8,0),'Tax Assumptions'!$F$9:$F$15,'Tax Assumptions'!$F$9:$F$15))*LOOKUP(MAX(D107-E107-F107-'Tax Assumptions'!$B$8,0),'Tax Assumptions'!$F$9:$F$15,'Tax Assumptions'!$H$9:$H$15))+(MIN(MAX(D107-F107,0),'Tax Assumptions'!$B$11)*'Tax Assumptions'!$B$10)+(MAX(D107-F107,0)*'Tax Assumptions'!$B$12)+(MAX(MAX(D107-F107,0)-'Tax Assumptions'!$B$14,0)*'Tax Assumptions'!$B$13)+(MIN(D107*'Tax Assumptions'!$B$15,'Tax Assumptions'!$B$16))+(MIN(D107*'Tax Assumptions'!$B$17,'Tax Assumptions'!$B$18))+(LOOKUP(MAX(D107-E107-'Tax Assumptions'!$B$9,0),'Tax Assumptions'!$K$9:$K$17,'Tax Assumptions'!$N$9:$N$17)+(MAX(D107-E107-'Tax Assumptions'!$B$9,0)-LOOKUP(MAX(D107-E107-'Tax Assumptions'!$B$9,0),'Tax Assumptions'!$K$9:$K$17,'Tax Assumptions'!$K$9:$K$17))*LOOKUP(MAX(D107-E107-'Tax Assumptions'!$B$9,0),'Tax Assumptions'!$K$9:$K$17,'Tax Assumptions'!$M$9:$M$17))+(LOOKUP(MAX(D107-E107-'Tax Assumptions'!$B$9,0),'Tax Assumptions'!$P$9:$P$12,'Tax Assumptions'!$S$9:$S$12)+(MAX(D107-E107-'Tax Assumptions'!$B$9,0)-LOOKUP(MAX(D107-E107-'Tax Assumptions'!$B$9,0),'Tax Assumptions'!$P$9:$P$12,'Tax Assumptions'!$P$9:$P$12))*LOOKUP(MAX(D107-E107-'Tax Assumptions'!$B$9,0),'Tax Assumptions'!$P$9:$P$12,'Tax Assumptions'!$R$9:$R$12)))*$C$7)</f>
        <v>0</v>
      </c>
      <c r="I107" s="66">
        <f t="shared" si="28"/>
        <v>0</v>
      </c>
      <c r="J107" s="66">
        <f>IF(B107="Working",N('Savings Projection'!$S$46)*$C$8,0)</f>
        <v>0</v>
      </c>
      <c r="K107" s="66">
        <f>IF(B107="Working",N('Savings Projection'!$T$46)*$C$9,0)</f>
        <v>0</v>
      </c>
      <c r="L107" s="66">
        <f>IF(B107="Working",MIN(MAX(I107-J107-K107-AB107-AC107,0),'Tax Assumptions'!$B$20),0)</f>
        <v>0</v>
      </c>
      <c r="M107" s="66">
        <f t="shared" si="29"/>
        <v>0</v>
      </c>
      <c r="N107" s="66">
        <f t="shared" si="30"/>
        <v>0</v>
      </c>
      <c r="O107" s="66">
        <f t="shared" si="31"/>
        <v>595850.08448906743</v>
      </c>
      <c r="P107" s="66">
        <f t="shared" si="32"/>
        <v>0</v>
      </c>
      <c r="Q107" s="66">
        <f t="shared" si="42"/>
        <v>0</v>
      </c>
      <c r="R107" s="66">
        <f t="shared" si="43"/>
        <v>0</v>
      </c>
      <c r="S107" s="66">
        <f t="shared" si="44"/>
        <v>0</v>
      </c>
      <c r="T107" s="66">
        <f t="shared" si="45"/>
        <v>0</v>
      </c>
      <c r="U107" s="66">
        <f t="shared" si="46"/>
        <v>0</v>
      </c>
      <c r="V107" s="66">
        <f t="shared" si="47"/>
        <v>0</v>
      </c>
      <c r="W107" s="66">
        <f t="shared" si="48"/>
        <v>0</v>
      </c>
      <c r="X107" s="66">
        <f t="shared" si="49"/>
        <v>0</v>
      </c>
      <c r="Y107" s="66">
        <f t="shared" si="33"/>
        <v>0</v>
      </c>
      <c r="Z107" s="66">
        <f t="shared" si="34"/>
        <v>595850.08448906743</v>
      </c>
      <c r="AA107" s="69">
        <f t="shared" si="35"/>
        <v>0</v>
      </c>
      <c r="AB107" s="66">
        <f t="shared" si="36"/>
        <v>0</v>
      </c>
      <c r="AC107" s="66">
        <f t="shared" si="37"/>
        <v>395850.08448906743</v>
      </c>
      <c r="AD107" s="66">
        <f t="shared" si="38"/>
        <v>8512165.3061995152</v>
      </c>
      <c r="AE107" s="66">
        <f t="shared" si="39"/>
        <v>1636130.6160523426</v>
      </c>
      <c r="AF107" s="66">
        <f t="shared" si="40"/>
        <v>6876034.6901471727</v>
      </c>
      <c r="AG107" s="117">
        <f t="shared" si="41"/>
        <v>6876034.6901471727</v>
      </c>
    </row>
    <row r="108" spans="1:33" x14ac:dyDescent="0.2">
      <c r="A108" s="114">
        <v>29</v>
      </c>
      <c r="B108" s="100" t="str">
        <f t="shared" si="26"/>
        <v>Retired</v>
      </c>
      <c r="C108" s="101">
        <f>N('Savings Projection'!$B$47)</f>
        <v>0</v>
      </c>
      <c r="D108" s="68">
        <f t="shared" si="27"/>
        <v>0</v>
      </c>
      <c r="E108" s="101">
        <f>IF(OR(B108="Retired",D108=0),0,MIN(D108,'Tax Assumptions'!$B$19))</f>
        <v>0</v>
      </c>
      <c r="F108" s="101">
        <f>IF(B108="Working",N('Savings Projection'!$E$47),0)</f>
        <v>0</v>
      </c>
      <c r="G108" s="101">
        <f>IF(B108="Working",N('Savings Projection'!$F$47),0)</f>
        <v>0</v>
      </c>
      <c r="H108" s="68">
        <f>IF(D108=0,0,((LOOKUP(MAX(D108-E108-F108-'Tax Assumptions'!$B$8,0),'Tax Assumptions'!$F$9:$F$15,'Tax Assumptions'!$I$9:$I$15)+(MAX(D108-E108-F108-'Tax Assumptions'!$B$8,0)-LOOKUP(MAX(D108-E108-F108-'Tax Assumptions'!$B$8,0),'Tax Assumptions'!$F$9:$F$15,'Tax Assumptions'!$F$9:$F$15))*LOOKUP(MAX(D108-E108-F108-'Tax Assumptions'!$B$8,0),'Tax Assumptions'!$F$9:$F$15,'Tax Assumptions'!$H$9:$H$15))+(MIN(MAX(D108-F108,0),'Tax Assumptions'!$B$11)*'Tax Assumptions'!$B$10)+(MAX(D108-F108,0)*'Tax Assumptions'!$B$12)+(MAX(MAX(D108-F108,0)-'Tax Assumptions'!$B$14,0)*'Tax Assumptions'!$B$13)+(MIN(D108*'Tax Assumptions'!$B$15,'Tax Assumptions'!$B$16))+(MIN(D108*'Tax Assumptions'!$B$17,'Tax Assumptions'!$B$18))+(LOOKUP(MAX(D108-E108-'Tax Assumptions'!$B$9,0),'Tax Assumptions'!$K$9:$K$17,'Tax Assumptions'!$N$9:$N$17)+(MAX(D108-E108-'Tax Assumptions'!$B$9,0)-LOOKUP(MAX(D108-E108-'Tax Assumptions'!$B$9,0),'Tax Assumptions'!$K$9:$K$17,'Tax Assumptions'!$K$9:$K$17))*LOOKUP(MAX(D108-E108-'Tax Assumptions'!$B$9,0),'Tax Assumptions'!$K$9:$K$17,'Tax Assumptions'!$M$9:$M$17))+(LOOKUP(MAX(D108-E108-'Tax Assumptions'!$B$9,0),'Tax Assumptions'!$P$9:$P$12,'Tax Assumptions'!$S$9:$S$12)+(MAX(D108-E108-'Tax Assumptions'!$B$9,0)-LOOKUP(MAX(D108-E108-'Tax Assumptions'!$B$9,0),'Tax Assumptions'!$P$9:$P$12,'Tax Assumptions'!$P$9:$P$12))*LOOKUP(MAX(D108-E108-'Tax Assumptions'!$B$9,0),'Tax Assumptions'!$P$9:$P$12,'Tax Assumptions'!$R$9:$R$12)))*$C$7)</f>
        <v>0</v>
      </c>
      <c r="I108" s="68">
        <f t="shared" si="28"/>
        <v>0</v>
      </c>
      <c r="J108" s="101">
        <f>IF(B108="Working",N('Savings Projection'!$S$47)*$C$8,0)</f>
        <v>0</v>
      </c>
      <c r="K108" s="101">
        <f>IF(B108="Working",N('Savings Projection'!$T$47)*$C$9,0)</f>
        <v>0</v>
      </c>
      <c r="L108" s="68">
        <f>IF(B108="Working",MIN(MAX(I108-J108-K108-AB108-AC108,0),'Tax Assumptions'!$B$20),0)</f>
        <v>0</v>
      </c>
      <c r="M108" s="68">
        <f t="shared" si="29"/>
        <v>0</v>
      </c>
      <c r="N108" s="101">
        <f t="shared" si="30"/>
        <v>0</v>
      </c>
      <c r="O108" s="101">
        <f t="shared" si="31"/>
        <v>601468.11359115911</v>
      </c>
      <c r="P108" s="101">
        <f t="shared" si="32"/>
        <v>0</v>
      </c>
      <c r="Q108" s="101">
        <f t="shared" si="42"/>
        <v>0</v>
      </c>
      <c r="R108" s="101">
        <f t="shared" si="43"/>
        <v>0</v>
      </c>
      <c r="S108" s="101">
        <f t="shared" si="44"/>
        <v>0</v>
      </c>
      <c r="T108" s="101">
        <f t="shared" si="45"/>
        <v>0</v>
      </c>
      <c r="U108" s="68">
        <f t="shared" si="46"/>
        <v>0</v>
      </c>
      <c r="V108" s="68">
        <f t="shared" si="47"/>
        <v>0</v>
      </c>
      <c r="W108" s="68">
        <f t="shared" si="48"/>
        <v>0</v>
      </c>
      <c r="X108" s="68">
        <f t="shared" si="49"/>
        <v>0</v>
      </c>
      <c r="Y108" s="68">
        <f t="shared" si="33"/>
        <v>0</v>
      </c>
      <c r="Z108" s="101">
        <f t="shared" si="34"/>
        <v>601468.11359115911</v>
      </c>
      <c r="AA108" s="102">
        <f t="shared" si="35"/>
        <v>0</v>
      </c>
      <c r="AB108" s="68">
        <f t="shared" si="36"/>
        <v>0</v>
      </c>
      <c r="AC108" s="68">
        <f t="shared" si="37"/>
        <v>401468.11359115911</v>
      </c>
      <c r="AD108" s="68">
        <f t="shared" si="38"/>
        <v>8767530.2653855011</v>
      </c>
      <c r="AE108" s="68">
        <f t="shared" si="39"/>
        <v>1530795.2701240368</v>
      </c>
      <c r="AF108" s="68">
        <f t="shared" si="40"/>
        <v>7236734.9952614643</v>
      </c>
      <c r="AG108" s="115">
        <f t="shared" si="41"/>
        <v>7236734.9952614643</v>
      </c>
    </row>
    <row r="109" spans="1:33" x14ac:dyDescent="0.2">
      <c r="A109" s="116">
        <v>30</v>
      </c>
      <c r="B109" s="65" t="str">
        <f t="shared" si="26"/>
        <v>Retired</v>
      </c>
      <c r="C109" s="66">
        <f>N('Savings Projection'!$B$48)</f>
        <v>0</v>
      </c>
      <c r="D109" s="66">
        <f t="shared" si="27"/>
        <v>0</v>
      </c>
      <c r="E109" s="66">
        <f>IF(OR(B109="Retired",D109=0),0,MIN(D109,'Tax Assumptions'!$B$19))</f>
        <v>0</v>
      </c>
      <c r="F109" s="66">
        <f>IF(B109="Working",N('Savings Projection'!$E$48),0)</f>
        <v>0</v>
      </c>
      <c r="G109" s="66">
        <f>IF(B109="Working",N('Savings Projection'!$F$48),0)</f>
        <v>0</v>
      </c>
      <c r="H109" s="66">
        <f>IF(D109=0,0,((LOOKUP(MAX(D109-E109-F109-'Tax Assumptions'!$B$8,0),'Tax Assumptions'!$F$9:$F$15,'Tax Assumptions'!$I$9:$I$15)+(MAX(D109-E109-F109-'Tax Assumptions'!$B$8,0)-LOOKUP(MAX(D109-E109-F109-'Tax Assumptions'!$B$8,0),'Tax Assumptions'!$F$9:$F$15,'Tax Assumptions'!$F$9:$F$15))*LOOKUP(MAX(D109-E109-F109-'Tax Assumptions'!$B$8,0),'Tax Assumptions'!$F$9:$F$15,'Tax Assumptions'!$H$9:$H$15))+(MIN(MAX(D109-F109,0),'Tax Assumptions'!$B$11)*'Tax Assumptions'!$B$10)+(MAX(D109-F109,0)*'Tax Assumptions'!$B$12)+(MAX(MAX(D109-F109,0)-'Tax Assumptions'!$B$14,0)*'Tax Assumptions'!$B$13)+(MIN(D109*'Tax Assumptions'!$B$15,'Tax Assumptions'!$B$16))+(MIN(D109*'Tax Assumptions'!$B$17,'Tax Assumptions'!$B$18))+(LOOKUP(MAX(D109-E109-'Tax Assumptions'!$B$9,0),'Tax Assumptions'!$K$9:$K$17,'Tax Assumptions'!$N$9:$N$17)+(MAX(D109-E109-'Tax Assumptions'!$B$9,0)-LOOKUP(MAX(D109-E109-'Tax Assumptions'!$B$9,0),'Tax Assumptions'!$K$9:$K$17,'Tax Assumptions'!$K$9:$K$17))*LOOKUP(MAX(D109-E109-'Tax Assumptions'!$B$9,0),'Tax Assumptions'!$K$9:$K$17,'Tax Assumptions'!$M$9:$M$17))+(LOOKUP(MAX(D109-E109-'Tax Assumptions'!$B$9,0),'Tax Assumptions'!$P$9:$P$12,'Tax Assumptions'!$S$9:$S$12)+(MAX(D109-E109-'Tax Assumptions'!$B$9,0)-LOOKUP(MAX(D109-E109-'Tax Assumptions'!$B$9,0),'Tax Assumptions'!$P$9:$P$12,'Tax Assumptions'!$P$9:$P$12))*LOOKUP(MAX(D109-E109-'Tax Assumptions'!$B$9,0),'Tax Assumptions'!$P$9:$P$12,'Tax Assumptions'!$R$9:$R$12)))*$C$7)</f>
        <v>0</v>
      </c>
      <c r="I109" s="66">
        <f t="shared" si="28"/>
        <v>0</v>
      </c>
      <c r="J109" s="66">
        <f>IF(B109="Working",N('Savings Projection'!$S$48)*$C$8,0)</f>
        <v>0</v>
      </c>
      <c r="K109" s="66">
        <f>IF(B109="Working",N('Savings Projection'!$T$48)*$C$9,0)</f>
        <v>0</v>
      </c>
      <c r="L109" s="66">
        <f>IF(B109="Working",MIN(MAX(I109-J109-K109-AB109-AC109,0),'Tax Assumptions'!$B$20),0)</f>
        <v>0</v>
      </c>
      <c r="M109" s="66">
        <f t="shared" si="29"/>
        <v>0</v>
      </c>
      <c r="N109" s="66">
        <f t="shared" si="30"/>
        <v>0</v>
      </c>
      <c r="O109" s="66">
        <f t="shared" si="31"/>
        <v>607254.68356631347</v>
      </c>
      <c r="P109" s="66">
        <f t="shared" si="32"/>
        <v>0</v>
      </c>
      <c r="Q109" s="66">
        <f t="shared" si="42"/>
        <v>0</v>
      </c>
      <c r="R109" s="66">
        <f t="shared" si="43"/>
        <v>0</v>
      </c>
      <c r="S109" s="66">
        <f t="shared" si="44"/>
        <v>0</v>
      </c>
      <c r="T109" s="66">
        <f t="shared" si="45"/>
        <v>0</v>
      </c>
      <c r="U109" s="66">
        <f t="shared" si="46"/>
        <v>0</v>
      </c>
      <c r="V109" s="66">
        <f t="shared" si="47"/>
        <v>0</v>
      </c>
      <c r="W109" s="66">
        <f t="shared" si="48"/>
        <v>0</v>
      </c>
      <c r="X109" s="66">
        <f t="shared" si="49"/>
        <v>0</v>
      </c>
      <c r="Y109" s="66">
        <f t="shared" si="33"/>
        <v>0</v>
      </c>
      <c r="Z109" s="66">
        <f t="shared" si="34"/>
        <v>607254.68356631347</v>
      </c>
      <c r="AA109" s="69">
        <f t="shared" si="35"/>
        <v>0</v>
      </c>
      <c r="AB109" s="66">
        <f t="shared" si="36"/>
        <v>0</v>
      </c>
      <c r="AC109" s="66">
        <f t="shared" si="37"/>
        <v>407254.68356631353</v>
      </c>
      <c r="AD109" s="66">
        <f t="shared" si="38"/>
        <v>9030556.1733470671</v>
      </c>
      <c r="AE109" s="66">
        <f t="shared" si="39"/>
        <v>1418405.4209975824</v>
      </c>
      <c r="AF109" s="66">
        <f t="shared" si="40"/>
        <v>7612150.7523494847</v>
      </c>
      <c r="AG109" s="117">
        <f t="shared" si="41"/>
        <v>7612150.7523494847</v>
      </c>
    </row>
    <row r="110" spans="1:33" x14ac:dyDescent="0.2">
      <c r="A110" s="114">
        <v>31</v>
      </c>
      <c r="B110" s="100" t="str">
        <f t="shared" si="26"/>
        <v>Retired</v>
      </c>
      <c r="C110" s="101">
        <f>N('Savings Projection'!$B$49)</f>
        <v>0</v>
      </c>
      <c r="D110" s="68">
        <f t="shared" si="27"/>
        <v>0</v>
      </c>
      <c r="E110" s="101">
        <f>IF(OR(B110="Retired",D110=0),0,MIN(D110,'Tax Assumptions'!$B$19))</f>
        <v>0</v>
      </c>
      <c r="F110" s="101">
        <f>IF(B110="Working",N('Savings Projection'!$E$49),0)</f>
        <v>0</v>
      </c>
      <c r="G110" s="101">
        <f>IF(B110="Working",N('Savings Projection'!$F$49),0)</f>
        <v>0</v>
      </c>
      <c r="H110" s="68">
        <f>IF(D110=0,0,((LOOKUP(MAX(D110-E110-F110-'Tax Assumptions'!$B$8,0),'Tax Assumptions'!$F$9:$F$15,'Tax Assumptions'!$I$9:$I$15)+(MAX(D110-E110-F110-'Tax Assumptions'!$B$8,0)-LOOKUP(MAX(D110-E110-F110-'Tax Assumptions'!$B$8,0),'Tax Assumptions'!$F$9:$F$15,'Tax Assumptions'!$F$9:$F$15))*LOOKUP(MAX(D110-E110-F110-'Tax Assumptions'!$B$8,0),'Tax Assumptions'!$F$9:$F$15,'Tax Assumptions'!$H$9:$H$15))+(MIN(MAX(D110-F110,0),'Tax Assumptions'!$B$11)*'Tax Assumptions'!$B$10)+(MAX(D110-F110,0)*'Tax Assumptions'!$B$12)+(MAX(MAX(D110-F110,0)-'Tax Assumptions'!$B$14,0)*'Tax Assumptions'!$B$13)+(MIN(D110*'Tax Assumptions'!$B$15,'Tax Assumptions'!$B$16))+(MIN(D110*'Tax Assumptions'!$B$17,'Tax Assumptions'!$B$18))+(LOOKUP(MAX(D110-E110-'Tax Assumptions'!$B$9,0),'Tax Assumptions'!$K$9:$K$17,'Tax Assumptions'!$N$9:$N$17)+(MAX(D110-E110-'Tax Assumptions'!$B$9,0)-LOOKUP(MAX(D110-E110-'Tax Assumptions'!$B$9,0),'Tax Assumptions'!$K$9:$K$17,'Tax Assumptions'!$K$9:$K$17))*LOOKUP(MAX(D110-E110-'Tax Assumptions'!$B$9,0),'Tax Assumptions'!$K$9:$K$17,'Tax Assumptions'!$M$9:$M$17))+(LOOKUP(MAX(D110-E110-'Tax Assumptions'!$B$9,0),'Tax Assumptions'!$P$9:$P$12,'Tax Assumptions'!$S$9:$S$12)+(MAX(D110-E110-'Tax Assumptions'!$B$9,0)-LOOKUP(MAX(D110-E110-'Tax Assumptions'!$B$9,0),'Tax Assumptions'!$P$9:$P$12,'Tax Assumptions'!$P$9:$P$12))*LOOKUP(MAX(D110-E110-'Tax Assumptions'!$B$9,0),'Tax Assumptions'!$P$9:$P$12,'Tax Assumptions'!$R$9:$R$12)))*$C$7)</f>
        <v>0</v>
      </c>
      <c r="I110" s="68">
        <f t="shared" si="28"/>
        <v>0</v>
      </c>
      <c r="J110" s="101">
        <f>IF(B110="Working",N('Savings Projection'!$S$49)*$C$8,0)</f>
        <v>0</v>
      </c>
      <c r="K110" s="101">
        <f>IF(B110="Working",N('Savings Projection'!$T$49)*$C$9,0)</f>
        <v>0</v>
      </c>
      <c r="L110" s="68">
        <f>IF(B110="Working",MIN(MAX(I110-J110-K110-AB110-AC110,0),'Tax Assumptions'!$B$20),0)</f>
        <v>0</v>
      </c>
      <c r="M110" s="68">
        <f t="shared" si="29"/>
        <v>0</v>
      </c>
      <c r="N110" s="101">
        <f t="shared" si="30"/>
        <v>0</v>
      </c>
      <c r="O110" s="101">
        <f t="shared" si="31"/>
        <v>613214.85064072255</v>
      </c>
      <c r="P110" s="101">
        <f t="shared" si="32"/>
        <v>0</v>
      </c>
      <c r="Q110" s="101">
        <f t="shared" si="42"/>
        <v>0</v>
      </c>
      <c r="R110" s="101">
        <f t="shared" si="43"/>
        <v>0</v>
      </c>
      <c r="S110" s="101">
        <f t="shared" si="44"/>
        <v>0</v>
      </c>
      <c r="T110" s="101">
        <f t="shared" si="45"/>
        <v>0</v>
      </c>
      <c r="U110" s="68">
        <f t="shared" si="46"/>
        <v>0</v>
      </c>
      <c r="V110" s="68">
        <f t="shared" si="47"/>
        <v>0</v>
      </c>
      <c r="W110" s="68">
        <f t="shared" si="48"/>
        <v>0</v>
      </c>
      <c r="X110" s="68">
        <f t="shared" si="49"/>
        <v>0</v>
      </c>
      <c r="Y110" s="68">
        <f t="shared" si="33"/>
        <v>0</v>
      </c>
      <c r="Z110" s="101">
        <f t="shared" si="34"/>
        <v>613214.85064072255</v>
      </c>
      <c r="AA110" s="102">
        <f t="shared" si="35"/>
        <v>0</v>
      </c>
      <c r="AB110" s="68">
        <f t="shared" si="36"/>
        <v>0</v>
      </c>
      <c r="AC110" s="68">
        <f t="shared" si="37"/>
        <v>413214.85064072255</v>
      </c>
      <c r="AD110" s="68">
        <f t="shared" si="38"/>
        <v>9301472.8585474771</v>
      </c>
      <c r="AE110" s="68">
        <f t="shared" si="39"/>
        <v>1298488.6155288462</v>
      </c>
      <c r="AF110" s="68">
        <f t="shared" si="40"/>
        <v>8002984.2430186309</v>
      </c>
      <c r="AG110" s="115">
        <f t="shared" si="41"/>
        <v>8002984.2430186309</v>
      </c>
    </row>
    <row r="111" spans="1:33" x14ac:dyDescent="0.2">
      <c r="A111" s="116">
        <v>32</v>
      </c>
      <c r="B111" s="65" t="str">
        <f t="shared" si="26"/>
        <v>Retired</v>
      </c>
      <c r="C111" s="66">
        <f>N('Savings Projection'!$B$50)</f>
        <v>0</v>
      </c>
      <c r="D111" s="66">
        <f t="shared" si="27"/>
        <v>0</v>
      </c>
      <c r="E111" s="66">
        <f>IF(OR(B111="Retired",D111=0),0,MIN(D111,'Tax Assumptions'!$B$19))</f>
        <v>0</v>
      </c>
      <c r="F111" s="66">
        <f>IF(B111="Working",N('Savings Projection'!$E$50),0)</f>
        <v>0</v>
      </c>
      <c r="G111" s="66">
        <f>IF(B111="Working",N('Savings Projection'!$F$50),0)</f>
        <v>0</v>
      </c>
      <c r="H111" s="66">
        <f>IF(D111=0,0,((LOOKUP(MAX(D111-E111-F111-'Tax Assumptions'!$B$8,0),'Tax Assumptions'!$F$9:$F$15,'Tax Assumptions'!$I$9:$I$15)+(MAX(D111-E111-F111-'Tax Assumptions'!$B$8,0)-LOOKUP(MAX(D111-E111-F111-'Tax Assumptions'!$B$8,0),'Tax Assumptions'!$F$9:$F$15,'Tax Assumptions'!$F$9:$F$15))*LOOKUP(MAX(D111-E111-F111-'Tax Assumptions'!$B$8,0),'Tax Assumptions'!$F$9:$F$15,'Tax Assumptions'!$H$9:$H$15))+(MIN(MAX(D111-F111,0),'Tax Assumptions'!$B$11)*'Tax Assumptions'!$B$10)+(MAX(D111-F111,0)*'Tax Assumptions'!$B$12)+(MAX(MAX(D111-F111,0)-'Tax Assumptions'!$B$14,0)*'Tax Assumptions'!$B$13)+(MIN(D111*'Tax Assumptions'!$B$15,'Tax Assumptions'!$B$16))+(MIN(D111*'Tax Assumptions'!$B$17,'Tax Assumptions'!$B$18))+(LOOKUP(MAX(D111-E111-'Tax Assumptions'!$B$9,0),'Tax Assumptions'!$K$9:$K$17,'Tax Assumptions'!$N$9:$N$17)+(MAX(D111-E111-'Tax Assumptions'!$B$9,0)-LOOKUP(MAX(D111-E111-'Tax Assumptions'!$B$9,0),'Tax Assumptions'!$K$9:$K$17,'Tax Assumptions'!$K$9:$K$17))*LOOKUP(MAX(D111-E111-'Tax Assumptions'!$B$9,0),'Tax Assumptions'!$K$9:$K$17,'Tax Assumptions'!$M$9:$M$17))+(LOOKUP(MAX(D111-E111-'Tax Assumptions'!$B$9,0),'Tax Assumptions'!$P$9:$P$12,'Tax Assumptions'!$S$9:$S$12)+(MAX(D111-E111-'Tax Assumptions'!$B$9,0)-LOOKUP(MAX(D111-E111-'Tax Assumptions'!$B$9,0),'Tax Assumptions'!$P$9:$P$12,'Tax Assumptions'!$P$9:$P$12))*LOOKUP(MAX(D111-E111-'Tax Assumptions'!$B$9,0),'Tax Assumptions'!$P$9:$P$12,'Tax Assumptions'!$R$9:$R$12)))*$C$7)</f>
        <v>0</v>
      </c>
      <c r="I111" s="66">
        <f t="shared" si="28"/>
        <v>0</v>
      </c>
      <c r="J111" s="66">
        <f>IF(B111="Working",N('Savings Projection'!$S$50)*$C$8,0)</f>
        <v>0</v>
      </c>
      <c r="K111" s="66">
        <f>IF(B111="Working",N('Savings Projection'!$T$50)*$C$9,0)</f>
        <v>0</v>
      </c>
      <c r="L111" s="66">
        <f>IF(B111="Working",MIN(MAX(I111-J111-K111-AB111-AC111,0),'Tax Assumptions'!$B$20),0)</f>
        <v>0</v>
      </c>
      <c r="M111" s="66">
        <f t="shared" si="29"/>
        <v>0</v>
      </c>
      <c r="N111" s="66">
        <f t="shared" si="30"/>
        <v>0</v>
      </c>
      <c r="O111" s="66">
        <f t="shared" si="31"/>
        <v>619353.82272736391</v>
      </c>
      <c r="P111" s="66">
        <f t="shared" si="32"/>
        <v>0</v>
      </c>
      <c r="Q111" s="66">
        <f t="shared" si="42"/>
        <v>0</v>
      </c>
      <c r="R111" s="66">
        <f t="shared" si="43"/>
        <v>0</v>
      </c>
      <c r="S111" s="66">
        <f t="shared" si="44"/>
        <v>0</v>
      </c>
      <c r="T111" s="66">
        <f t="shared" si="45"/>
        <v>0</v>
      </c>
      <c r="U111" s="66">
        <f t="shared" si="46"/>
        <v>0</v>
      </c>
      <c r="V111" s="66">
        <f t="shared" si="47"/>
        <v>0</v>
      </c>
      <c r="W111" s="66">
        <f t="shared" si="48"/>
        <v>0</v>
      </c>
      <c r="X111" s="66">
        <f t="shared" si="49"/>
        <v>0</v>
      </c>
      <c r="Y111" s="66">
        <f t="shared" si="33"/>
        <v>0</v>
      </c>
      <c r="Z111" s="66">
        <f t="shared" si="34"/>
        <v>619353.82272736391</v>
      </c>
      <c r="AA111" s="69">
        <f t="shared" si="35"/>
        <v>0</v>
      </c>
      <c r="AB111" s="66">
        <f t="shared" si="36"/>
        <v>0</v>
      </c>
      <c r="AC111" s="66">
        <f t="shared" si="37"/>
        <v>419353.82272736391</v>
      </c>
      <c r="AD111" s="66">
        <f t="shared" si="38"/>
        <v>9580517.0443039015</v>
      </c>
      <c r="AE111" s="66">
        <f t="shared" si="39"/>
        <v>1170540.7595116366</v>
      </c>
      <c r="AF111" s="66">
        <f t="shared" si="40"/>
        <v>8409976.2847922649</v>
      </c>
      <c r="AG111" s="117">
        <f t="shared" si="41"/>
        <v>8409976.2847922649</v>
      </c>
    </row>
    <row r="112" spans="1:33" x14ac:dyDescent="0.2">
      <c r="A112" s="114">
        <v>33</v>
      </c>
      <c r="B112" s="100" t="str">
        <f t="shared" si="26"/>
        <v>Retired</v>
      </c>
      <c r="C112" s="101">
        <f>N('Savings Projection'!$B$51)</f>
        <v>0</v>
      </c>
      <c r="D112" s="68">
        <f t="shared" si="27"/>
        <v>0</v>
      </c>
      <c r="E112" s="101">
        <f>IF(OR(B112="Retired",D112=0),0,MIN(D112,'Tax Assumptions'!$B$19))</f>
        <v>0</v>
      </c>
      <c r="F112" s="101">
        <f>IF(B112="Working",N('Savings Projection'!$E$51),0)</f>
        <v>0</v>
      </c>
      <c r="G112" s="101">
        <f>IF(B112="Working",N('Savings Projection'!$F$51),0)</f>
        <v>0</v>
      </c>
      <c r="H112" s="68">
        <f>IF(D112=0,0,((LOOKUP(MAX(D112-E112-F112-'Tax Assumptions'!$B$8,0),'Tax Assumptions'!$F$9:$F$15,'Tax Assumptions'!$I$9:$I$15)+(MAX(D112-E112-F112-'Tax Assumptions'!$B$8,0)-LOOKUP(MAX(D112-E112-F112-'Tax Assumptions'!$B$8,0),'Tax Assumptions'!$F$9:$F$15,'Tax Assumptions'!$F$9:$F$15))*LOOKUP(MAX(D112-E112-F112-'Tax Assumptions'!$B$8,0),'Tax Assumptions'!$F$9:$F$15,'Tax Assumptions'!$H$9:$H$15))+(MIN(MAX(D112-F112,0),'Tax Assumptions'!$B$11)*'Tax Assumptions'!$B$10)+(MAX(D112-F112,0)*'Tax Assumptions'!$B$12)+(MAX(MAX(D112-F112,0)-'Tax Assumptions'!$B$14,0)*'Tax Assumptions'!$B$13)+(MIN(D112*'Tax Assumptions'!$B$15,'Tax Assumptions'!$B$16))+(MIN(D112*'Tax Assumptions'!$B$17,'Tax Assumptions'!$B$18))+(LOOKUP(MAX(D112-E112-'Tax Assumptions'!$B$9,0),'Tax Assumptions'!$K$9:$K$17,'Tax Assumptions'!$N$9:$N$17)+(MAX(D112-E112-'Tax Assumptions'!$B$9,0)-LOOKUP(MAX(D112-E112-'Tax Assumptions'!$B$9,0),'Tax Assumptions'!$K$9:$K$17,'Tax Assumptions'!$K$9:$K$17))*LOOKUP(MAX(D112-E112-'Tax Assumptions'!$B$9,0),'Tax Assumptions'!$K$9:$K$17,'Tax Assumptions'!$M$9:$M$17))+(LOOKUP(MAX(D112-E112-'Tax Assumptions'!$B$9,0),'Tax Assumptions'!$P$9:$P$12,'Tax Assumptions'!$S$9:$S$12)+(MAX(D112-E112-'Tax Assumptions'!$B$9,0)-LOOKUP(MAX(D112-E112-'Tax Assumptions'!$B$9,0),'Tax Assumptions'!$P$9:$P$12,'Tax Assumptions'!$P$9:$P$12))*LOOKUP(MAX(D112-E112-'Tax Assumptions'!$B$9,0),'Tax Assumptions'!$P$9:$P$12,'Tax Assumptions'!$R$9:$R$12)))*$C$7)</f>
        <v>0</v>
      </c>
      <c r="I112" s="68">
        <f t="shared" si="28"/>
        <v>0</v>
      </c>
      <c r="J112" s="101">
        <f>IF(B112="Working",N('Savings Projection'!$S$51)*$C$8,0)</f>
        <v>0</v>
      </c>
      <c r="K112" s="101">
        <f>IF(B112="Working",N('Savings Projection'!$T$51)*$C$9,0)</f>
        <v>0</v>
      </c>
      <c r="L112" s="68">
        <f>IF(B112="Working",MIN(MAX(I112-J112-K112-AB112-AC112,0),'Tax Assumptions'!$B$20),0)</f>
        <v>0</v>
      </c>
      <c r="M112" s="68">
        <f t="shared" si="29"/>
        <v>0</v>
      </c>
      <c r="N112" s="101">
        <f t="shared" si="30"/>
        <v>0</v>
      </c>
      <c r="O112" s="101">
        <f t="shared" si="31"/>
        <v>625676.96397660451</v>
      </c>
      <c r="P112" s="101">
        <f t="shared" si="32"/>
        <v>0</v>
      </c>
      <c r="Q112" s="101">
        <f t="shared" si="42"/>
        <v>0</v>
      </c>
      <c r="R112" s="101">
        <f t="shared" si="43"/>
        <v>0</v>
      </c>
      <c r="S112" s="101">
        <f t="shared" si="44"/>
        <v>0</v>
      </c>
      <c r="T112" s="101">
        <f t="shared" si="45"/>
        <v>0</v>
      </c>
      <c r="U112" s="68">
        <f t="shared" si="46"/>
        <v>0</v>
      </c>
      <c r="V112" s="68">
        <f t="shared" si="47"/>
        <v>0</v>
      </c>
      <c r="W112" s="68">
        <f t="shared" si="48"/>
        <v>0</v>
      </c>
      <c r="X112" s="68">
        <f t="shared" si="49"/>
        <v>0</v>
      </c>
      <c r="Y112" s="68">
        <f t="shared" si="33"/>
        <v>0</v>
      </c>
      <c r="Z112" s="101">
        <f t="shared" si="34"/>
        <v>625676.96397660451</v>
      </c>
      <c r="AA112" s="102">
        <f t="shared" si="35"/>
        <v>0</v>
      </c>
      <c r="AB112" s="68">
        <f t="shared" si="36"/>
        <v>0</v>
      </c>
      <c r="AC112" s="68">
        <f t="shared" si="37"/>
        <v>425676.96397660451</v>
      </c>
      <c r="AD112" s="68">
        <f t="shared" si="38"/>
        <v>9867932.5556330197</v>
      </c>
      <c r="AE112" s="68">
        <f t="shared" si="39"/>
        <v>1034023.9986172039</v>
      </c>
      <c r="AF112" s="68">
        <f t="shared" si="40"/>
        <v>8833908.5570158157</v>
      </c>
      <c r="AG112" s="115">
        <f t="shared" si="41"/>
        <v>8833908.5570158157</v>
      </c>
    </row>
    <row r="113" spans="1:33" x14ac:dyDescent="0.2">
      <c r="A113" s="116">
        <v>34</v>
      </c>
      <c r="B113" s="65" t="str">
        <f t="shared" si="26"/>
        <v>Retired</v>
      </c>
      <c r="C113" s="66">
        <f>N('Savings Projection'!$B$52)</f>
        <v>0</v>
      </c>
      <c r="D113" s="66">
        <f t="shared" si="27"/>
        <v>0</v>
      </c>
      <c r="E113" s="66">
        <f>IF(OR(B113="Retired",D113=0),0,MIN(D113,'Tax Assumptions'!$B$19))</f>
        <v>0</v>
      </c>
      <c r="F113" s="66">
        <f>IF(B113="Working",N('Savings Projection'!$E$52),0)</f>
        <v>0</v>
      </c>
      <c r="G113" s="66">
        <f>IF(B113="Working",N('Savings Projection'!$F$52),0)</f>
        <v>0</v>
      </c>
      <c r="H113" s="66">
        <f>IF(D113=0,0,((LOOKUP(MAX(D113-E113-F113-'Tax Assumptions'!$B$8,0),'Tax Assumptions'!$F$9:$F$15,'Tax Assumptions'!$I$9:$I$15)+(MAX(D113-E113-F113-'Tax Assumptions'!$B$8,0)-LOOKUP(MAX(D113-E113-F113-'Tax Assumptions'!$B$8,0),'Tax Assumptions'!$F$9:$F$15,'Tax Assumptions'!$F$9:$F$15))*LOOKUP(MAX(D113-E113-F113-'Tax Assumptions'!$B$8,0),'Tax Assumptions'!$F$9:$F$15,'Tax Assumptions'!$H$9:$H$15))+(MIN(MAX(D113-F113,0),'Tax Assumptions'!$B$11)*'Tax Assumptions'!$B$10)+(MAX(D113-F113,0)*'Tax Assumptions'!$B$12)+(MAX(MAX(D113-F113,0)-'Tax Assumptions'!$B$14,0)*'Tax Assumptions'!$B$13)+(MIN(D113*'Tax Assumptions'!$B$15,'Tax Assumptions'!$B$16))+(MIN(D113*'Tax Assumptions'!$B$17,'Tax Assumptions'!$B$18))+(LOOKUP(MAX(D113-E113-'Tax Assumptions'!$B$9,0),'Tax Assumptions'!$K$9:$K$17,'Tax Assumptions'!$N$9:$N$17)+(MAX(D113-E113-'Tax Assumptions'!$B$9,0)-LOOKUP(MAX(D113-E113-'Tax Assumptions'!$B$9,0),'Tax Assumptions'!$K$9:$K$17,'Tax Assumptions'!$K$9:$K$17))*LOOKUP(MAX(D113-E113-'Tax Assumptions'!$B$9,0),'Tax Assumptions'!$K$9:$K$17,'Tax Assumptions'!$M$9:$M$17))+(LOOKUP(MAX(D113-E113-'Tax Assumptions'!$B$9,0),'Tax Assumptions'!$P$9:$P$12,'Tax Assumptions'!$S$9:$S$12)+(MAX(D113-E113-'Tax Assumptions'!$B$9,0)-LOOKUP(MAX(D113-E113-'Tax Assumptions'!$B$9,0),'Tax Assumptions'!$P$9:$P$12,'Tax Assumptions'!$P$9:$P$12))*LOOKUP(MAX(D113-E113-'Tax Assumptions'!$B$9,0),'Tax Assumptions'!$P$9:$P$12,'Tax Assumptions'!$R$9:$R$12)))*$C$7)</f>
        <v>0</v>
      </c>
      <c r="I113" s="66">
        <f t="shared" si="28"/>
        <v>0</v>
      </c>
      <c r="J113" s="66">
        <f>IF(B113="Working",N('Savings Projection'!$S$52)*$C$8,0)</f>
        <v>0</v>
      </c>
      <c r="K113" s="66">
        <f>IF(B113="Working",N('Savings Projection'!$T$52)*$C$9,0)</f>
        <v>0</v>
      </c>
      <c r="L113" s="66">
        <f>IF(B113="Working",MIN(MAX(I113-J113-K113-AB113-AC113,0),'Tax Assumptions'!$B$20),0)</f>
        <v>0</v>
      </c>
      <c r="M113" s="66">
        <f t="shared" si="29"/>
        <v>0</v>
      </c>
      <c r="N113" s="66">
        <f t="shared" si="30"/>
        <v>0</v>
      </c>
      <c r="O113" s="66">
        <f t="shared" si="31"/>
        <v>632189.79946332227</v>
      </c>
      <c r="P113" s="66">
        <f t="shared" si="32"/>
        <v>0</v>
      </c>
      <c r="Q113" s="66">
        <f t="shared" si="42"/>
        <v>0</v>
      </c>
      <c r="R113" s="66">
        <f t="shared" si="43"/>
        <v>0</v>
      </c>
      <c r="S113" s="66">
        <f t="shared" si="44"/>
        <v>0</v>
      </c>
      <c r="T113" s="66">
        <f t="shared" si="45"/>
        <v>0</v>
      </c>
      <c r="U113" s="66">
        <f t="shared" si="46"/>
        <v>0</v>
      </c>
      <c r="V113" s="66">
        <f t="shared" si="47"/>
        <v>0</v>
      </c>
      <c r="W113" s="66">
        <f t="shared" si="48"/>
        <v>0</v>
      </c>
      <c r="X113" s="66">
        <f t="shared" si="49"/>
        <v>0</v>
      </c>
      <c r="Y113" s="66">
        <f t="shared" si="33"/>
        <v>0</v>
      </c>
      <c r="Z113" s="66">
        <f t="shared" si="34"/>
        <v>632189.79946332227</v>
      </c>
      <c r="AA113" s="69">
        <f t="shared" si="35"/>
        <v>0</v>
      </c>
      <c r="AB113" s="66">
        <f t="shared" si="36"/>
        <v>0</v>
      </c>
      <c r="AC113" s="66">
        <f t="shared" si="37"/>
        <v>432189.79946332227</v>
      </c>
      <c r="AD113" s="66">
        <f t="shared" si="38"/>
        <v>10163970.532302009</v>
      </c>
      <c r="AE113" s="66">
        <f t="shared" si="39"/>
        <v>888364.4574162811</v>
      </c>
      <c r="AF113" s="66">
        <f t="shared" si="40"/>
        <v>9275606.0748857278</v>
      </c>
      <c r="AG113" s="117">
        <f t="shared" si="41"/>
        <v>9275606.0748857278</v>
      </c>
    </row>
    <row r="114" spans="1:33" x14ac:dyDescent="0.2">
      <c r="A114" s="114">
        <v>35</v>
      </c>
      <c r="B114" s="100" t="str">
        <f t="shared" si="26"/>
        <v>Retired</v>
      </c>
      <c r="C114" s="101">
        <f>N('Savings Projection'!$B$53)</f>
        <v>0</v>
      </c>
      <c r="D114" s="68">
        <f t="shared" si="27"/>
        <v>0</v>
      </c>
      <c r="E114" s="101">
        <f>IF(OR(B114="Retired",D114=0),0,MIN(D114,'Tax Assumptions'!$B$19))</f>
        <v>0</v>
      </c>
      <c r="F114" s="101">
        <f>IF(B114="Working",N('Savings Projection'!$E$53),0)</f>
        <v>0</v>
      </c>
      <c r="G114" s="101">
        <f>IF(B114="Working",N('Savings Projection'!$F$53),0)</f>
        <v>0</v>
      </c>
      <c r="H114" s="68">
        <f>IF(D114=0,0,((LOOKUP(MAX(D114-E114-F114-'Tax Assumptions'!$B$8,0),'Tax Assumptions'!$F$9:$F$15,'Tax Assumptions'!$I$9:$I$15)+(MAX(D114-E114-F114-'Tax Assumptions'!$B$8,0)-LOOKUP(MAX(D114-E114-F114-'Tax Assumptions'!$B$8,0),'Tax Assumptions'!$F$9:$F$15,'Tax Assumptions'!$F$9:$F$15))*LOOKUP(MAX(D114-E114-F114-'Tax Assumptions'!$B$8,0),'Tax Assumptions'!$F$9:$F$15,'Tax Assumptions'!$H$9:$H$15))+(MIN(MAX(D114-F114,0),'Tax Assumptions'!$B$11)*'Tax Assumptions'!$B$10)+(MAX(D114-F114,0)*'Tax Assumptions'!$B$12)+(MAX(MAX(D114-F114,0)-'Tax Assumptions'!$B$14,0)*'Tax Assumptions'!$B$13)+(MIN(D114*'Tax Assumptions'!$B$15,'Tax Assumptions'!$B$16))+(MIN(D114*'Tax Assumptions'!$B$17,'Tax Assumptions'!$B$18))+(LOOKUP(MAX(D114-E114-'Tax Assumptions'!$B$9,0),'Tax Assumptions'!$K$9:$K$17,'Tax Assumptions'!$N$9:$N$17)+(MAX(D114-E114-'Tax Assumptions'!$B$9,0)-LOOKUP(MAX(D114-E114-'Tax Assumptions'!$B$9,0),'Tax Assumptions'!$K$9:$K$17,'Tax Assumptions'!$K$9:$K$17))*LOOKUP(MAX(D114-E114-'Tax Assumptions'!$B$9,0),'Tax Assumptions'!$K$9:$K$17,'Tax Assumptions'!$M$9:$M$17))+(LOOKUP(MAX(D114-E114-'Tax Assumptions'!$B$9,0),'Tax Assumptions'!$P$9:$P$12,'Tax Assumptions'!$S$9:$S$12)+(MAX(D114-E114-'Tax Assumptions'!$B$9,0)-LOOKUP(MAX(D114-E114-'Tax Assumptions'!$B$9,0),'Tax Assumptions'!$P$9:$P$12,'Tax Assumptions'!$P$9:$P$12))*LOOKUP(MAX(D114-E114-'Tax Assumptions'!$B$9,0),'Tax Assumptions'!$P$9:$P$12,'Tax Assumptions'!$R$9:$R$12)))*$C$7)</f>
        <v>0</v>
      </c>
      <c r="I114" s="68">
        <f t="shared" si="28"/>
        <v>0</v>
      </c>
      <c r="J114" s="101">
        <f>IF(B114="Working",N('Savings Projection'!$S$53)*$C$8,0)</f>
        <v>0</v>
      </c>
      <c r="K114" s="101">
        <f>IF(B114="Working",N('Savings Projection'!$T$53)*$C$9,0)</f>
        <v>0</v>
      </c>
      <c r="L114" s="68">
        <f>IF(B114="Working",MIN(MAX(I114-J114-K114-AB114-AC114,0),'Tax Assumptions'!$B$20),0)</f>
        <v>0</v>
      </c>
      <c r="M114" s="68">
        <f t="shared" si="29"/>
        <v>0</v>
      </c>
      <c r="N114" s="101">
        <f t="shared" si="30"/>
        <v>0</v>
      </c>
      <c r="O114" s="101">
        <f t="shared" si="31"/>
        <v>638898.02001464157</v>
      </c>
      <c r="P114" s="101">
        <f t="shared" si="32"/>
        <v>0</v>
      </c>
      <c r="Q114" s="101">
        <f t="shared" si="42"/>
        <v>0</v>
      </c>
      <c r="R114" s="101">
        <f t="shared" si="43"/>
        <v>0</v>
      </c>
      <c r="S114" s="101">
        <f t="shared" si="44"/>
        <v>0</v>
      </c>
      <c r="T114" s="101">
        <f t="shared" si="45"/>
        <v>0</v>
      </c>
      <c r="U114" s="68">
        <f t="shared" si="46"/>
        <v>0</v>
      </c>
      <c r="V114" s="68">
        <f t="shared" si="47"/>
        <v>0</v>
      </c>
      <c r="W114" s="68">
        <f t="shared" si="48"/>
        <v>0</v>
      </c>
      <c r="X114" s="68">
        <f t="shared" si="49"/>
        <v>0</v>
      </c>
      <c r="Y114" s="68">
        <f t="shared" si="33"/>
        <v>0</v>
      </c>
      <c r="Z114" s="101">
        <f t="shared" si="34"/>
        <v>638898.02001464157</v>
      </c>
      <c r="AA114" s="102">
        <f t="shared" si="35"/>
        <v>0</v>
      </c>
      <c r="AB114" s="68">
        <f t="shared" si="36"/>
        <v>0</v>
      </c>
      <c r="AC114" s="68">
        <f t="shared" si="37"/>
        <v>438898.02001464157</v>
      </c>
      <c r="AD114" s="68">
        <f t="shared" si="38"/>
        <v>10468889.648271069</v>
      </c>
      <c r="AE114" s="68">
        <f t="shared" si="39"/>
        <v>732949.82697929069</v>
      </c>
      <c r="AF114" s="68">
        <f t="shared" si="40"/>
        <v>9735939.8212917782</v>
      </c>
      <c r="AG114" s="115">
        <f t="shared" si="41"/>
        <v>9735939.8212917782</v>
      </c>
    </row>
    <row r="115" spans="1:33" x14ac:dyDescent="0.2">
      <c r="A115" s="116">
        <v>36</v>
      </c>
      <c r="B115" s="65" t="str">
        <f t="shared" si="26"/>
        <v>Retired</v>
      </c>
      <c r="C115" s="66">
        <f>N('Savings Projection'!$B$54)</f>
        <v>0</v>
      </c>
      <c r="D115" s="66">
        <f t="shared" si="27"/>
        <v>0</v>
      </c>
      <c r="E115" s="66">
        <f>IF(OR(B115="Retired",D115=0),0,MIN(D115,'Tax Assumptions'!$B$19))</f>
        <v>0</v>
      </c>
      <c r="F115" s="66">
        <f>IF(B115="Working",N('Savings Projection'!$E$54),0)</f>
        <v>0</v>
      </c>
      <c r="G115" s="66">
        <f>IF(B115="Working",N('Savings Projection'!$F$54),0)</f>
        <v>0</v>
      </c>
      <c r="H115" s="66">
        <f>IF(D115=0,0,((LOOKUP(MAX(D115-E115-F115-'Tax Assumptions'!$B$8,0),'Tax Assumptions'!$F$9:$F$15,'Tax Assumptions'!$I$9:$I$15)+(MAX(D115-E115-F115-'Tax Assumptions'!$B$8,0)-LOOKUP(MAX(D115-E115-F115-'Tax Assumptions'!$B$8,0),'Tax Assumptions'!$F$9:$F$15,'Tax Assumptions'!$F$9:$F$15))*LOOKUP(MAX(D115-E115-F115-'Tax Assumptions'!$B$8,0),'Tax Assumptions'!$F$9:$F$15,'Tax Assumptions'!$H$9:$H$15))+(MIN(MAX(D115-F115,0),'Tax Assumptions'!$B$11)*'Tax Assumptions'!$B$10)+(MAX(D115-F115,0)*'Tax Assumptions'!$B$12)+(MAX(MAX(D115-F115,0)-'Tax Assumptions'!$B$14,0)*'Tax Assumptions'!$B$13)+(MIN(D115*'Tax Assumptions'!$B$15,'Tax Assumptions'!$B$16))+(MIN(D115*'Tax Assumptions'!$B$17,'Tax Assumptions'!$B$18))+(LOOKUP(MAX(D115-E115-'Tax Assumptions'!$B$9,0),'Tax Assumptions'!$K$9:$K$17,'Tax Assumptions'!$N$9:$N$17)+(MAX(D115-E115-'Tax Assumptions'!$B$9,0)-LOOKUP(MAX(D115-E115-'Tax Assumptions'!$B$9,0),'Tax Assumptions'!$K$9:$K$17,'Tax Assumptions'!$K$9:$K$17))*LOOKUP(MAX(D115-E115-'Tax Assumptions'!$B$9,0),'Tax Assumptions'!$K$9:$K$17,'Tax Assumptions'!$M$9:$M$17))+(LOOKUP(MAX(D115-E115-'Tax Assumptions'!$B$9,0),'Tax Assumptions'!$P$9:$P$12,'Tax Assumptions'!$S$9:$S$12)+(MAX(D115-E115-'Tax Assumptions'!$B$9,0)-LOOKUP(MAX(D115-E115-'Tax Assumptions'!$B$9,0),'Tax Assumptions'!$P$9:$P$12,'Tax Assumptions'!$P$9:$P$12))*LOOKUP(MAX(D115-E115-'Tax Assumptions'!$B$9,0),'Tax Assumptions'!$P$9:$P$12,'Tax Assumptions'!$R$9:$R$12)))*$C$7)</f>
        <v>0</v>
      </c>
      <c r="I115" s="66">
        <f t="shared" si="28"/>
        <v>0</v>
      </c>
      <c r="J115" s="66">
        <f>IF(B115="Working",N('Savings Projection'!$S$54)*$C$8,0)</f>
        <v>0</v>
      </c>
      <c r="K115" s="66">
        <f>IF(B115="Working",N('Savings Projection'!$T$54)*$C$9,0)</f>
        <v>0</v>
      </c>
      <c r="L115" s="66">
        <f>IF(B115="Working",MIN(MAX(I115-J115-K115-AB115-AC115,0),'Tax Assumptions'!$B$20),0)</f>
        <v>0</v>
      </c>
      <c r="M115" s="66">
        <f t="shared" si="29"/>
        <v>0</v>
      </c>
      <c r="N115" s="66">
        <f t="shared" si="30"/>
        <v>0</v>
      </c>
      <c r="O115" s="66">
        <f t="shared" si="31"/>
        <v>645807.48718250054</v>
      </c>
      <c r="P115" s="66">
        <f t="shared" si="32"/>
        <v>0</v>
      </c>
      <c r="Q115" s="66">
        <f t="shared" si="42"/>
        <v>0</v>
      </c>
      <c r="R115" s="66">
        <f t="shared" si="43"/>
        <v>0</v>
      </c>
      <c r="S115" s="66">
        <f t="shared" si="44"/>
        <v>0</v>
      </c>
      <c r="T115" s="66">
        <f t="shared" si="45"/>
        <v>0</v>
      </c>
      <c r="U115" s="66">
        <f t="shared" si="46"/>
        <v>0</v>
      </c>
      <c r="V115" s="66">
        <f t="shared" si="47"/>
        <v>0</v>
      </c>
      <c r="W115" s="66">
        <f t="shared" si="48"/>
        <v>0</v>
      </c>
      <c r="X115" s="66">
        <f t="shared" si="49"/>
        <v>0</v>
      </c>
      <c r="Y115" s="66">
        <f t="shared" si="33"/>
        <v>0</v>
      </c>
      <c r="Z115" s="66">
        <f t="shared" si="34"/>
        <v>645807.48718250054</v>
      </c>
      <c r="AA115" s="69">
        <f t="shared" si="35"/>
        <v>0</v>
      </c>
      <c r="AB115" s="66">
        <f t="shared" si="36"/>
        <v>0</v>
      </c>
      <c r="AC115" s="66">
        <f t="shared" si="37"/>
        <v>445807.48718250054</v>
      </c>
      <c r="AD115" s="66">
        <f t="shared" si="38"/>
        <v>10782956.337719202</v>
      </c>
      <c r="AE115" s="66">
        <f t="shared" si="39"/>
        <v>567126.79091364518</v>
      </c>
      <c r="AF115" s="66">
        <f t="shared" si="40"/>
        <v>10215829.546805557</v>
      </c>
      <c r="AG115" s="117">
        <f t="shared" si="41"/>
        <v>10215829.546805557</v>
      </c>
    </row>
    <row r="116" spans="1:33" x14ac:dyDescent="0.2">
      <c r="A116" s="114">
        <v>37</v>
      </c>
      <c r="B116" s="100" t="str">
        <f t="shared" si="26"/>
        <v>Retired</v>
      </c>
      <c r="C116" s="101">
        <f>N('Savings Projection'!$B$55)</f>
        <v>0</v>
      </c>
      <c r="D116" s="68">
        <f t="shared" si="27"/>
        <v>0</v>
      </c>
      <c r="E116" s="101">
        <f>IF(OR(B116="Retired",D116=0),0,MIN(D116,'Tax Assumptions'!$B$19))</f>
        <v>0</v>
      </c>
      <c r="F116" s="101">
        <f>IF(B116="Working",N('Savings Projection'!$E$55),0)</f>
        <v>0</v>
      </c>
      <c r="G116" s="101">
        <f>IF(B116="Working",N('Savings Projection'!$F$55),0)</f>
        <v>0</v>
      </c>
      <c r="H116" s="68">
        <f>IF(D116=0,0,((LOOKUP(MAX(D116-E116-F116-'Tax Assumptions'!$B$8,0),'Tax Assumptions'!$F$9:$F$15,'Tax Assumptions'!$I$9:$I$15)+(MAX(D116-E116-F116-'Tax Assumptions'!$B$8,0)-LOOKUP(MAX(D116-E116-F116-'Tax Assumptions'!$B$8,0),'Tax Assumptions'!$F$9:$F$15,'Tax Assumptions'!$F$9:$F$15))*LOOKUP(MAX(D116-E116-F116-'Tax Assumptions'!$B$8,0),'Tax Assumptions'!$F$9:$F$15,'Tax Assumptions'!$H$9:$H$15))+(MIN(MAX(D116-F116,0),'Tax Assumptions'!$B$11)*'Tax Assumptions'!$B$10)+(MAX(D116-F116,0)*'Tax Assumptions'!$B$12)+(MAX(MAX(D116-F116,0)-'Tax Assumptions'!$B$14,0)*'Tax Assumptions'!$B$13)+(MIN(D116*'Tax Assumptions'!$B$15,'Tax Assumptions'!$B$16))+(MIN(D116*'Tax Assumptions'!$B$17,'Tax Assumptions'!$B$18))+(LOOKUP(MAX(D116-E116-'Tax Assumptions'!$B$9,0),'Tax Assumptions'!$K$9:$K$17,'Tax Assumptions'!$N$9:$N$17)+(MAX(D116-E116-'Tax Assumptions'!$B$9,0)-LOOKUP(MAX(D116-E116-'Tax Assumptions'!$B$9,0),'Tax Assumptions'!$K$9:$K$17,'Tax Assumptions'!$K$9:$K$17))*LOOKUP(MAX(D116-E116-'Tax Assumptions'!$B$9,0),'Tax Assumptions'!$K$9:$K$17,'Tax Assumptions'!$M$9:$M$17))+(LOOKUP(MAX(D116-E116-'Tax Assumptions'!$B$9,0),'Tax Assumptions'!$P$9:$P$12,'Tax Assumptions'!$S$9:$S$12)+(MAX(D116-E116-'Tax Assumptions'!$B$9,0)-LOOKUP(MAX(D116-E116-'Tax Assumptions'!$B$9,0),'Tax Assumptions'!$P$9:$P$12,'Tax Assumptions'!$P$9:$P$12))*LOOKUP(MAX(D116-E116-'Tax Assumptions'!$B$9,0),'Tax Assumptions'!$P$9:$P$12,'Tax Assumptions'!$R$9:$R$12)))*$C$7)</f>
        <v>0</v>
      </c>
      <c r="I116" s="68">
        <f t="shared" si="28"/>
        <v>0</v>
      </c>
      <c r="J116" s="101">
        <f>IF(B116="Working",N('Savings Projection'!$S$55)*$C$8,0)</f>
        <v>0</v>
      </c>
      <c r="K116" s="101">
        <f>IF(B116="Working",N('Savings Projection'!$T$55)*$C$9,0)</f>
        <v>0</v>
      </c>
      <c r="L116" s="68">
        <f>IF(B116="Working",MIN(MAX(I116-J116-K116-AB116-AC116,0),'Tax Assumptions'!$B$20),0)</f>
        <v>0</v>
      </c>
      <c r="M116" s="68">
        <f t="shared" si="29"/>
        <v>0</v>
      </c>
      <c r="N116" s="101">
        <f t="shared" si="30"/>
        <v>0</v>
      </c>
      <c r="O116" s="101">
        <f t="shared" si="31"/>
        <v>652924.23836539511</v>
      </c>
      <c r="P116" s="101">
        <f t="shared" si="32"/>
        <v>0</v>
      </c>
      <c r="Q116" s="101">
        <f t="shared" si="42"/>
        <v>0</v>
      </c>
      <c r="R116" s="101">
        <f t="shared" si="43"/>
        <v>0</v>
      </c>
      <c r="S116" s="101">
        <f t="shared" si="44"/>
        <v>0</v>
      </c>
      <c r="T116" s="101">
        <f t="shared" si="45"/>
        <v>0</v>
      </c>
      <c r="U116" s="68">
        <f t="shared" si="46"/>
        <v>0</v>
      </c>
      <c r="V116" s="68">
        <f t="shared" si="47"/>
        <v>0</v>
      </c>
      <c r="W116" s="68">
        <f t="shared" si="48"/>
        <v>0</v>
      </c>
      <c r="X116" s="68">
        <f t="shared" si="49"/>
        <v>0</v>
      </c>
      <c r="Y116" s="68">
        <f t="shared" si="33"/>
        <v>0</v>
      </c>
      <c r="Z116" s="101">
        <f t="shared" si="34"/>
        <v>652924.23836539511</v>
      </c>
      <c r="AA116" s="102">
        <f t="shared" si="35"/>
        <v>0</v>
      </c>
      <c r="AB116" s="68">
        <f t="shared" si="36"/>
        <v>0</v>
      </c>
      <c r="AC116" s="68">
        <f t="shared" si="37"/>
        <v>452924.23836539511</v>
      </c>
      <c r="AD116" s="68">
        <f t="shared" si="38"/>
        <v>11106445.027850777</v>
      </c>
      <c r="AE116" s="68">
        <f t="shared" si="39"/>
        <v>390198.27901799791</v>
      </c>
      <c r="AF116" s="68">
        <f t="shared" si="40"/>
        <v>10716246.748832779</v>
      </c>
      <c r="AG116" s="115">
        <f t="shared" si="41"/>
        <v>10716246.748832779</v>
      </c>
    </row>
    <row r="117" spans="1:33" x14ac:dyDescent="0.2">
      <c r="A117" s="116">
        <v>38</v>
      </c>
      <c r="B117" s="65" t="str">
        <f t="shared" si="26"/>
        <v>Retired</v>
      </c>
      <c r="C117" s="66">
        <f>N('Savings Projection'!$B$56)</f>
        <v>0</v>
      </c>
      <c r="D117" s="66">
        <f t="shared" si="27"/>
        <v>0</v>
      </c>
      <c r="E117" s="66">
        <f>IF(OR(B117="Retired",D117=0),0,MIN(D117,'Tax Assumptions'!$B$19))</f>
        <v>0</v>
      </c>
      <c r="F117" s="66">
        <f>IF(B117="Working",N('Savings Projection'!$E$56),0)</f>
        <v>0</v>
      </c>
      <c r="G117" s="66">
        <f>IF(B117="Working",N('Savings Projection'!$F$56),0)</f>
        <v>0</v>
      </c>
      <c r="H117" s="66">
        <f>IF(D117=0,0,((LOOKUP(MAX(D117-E117-F117-'Tax Assumptions'!$B$8,0),'Tax Assumptions'!$F$9:$F$15,'Tax Assumptions'!$I$9:$I$15)+(MAX(D117-E117-F117-'Tax Assumptions'!$B$8,0)-LOOKUP(MAX(D117-E117-F117-'Tax Assumptions'!$B$8,0),'Tax Assumptions'!$F$9:$F$15,'Tax Assumptions'!$F$9:$F$15))*LOOKUP(MAX(D117-E117-F117-'Tax Assumptions'!$B$8,0),'Tax Assumptions'!$F$9:$F$15,'Tax Assumptions'!$H$9:$H$15))+(MIN(MAX(D117-F117,0),'Tax Assumptions'!$B$11)*'Tax Assumptions'!$B$10)+(MAX(D117-F117,0)*'Tax Assumptions'!$B$12)+(MAX(MAX(D117-F117,0)-'Tax Assumptions'!$B$14,0)*'Tax Assumptions'!$B$13)+(MIN(D117*'Tax Assumptions'!$B$15,'Tax Assumptions'!$B$16))+(MIN(D117*'Tax Assumptions'!$B$17,'Tax Assumptions'!$B$18))+(LOOKUP(MAX(D117-E117-'Tax Assumptions'!$B$9,0),'Tax Assumptions'!$K$9:$K$17,'Tax Assumptions'!$N$9:$N$17)+(MAX(D117-E117-'Tax Assumptions'!$B$9,0)-LOOKUP(MAX(D117-E117-'Tax Assumptions'!$B$9,0),'Tax Assumptions'!$K$9:$K$17,'Tax Assumptions'!$K$9:$K$17))*LOOKUP(MAX(D117-E117-'Tax Assumptions'!$B$9,0),'Tax Assumptions'!$K$9:$K$17,'Tax Assumptions'!$M$9:$M$17))+(LOOKUP(MAX(D117-E117-'Tax Assumptions'!$B$9,0),'Tax Assumptions'!$P$9:$P$12,'Tax Assumptions'!$S$9:$S$12)+(MAX(D117-E117-'Tax Assumptions'!$B$9,0)-LOOKUP(MAX(D117-E117-'Tax Assumptions'!$B$9,0),'Tax Assumptions'!$P$9:$P$12,'Tax Assumptions'!$P$9:$P$12))*LOOKUP(MAX(D117-E117-'Tax Assumptions'!$B$9,0),'Tax Assumptions'!$P$9:$P$12,'Tax Assumptions'!$R$9:$R$12)))*$C$7)</f>
        <v>0</v>
      </c>
      <c r="I117" s="66">
        <f t="shared" si="28"/>
        <v>0</v>
      </c>
      <c r="J117" s="66">
        <f>IF(B117="Working",N('Savings Projection'!$S$56)*$C$8,0)</f>
        <v>0</v>
      </c>
      <c r="K117" s="66">
        <f>IF(B117="Working",N('Savings Projection'!$T$56)*$C$9,0)</f>
        <v>0</v>
      </c>
      <c r="L117" s="66">
        <f>IF(B117="Working",MIN(MAX(I117-J117-K117-AB117-AC117,0),'Tax Assumptions'!$B$20),0)</f>
        <v>0</v>
      </c>
      <c r="M117" s="66">
        <f t="shared" si="29"/>
        <v>0</v>
      </c>
      <c r="N117" s="66">
        <f t="shared" si="30"/>
        <v>0</v>
      </c>
      <c r="O117" s="66">
        <f t="shared" si="31"/>
        <v>660254.49208377674</v>
      </c>
      <c r="P117" s="66">
        <f t="shared" si="32"/>
        <v>0</v>
      </c>
      <c r="Q117" s="66">
        <f t="shared" si="42"/>
        <v>0</v>
      </c>
      <c r="R117" s="66">
        <f t="shared" si="43"/>
        <v>0</v>
      </c>
      <c r="S117" s="66">
        <f t="shared" si="44"/>
        <v>0</v>
      </c>
      <c r="T117" s="66">
        <f t="shared" si="45"/>
        <v>0</v>
      </c>
      <c r="U117" s="66">
        <f t="shared" si="46"/>
        <v>0</v>
      </c>
      <c r="V117" s="66">
        <f t="shared" si="47"/>
        <v>0</v>
      </c>
      <c r="W117" s="66">
        <f t="shared" si="48"/>
        <v>0</v>
      </c>
      <c r="X117" s="66">
        <f t="shared" si="49"/>
        <v>0</v>
      </c>
      <c r="Y117" s="66">
        <f t="shared" si="33"/>
        <v>0</v>
      </c>
      <c r="Z117" s="66">
        <f t="shared" si="34"/>
        <v>660254.49208377674</v>
      </c>
      <c r="AA117" s="69">
        <f t="shared" si="35"/>
        <v>0</v>
      </c>
      <c r="AB117" s="66">
        <f t="shared" si="36"/>
        <v>0</v>
      </c>
      <c r="AC117" s="66">
        <f t="shared" si="37"/>
        <v>460254.49208377668</v>
      </c>
      <c r="AD117" s="66">
        <f t="shared" si="38"/>
        <v>11439638.378686301</v>
      </c>
      <c r="AE117" s="66">
        <f t="shared" si="39"/>
        <v>201420.53700864315</v>
      </c>
      <c r="AF117" s="66">
        <f t="shared" si="40"/>
        <v>11238217.841677658</v>
      </c>
      <c r="AG117" s="117">
        <f t="shared" si="41"/>
        <v>11238217.841677658</v>
      </c>
    </row>
    <row r="118" spans="1:33" x14ac:dyDescent="0.2">
      <c r="A118" s="114">
        <v>39</v>
      </c>
      <c r="B118" s="100" t="str">
        <f t="shared" si="26"/>
        <v>Retired</v>
      </c>
      <c r="C118" s="101">
        <f>N('Savings Projection'!$B$57)</f>
        <v>0</v>
      </c>
      <c r="D118" s="68">
        <f t="shared" si="27"/>
        <v>0</v>
      </c>
      <c r="E118" s="101">
        <f>IF(OR(B118="Retired",D118=0),0,MIN(D118,'Tax Assumptions'!$B$19))</f>
        <v>0</v>
      </c>
      <c r="F118" s="101">
        <f>IF(B118="Working",N('Savings Projection'!$E$57),0)</f>
        <v>0</v>
      </c>
      <c r="G118" s="101">
        <f>IF(B118="Working",N('Savings Projection'!$F$57),0)</f>
        <v>0</v>
      </c>
      <c r="H118" s="68">
        <f>IF(D118=0,0,((LOOKUP(MAX(D118-E118-F118-'Tax Assumptions'!$B$8,0),'Tax Assumptions'!$F$9:$F$15,'Tax Assumptions'!$I$9:$I$15)+(MAX(D118-E118-F118-'Tax Assumptions'!$B$8,0)-LOOKUP(MAX(D118-E118-F118-'Tax Assumptions'!$B$8,0),'Tax Assumptions'!$F$9:$F$15,'Tax Assumptions'!$F$9:$F$15))*LOOKUP(MAX(D118-E118-F118-'Tax Assumptions'!$B$8,0),'Tax Assumptions'!$F$9:$F$15,'Tax Assumptions'!$H$9:$H$15))+(MIN(MAX(D118-F118,0),'Tax Assumptions'!$B$11)*'Tax Assumptions'!$B$10)+(MAX(D118-F118,0)*'Tax Assumptions'!$B$12)+(MAX(MAX(D118-F118,0)-'Tax Assumptions'!$B$14,0)*'Tax Assumptions'!$B$13)+(MIN(D118*'Tax Assumptions'!$B$15,'Tax Assumptions'!$B$16))+(MIN(D118*'Tax Assumptions'!$B$17,'Tax Assumptions'!$B$18))+(LOOKUP(MAX(D118-E118-'Tax Assumptions'!$B$9,0),'Tax Assumptions'!$K$9:$K$17,'Tax Assumptions'!$N$9:$N$17)+(MAX(D118-E118-'Tax Assumptions'!$B$9,0)-LOOKUP(MAX(D118-E118-'Tax Assumptions'!$B$9,0),'Tax Assumptions'!$K$9:$K$17,'Tax Assumptions'!$K$9:$K$17))*LOOKUP(MAX(D118-E118-'Tax Assumptions'!$B$9,0),'Tax Assumptions'!$K$9:$K$17,'Tax Assumptions'!$M$9:$M$17))+(LOOKUP(MAX(D118-E118-'Tax Assumptions'!$B$9,0),'Tax Assumptions'!$P$9:$P$12,'Tax Assumptions'!$S$9:$S$12)+(MAX(D118-E118-'Tax Assumptions'!$B$9,0)-LOOKUP(MAX(D118-E118-'Tax Assumptions'!$B$9,0),'Tax Assumptions'!$P$9:$P$12,'Tax Assumptions'!$P$9:$P$12))*LOOKUP(MAX(D118-E118-'Tax Assumptions'!$B$9,0),'Tax Assumptions'!$P$9:$P$12,'Tax Assumptions'!$R$9:$R$12)))*$C$7)</f>
        <v>0</v>
      </c>
      <c r="I118" s="68">
        <f t="shared" si="28"/>
        <v>0</v>
      </c>
      <c r="J118" s="101">
        <f>IF(B118="Working",N('Savings Projection'!$S$57)*$C$8,0)</f>
        <v>0</v>
      </c>
      <c r="K118" s="101">
        <f>IF(B118="Working",N('Savings Projection'!$T$57)*$C$9,0)</f>
        <v>0</v>
      </c>
      <c r="L118" s="68">
        <f>IF(B118="Working",MIN(MAX(I118-J118-K118-AB118-AC118,0),'Tax Assumptions'!$B$20),0)</f>
        <v>0</v>
      </c>
      <c r="M118" s="68">
        <f t="shared" si="29"/>
        <v>0</v>
      </c>
      <c r="N118" s="101">
        <f t="shared" si="30"/>
        <v>0</v>
      </c>
      <c r="O118" s="101">
        <f t="shared" si="31"/>
        <v>667804.6534137096</v>
      </c>
      <c r="P118" s="101">
        <f t="shared" si="32"/>
        <v>0</v>
      </c>
      <c r="Q118" s="101">
        <f t="shared" si="42"/>
        <v>0</v>
      </c>
      <c r="R118" s="101">
        <f t="shared" si="43"/>
        <v>0</v>
      </c>
      <c r="S118" s="101">
        <f t="shared" si="44"/>
        <v>0</v>
      </c>
      <c r="T118" s="101">
        <f t="shared" si="45"/>
        <v>0</v>
      </c>
      <c r="U118" s="68">
        <f t="shared" si="46"/>
        <v>0</v>
      </c>
      <c r="V118" s="68">
        <f t="shared" si="47"/>
        <v>0</v>
      </c>
      <c r="W118" s="68">
        <f t="shared" si="48"/>
        <v>0</v>
      </c>
      <c r="X118" s="68">
        <f t="shared" si="49"/>
        <v>0</v>
      </c>
      <c r="Y118" s="68">
        <f t="shared" si="33"/>
        <v>0</v>
      </c>
      <c r="Z118" s="101">
        <f t="shared" si="34"/>
        <v>667804.6534137096</v>
      </c>
      <c r="AA118" s="102">
        <f t="shared" si="35"/>
        <v>0</v>
      </c>
      <c r="AB118" s="68">
        <f t="shared" si="36"/>
        <v>0</v>
      </c>
      <c r="AC118" s="68">
        <f t="shared" si="37"/>
        <v>467804.6534137096</v>
      </c>
      <c r="AD118" s="68">
        <f t="shared" si="38"/>
        <v>11782827.53004689</v>
      </c>
      <c r="AE118" s="68">
        <f t="shared" si="39"/>
        <v>0</v>
      </c>
      <c r="AF118" s="68">
        <f t="shared" si="40"/>
        <v>11782827.53004689</v>
      </c>
      <c r="AG118" s="115">
        <f t="shared" si="41"/>
        <v>11782827.53004689</v>
      </c>
    </row>
    <row r="119" spans="1:33" x14ac:dyDescent="0.2">
      <c r="A119" s="116">
        <v>40</v>
      </c>
      <c r="B119" s="65" t="str">
        <f t="shared" si="26"/>
        <v>Retired</v>
      </c>
      <c r="C119" s="66">
        <f>N('Savings Projection'!$B$58)</f>
        <v>0</v>
      </c>
      <c r="D119" s="66">
        <f t="shared" si="27"/>
        <v>0</v>
      </c>
      <c r="E119" s="66">
        <f>IF(OR(B119="Retired",D119=0),0,MIN(D119,'Tax Assumptions'!$B$19))</f>
        <v>0</v>
      </c>
      <c r="F119" s="66">
        <f>IF(B119="Working",N('Savings Projection'!$E$58),0)</f>
        <v>0</v>
      </c>
      <c r="G119" s="66">
        <f>IF(B119="Working",N('Savings Projection'!$F$58),0)</f>
        <v>0</v>
      </c>
      <c r="H119" s="66">
        <f>IF(D119=0,0,((LOOKUP(MAX(D119-E119-F119-'Tax Assumptions'!$B$8,0),'Tax Assumptions'!$F$9:$F$15,'Tax Assumptions'!$I$9:$I$15)+(MAX(D119-E119-F119-'Tax Assumptions'!$B$8,0)-LOOKUP(MAX(D119-E119-F119-'Tax Assumptions'!$B$8,0),'Tax Assumptions'!$F$9:$F$15,'Tax Assumptions'!$F$9:$F$15))*LOOKUP(MAX(D119-E119-F119-'Tax Assumptions'!$B$8,0),'Tax Assumptions'!$F$9:$F$15,'Tax Assumptions'!$H$9:$H$15))+(MIN(MAX(D119-F119,0),'Tax Assumptions'!$B$11)*'Tax Assumptions'!$B$10)+(MAX(D119-F119,0)*'Tax Assumptions'!$B$12)+(MAX(MAX(D119-F119,0)-'Tax Assumptions'!$B$14,0)*'Tax Assumptions'!$B$13)+(MIN(D119*'Tax Assumptions'!$B$15,'Tax Assumptions'!$B$16))+(MIN(D119*'Tax Assumptions'!$B$17,'Tax Assumptions'!$B$18))+(LOOKUP(MAX(D119-E119-'Tax Assumptions'!$B$9,0),'Tax Assumptions'!$K$9:$K$17,'Tax Assumptions'!$N$9:$N$17)+(MAX(D119-E119-'Tax Assumptions'!$B$9,0)-LOOKUP(MAX(D119-E119-'Tax Assumptions'!$B$9,0),'Tax Assumptions'!$K$9:$K$17,'Tax Assumptions'!$K$9:$K$17))*LOOKUP(MAX(D119-E119-'Tax Assumptions'!$B$9,0),'Tax Assumptions'!$K$9:$K$17,'Tax Assumptions'!$M$9:$M$17))+(LOOKUP(MAX(D119-E119-'Tax Assumptions'!$B$9,0),'Tax Assumptions'!$P$9:$P$12,'Tax Assumptions'!$S$9:$S$12)+(MAX(D119-E119-'Tax Assumptions'!$B$9,0)-LOOKUP(MAX(D119-E119-'Tax Assumptions'!$B$9,0),'Tax Assumptions'!$P$9:$P$12,'Tax Assumptions'!$P$9:$P$12))*LOOKUP(MAX(D119-E119-'Tax Assumptions'!$B$9,0),'Tax Assumptions'!$P$9:$P$12,'Tax Assumptions'!$R$9:$R$12)))*$C$7)</f>
        <v>0</v>
      </c>
      <c r="I119" s="66">
        <f t="shared" si="28"/>
        <v>0</v>
      </c>
      <c r="J119" s="66">
        <f>IF(B119="Working",N('Savings Projection'!$S$58)*$C$8,0)</f>
        <v>0</v>
      </c>
      <c r="K119" s="66">
        <f>IF(B119="Working",N('Savings Projection'!$T$58)*$C$9,0)</f>
        <v>0</v>
      </c>
      <c r="L119" s="66">
        <f>IF(B119="Working",MIN(MAX(I119-J119-K119-AB119-AC119,0),'Tax Assumptions'!$B$20),0)</f>
        <v>0</v>
      </c>
      <c r="M119" s="66">
        <f t="shared" si="29"/>
        <v>0</v>
      </c>
      <c r="N119" s="66">
        <f t="shared" si="30"/>
        <v>0</v>
      </c>
      <c r="O119" s="66">
        <f t="shared" si="31"/>
        <v>466998.87183086248</v>
      </c>
      <c r="P119" s="66">
        <f t="shared" si="32"/>
        <v>0</v>
      </c>
      <c r="Q119" s="66">
        <f t="shared" si="42"/>
        <v>0</v>
      </c>
      <c r="R119" s="66">
        <f t="shared" si="43"/>
        <v>0</v>
      </c>
      <c r="S119" s="66">
        <f t="shared" si="44"/>
        <v>0</v>
      </c>
      <c r="T119" s="66">
        <f t="shared" si="45"/>
        <v>0</v>
      </c>
      <c r="U119" s="66">
        <f t="shared" si="46"/>
        <v>0</v>
      </c>
      <c r="V119" s="66">
        <f t="shared" si="47"/>
        <v>0</v>
      </c>
      <c r="W119" s="66">
        <f t="shared" si="48"/>
        <v>0</v>
      </c>
      <c r="X119" s="66">
        <f t="shared" si="49"/>
        <v>0</v>
      </c>
      <c r="Y119" s="66">
        <f t="shared" si="33"/>
        <v>0</v>
      </c>
      <c r="Z119" s="66">
        <f t="shared" si="34"/>
        <v>466998.87183086248</v>
      </c>
      <c r="AA119" s="69">
        <f t="shared" si="35"/>
        <v>0</v>
      </c>
      <c r="AB119" s="66">
        <f t="shared" si="36"/>
        <v>0</v>
      </c>
      <c r="AC119" s="66">
        <f t="shared" si="37"/>
        <v>266998.87183086248</v>
      </c>
      <c r="AD119" s="66">
        <f t="shared" si="38"/>
        <v>12136312.355948295</v>
      </c>
      <c r="AE119" s="66">
        <f t="shared" si="39"/>
        <v>0</v>
      </c>
      <c r="AF119" s="66">
        <f t="shared" si="40"/>
        <v>12136312.355948295</v>
      </c>
      <c r="AG119" s="117">
        <f t="shared" si="41"/>
        <v>12136312.355948295</v>
      </c>
    </row>
    <row r="120" spans="1:33" x14ac:dyDescent="0.2">
      <c r="A120" s="118" t="s">
        <v>277</v>
      </c>
      <c r="B120" s="119"/>
      <c r="C120" s="119"/>
      <c r="D120" s="120">
        <f t="shared" ref="D120:T120" si="50">SUM(D80:D119)</f>
        <v>12380228.022942238</v>
      </c>
      <c r="E120" s="120">
        <f t="shared" si="50"/>
        <v>245000</v>
      </c>
      <c r="F120" s="120">
        <f t="shared" si="50"/>
        <v>0</v>
      </c>
      <c r="G120" s="120">
        <f t="shared" si="50"/>
        <v>0</v>
      </c>
      <c r="H120" s="120">
        <f t="shared" si="50"/>
        <v>5753249.7440305185</v>
      </c>
      <c r="I120" s="120">
        <f t="shared" si="50"/>
        <v>6381978.2789117191</v>
      </c>
      <c r="J120" s="120">
        <f t="shared" si="50"/>
        <v>906492.07329765835</v>
      </c>
      <c r="K120" s="120">
        <f t="shared" si="50"/>
        <v>552893.96557353658</v>
      </c>
      <c r="L120" s="120">
        <f t="shared" si="50"/>
        <v>67500</v>
      </c>
      <c r="M120" s="120">
        <f t="shared" si="50"/>
        <v>2161509.7922878461</v>
      </c>
      <c r="N120" s="120">
        <f t="shared" si="50"/>
        <v>-2529107.6504231482</v>
      </c>
      <c r="O120" s="120">
        <f t="shared" si="50"/>
        <v>17439185.584353946</v>
      </c>
      <c r="P120" s="120">
        <f t="shared" si="50"/>
        <v>5003117.4427109938</v>
      </c>
      <c r="Q120" s="120">
        <f t="shared" si="50"/>
        <v>4293293.8163395189</v>
      </c>
      <c r="R120" s="120">
        <f t="shared" si="50"/>
        <v>546219.01213679835</v>
      </c>
      <c r="S120" s="120">
        <f t="shared" si="50"/>
        <v>163604.61423467755</v>
      </c>
      <c r="T120" s="120">
        <f t="shared" si="50"/>
        <v>0</v>
      </c>
      <c r="U120" s="120">
        <f t="shared" ref="U120:Z120" si="51">U119</f>
        <v>0</v>
      </c>
      <c r="V120" s="120">
        <f t="shared" si="51"/>
        <v>0</v>
      </c>
      <c r="W120" s="120">
        <f t="shared" si="51"/>
        <v>0</v>
      </c>
      <c r="X120" s="120">
        <f t="shared" si="51"/>
        <v>0</v>
      </c>
      <c r="Y120" s="120">
        <f t="shared" si="51"/>
        <v>0</v>
      </c>
      <c r="Z120" s="120">
        <f t="shared" si="51"/>
        <v>466998.87183086248</v>
      </c>
      <c r="AA120" s="121">
        <f>AVERAGEIF(AA80:AA119,"&gt;0",AA80:AA119)</f>
        <v>0.3976386723201108</v>
      </c>
      <c r="AB120" s="120">
        <f>SUM(AB80:AB119)</f>
        <v>2375000</v>
      </c>
      <c r="AC120" s="120">
        <f>SUM(AC80:AC119)</f>
        <v>11757768.032106623</v>
      </c>
      <c r="AD120" s="120">
        <f>AD119</f>
        <v>12136312.355948295</v>
      </c>
      <c r="AE120" s="120">
        <f>AE119</f>
        <v>0</v>
      </c>
      <c r="AF120" s="120">
        <f>AF119</f>
        <v>12136312.355948295</v>
      </c>
      <c r="AG120" s="122">
        <f>AG119</f>
        <v>12136312.355948295</v>
      </c>
    </row>
    <row r="121" spans="1:33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24" customHeight="1" x14ac:dyDescent="0.25">
      <c r="A126" s="326" t="str">
        <f>D$5&amp;" Scenario"</f>
        <v>Upside Scenario</v>
      </c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4"/>
      <c r="AF126" s="294"/>
      <c r="AG126" s="295"/>
    </row>
    <row r="127" spans="1:33" ht="34" customHeight="1" x14ac:dyDescent="0.2">
      <c r="A127" s="123" t="s">
        <v>224</v>
      </c>
      <c r="B127" s="124" t="s">
        <v>106</v>
      </c>
      <c r="C127" s="124" t="s">
        <v>297</v>
      </c>
      <c r="D127" s="124" t="s">
        <v>298</v>
      </c>
      <c r="E127" s="124" t="s">
        <v>62</v>
      </c>
      <c r="F127" s="124" t="s">
        <v>98</v>
      </c>
      <c r="G127" s="124" t="s">
        <v>227</v>
      </c>
      <c r="H127" s="124" t="s">
        <v>299</v>
      </c>
      <c r="I127" s="124" t="s">
        <v>66</v>
      </c>
      <c r="J127" s="124" t="s">
        <v>300</v>
      </c>
      <c r="K127" s="124" t="s">
        <v>301</v>
      </c>
      <c r="L127" s="124" t="s">
        <v>69</v>
      </c>
      <c r="M127" s="124" t="s">
        <v>241</v>
      </c>
      <c r="N127" s="124" t="s">
        <v>302</v>
      </c>
      <c r="O127" s="124" t="s">
        <v>303</v>
      </c>
      <c r="P127" s="124" t="s">
        <v>244</v>
      </c>
      <c r="Q127" s="124" t="s">
        <v>304</v>
      </c>
      <c r="R127" s="124" t="s">
        <v>305</v>
      </c>
      <c r="S127" s="124" t="s">
        <v>306</v>
      </c>
      <c r="T127" s="124" t="s">
        <v>307</v>
      </c>
      <c r="U127" s="124" t="s">
        <v>71</v>
      </c>
      <c r="V127" s="124" t="s">
        <v>249</v>
      </c>
      <c r="W127" s="124" t="s">
        <v>250</v>
      </c>
      <c r="X127" s="124" t="s">
        <v>251</v>
      </c>
      <c r="Y127" s="124" t="s">
        <v>308</v>
      </c>
      <c r="Z127" s="124" t="s">
        <v>309</v>
      </c>
      <c r="AA127" s="124" t="s">
        <v>256</v>
      </c>
      <c r="AB127" s="124" t="s">
        <v>310</v>
      </c>
      <c r="AC127" s="124" t="s">
        <v>18</v>
      </c>
      <c r="AD127" s="124" t="s">
        <v>311</v>
      </c>
      <c r="AE127" s="124" t="s">
        <v>312</v>
      </c>
      <c r="AF127" s="124" t="s">
        <v>313</v>
      </c>
      <c r="AG127" s="125" t="s">
        <v>314</v>
      </c>
    </row>
    <row r="128" spans="1:33" x14ac:dyDescent="0.2">
      <c r="A128" s="126">
        <v>1</v>
      </c>
      <c r="B128" s="100" t="str">
        <f t="shared" ref="B128:B167" si="52">IF(AND(C128&gt;0,A128&lt;=$D$11),"Working","Retired")</f>
        <v>Working</v>
      </c>
      <c r="C128" s="101">
        <f>N('Savings Projection'!$B$19)</f>
        <v>550000</v>
      </c>
      <c r="D128" s="68">
        <f t="shared" ref="D128:D167" si="53">IF(B128="Working",C128*$D$6,0)</f>
        <v>660000</v>
      </c>
      <c r="E128" s="101">
        <f>IF(OR(B128="Retired",D128=0),0,MIN(D128,'Tax Assumptions'!$B$19))</f>
        <v>24500</v>
      </c>
      <c r="F128" s="101">
        <f>IF(B128="Working",N('Savings Projection'!$E$19),0)</f>
        <v>0</v>
      </c>
      <c r="G128" s="101">
        <f>IF(B128="Working",N('Savings Projection'!$F$19),0)</f>
        <v>0</v>
      </c>
      <c r="H128" s="68">
        <f>IF(D128=0,0,((LOOKUP(MAX(D128-E128-F128-'Tax Assumptions'!$B$8,0),'Tax Assumptions'!$F$9:$F$15,'Tax Assumptions'!$I$9:$I$15)+(MAX(D128-E128-F128-'Tax Assumptions'!$B$8,0)-LOOKUP(MAX(D128-E128-F128-'Tax Assumptions'!$B$8,0),'Tax Assumptions'!$F$9:$F$15,'Tax Assumptions'!$F$9:$F$15))*LOOKUP(MAX(D128-E128-F128-'Tax Assumptions'!$B$8,0),'Tax Assumptions'!$F$9:$F$15,'Tax Assumptions'!$H$9:$H$15))+(MIN(MAX(D128-F128,0),'Tax Assumptions'!$B$11)*'Tax Assumptions'!$B$10)+(MAX(D128-F128,0)*'Tax Assumptions'!$B$12)+(MAX(MAX(D128-F128,0)-'Tax Assumptions'!$B$14,0)*'Tax Assumptions'!$B$13)+(MIN(D128*'Tax Assumptions'!$B$15,'Tax Assumptions'!$B$16))+(MIN(D128*'Tax Assumptions'!$B$17,'Tax Assumptions'!$B$18))+(LOOKUP(MAX(D128-E128-'Tax Assumptions'!$B$9,0),'Tax Assumptions'!$K$9:$K$17,'Tax Assumptions'!$N$9:$N$17)+(MAX(D128-E128-'Tax Assumptions'!$B$9,0)-LOOKUP(MAX(D128-E128-'Tax Assumptions'!$B$9,0),'Tax Assumptions'!$K$9:$K$17,'Tax Assumptions'!$K$9:$K$17))*LOOKUP(MAX(D128-E128-'Tax Assumptions'!$B$9,0),'Tax Assumptions'!$K$9:$K$17,'Tax Assumptions'!$M$9:$M$17))+(LOOKUP(MAX(D128-E128-'Tax Assumptions'!$B$9,0),'Tax Assumptions'!$P$9:$P$12,'Tax Assumptions'!$S$9:$S$12)+(MAX(D128-E128-'Tax Assumptions'!$B$9,0)-LOOKUP(MAX(D128-E128-'Tax Assumptions'!$B$9,0),'Tax Assumptions'!$P$9:$P$12,'Tax Assumptions'!$P$9:$P$12))*LOOKUP(MAX(D128-E128-'Tax Assumptions'!$B$9,0),'Tax Assumptions'!$P$9:$P$12,'Tax Assumptions'!$R$9:$R$12)))*$D$7)</f>
        <v>267446.58610000001</v>
      </c>
      <c r="I128" s="68">
        <f t="shared" ref="I128:I167" si="54">IF(B128="Working",D128-E128-F128-G128-H128,0)</f>
        <v>368053.41389999999</v>
      </c>
      <c r="J128" s="101">
        <f>IF(B128="Working",N('Savings Projection'!$S$19)*$D$8,0)</f>
        <v>81900</v>
      </c>
      <c r="K128" s="101">
        <f>IF(B128="Working",N('Savings Projection'!$T$19)*$D$9,0)</f>
        <v>43200</v>
      </c>
      <c r="L128" s="68">
        <f>IF(B128="Working",MIN(MAX(I128-J128-K128-AB128-AC128,0),'Tax Assumptions'!$B$20),0)</f>
        <v>7500</v>
      </c>
      <c r="M128" s="68">
        <f t="shared" ref="M128:M167" si="55">IF(B128="Working",I128-J128-K128-L128-AB128-AC128,0)</f>
        <v>235453.41389999999</v>
      </c>
      <c r="N128" s="101">
        <f t="shared" ref="N128:N167" si="56">IF(B128="Working",M128+L128+E128+F128,-P128)</f>
        <v>267453.41389999999</v>
      </c>
      <c r="O128" s="101">
        <f t="shared" ref="O128:O167" si="57">IF(B128="Retired",$D$12+AB128+AC128,0)</f>
        <v>0</v>
      </c>
      <c r="P128" s="101">
        <f t="shared" ref="P128:P167" si="58">Q128+R128+S128+T128</f>
        <v>0</v>
      </c>
      <c r="Q128" s="101">
        <f>IF(B128="Retired",MIN((('Savings Projection'!$B$7)*(1+$D$10)+IF(B128="Working",M128,0)),O128),0)</f>
        <v>0</v>
      </c>
      <c r="R128" s="101">
        <f>IF(B128="Retired",MIN(MAX(O128-Q128,0),(('Savings Projection'!$B$8)*(1+$D$10)+IF(B128="Working",E128,0))),0)</f>
        <v>0</v>
      </c>
      <c r="S128" s="101">
        <f>IF(B128="Retired",MIN(MAX(O128-Q128-R128,0),(('Savings Projection'!$B$9)*(1+$D$10)+IF(B128="Working",L128,0))),0)</f>
        <v>0</v>
      </c>
      <c r="T128" s="101">
        <f>IF(B128="Retired",MIN(MAX(O128-Q128-R128-S128,0),(('Savings Projection'!$B$10)*(1+$D$10)+IF(B128="Working",F128,0))),0)</f>
        <v>0</v>
      </c>
      <c r="U128" s="68">
        <f>MAX((('Savings Projection'!$B$7)*(1+$D$10)+IF(B128="Working",M128,0))-Q128,0)</f>
        <v>398953.41389999999</v>
      </c>
      <c r="V128" s="68">
        <f>MAX((('Savings Projection'!$B$8)*(1+$D$10)+IF(B128="Working",E128,0))-R128,0)</f>
        <v>24500</v>
      </c>
      <c r="W128" s="68">
        <f>MAX((('Savings Projection'!$B$9)*(1+$D$10)+IF(B128="Working",L128,0))-S128,0)</f>
        <v>7500</v>
      </c>
      <c r="X128" s="68">
        <f>MAX((('Savings Projection'!$B$10)*(1+$D$10)+IF(B128="Working",F128,0))-T128,0)</f>
        <v>0</v>
      </c>
      <c r="Y128" s="68">
        <f t="shared" ref="Y128:Y167" si="59">U128+V128+W128+X128</f>
        <v>430953.41389999999</v>
      </c>
      <c r="Z128" s="101">
        <f t="shared" ref="Z128:Z167" si="60">IF(B128="Retired",MAX(O128-P128,0),0)</f>
        <v>0</v>
      </c>
      <c r="AA128" s="102">
        <f t="shared" ref="AA128:AA167" si="61">IF(B128="Working",IF(D128=0,0,N128/D128),0)</f>
        <v>0.40523244530303026</v>
      </c>
      <c r="AB128" s="68">
        <f t="shared" ref="AB128:AB167" si="62">IF(AND($D$14&gt;0,A128=$D$13),$D$14*($D$15+$D$18),0)+IF(AND($D$14&gt;0,A128=$D$13),$D$24,0)</f>
        <v>0</v>
      </c>
      <c r="AC128" s="68">
        <f t="shared" ref="AC128:AC167" si="63">IF(OR($D$14&lt;=0,A128&lt;$D$13),0,IF(AND($D$14&gt;0,$D$17&gt;0,A128&gt;=$D$13,A128&lt;($D$13+$D$17)),IF($D$17&lt;=0,0,IF($D$16=0,MAX($D$14*(1-$D$15),0)/$D$17,-PMT($D$16/12,$D$17*12,MAX($D$14*(1-$D$15),0))*12)),0)+AD128*($D$19+$D$20+$D$21)+$D$22+$D$23)</f>
        <v>0</v>
      </c>
      <c r="AD128" s="68">
        <f t="shared" ref="AD128:AD167" si="64">IF(AND($D$14&gt;0,A128&gt;=$D$13),$D$14*(1+$D$25)^(A128-$D$13),0)</f>
        <v>0</v>
      </c>
      <c r="AE128" s="68">
        <f t="shared" ref="AE128:AE167" si="65">IF(OR($D$14&lt;=0,$D$17&lt;=0,A128&lt;$D$13,MIN(MAX((A128-$D$13+1)*12,0),$D$17*12)&gt;=$D$17*12),0,IF($D$16=0,MAX(MAX($D$14*(1-$D$15),0)-(IF($D$17&lt;=0,0,IF($D$16=0,MAX($D$14*(1-$D$15),0)/$D$17,-PMT($D$16/12,$D$17*12,MAX($D$14*(1-$D$15),0))*12))/12)*MIN(MAX((A128-$D$13+1)*12,0),$D$17*12),0),MAX(MAX($D$14*(1-$D$15),0)*(1+$D$16/12)^MIN(MAX((A128-$D$13+1)*12,0),$D$17*12)-(IF($D$17&lt;=0,0,IF($D$16=0,MAX($D$14*(1-$D$15),0)/$D$17,-PMT($D$16/12,$D$17*12,MAX($D$14*(1-$D$15),0))*12))/12)*(((1+$D$16/12)^MIN(MAX((A128-$D$13+1)*12,0),$D$17*12)-1)/($D$16/12)),0)))</f>
        <v>0</v>
      </c>
      <c r="AF128" s="68">
        <f t="shared" ref="AF128:AF167" si="66">MAX(AD128-AE128,0)</f>
        <v>0</v>
      </c>
      <c r="AG128" s="127">
        <f t="shared" ref="AG128:AG167" si="67">Y128+AF128</f>
        <v>430953.41389999999</v>
      </c>
    </row>
    <row r="129" spans="1:33" x14ac:dyDescent="0.2">
      <c r="A129" s="128">
        <v>2</v>
      </c>
      <c r="B129" s="65" t="str">
        <f t="shared" si="52"/>
        <v>Working</v>
      </c>
      <c r="C129" s="66">
        <f>N('Savings Projection'!$B$20)</f>
        <v>412500</v>
      </c>
      <c r="D129" s="66">
        <f t="shared" si="53"/>
        <v>495000</v>
      </c>
      <c r="E129" s="66">
        <f>IF(OR(B129="Retired",D129=0),0,MIN(D129,'Tax Assumptions'!$B$19))</f>
        <v>24500</v>
      </c>
      <c r="F129" s="66">
        <f>IF(B129="Working",N('Savings Projection'!$E$20),0)</f>
        <v>0</v>
      </c>
      <c r="G129" s="66">
        <f>IF(B129="Working",N('Savings Projection'!$F$20),0)</f>
        <v>0</v>
      </c>
      <c r="H129" s="66">
        <f>IF(D129=0,0,((LOOKUP(MAX(D129-E129-F129-'Tax Assumptions'!$B$8,0),'Tax Assumptions'!$F$9:$F$15,'Tax Assumptions'!$I$9:$I$15)+(MAX(D129-E129-F129-'Tax Assumptions'!$B$8,0)-LOOKUP(MAX(D129-E129-F129-'Tax Assumptions'!$B$8,0),'Tax Assumptions'!$F$9:$F$15,'Tax Assumptions'!$F$9:$F$15))*LOOKUP(MAX(D129-E129-F129-'Tax Assumptions'!$B$8,0),'Tax Assumptions'!$F$9:$F$15,'Tax Assumptions'!$H$9:$H$15))+(MIN(MAX(D129-F129,0),'Tax Assumptions'!$B$11)*'Tax Assumptions'!$B$10)+(MAX(D129-F129,0)*'Tax Assumptions'!$B$12)+(MAX(MAX(D129-F129,0)-'Tax Assumptions'!$B$14,0)*'Tax Assumptions'!$B$13)+(MIN(D129*'Tax Assumptions'!$B$15,'Tax Assumptions'!$B$16))+(MIN(D129*'Tax Assumptions'!$B$17,'Tax Assumptions'!$B$18))+(LOOKUP(MAX(D129-E129-'Tax Assumptions'!$B$9,0),'Tax Assumptions'!$K$9:$K$17,'Tax Assumptions'!$N$9:$N$17)+(MAX(D129-E129-'Tax Assumptions'!$B$9,0)-LOOKUP(MAX(D129-E129-'Tax Assumptions'!$B$9,0),'Tax Assumptions'!$K$9:$K$17,'Tax Assumptions'!$K$9:$K$17))*LOOKUP(MAX(D129-E129-'Tax Assumptions'!$B$9,0),'Tax Assumptions'!$K$9:$K$17,'Tax Assumptions'!$M$9:$M$17))+(LOOKUP(MAX(D129-E129-'Tax Assumptions'!$B$9,0),'Tax Assumptions'!$P$9:$P$12,'Tax Assumptions'!$S$9:$S$12)+(MAX(D129-E129-'Tax Assumptions'!$B$9,0)-LOOKUP(MAX(D129-E129-'Tax Assumptions'!$B$9,0),'Tax Assumptions'!$P$9:$P$12,'Tax Assumptions'!$P$9:$P$12))*LOOKUP(MAX(D129-E129-'Tax Assumptions'!$B$9,0),'Tax Assumptions'!$P$9:$P$12,'Tax Assumptions'!$R$9:$R$12)))*$D$7)</f>
        <v>190500.94810000004</v>
      </c>
      <c r="I129" s="66">
        <f t="shared" si="54"/>
        <v>279999.05189999996</v>
      </c>
      <c r="J129" s="66">
        <f>IF(B129="Working",N('Savings Projection'!$S$20)*$D$8,0)</f>
        <v>84357</v>
      </c>
      <c r="K129" s="66">
        <f>IF(B129="Working",N('Savings Projection'!$T$20)*$D$9,0)</f>
        <v>44496</v>
      </c>
      <c r="L129" s="66">
        <f>IF(B129="Working",MIN(MAX(I129-J129-K129-AB129-AC129,0),'Tax Assumptions'!$B$20),0)</f>
        <v>7500</v>
      </c>
      <c r="M129" s="66">
        <f t="shared" si="55"/>
        <v>143646.05189999996</v>
      </c>
      <c r="N129" s="66">
        <f t="shared" si="56"/>
        <v>175646.05189999996</v>
      </c>
      <c r="O129" s="66">
        <f t="shared" si="57"/>
        <v>0</v>
      </c>
      <c r="P129" s="66">
        <f t="shared" si="58"/>
        <v>0</v>
      </c>
      <c r="Q129" s="66">
        <f t="shared" ref="Q129:Q167" si="68">IF(B129="Retired",MIN(((U128)*(1+$D$10)+IF(B129="Working",M129,0)),O129),0)</f>
        <v>0</v>
      </c>
      <c r="R129" s="66">
        <f t="shared" ref="R129:R167" si="69">IF(B129="Retired",MIN(MAX(O129-Q129,0),((V128)*(1+$D$10)+IF(B129="Working",E129,0))),0)</f>
        <v>0</v>
      </c>
      <c r="S129" s="66">
        <f t="shared" ref="S129:S167" si="70">IF(B129="Retired",MIN(MAX(O129-Q129-R129,0),((W128)*(1+$D$10)+IF(B129="Working",L129,0))),0)</f>
        <v>0</v>
      </c>
      <c r="T129" s="66">
        <f t="shared" ref="T129:T167" si="71">IF(B129="Retired",MIN(MAX(O129-Q129-R129-S129,0),((X128)*(1+$D$10)+IF(B129="Working",F129,0))),0)</f>
        <v>0</v>
      </c>
      <c r="U129" s="66">
        <f t="shared" ref="U129:U167" si="72">MAX(((U128)*(1+$D$10)+IF(B129="Working",M129,0))-Q129,0)</f>
        <v>578505.27305099997</v>
      </c>
      <c r="V129" s="66">
        <f t="shared" ref="V129:V167" si="73">MAX(((V128)*(1+$D$10)+IF(B129="Working",E129,0))-R129,0)</f>
        <v>51205</v>
      </c>
      <c r="W129" s="66">
        <f t="shared" ref="W129:W167" si="74">MAX(((W128)*(1+$D$10)+IF(B129="Working",L129,0))-S129,0)</f>
        <v>15675</v>
      </c>
      <c r="X129" s="66">
        <f t="shared" ref="X129:X167" si="75">MAX(((X128)*(1+$D$10)+IF(B129="Working",F129,0))-T129,0)</f>
        <v>0</v>
      </c>
      <c r="Y129" s="66">
        <f t="shared" si="59"/>
        <v>645385.27305099997</v>
      </c>
      <c r="Z129" s="66">
        <f t="shared" si="60"/>
        <v>0</v>
      </c>
      <c r="AA129" s="69">
        <f t="shared" si="61"/>
        <v>0.35484050888888879</v>
      </c>
      <c r="AB129" s="66">
        <f t="shared" si="62"/>
        <v>0</v>
      </c>
      <c r="AC129" s="66">
        <f t="shared" si="63"/>
        <v>0</v>
      </c>
      <c r="AD129" s="66">
        <f t="shared" si="64"/>
        <v>0</v>
      </c>
      <c r="AE129" s="66">
        <f t="shared" si="65"/>
        <v>0</v>
      </c>
      <c r="AF129" s="66">
        <f t="shared" si="66"/>
        <v>0</v>
      </c>
      <c r="AG129" s="129">
        <f t="shared" si="67"/>
        <v>645385.27305099997</v>
      </c>
    </row>
    <row r="130" spans="1:33" x14ac:dyDescent="0.2">
      <c r="A130" s="126">
        <v>3</v>
      </c>
      <c r="B130" s="100" t="str">
        <f t="shared" si="52"/>
        <v>Working</v>
      </c>
      <c r="C130" s="101">
        <f>N('Savings Projection'!$B$21)</f>
        <v>675000</v>
      </c>
      <c r="D130" s="68">
        <f t="shared" si="53"/>
        <v>810000</v>
      </c>
      <c r="E130" s="101">
        <f>IF(OR(B130="Retired",D130=0),0,MIN(D130,'Tax Assumptions'!$B$19))</f>
        <v>24500</v>
      </c>
      <c r="F130" s="101">
        <f>IF(B130="Working",N('Savings Projection'!$E$21),0)</f>
        <v>0</v>
      </c>
      <c r="G130" s="101">
        <f>IF(B130="Working",N('Savings Projection'!$F$21),0)</f>
        <v>0</v>
      </c>
      <c r="H130" s="68">
        <f>IF(D130=0,0,((LOOKUP(MAX(D130-E130-F130-'Tax Assumptions'!$B$8,0),'Tax Assumptions'!$F$9:$F$15,'Tax Assumptions'!$I$9:$I$15)+(MAX(D130-E130-F130-'Tax Assumptions'!$B$8,0)-LOOKUP(MAX(D130-E130-F130-'Tax Assumptions'!$B$8,0),'Tax Assumptions'!$F$9:$F$15,'Tax Assumptions'!$F$9:$F$15))*LOOKUP(MAX(D130-E130-F130-'Tax Assumptions'!$B$8,0),'Tax Assumptions'!$F$9:$F$15,'Tax Assumptions'!$H$9:$H$15))+(MIN(MAX(D130-F130,0),'Tax Assumptions'!$B$11)*'Tax Assumptions'!$B$10)+(MAX(D130-F130,0)*'Tax Assumptions'!$B$12)+(MAX(MAX(D130-F130,0)-'Tax Assumptions'!$B$14,0)*'Tax Assumptions'!$B$13)+(MIN(D130*'Tax Assumptions'!$B$15,'Tax Assumptions'!$B$16))+(MIN(D130*'Tax Assumptions'!$B$17,'Tax Assumptions'!$B$18))+(LOOKUP(MAX(D130-E130-'Tax Assumptions'!$B$9,0),'Tax Assumptions'!$K$9:$K$17,'Tax Assumptions'!$N$9:$N$17)+(MAX(D130-E130-'Tax Assumptions'!$B$9,0)-LOOKUP(MAX(D130-E130-'Tax Assumptions'!$B$9,0),'Tax Assumptions'!$K$9:$K$17,'Tax Assumptions'!$K$9:$K$17))*LOOKUP(MAX(D130-E130-'Tax Assumptions'!$B$9,0),'Tax Assumptions'!$K$9:$K$17,'Tax Assumptions'!$M$9:$M$17))+(LOOKUP(MAX(D130-E130-'Tax Assumptions'!$B$9,0),'Tax Assumptions'!$P$9:$P$12,'Tax Assumptions'!$S$9:$S$12)+(MAX(D130-E130-'Tax Assumptions'!$B$9,0)-LOOKUP(MAX(D130-E130-'Tax Assumptions'!$B$9,0),'Tax Assumptions'!$P$9:$P$12,'Tax Assumptions'!$P$9:$P$12))*LOOKUP(MAX(D130-E130-'Tax Assumptions'!$B$9,0),'Tax Assumptions'!$P$9:$P$12,'Tax Assumptions'!$R$9:$R$12)))*$D$7)</f>
        <v>339895.8861</v>
      </c>
      <c r="I130" s="68">
        <f t="shared" si="54"/>
        <v>445604.1139</v>
      </c>
      <c r="J130" s="101">
        <f>IF(B130="Working",N('Savings Projection'!$S$21)*$D$8,0)</f>
        <v>86887.71</v>
      </c>
      <c r="K130" s="101">
        <f>IF(B130="Working",N('Savings Projection'!$T$21)*$D$9,0)</f>
        <v>57288.600000000006</v>
      </c>
      <c r="L130" s="68">
        <f>IF(B130="Working",MIN(MAX(I130-J130-K130-AB130-AC130,0),'Tax Assumptions'!$B$20),0)</f>
        <v>7500</v>
      </c>
      <c r="M130" s="68">
        <f t="shared" si="55"/>
        <v>293927.80389999994</v>
      </c>
      <c r="N130" s="101">
        <f t="shared" si="56"/>
        <v>325927.80389999994</v>
      </c>
      <c r="O130" s="101">
        <f t="shared" si="57"/>
        <v>0</v>
      </c>
      <c r="P130" s="101">
        <f t="shared" si="58"/>
        <v>0</v>
      </c>
      <c r="Q130" s="101">
        <f t="shared" si="68"/>
        <v>0</v>
      </c>
      <c r="R130" s="101">
        <f t="shared" si="69"/>
        <v>0</v>
      </c>
      <c r="S130" s="101">
        <f t="shared" si="70"/>
        <v>0</v>
      </c>
      <c r="T130" s="101">
        <f t="shared" si="71"/>
        <v>0</v>
      </c>
      <c r="U130" s="68">
        <f t="shared" si="72"/>
        <v>924498.55152558989</v>
      </c>
      <c r="V130" s="68">
        <f t="shared" si="73"/>
        <v>80313.450000000012</v>
      </c>
      <c r="W130" s="68">
        <f t="shared" si="74"/>
        <v>24585.75</v>
      </c>
      <c r="X130" s="68">
        <f t="shared" si="75"/>
        <v>0</v>
      </c>
      <c r="Y130" s="68">
        <f t="shared" si="59"/>
        <v>1029397.75152559</v>
      </c>
      <c r="Z130" s="101">
        <f t="shared" si="60"/>
        <v>0</v>
      </c>
      <c r="AA130" s="102">
        <f t="shared" si="61"/>
        <v>0.40238000481481473</v>
      </c>
      <c r="AB130" s="68">
        <f t="shared" si="62"/>
        <v>0</v>
      </c>
      <c r="AC130" s="68">
        <f t="shared" si="63"/>
        <v>0</v>
      </c>
      <c r="AD130" s="68">
        <f t="shared" si="64"/>
        <v>0</v>
      </c>
      <c r="AE130" s="68">
        <f t="shared" si="65"/>
        <v>0</v>
      </c>
      <c r="AF130" s="68">
        <f t="shared" si="66"/>
        <v>0</v>
      </c>
      <c r="AG130" s="127">
        <f t="shared" si="67"/>
        <v>1029397.75152559</v>
      </c>
    </row>
    <row r="131" spans="1:33" x14ac:dyDescent="0.2">
      <c r="A131" s="128">
        <v>4</v>
      </c>
      <c r="B131" s="65" t="str">
        <f t="shared" si="52"/>
        <v>Working</v>
      </c>
      <c r="C131" s="66">
        <f>N('Savings Projection'!$B$22)</f>
        <v>750000</v>
      </c>
      <c r="D131" s="66">
        <f t="shared" si="53"/>
        <v>900000</v>
      </c>
      <c r="E131" s="66">
        <f>IF(OR(B131="Retired",D131=0),0,MIN(D131,'Tax Assumptions'!$B$19))</f>
        <v>24500</v>
      </c>
      <c r="F131" s="66">
        <f>IF(B131="Working",N('Savings Projection'!$E$22),0)</f>
        <v>0</v>
      </c>
      <c r="G131" s="66">
        <f>IF(B131="Working",N('Savings Projection'!$F$22),0)</f>
        <v>0</v>
      </c>
      <c r="H131" s="66">
        <f>IF(D131=0,0,((LOOKUP(MAX(D131-E131-F131-'Tax Assumptions'!$B$8,0),'Tax Assumptions'!$F$9:$F$15,'Tax Assumptions'!$I$9:$I$15)+(MAX(D131-E131-F131-'Tax Assumptions'!$B$8,0)-LOOKUP(MAX(D131-E131-F131-'Tax Assumptions'!$B$8,0),'Tax Assumptions'!$F$9:$F$15,'Tax Assumptions'!$F$9:$F$15))*LOOKUP(MAX(D131-E131-F131-'Tax Assumptions'!$B$8,0),'Tax Assumptions'!$F$9:$F$15,'Tax Assumptions'!$H$9:$H$15))+(MIN(MAX(D131-F131,0),'Tax Assumptions'!$B$11)*'Tax Assumptions'!$B$10)+(MAX(D131-F131,0)*'Tax Assumptions'!$B$12)+(MAX(MAX(D131-F131,0)-'Tax Assumptions'!$B$14,0)*'Tax Assumptions'!$B$13)+(MIN(D131*'Tax Assumptions'!$B$15,'Tax Assumptions'!$B$16))+(MIN(D131*'Tax Assumptions'!$B$17,'Tax Assumptions'!$B$18))+(LOOKUP(MAX(D131-E131-'Tax Assumptions'!$B$9,0),'Tax Assumptions'!$K$9:$K$17,'Tax Assumptions'!$N$9:$N$17)+(MAX(D131-E131-'Tax Assumptions'!$B$9,0)-LOOKUP(MAX(D131-E131-'Tax Assumptions'!$B$9,0),'Tax Assumptions'!$K$9:$K$17,'Tax Assumptions'!$K$9:$K$17))*LOOKUP(MAX(D131-E131-'Tax Assumptions'!$B$9,0),'Tax Assumptions'!$K$9:$K$17,'Tax Assumptions'!$M$9:$M$17))+(LOOKUP(MAX(D131-E131-'Tax Assumptions'!$B$9,0),'Tax Assumptions'!$P$9:$P$12,'Tax Assumptions'!$S$9:$S$12)+(MAX(D131-E131-'Tax Assumptions'!$B$9,0)-LOOKUP(MAX(D131-E131-'Tax Assumptions'!$B$9,0),'Tax Assumptions'!$P$9:$P$12,'Tax Assumptions'!$P$9:$P$12))*LOOKUP(MAX(D131-E131-'Tax Assumptions'!$B$9,0),'Tax Assumptions'!$P$9:$P$12,'Tax Assumptions'!$R$9:$R$12)))*$D$7)</f>
        <v>383612.2341</v>
      </c>
      <c r="I131" s="66">
        <f t="shared" si="54"/>
        <v>491887.7659</v>
      </c>
      <c r="J131" s="66">
        <f>IF(B131="Working",N('Savings Projection'!$S$22)*$D$8,0)</f>
        <v>89494.341300000015</v>
      </c>
      <c r="K131" s="66">
        <f>IF(B131="Working",N('Savings Projection'!$T$22)*$D$9,0)</f>
        <v>59007.258000000002</v>
      </c>
      <c r="L131" s="66">
        <f>IF(B131="Working",MIN(MAX(I131-J131-K131-AB131-AC131,0),'Tax Assumptions'!$B$20),0)</f>
        <v>7500</v>
      </c>
      <c r="M131" s="66">
        <f t="shared" si="55"/>
        <v>335886.1666</v>
      </c>
      <c r="N131" s="66">
        <f t="shared" si="56"/>
        <v>367886.1666</v>
      </c>
      <c r="O131" s="66">
        <f t="shared" si="57"/>
        <v>0</v>
      </c>
      <c r="P131" s="66">
        <f t="shared" si="58"/>
        <v>0</v>
      </c>
      <c r="Q131" s="66">
        <f t="shared" si="68"/>
        <v>0</v>
      </c>
      <c r="R131" s="66">
        <f t="shared" si="69"/>
        <v>0</v>
      </c>
      <c r="S131" s="66">
        <f t="shared" si="70"/>
        <v>0</v>
      </c>
      <c r="T131" s="66">
        <f t="shared" si="71"/>
        <v>0</v>
      </c>
      <c r="U131" s="66">
        <f t="shared" si="72"/>
        <v>1343589.5877628932</v>
      </c>
      <c r="V131" s="66">
        <f t="shared" si="73"/>
        <v>112041.66050000001</v>
      </c>
      <c r="W131" s="66">
        <f t="shared" si="74"/>
        <v>34298.467499999999</v>
      </c>
      <c r="X131" s="66">
        <f t="shared" si="75"/>
        <v>0</v>
      </c>
      <c r="Y131" s="66">
        <f t="shared" si="59"/>
        <v>1489929.7157628932</v>
      </c>
      <c r="Z131" s="66">
        <f t="shared" si="60"/>
        <v>0</v>
      </c>
      <c r="AA131" s="69">
        <f t="shared" si="61"/>
        <v>0.40876240733333336</v>
      </c>
      <c r="AB131" s="66">
        <f t="shared" si="62"/>
        <v>0</v>
      </c>
      <c r="AC131" s="66">
        <f t="shared" si="63"/>
        <v>0</v>
      </c>
      <c r="AD131" s="66">
        <f t="shared" si="64"/>
        <v>0</v>
      </c>
      <c r="AE131" s="66">
        <f t="shared" si="65"/>
        <v>0</v>
      </c>
      <c r="AF131" s="66">
        <f t="shared" si="66"/>
        <v>0</v>
      </c>
      <c r="AG131" s="129">
        <f t="shared" si="67"/>
        <v>1489929.7157628932</v>
      </c>
    </row>
    <row r="132" spans="1:33" x14ac:dyDescent="0.2">
      <c r="A132" s="126">
        <v>5</v>
      </c>
      <c r="B132" s="100" t="str">
        <f t="shared" si="52"/>
        <v>Working</v>
      </c>
      <c r="C132" s="101">
        <f>N('Savings Projection'!$B$23)</f>
        <v>953837.51358640334</v>
      </c>
      <c r="D132" s="68">
        <f t="shared" si="53"/>
        <v>1144605.0163036839</v>
      </c>
      <c r="E132" s="101">
        <f>IF(OR(B132="Retired",D132=0),0,MIN(D132,'Tax Assumptions'!$B$19))</f>
        <v>24500</v>
      </c>
      <c r="F132" s="101">
        <f>IF(B132="Working",N('Savings Projection'!$E$23),0)</f>
        <v>0</v>
      </c>
      <c r="G132" s="101">
        <f>IF(B132="Working",N('Savings Projection'!$F$23),0)</f>
        <v>0</v>
      </c>
      <c r="H132" s="68">
        <f>IF(D132=0,0,((LOOKUP(MAX(D132-E132-F132-'Tax Assumptions'!$B$8,0),'Tax Assumptions'!$F$9:$F$15,'Tax Assumptions'!$I$9:$I$15)+(MAX(D132-E132-F132-'Tax Assumptions'!$B$8,0)-LOOKUP(MAX(D132-E132-F132-'Tax Assumptions'!$B$8,0),'Tax Assumptions'!$F$9:$F$15,'Tax Assumptions'!$F$9:$F$15))*LOOKUP(MAX(D132-E132-F132-'Tax Assumptions'!$B$8,0),'Tax Assumptions'!$F$9:$F$15,'Tax Assumptions'!$H$9:$H$15))+(MIN(MAX(D132-F132,0),'Tax Assumptions'!$B$11)*'Tax Assumptions'!$B$10)+(MAX(D132-F132,0)*'Tax Assumptions'!$B$12)+(MAX(MAX(D132-F132,0)-'Tax Assumptions'!$B$14,0)*'Tax Assumptions'!$B$13)+(MIN(D132*'Tax Assumptions'!$B$15,'Tax Assumptions'!$B$16))+(MIN(D132*'Tax Assumptions'!$B$17,'Tax Assumptions'!$B$18))+(LOOKUP(MAX(D132-E132-'Tax Assumptions'!$B$9,0),'Tax Assumptions'!$K$9:$K$17,'Tax Assumptions'!$N$9:$N$17)+(MAX(D132-E132-'Tax Assumptions'!$B$9,0)-LOOKUP(MAX(D132-E132-'Tax Assumptions'!$B$9,0),'Tax Assumptions'!$K$9:$K$17,'Tax Assumptions'!$K$9:$K$17))*LOOKUP(MAX(D132-E132-'Tax Assumptions'!$B$9,0),'Tax Assumptions'!$K$9:$K$17,'Tax Assumptions'!$M$9:$M$17))+(LOOKUP(MAX(D132-E132-'Tax Assumptions'!$B$9,0),'Tax Assumptions'!$P$9:$P$12,'Tax Assumptions'!$S$9:$S$12)+(MAX(D132-E132-'Tax Assumptions'!$B$9,0)-LOOKUP(MAX(D132-E132-'Tax Assumptions'!$B$9,0),'Tax Assumptions'!$P$9:$P$12,'Tax Assumptions'!$P$9:$P$12))*LOOKUP(MAX(D132-E132-'Tax Assumptions'!$B$9,0),'Tax Assumptions'!$P$9:$P$12,'Tax Assumptions'!$R$9:$R$12)))*$D$7)</f>
        <v>503364.02391811379</v>
      </c>
      <c r="I132" s="68">
        <f t="shared" si="54"/>
        <v>616740.99238557008</v>
      </c>
      <c r="J132" s="101">
        <f>IF(B132="Working",N('Savings Projection'!$S$23)*$D$8,0)</f>
        <v>92179.171539000003</v>
      </c>
      <c r="K132" s="101">
        <f>IF(B132="Working",N('Savings Projection'!$T$23)*$D$9,0)</f>
        <v>60777.475740000002</v>
      </c>
      <c r="L132" s="68">
        <f>IF(B132="Working",MIN(MAX(I132-J132-K132-AB132-AC132,0),'Tax Assumptions'!$B$20),0)</f>
        <v>7500</v>
      </c>
      <c r="M132" s="68">
        <f t="shared" si="55"/>
        <v>456284.34510657005</v>
      </c>
      <c r="N132" s="101">
        <f t="shared" si="56"/>
        <v>488284.34510657005</v>
      </c>
      <c r="O132" s="101">
        <f t="shared" si="57"/>
        <v>0</v>
      </c>
      <c r="P132" s="101">
        <f t="shared" si="58"/>
        <v>0</v>
      </c>
      <c r="Q132" s="101">
        <f t="shared" si="68"/>
        <v>0</v>
      </c>
      <c r="R132" s="101">
        <f t="shared" si="69"/>
        <v>0</v>
      </c>
      <c r="S132" s="101">
        <f t="shared" si="70"/>
        <v>0</v>
      </c>
      <c r="T132" s="101">
        <f t="shared" si="71"/>
        <v>0</v>
      </c>
      <c r="U132" s="68">
        <f t="shared" si="72"/>
        <v>1920796.9957681238</v>
      </c>
      <c r="V132" s="68">
        <f t="shared" si="73"/>
        <v>146625.40994500002</v>
      </c>
      <c r="W132" s="68">
        <f t="shared" si="74"/>
        <v>44885.329575000003</v>
      </c>
      <c r="X132" s="68">
        <f t="shared" si="75"/>
        <v>0</v>
      </c>
      <c r="Y132" s="68">
        <f t="shared" si="59"/>
        <v>2112307.7352881236</v>
      </c>
      <c r="Z132" s="101">
        <f t="shared" si="60"/>
        <v>0</v>
      </c>
      <c r="AA132" s="102">
        <f t="shared" si="61"/>
        <v>0.42659637005908385</v>
      </c>
      <c r="AB132" s="68">
        <f t="shared" si="62"/>
        <v>0</v>
      </c>
      <c r="AC132" s="68">
        <f t="shared" si="63"/>
        <v>0</v>
      </c>
      <c r="AD132" s="68">
        <f t="shared" si="64"/>
        <v>0</v>
      </c>
      <c r="AE132" s="68">
        <f t="shared" si="65"/>
        <v>0</v>
      </c>
      <c r="AF132" s="68">
        <f t="shared" si="66"/>
        <v>0</v>
      </c>
      <c r="AG132" s="127">
        <f t="shared" si="67"/>
        <v>2112307.7352881236</v>
      </c>
    </row>
    <row r="133" spans="1:33" x14ac:dyDescent="0.2">
      <c r="A133" s="128">
        <v>6</v>
      </c>
      <c r="B133" s="65" t="str">
        <f t="shared" si="52"/>
        <v>Working</v>
      </c>
      <c r="C133" s="66">
        <f>N('Savings Projection'!$B$24)</f>
        <v>1118900.665838565</v>
      </c>
      <c r="D133" s="66">
        <f t="shared" si="53"/>
        <v>1342680.7990062779</v>
      </c>
      <c r="E133" s="66">
        <f>IF(OR(B133="Retired",D133=0),0,MIN(D133,'Tax Assumptions'!$B$19))</f>
        <v>24500</v>
      </c>
      <c r="F133" s="66">
        <f>IF(B133="Working",N('Savings Projection'!$E$24),0)</f>
        <v>0</v>
      </c>
      <c r="G133" s="66">
        <f>IF(B133="Working",N('Savings Projection'!$F$24),0)</f>
        <v>0</v>
      </c>
      <c r="H133" s="66">
        <f>IF(D133=0,0,((LOOKUP(MAX(D133-E133-F133-'Tax Assumptions'!$B$8,0),'Tax Assumptions'!$F$9:$F$15,'Tax Assumptions'!$I$9:$I$15)+(MAX(D133-E133-F133-'Tax Assumptions'!$B$8,0)-LOOKUP(MAX(D133-E133-F133-'Tax Assumptions'!$B$8,0),'Tax Assumptions'!$F$9:$F$15,'Tax Assumptions'!$F$9:$F$15))*LOOKUP(MAX(D133-E133-F133-'Tax Assumptions'!$B$8,0),'Tax Assumptions'!$F$9:$F$15,'Tax Assumptions'!$H$9:$H$15))+(MIN(MAX(D133-F133,0),'Tax Assumptions'!$B$11)*'Tax Assumptions'!$B$10)+(MAX(D133-F133,0)*'Tax Assumptions'!$B$12)+(MAX(MAX(D133-F133,0)-'Tax Assumptions'!$B$14,0)*'Tax Assumptions'!$B$13)+(MIN(D133*'Tax Assumptions'!$B$15,'Tax Assumptions'!$B$16))+(MIN(D133*'Tax Assumptions'!$B$17,'Tax Assumptions'!$B$18))+(LOOKUP(MAX(D133-E133-'Tax Assumptions'!$B$9,0),'Tax Assumptions'!$K$9:$K$17,'Tax Assumptions'!$N$9:$N$17)+(MAX(D133-E133-'Tax Assumptions'!$B$9,0)-LOOKUP(MAX(D133-E133-'Tax Assumptions'!$B$9,0),'Tax Assumptions'!$K$9:$K$17,'Tax Assumptions'!$K$9:$K$17))*LOOKUP(MAX(D133-E133-'Tax Assumptions'!$B$9,0),'Tax Assumptions'!$K$9:$K$17,'Tax Assumptions'!$M$9:$M$17))+(LOOKUP(MAX(D133-E133-'Tax Assumptions'!$B$9,0),'Tax Assumptions'!$P$9:$P$12,'Tax Assumptions'!$S$9:$S$12)+(MAX(D133-E133-'Tax Assumptions'!$B$9,0)-LOOKUP(MAX(D133-E133-'Tax Assumptions'!$B$9,0),'Tax Assumptions'!$P$9:$P$12,'Tax Assumptions'!$P$9:$P$12))*LOOKUP(MAX(D133-E133-'Tax Assumptions'!$B$9,0),'Tax Assumptions'!$P$9:$P$12,'Tax Assumptions'!$R$9:$R$12)))*$D$7)</f>
        <v>604956.53825408267</v>
      </c>
      <c r="I133" s="66">
        <f t="shared" si="54"/>
        <v>713224.26075219526</v>
      </c>
      <c r="J133" s="66">
        <f>IF(B133="Working",N('Savings Projection'!$S$24)*$D$8,0)</f>
        <v>97379.022241199986</v>
      </c>
      <c r="K133" s="66">
        <f>IF(B133="Working",N('Savings Projection'!$T$24)*$D$9,0)</f>
        <v>62600.800012199994</v>
      </c>
      <c r="L133" s="66">
        <f>IF(B133="Working",MIN(MAX(I133-J133-K133-AB133-AC133,0),'Tax Assumptions'!$B$20),0)</f>
        <v>7500</v>
      </c>
      <c r="M133" s="66">
        <f t="shared" si="55"/>
        <v>545744.43849879527</v>
      </c>
      <c r="N133" s="66">
        <f t="shared" si="56"/>
        <v>577744.43849879527</v>
      </c>
      <c r="O133" s="66">
        <f t="shared" si="57"/>
        <v>0</v>
      </c>
      <c r="P133" s="66">
        <f t="shared" si="58"/>
        <v>0</v>
      </c>
      <c r="Q133" s="66">
        <f t="shared" si="68"/>
        <v>0</v>
      </c>
      <c r="R133" s="66">
        <f t="shared" si="69"/>
        <v>0</v>
      </c>
      <c r="S133" s="66">
        <f t="shared" si="70"/>
        <v>0</v>
      </c>
      <c r="T133" s="66">
        <f t="shared" si="71"/>
        <v>0</v>
      </c>
      <c r="U133" s="66">
        <f t="shared" si="72"/>
        <v>2639413.1638860502</v>
      </c>
      <c r="V133" s="66">
        <f t="shared" si="73"/>
        <v>184321.69684005005</v>
      </c>
      <c r="W133" s="66">
        <f t="shared" si="74"/>
        <v>56425.009236750004</v>
      </c>
      <c r="X133" s="66">
        <f t="shared" si="75"/>
        <v>0</v>
      </c>
      <c r="Y133" s="66">
        <f t="shared" si="59"/>
        <v>2880159.8699628506</v>
      </c>
      <c r="Z133" s="66">
        <f t="shared" si="60"/>
        <v>0</v>
      </c>
      <c r="AA133" s="69">
        <f t="shared" si="61"/>
        <v>0.43029172602035098</v>
      </c>
      <c r="AB133" s="66">
        <f t="shared" si="62"/>
        <v>0</v>
      </c>
      <c r="AC133" s="66">
        <f t="shared" si="63"/>
        <v>0</v>
      </c>
      <c r="AD133" s="66">
        <f t="shared" si="64"/>
        <v>0</v>
      </c>
      <c r="AE133" s="66">
        <f t="shared" si="65"/>
        <v>0</v>
      </c>
      <c r="AF133" s="66">
        <f t="shared" si="66"/>
        <v>0</v>
      </c>
      <c r="AG133" s="129">
        <f t="shared" si="67"/>
        <v>2880159.8699628506</v>
      </c>
    </row>
    <row r="134" spans="1:33" x14ac:dyDescent="0.2">
      <c r="A134" s="126">
        <v>7</v>
      </c>
      <c r="B134" s="100" t="str">
        <f t="shared" si="52"/>
        <v>Working</v>
      </c>
      <c r="C134" s="101">
        <f>N('Savings Projection'!$B$25)</f>
        <v>1418318.448466131</v>
      </c>
      <c r="D134" s="68">
        <f t="shared" si="53"/>
        <v>1701982.1381593572</v>
      </c>
      <c r="E134" s="101">
        <f>IF(OR(B134="Retired",D134=0),0,MIN(D134,'Tax Assumptions'!$B$19))</f>
        <v>24500</v>
      </c>
      <c r="F134" s="101">
        <f>IF(B134="Working",N('Savings Projection'!$E$25),0)</f>
        <v>0</v>
      </c>
      <c r="G134" s="101">
        <f>IF(B134="Working",N('Savings Projection'!$F$25),0)</f>
        <v>0</v>
      </c>
      <c r="H134" s="68">
        <f>IF(D134=0,0,((LOOKUP(MAX(D134-E134-F134-'Tax Assumptions'!$B$8,0),'Tax Assumptions'!$F$9:$F$15,'Tax Assumptions'!$I$9:$I$15)+(MAX(D134-E134-F134-'Tax Assumptions'!$B$8,0)-LOOKUP(MAX(D134-E134-F134-'Tax Assumptions'!$B$8,0),'Tax Assumptions'!$F$9:$F$15,'Tax Assumptions'!$F$9:$F$15))*LOOKUP(MAX(D134-E134-F134-'Tax Assumptions'!$B$8,0),'Tax Assumptions'!$F$9:$F$15,'Tax Assumptions'!$H$9:$H$15))+(MIN(MAX(D134-F134,0),'Tax Assumptions'!$B$11)*'Tax Assumptions'!$B$10)+(MAX(D134-F134,0)*'Tax Assumptions'!$B$12)+(MAX(MAX(D134-F134,0)-'Tax Assumptions'!$B$14,0)*'Tax Assumptions'!$B$13)+(MIN(D134*'Tax Assumptions'!$B$15,'Tax Assumptions'!$B$16))+(MIN(D134*'Tax Assumptions'!$B$17,'Tax Assumptions'!$B$18))+(LOOKUP(MAX(D134-E134-'Tax Assumptions'!$B$9,0),'Tax Assumptions'!$K$9:$K$17,'Tax Assumptions'!$N$9:$N$17)+(MAX(D134-E134-'Tax Assumptions'!$B$9,0)-LOOKUP(MAX(D134-E134-'Tax Assumptions'!$B$9,0),'Tax Assumptions'!$K$9:$K$17,'Tax Assumptions'!$K$9:$K$17))*LOOKUP(MAX(D134-E134-'Tax Assumptions'!$B$9,0),'Tax Assumptions'!$K$9:$K$17,'Tax Assumptions'!$M$9:$M$17))+(LOOKUP(MAX(D134-E134-'Tax Assumptions'!$B$9,0),'Tax Assumptions'!$P$9:$P$12,'Tax Assumptions'!$S$9:$S$12)+(MAX(D134-E134-'Tax Assumptions'!$B$9,0)-LOOKUP(MAX(D134-E134-'Tax Assumptions'!$B$9,0),'Tax Assumptions'!$P$9:$P$12,'Tax Assumptions'!$P$9:$P$12))*LOOKUP(MAX(D134-E134-'Tax Assumptions'!$B$9,0),'Tax Assumptions'!$P$9:$P$12,'Tax Assumptions'!$R$9:$R$12)))*$D$7)</f>
        <v>789241.18906194752</v>
      </c>
      <c r="I134" s="68">
        <f t="shared" si="54"/>
        <v>888240.94909740973</v>
      </c>
      <c r="J134" s="101">
        <f>IF(B134="Working",N('Savings Projection'!$S$25)*$D$8,0)</f>
        <v>100300.392908436</v>
      </c>
      <c r="K134" s="101">
        <f>IF(B134="Working",N('Savings Projection'!$T$25)*$D$9,0)</f>
        <v>64478.824012565994</v>
      </c>
      <c r="L134" s="68">
        <f>IF(B134="Working",MIN(MAX(I134-J134-K134-AB134-AC134,0),'Tax Assumptions'!$B$20),0)</f>
        <v>7500</v>
      </c>
      <c r="M134" s="68">
        <f t="shared" si="55"/>
        <v>715961.73217640771</v>
      </c>
      <c r="N134" s="101">
        <f t="shared" si="56"/>
        <v>747961.73217640771</v>
      </c>
      <c r="O134" s="101">
        <f t="shared" si="57"/>
        <v>0</v>
      </c>
      <c r="P134" s="101">
        <f t="shared" si="58"/>
        <v>0</v>
      </c>
      <c r="Q134" s="101">
        <f t="shared" si="68"/>
        <v>0</v>
      </c>
      <c r="R134" s="101">
        <f t="shared" si="69"/>
        <v>0</v>
      </c>
      <c r="S134" s="101">
        <f t="shared" si="70"/>
        <v>0</v>
      </c>
      <c r="T134" s="101">
        <f t="shared" si="71"/>
        <v>0</v>
      </c>
      <c r="U134" s="68">
        <f t="shared" si="72"/>
        <v>3592922.0808122028</v>
      </c>
      <c r="V134" s="68">
        <f t="shared" si="73"/>
        <v>225410.64955565456</v>
      </c>
      <c r="W134" s="68">
        <f t="shared" si="74"/>
        <v>69003.260068057512</v>
      </c>
      <c r="X134" s="68">
        <f t="shared" si="75"/>
        <v>0</v>
      </c>
      <c r="Y134" s="68">
        <f t="shared" si="59"/>
        <v>3887335.9904359151</v>
      </c>
      <c r="Z134" s="101">
        <f t="shared" si="60"/>
        <v>0</v>
      </c>
      <c r="AA134" s="102">
        <f t="shared" si="61"/>
        <v>0.43946508920787264</v>
      </c>
      <c r="AB134" s="68">
        <f t="shared" si="62"/>
        <v>0</v>
      </c>
      <c r="AC134" s="68">
        <f t="shared" si="63"/>
        <v>0</v>
      </c>
      <c r="AD134" s="68">
        <f t="shared" si="64"/>
        <v>0</v>
      </c>
      <c r="AE134" s="68">
        <f t="shared" si="65"/>
        <v>0</v>
      </c>
      <c r="AF134" s="68">
        <f t="shared" si="66"/>
        <v>0</v>
      </c>
      <c r="AG134" s="127">
        <f t="shared" si="67"/>
        <v>3887335.9904359151</v>
      </c>
    </row>
    <row r="135" spans="1:33" x14ac:dyDescent="0.2">
      <c r="A135" s="128">
        <v>8</v>
      </c>
      <c r="B135" s="65" t="str">
        <f t="shared" si="52"/>
        <v>Working</v>
      </c>
      <c r="C135" s="66">
        <f>N('Savings Projection'!$B$26)</f>
        <v>1872205.6657868917</v>
      </c>
      <c r="D135" s="66">
        <f t="shared" si="53"/>
        <v>2246646.7989442698</v>
      </c>
      <c r="E135" s="66">
        <f>IF(OR(B135="Retired",D135=0),0,MIN(D135,'Tax Assumptions'!$B$19))</f>
        <v>24500</v>
      </c>
      <c r="F135" s="66">
        <f>IF(B135="Working",N('Savings Projection'!$E$26),0)</f>
        <v>0</v>
      </c>
      <c r="G135" s="66">
        <f>IF(B135="Working",N('Savings Projection'!$F$26),0)</f>
        <v>0</v>
      </c>
      <c r="H135" s="66">
        <f>IF(D135=0,0,((LOOKUP(MAX(D135-E135-F135-'Tax Assumptions'!$B$8,0),'Tax Assumptions'!$F$9:$F$15,'Tax Assumptions'!$I$9:$I$15)+(MAX(D135-E135-F135-'Tax Assumptions'!$B$8,0)-LOOKUP(MAX(D135-E135-F135-'Tax Assumptions'!$B$8,0),'Tax Assumptions'!$F$9:$F$15,'Tax Assumptions'!$F$9:$F$15))*LOOKUP(MAX(D135-E135-F135-'Tax Assumptions'!$B$8,0),'Tax Assumptions'!$F$9:$F$15,'Tax Assumptions'!$H$9:$H$15))+(MIN(MAX(D135-F135,0),'Tax Assumptions'!$B$11)*'Tax Assumptions'!$B$10)+(MAX(D135-F135,0)*'Tax Assumptions'!$B$12)+(MAX(MAX(D135-F135,0)-'Tax Assumptions'!$B$14,0)*'Tax Assumptions'!$B$13)+(MIN(D135*'Tax Assumptions'!$B$15,'Tax Assumptions'!$B$16))+(MIN(D135*'Tax Assumptions'!$B$17,'Tax Assumptions'!$B$18))+(LOOKUP(MAX(D135-E135-'Tax Assumptions'!$B$9,0),'Tax Assumptions'!$K$9:$K$17,'Tax Assumptions'!$N$9:$N$17)+(MAX(D135-E135-'Tax Assumptions'!$B$9,0)-LOOKUP(MAX(D135-E135-'Tax Assumptions'!$B$9,0),'Tax Assumptions'!$K$9:$K$17,'Tax Assumptions'!$K$9:$K$17))*LOOKUP(MAX(D135-E135-'Tax Assumptions'!$B$9,0),'Tax Assumptions'!$K$9:$K$17,'Tax Assumptions'!$M$9:$M$17))+(LOOKUP(MAX(D135-E135-'Tax Assumptions'!$B$9,0),'Tax Assumptions'!$P$9:$P$12,'Tax Assumptions'!$S$9:$S$12)+(MAX(D135-E135-'Tax Assumptions'!$B$9,0)-LOOKUP(MAX(D135-E135-'Tax Assumptions'!$B$9,0),'Tax Assumptions'!$P$9:$P$12,'Tax Assumptions'!$P$9:$P$12))*LOOKUP(MAX(D135-E135-'Tax Assumptions'!$B$9,0),'Tax Assumptions'!$P$9:$P$12,'Tax Assumptions'!$R$9:$R$12)))*$D$7)</f>
        <v>1068598.168517479</v>
      </c>
      <c r="I135" s="66">
        <f t="shared" si="54"/>
        <v>1153548.6304267908</v>
      </c>
      <c r="J135" s="66">
        <f>IF(B135="Working",N('Savings Projection'!$S$26)*$D$8,0)</f>
        <v>103309.40469568908</v>
      </c>
      <c r="K135" s="66">
        <f>IF(B135="Working",N('Savings Projection'!$T$26)*$D$9,0)</f>
        <v>66413.188732942988</v>
      </c>
      <c r="L135" s="66">
        <f>IF(B135="Working",MIN(MAX(I135-J135-K135-AB135-AC135,0),'Tax Assumptions'!$B$20),0)</f>
        <v>7500</v>
      </c>
      <c r="M135" s="66">
        <f t="shared" si="55"/>
        <v>976326.03699815879</v>
      </c>
      <c r="N135" s="66">
        <f t="shared" si="56"/>
        <v>1008326.0369981588</v>
      </c>
      <c r="O135" s="66">
        <f t="shared" si="57"/>
        <v>0</v>
      </c>
      <c r="P135" s="66">
        <f t="shared" si="58"/>
        <v>0</v>
      </c>
      <c r="Q135" s="66">
        <f t="shared" si="68"/>
        <v>0</v>
      </c>
      <c r="R135" s="66">
        <f t="shared" si="69"/>
        <v>0</v>
      </c>
      <c r="S135" s="66">
        <f t="shared" si="70"/>
        <v>0</v>
      </c>
      <c r="T135" s="66">
        <f t="shared" si="71"/>
        <v>0</v>
      </c>
      <c r="U135" s="66">
        <f t="shared" si="72"/>
        <v>4892611.10508346</v>
      </c>
      <c r="V135" s="66">
        <f t="shared" si="73"/>
        <v>270197.60801566346</v>
      </c>
      <c r="W135" s="66">
        <f t="shared" si="74"/>
        <v>82713.5534741827</v>
      </c>
      <c r="X135" s="66">
        <f t="shared" si="75"/>
        <v>0</v>
      </c>
      <c r="Y135" s="66">
        <f t="shared" si="59"/>
        <v>5245522.2665733062</v>
      </c>
      <c r="Z135" s="66">
        <f t="shared" si="60"/>
        <v>0</v>
      </c>
      <c r="AA135" s="69">
        <f t="shared" si="61"/>
        <v>0.44881377770283476</v>
      </c>
      <c r="AB135" s="66">
        <f t="shared" si="62"/>
        <v>0</v>
      </c>
      <c r="AC135" s="66">
        <f t="shared" si="63"/>
        <v>0</v>
      </c>
      <c r="AD135" s="66">
        <f t="shared" si="64"/>
        <v>0</v>
      </c>
      <c r="AE135" s="66">
        <f t="shared" si="65"/>
        <v>0</v>
      </c>
      <c r="AF135" s="66">
        <f t="shared" si="66"/>
        <v>0</v>
      </c>
      <c r="AG135" s="129">
        <f t="shared" si="67"/>
        <v>5245522.2665733062</v>
      </c>
    </row>
    <row r="136" spans="1:33" x14ac:dyDescent="0.2">
      <c r="A136" s="126">
        <v>9</v>
      </c>
      <c r="B136" s="100" t="str">
        <f t="shared" si="52"/>
        <v>Working</v>
      </c>
      <c r="C136" s="101">
        <f>N('Savings Projection'!$B$27)</f>
        <v>2033969.9666232408</v>
      </c>
      <c r="D136" s="68">
        <f t="shared" si="53"/>
        <v>2440763.9599478887</v>
      </c>
      <c r="E136" s="101">
        <f>IF(OR(B136="Retired",D136=0),0,MIN(D136,'Tax Assumptions'!$B$19))</f>
        <v>24500</v>
      </c>
      <c r="F136" s="101">
        <f>IF(B136="Working",N('Savings Projection'!$E$27),0)</f>
        <v>0</v>
      </c>
      <c r="G136" s="101">
        <f>IF(B136="Working",N('Savings Projection'!$F$27),0)</f>
        <v>0</v>
      </c>
      <c r="H136" s="68">
        <f>IF(D136=0,0,((LOOKUP(MAX(D136-E136-F136-'Tax Assumptions'!$B$8,0),'Tax Assumptions'!$F$9:$F$15,'Tax Assumptions'!$I$9:$I$15)+(MAX(D136-E136-F136-'Tax Assumptions'!$B$8,0)-LOOKUP(MAX(D136-E136-F136-'Tax Assumptions'!$B$8,0),'Tax Assumptions'!$F$9:$F$15,'Tax Assumptions'!$F$9:$F$15))*LOOKUP(MAX(D136-E136-F136-'Tax Assumptions'!$B$8,0),'Tax Assumptions'!$F$9:$F$15,'Tax Assumptions'!$H$9:$H$15))+(MIN(MAX(D136-F136,0),'Tax Assumptions'!$B$11)*'Tax Assumptions'!$B$10)+(MAX(D136-F136,0)*'Tax Assumptions'!$B$12)+(MAX(MAX(D136-F136,0)-'Tax Assumptions'!$B$14,0)*'Tax Assumptions'!$B$13)+(MIN(D136*'Tax Assumptions'!$B$15,'Tax Assumptions'!$B$16))+(MIN(D136*'Tax Assumptions'!$B$17,'Tax Assumptions'!$B$18))+(LOOKUP(MAX(D136-E136-'Tax Assumptions'!$B$9,0),'Tax Assumptions'!$K$9:$K$17,'Tax Assumptions'!$N$9:$N$17)+(MAX(D136-E136-'Tax Assumptions'!$B$9,0)-LOOKUP(MAX(D136-E136-'Tax Assumptions'!$B$9,0),'Tax Assumptions'!$K$9:$K$17,'Tax Assumptions'!$K$9:$K$17))*LOOKUP(MAX(D136-E136-'Tax Assumptions'!$B$9,0),'Tax Assumptions'!$K$9:$K$17,'Tax Assumptions'!$M$9:$M$17))+(LOOKUP(MAX(D136-E136-'Tax Assumptions'!$B$9,0),'Tax Assumptions'!$P$9:$P$12,'Tax Assumptions'!$S$9:$S$12)+(MAX(D136-E136-'Tax Assumptions'!$B$9,0)-LOOKUP(MAX(D136-E136-'Tax Assumptions'!$B$9,0),'Tax Assumptions'!$P$9:$P$12,'Tax Assumptions'!$P$9:$P$12))*LOOKUP(MAX(D136-E136-'Tax Assumptions'!$B$9,0),'Tax Assumptions'!$P$9:$P$12,'Tax Assumptions'!$R$9:$R$12)))*$D$7)</f>
        <v>1168160.3168681841</v>
      </c>
      <c r="I136" s="68">
        <f t="shared" si="54"/>
        <v>1248103.6430797046</v>
      </c>
      <c r="J136" s="101">
        <f>IF(B136="Working",N('Savings Projection'!$S$27)*$D$8,0)</f>
        <v>106408.68683655975</v>
      </c>
      <c r="K136" s="101">
        <f>IF(B136="Working",N('Savings Projection'!$T$27)*$D$9,0)</f>
        <v>68405.584394931269</v>
      </c>
      <c r="L136" s="68">
        <f>IF(B136="Working",MIN(MAX(I136-J136-K136-AB136-AC136,0),'Tax Assumptions'!$B$20),0)</f>
        <v>7500</v>
      </c>
      <c r="M136" s="68">
        <f t="shared" si="55"/>
        <v>1065789.3718482135</v>
      </c>
      <c r="N136" s="101">
        <f t="shared" si="56"/>
        <v>1097789.3718482135</v>
      </c>
      <c r="O136" s="101">
        <f t="shared" si="57"/>
        <v>0</v>
      </c>
      <c r="P136" s="101">
        <f t="shared" si="58"/>
        <v>0</v>
      </c>
      <c r="Q136" s="101">
        <f t="shared" si="68"/>
        <v>0</v>
      </c>
      <c r="R136" s="101">
        <f t="shared" si="69"/>
        <v>0</v>
      </c>
      <c r="S136" s="101">
        <f t="shared" si="70"/>
        <v>0</v>
      </c>
      <c r="T136" s="101">
        <f t="shared" si="71"/>
        <v>0</v>
      </c>
      <c r="U136" s="68">
        <f t="shared" si="72"/>
        <v>6398735.4763891855</v>
      </c>
      <c r="V136" s="68">
        <f t="shared" si="73"/>
        <v>319015.39273707318</v>
      </c>
      <c r="W136" s="68">
        <f t="shared" si="74"/>
        <v>97657.773286859156</v>
      </c>
      <c r="X136" s="68">
        <f t="shared" si="75"/>
        <v>0</v>
      </c>
      <c r="Y136" s="68">
        <f t="shared" si="59"/>
        <v>6815408.6424131179</v>
      </c>
      <c r="Z136" s="101">
        <f t="shared" si="60"/>
        <v>0</v>
      </c>
      <c r="AA136" s="102">
        <f t="shared" si="61"/>
        <v>0.44977285385336963</v>
      </c>
      <c r="AB136" s="68">
        <f t="shared" si="62"/>
        <v>0</v>
      </c>
      <c r="AC136" s="68">
        <f t="shared" si="63"/>
        <v>0</v>
      </c>
      <c r="AD136" s="68">
        <f t="shared" si="64"/>
        <v>0</v>
      </c>
      <c r="AE136" s="68">
        <f t="shared" si="65"/>
        <v>0</v>
      </c>
      <c r="AF136" s="68">
        <f t="shared" si="66"/>
        <v>0</v>
      </c>
      <c r="AG136" s="127">
        <f t="shared" si="67"/>
        <v>6815408.6424131179</v>
      </c>
    </row>
    <row r="137" spans="1:33" x14ac:dyDescent="0.2">
      <c r="A137" s="128">
        <v>10</v>
      </c>
      <c r="B137" s="65" t="str">
        <f t="shared" si="52"/>
        <v>Retired</v>
      </c>
      <c r="C137" s="66">
        <f>N('Savings Projection'!$B$28)</f>
        <v>2595495.7626410057</v>
      </c>
      <c r="D137" s="66">
        <f t="shared" si="53"/>
        <v>0</v>
      </c>
      <c r="E137" s="66">
        <f>IF(OR(B137="Retired",D137=0),0,MIN(D137,'Tax Assumptions'!$B$19))</f>
        <v>0</v>
      </c>
      <c r="F137" s="66">
        <f>IF(B137="Working",N('Savings Projection'!$E$28),0)</f>
        <v>0</v>
      </c>
      <c r="G137" s="66">
        <f>IF(B137="Working",N('Savings Projection'!$F$28),0)</f>
        <v>0</v>
      </c>
      <c r="H137" s="66">
        <f>IF(D137=0,0,((LOOKUP(MAX(D137-E137-F137-'Tax Assumptions'!$B$8,0),'Tax Assumptions'!$F$9:$F$15,'Tax Assumptions'!$I$9:$I$15)+(MAX(D137-E137-F137-'Tax Assumptions'!$B$8,0)-LOOKUP(MAX(D137-E137-F137-'Tax Assumptions'!$B$8,0),'Tax Assumptions'!$F$9:$F$15,'Tax Assumptions'!$F$9:$F$15))*LOOKUP(MAX(D137-E137-F137-'Tax Assumptions'!$B$8,0),'Tax Assumptions'!$F$9:$F$15,'Tax Assumptions'!$H$9:$H$15))+(MIN(MAX(D137-F137,0),'Tax Assumptions'!$B$11)*'Tax Assumptions'!$B$10)+(MAX(D137-F137,0)*'Tax Assumptions'!$B$12)+(MAX(MAX(D137-F137,0)-'Tax Assumptions'!$B$14,0)*'Tax Assumptions'!$B$13)+(MIN(D137*'Tax Assumptions'!$B$15,'Tax Assumptions'!$B$16))+(MIN(D137*'Tax Assumptions'!$B$17,'Tax Assumptions'!$B$18))+(LOOKUP(MAX(D137-E137-'Tax Assumptions'!$B$9,0),'Tax Assumptions'!$K$9:$K$17,'Tax Assumptions'!$N$9:$N$17)+(MAX(D137-E137-'Tax Assumptions'!$B$9,0)-LOOKUP(MAX(D137-E137-'Tax Assumptions'!$B$9,0),'Tax Assumptions'!$K$9:$K$17,'Tax Assumptions'!$K$9:$K$17))*LOOKUP(MAX(D137-E137-'Tax Assumptions'!$B$9,0),'Tax Assumptions'!$K$9:$K$17,'Tax Assumptions'!$M$9:$M$17))+(LOOKUP(MAX(D137-E137-'Tax Assumptions'!$B$9,0),'Tax Assumptions'!$P$9:$P$12,'Tax Assumptions'!$S$9:$S$12)+(MAX(D137-E137-'Tax Assumptions'!$B$9,0)-LOOKUP(MAX(D137-E137-'Tax Assumptions'!$B$9,0),'Tax Assumptions'!$P$9:$P$12,'Tax Assumptions'!$P$9:$P$12))*LOOKUP(MAX(D137-E137-'Tax Assumptions'!$B$9,0),'Tax Assumptions'!$P$9:$P$12,'Tax Assumptions'!$R$9:$R$12)))*$D$7)</f>
        <v>0</v>
      </c>
      <c r="I137" s="66">
        <f t="shared" si="54"/>
        <v>0</v>
      </c>
      <c r="J137" s="66">
        <f>IF(B137="Working",N('Savings Projection'!$S$28)*$D$8,0)</f>
        <v>0</v>
      </c>
      <c r="K137" s="66">
        <f>IF(B137="Working",N('Savings Projection'!$T$28)*$D$9,0)</f>
        <v>0</v>
      </c>
      <c r="L137" s="66">
        <f>IF(B137="Working",MIN(MAX(I137-J137-K137-AB137-AC137,0),'Tax Assumptions'!$B$20),0)</f>
        <v>0</v>
      </c>
      <c r="M137" s="66">
        <f t="shared" si="55"/>
        <v>0</v>
      </c>
      <c r="N137" s="66">
        <f t="shared" si="56"/>
        <v>-2702544.4884574669</v>
      </c>
      <c r="O137" s="66">
        <f t="shared" si="57"/>
        <v>2702544.4884574669</v>
      </c>
      <c r="P137" s="66">
        <f t="shared" si="58"/>
        <v>2702544.4884574669</v>
      </c>
      <c r="Q137" s="66">
        <f t="shared" si="68"/>
        <v>2702544.4884574669</v>
      </c>
      <c r="R137" s="66">
        <f t="shared" si="69"/>
        <v>0</v>
      </c>
      <c r="S137" s="66">
        <f t="shared" si="70"/>
        <v>0</v>
      </c>
      <c r="T137" s="66">
        <f t="shared" si="71"/>
        <v>0</v>
      </c>
      <c r="U137" s="66">
        <f t="shared" si="72"/>
        <v>4272077.1808067467</v>
      </c>
      <c r="V137" s="66">
        <f t="shared" si="73"/>
        <v>347726.77808340982</v>
      </c>
      <c r="W137" s="66">
        <f t="shared" si="74"/>
        <v>106446.97288267649</v>
      </c>
      <c r="X137" s="66">
        <f t="shared" si="75"/>
        <v>0</v>
      </c>
      <c r="Y137" s="66">
        <f t="shared" si="59"/>
        <v>4726250.9317728337</v>
      </c>
      <c r="Z137" s="66">
        <f t="shared" si="60"/>
        <v>0</v>
      </c>
      <c r="AA137" s="69">
        <f t="shared" si="61"/>
        <v>0</v>
      </c>
      <c r="AB137" s="66">
        <f t="shared" si="62"/>
        <v>2125000</v>
      </c>
      <c r="AC137" s="66">
        <f t="shared" si="63"/>
        <v>337544.48845746694</v>
      </c>
      <c r="AD137" s="66">
        <f t="shared" si="64"/>
        <v>5000000</v>
      </c>
      <c r="AE137" s="66">
        <f t="shared" si="65"/>
        <v>2966468.2359312009</v>
      </c>
      <c r="AF137" s="66">
        <f t="shared" si="66"/>
        <v>2033531.7640687991</v>
      </c>
      <c r="AG137" s="129">
        <f t="shared" si="67"/>
        <v>6759782.6958416328</v>
      </c>
    </row>
    <row r="138" spans="1:33" x14ac:dyDescent="0.2">
      <c r="A138" s="126">
        <v>11</v>
      </c>
      <c r="B138" s="100" t="str">
        <f t="shared" si="52"/>
        <v>Retired</v>
      </c>
      <c r="C138" s="101">
        <f>N('Savings Projection'!$B$29)</f>
        <v>0</v>
      </c>
      <c r="D138" s="68">
        <f t="shared" si="53"/>
        <v>0</v>
      </c>
      <c r="E138" s="101">
        <f>IF(OR(B138="Retired",D138=0),0,MIN(D138,'Tax Assumptions'!$B$19))</f>
        <v>0</v>
      </c>
      <c r="F138" s="101">
        <f>IF(B138="Working",N('Savings Projection'!$E$29),0)</f>
        <v>0</v>
      </c>
      <c r="G138" s="101">
        <f>IF(B138="Working",N('Savings Projection'!$F$29),0)</f>
        <v>0</v>
      </c>
      <c r="H138" s="68">
        <f>IF(D138=0,0,((LOOKUP(MAX(D138-E138-F138-'Tax Assumptions'!$B$8,0),'Tax Assumptions'!$F$9:$F$15,'Tax Assumptions'!$I$9:$I$15)+(MAX(D138-E138-F138-'Tax Assumptions'!$B$8,0)-LOOKUP(MAX(D138-E138-F138-'Tax Assumptions'!$B$8,0),'Tax Assumptions'!$F$9:$F$15,'Tax Assumptions'!$F$9:$F$15))*LOOKUP(MAX(D138-E138-F138-'Tax Assumptions'!$B$8,0),'Tax Assumptions'!$F$9:$F$15,'Tax Assumptions'!$H$9:$H$15))+(MIN(MAX(D138-F138,0),'Tax Assumptions'!$B$11)*'Tax Assumptions'!$B$10)+(MAX(D138-F138,0)*'Tax Assumptions'!$B$12)+(MAX(MAX(D138-F138,0)-'Tax Assumptions'!$B$14,0)*'Tax Assumptions'!$B$13)+(MIN(D138*'Tax Assumptions'!$B$15,'Tax Assumptions'!$B$16))+(MIN(D138*'Tax Assumptions'!$B$17,'Tax Assumptions'!$B$18))+(LOOKUP(MAX(D138-E138-'Tax Assumptions'!$B$9,0),'Tax Assumptions'!$K$9:$K$17,'Tax Assumptions'!$N$9:$N$17)+(MAX(D138-E138-'Tax Assumptions'!$B$9,0)-LOOKUP(MAX(D138-E138-'Tax Assumptions'!$B$9,0),'Tax Assumptions'!$K$9:$K$17,'Tax Assumptions'!$K$9:$K$17))*LOOKUP(MAX(D138-E138-'Tax Assumptions'!$B$9,0),'Tax Assumptions'!$K$9:$K$17,'Tax Assumptions'!$M$9:$M$17))+(LOOKUP(MAX(D138-E138-'Tax Assumptions'!$B$9,0),'Tax Assumptions'!$P$9:$P$12,'Tax Assumptions'!$S$9:$S$12)+(MAX(D138-E138-'Tax Assumptions'!$B$9,0)-LOOKUP(MAX(D138-E138-'Tax Assumptions'!$B$9,0),'Tax Assumptions'!$P$9:$P$12,'Tax Assumptions'!$P$9:$P$12))*LOOKUP(MAX(D138-E138-'Tax Assumptions'!$B$9,0),'Tax Assumptions'!$P$9:$P$12,'Tax Assumptions'!$R$9:$R$12)))*$D$7)</f>
        <v>0</v>
      </c>
      <c r="I138" s="68">
        <f t="shared" si="54"/>
        <v>0</v>
      </c>
      <c r="J138" s="101">
        <f>IF(B138="Working",N('Savings Projection'!$S$29)*$D$8,0)</f>
        <v>0</v>
      </c>
      <c r="K138" s="101">
        <f>IF(B138="Working",N('Savings Projection'!$T$29)*$D$9,0)</f>
        <v>0</v>
      </c>
      <c r="L138" s="68">
        <f>IF(B138="Working",MIN(MAX(I138-J138-K138-AB138-AC138,0),'Tax Assumptions'!$B$20),0)</f>
        <v>0</v>
      </c>
      <c r="M138" s="68">
        <f t="shared" si="55"/>
        <v>0</v>
      </c>
      <c r="N138" s="101">
        <f t="shared" si="56"/>
        <v>-580844.48845746694</v>
      </c>
      <c r="O138" s="101">
        <f t="shared" si="57"/>
        <v>580844.48845746694</v>
      </c>
      <c r="P138" s="101">
        <f t="shared" si="58"/>
        <v>580844.48845746694</v>
      </c>
      <c r="Q138" s="101">
        <f t="shared" si="68"/>
        <v>580844.48845746694</v>
      </c>
      <c r="R138" s="101">
        <f t="shared" si="69"/>
        <v>0</v>
      </c>
      <c r="S138" s="101">
        <f t="shared" si="70"/>
        <v>0</v>
      </c>
      <c r="T138" s="101">
        <f t="shared" si="71"/>
        <v>0</v>
      </c>
      <c r="U138" s="68">
        <f t="shared" si="72"/>
        <v>4075719.6386218877</v>
      </c>
      <c r="V138" s="68">
        <f t="shared" si="73"/>
        <v>379022.18811091676</v>
      </c>
      <c r="W138" s="68">
        <f t="shared" si="74"/>
        <v>116027.20044211738</v>
      </c>
      <c r="X138" s="68">
        <f t="shared" si="75"/>
        <v>0</v>
      </c>
      <c r="Y138" s="68">
        <f t="shared" si="59"/>
        <v>4570769.0271749217</v>
      </c>
      <c r="Z138" s="101">
        <f t="shared" si="60"/>
        <v>0</v>
      </c>
      <c r="AA138" s="102">
        <f t="shared" si="61"/>
        <v>0</v>
      </c>
      <c r="AB138" s="68">
        <f t="shared" si="62"/>
        <v>0</v>
      </c>
      <c r="AC138" s="68">
        <f t="shared" si="63"/>
        <v>340844.48845746694</v>
      </c>
      <c r="AD138" s="68">
        <f t="shared" si="64"/>
        <v>5150000</v>
      </c>
      <c r="AE138" s="68">
        <f t="shared" si="65"/>
        <v>2930690.7875218019</v>
      </c>
      <c r="AF138" s="68">
        <f t="shared" si="66"/>
        <v>2219309.2124781981</v>
      </c>
      <c r="AG138" s="127">
        <f t="shared" si="67"/>
        <v>6790078.2396531198</v>
      </c>
    </row>
    <row r="139" spans="1:33" x14ac:dyDescent="0.2">
      <c r="A139" s="128">
        <v>12</v>
      </c>
      <c r="B139" s="65" t="str">
        <f t="shared" si="52"/>
        <v>Retired</v>
      </c>
      <c r="C139" s="66">
        <f>N('Savings Projection'!$B$30)</f>
        <v>0</v>
      </c>
      <c r="D139" s="66">
        <f t="shared" si="53"/>
        <v>0</v>
      </c>
      <c r="E139" s="66">
        <f>IF(OR(B139="Retired",D139=0),0,MIN(D139,'Tax Assumptions'!$B$19))</f>
        <v>0</v>
      </c>
      <c r="F139" s="66">
        <f>IF(B139="Working",N('Savings Projection'!$E$30),0)</f>
        <v>0</v>
      </c>
      <c r="G139" s="66">
        <f>IF(B139="Working",N('Savings Projection'!$F$30),0)</f>
        <v>0</v>
      </c>
      <c r="H139" s="66">
        <f>IF(D139=0,0,((LOOKUP(MAX(D139-E139-F139-'Tax Assumptions'!$B$8,0),'Tax Assumptions'!$F$9:$F$15,'Tax Assumptions'!$I$9:$I$15)+(MAX(D139-E139-F139-'Tax Assumptions'!$B$8,0)-LOOKUP(MAX(D139-E139-F139-'Tax Assumptions'!$B$8,0),'Tax Assumptions'!$F$9:$F$15,'Tax Assumptions'!$F$9:$F$15))*LOOKUP(MAX(D139-E139-F139-'Tax Assumptions'!$B$8,0),'Tax Assumptions'!$F$9:$F$15,'Tax Assumptions'!$H$9:$H$15))+(MIN(MAX(D139-F139,0),'Tax Assumptions'!$B$11)*'Tax Assumptions'!$B$10)+(MAX(D139-F139,0)*'Tax Assumptions'!$B$12)+(MAX(MAX(D139-F139,0)-'Tax Assumptions'!$B$14,0)*'Tax Assumptions'!$B$13)+(MIN(D139*'Tax Assumptions'!$B$15,'Tax Assumptions'!$B$16))+(MIN(D139*'Tax Assumptions'!$B$17,'Tax Assumptions'!$B$18))+(LOOKUP(MAX(D139-E139-'Tax Assumptions'!$B$9,0),'Tax Assumptions'!$K$9:$K$17,'Tax Assumptions'!$N$9:$N$17)+(MAX(D139-E139-'Tax Assumptions'!$B$9,0)-LOOKUP(MAX(D139-E139-'Tax Assumptions'!$B$9,0),'Tax Assumptions'!$K$9:$K$17,'Tax Assumptions'!$K$9:$K$17))*LOOKUP(MAX(D139-E139-'Tax Assumptions'!$B$9,0),'Tax Assumptions'!$K$9:$K$17,'Tax Assumptions'!$M$9:$M$17))+(LOOKUP(MAX(D139-E139-'Tax Assumptions'!$B$9,0),'Tax Assumptions'!$P$9:$P$12,'Tax Assumptions'!$S$9:$S$12)+(MAX(D139-E139-'Tax Assumptions'!$B$9,0)-LOOKUP(MAX(D139-E139-'Tax Assumptions'!$B$9,0),'Tax Assumptions'!$P$9:$P$12,'Tax Assumptions'!$P$9:$P$12))*LOOKUP(MAX(D139-E139-'Tax Assumptions'!$B$9,0),'Tax Assumptions'!$P$9:$P$12,'Tax Assumptions'!$R$9:$R$12)))*$D$7)</f>
        <v>0</v>
      </c>
      <c r="I139" s="66">
        <f t="shared" si="54"/>
        <v>0</v>
      </c>
      <c r="J139" s="66">
        <f>IF(B139="Working",N('Savings Projection'!$S$30)*$D$8,0)</f>
        <v>0</v>
      </c>
      <c r="K139" s="66">
        <f>IF(B139="Working",N('Savings Projection'!$T$30)*$D$9,0)</f>
        <v>0</v>
      </c>
      <c r="L139" s="66">
        <f>IF(B139="Working",MIN(MAX(I139-J139-K139-AB139-AC139,0),'Tax Assumptions'!$B$20),0)</f>
        <v>0</v>
      </c>
      <c r="M139" s="66">
        <f t="shared" si="55"/>
        <v>0</v>
      </c>
      <c r="N139" s="66">
        <f t="shared" si="56"/>
        <v>-584243.48845746694</v>
      </c>
      <c r="O139" s="66">
        <f t="shared" si="57"/>
        <v>584243.48845746694</v>
      </c>
      <c r="P139" s="66">
        <f t="shared" si="58"/>
        <v>584243.48845746694</v>
      </c>
      <c r="Q139" s="66">
        <f t="shared" si="68"/>
        <v>584243.48845746694</v>
      </c>
      <c r="R139" s="66">
        <f t="shared" si="69"/>
        <v>0</v>
      </c>
      <c r="S139" s="66">
        <f t="shared" si="70"/>
        <v>0</v>
      </c>
      <c r="T139" s="66">
        <f t="shared" si="71"/>
        <v>0</v>
      </c>
      <c r="U139" s="66">
        <f t="shared" si="72"/>
        <v>3858290.9176403913</v>
      </c>
      <c r="V139" s="66">
        <f t="shared" si="73"/>
        <v>413134.18504089932</v>
      </c>
      <c r="W139" s="66">
        <f t="shared" si="74"/>
        <v>126469.64848190795</v>
      </c>
      <c r="X139" s="66">
        <f t="shared" si="75"/>
        <v>0</v>
      </c>
      <c r="Y139" s="66">
        <f t="shared" si="59"/>
        <v>4397894.7511631986</v>
      </c>
      <c r="Z139" s="66">
        <f t="shared" si="60"/>
        <v>0</v>
      </c>
      <c r="AA139" s="69">
        <f t="shared" si="61"/>
        <v>0</v>
      </c>
      <c r="AB139" s="66">
        <f t="shared" si="62"/>
        <v>0</v>
      </c>
      <c r="AC139" s="66">
        <f t="shared" si="63"/>
        <v>344243.48845746694</v>
      </c>
      <c r="AD139" s="66">
        <f t="shared" si="64"/>
        <v>5304500</v>
      </c>
      <c r="AE139" s="66">
        <f t="shared" si="65"/>
        <v>2892517.2571324995</v>
      </c>
      <c r="AF139" s="66">
        <f t="shared" si="66"/>
        <v>2411982.7428675005</v>
      </c>
      <c r="AG139" s="129">
        <f t="shared" si="67"/>
        <v>6809877.4940306991</v>
      </c>
    </row>
    <row r="140" spans="1:33" x14ac:dyDescent="0.2">
      <c r="A140" s="126">
        <v>13</v>
      </c>
      <c r="B140" s="100" t="str">
        <f t="shared" si="52"/>
        <v>Retired</v>
      </c>
      <c r="C140" s="101">
        <f>N('Savings Projection'!$B$31)</f>
        <v>0</v>
      </c>
      <c r="D140" s="68">
        <f t="shared" si="53"/>
        <v>0</v>
      </c>
      <c r="E140" s="101">
        <f>IF(OR(B140="Retired",D140=0),0,MIN(D140,'Tax Assumptions'!$B$19))</f>
        <v>0</v>
      </c>
      <c r="F140" s="101">
        <f>IF(B140="Working",N('Savings Projection'!$E$31),0)</f>
        <v>0</v>
      </c>
      <c r="G140" s="101">
        <f>IF(B140="Working",N('Savings Projection'!$F$31),0)</f>
        <v>0</v>
      </c>
      <c r="H140" s="68">
        <f>IF(D140=0,0,((LOOKUP(MAX(D140-E140-F140-'Tax Assumptions'!$B$8,0),'Tax Assumptions'!$F$9:$F$15,'Tax Assumptions'!$I$9:$I$15)+(MAX(D140-E140-F140-'Tax Assumptions'!$B$8,0)-LOOKUP(MAX(D140-E140-F140-'Tax Assumptions'!$B$8,0),'Tax Assumptions'!$F$9:$F$15,'Tax Assumptions'!$F$9:$F$15))*LOOKUP(MAX(D140-E140-F140-'Tax Assumptions'!$B$8,0),'Tax Assumptions'!$F$9:$F$15,'Tax Assumptions'!$H$9:$H$15))+(MIN(MAX(D140-F140,0),'Tax Assumptions'!$B$11)*'Tax Assumptions'!$B$10)+(MAX(D140-F140,0)*'Tax Assumptions'!$B$12)+(MAX(MAX(D140-F140,0)-'Tax Assumptions'!$B$14,0)*'Tax Assumptions'!$B$13)+(MIN(D140*'Tax Assumptions'!$B$15,'Tax Assumptions'!$B$16))+(MIN(D140*'Tax Assumptions'!$B$17,'Tax Assumptions'!$B$18))+(LOOKUP(MAX(D140-E140-'Tax Assumptions'!$B$9,0),'Tax Assumptions'!$K$9:$K$17,'Tax Assumptions'!$N$9:$N$17)+(MAX(D140-E140-'Tax Assumptions'!$B$9,0)-LOOKUP(MAX(D140-E140-'Tax Assumptions'!$B$9,0),'Tax Assumptions'!$K$9:$K$17,'Tax Assumptions'!$K$9:$K$17))*LOOKUP(MAX(D140-E140-'Tax Assumptions'!$B$9,0),'Tax Assumptions'!$K$9:$K$17,'Tax Assumptions'!$M$9:$M$17))+(LOOKUP(MAX(D140-E140-'Tax Assumptions'!$B$9,0),'Tax Assumptions'!$P$9:$P$12,'Tax Assumptions'!$S$9:$S$12)+(MAX(D140-E140-'Tax Assumptions'!$B$9,0)-LOOKUP(MAX(D140-E140-'Tax Assumptions'!$B$9,0),'Tax Assumptions'!$P$9:$P$12,'Tax Assumptions'!$P$9:$P$12))*LOOKUP(MAX(D140-E140-'Tax Assumptions'!$B$9,0),'Tax Assumptions'!$P$9:$P$12,'Tax Assumptions'!$R$9:$R$12)))*$D$7)</f>
        <v>0</v>
      </c>
      <c r="I140" s="68">
        <f t="shared" si="54"/>
        <v>0</v>
      </c>
      <c r="J140" s="101">
        <f>IF(B140="Working",N('Savings Projection'!$S$31)*$D$8,0)</f>
        <v>0</v>
      </c>
      <c r="K140" s="101">
        <f>IF(B140="Working",N('Savings Projection'!$T$31)*$D$9,0)</f>
        <v>0</v>
      </c>
      <c r="L140" s="68">
        <f>IF(B140="Working",MIN(MAX(I140-J140-K140-AB140-AC140,0),'Tax Assumptions'!$B$20),0)</f>
        <v>0</v>
      </c>
      <c r="M140" s="68">
        <f t="shared" si="55"/>
        <v>0</v>
      </c>
      <c r="N140" s="101">
        <f t="shared" si="56"/>
        <v>-587744.45845746691</v>
      </c>
      <c r="O140" s="101">
        <f t="shared" si="57"/>
        <v>587744.45845746691</v>
      </c>
      <c r="P140" s="101">
        <f t="shared" si="58"/>
        <v>587744.45845746691</v>
      </c>
      <c r="Q140" s="101">
        <f t="shared" si="68"/>
        <v>587744.45845746691</v>
      </c>
      <c r="R140" s="101">
        <f t="shared" si="69"/>
        <v>0</v>
      </c>
      <c r="S140" s="101">
        <f t="shared" si="70"/>
        <v>0</v>
      </c>
      <c r="T140" s="101">
        <f t="shared" si="71"/>
        <v>0</v>
      </c>
      <c r="U140" s="68">
        <f t="shared" si="72"/>
        <v>3617792.6417705594</v>
      </c>
      <c r="V140" s="68">
        <f t="shared" si="73"/>
        <v>450316.26169458032</v>
      </c>
      <c r="W140" s="68">
        <f t="shared" si="74"/>
        <v>137851.91684527969</v>
      </c>
      <c r="X140" s="68">
        <f t="shared" si="75"/>
        <v>0</v>
      </c>
      <c r="Y140" s="68">
        <f t="shared" si="59"/>
        <v>4205960.8203104194</v>
      </c>
      <c r="Z140" s="101">
        <f t="shared" si="60"/>
        <v>0</v>
      </c>
      <c r="AA140" s="102">
        <f t="shared" si="61"/>
        <v>0</v>
      </c>
      <c r="AB140" s="68">
        <f t="shared" si="62"/>
        <v>0</v>
      </c>
      <c r="AC140" s="68">
        <f t="shared" si="63"/>
        <v>347744.45845746691</v>
      </c>
      <c r="AD140" s="68">
        <f t="shared" si="64"/>
        <v>5463635</v>
      </c>
      <c r="AE140" s="68">
        <f t="shared" si="65"/>
        <v>2851787.1747155506</v>
      </c>
      <c r="AF140" s="68">
        <f t="shared" si="66"/>
        <v>2611847.8252844494</v>
      </c>
      <c r="AG140" s="127">
        <f t="shared" si="67"/>
        <v>6817808.6455948688</v>
      </c>
    </row>
    <row r="141" spans="1:33" x14ac:dyDescent="0.2">
      <c r="A141" s="128">
        <v>14</v>
      </c>
      <c r="B141" s="65" t="str">
        <f t="shared" si="52"/>
        <v>Retired</v>
      </c>
      <c r="C141" s="66">
        <f>N('Savings Projection'!$B$32)</f>
        <v>0</v>
      </c>
      <c r="D141" s="66">
        <f t="shared" si="53"/>
        <v>0</v>
      </c>
      <c r="E141" s="66">
        <f>IF(OR(B141="Retired",D141=0),0,MIN(D141,'Tax Assumptions'!$B$19))</f>
        <v>0</v>
      </c>
      <c r="F141" s="66">
        <f>IF(B141="Working",N('Savings Projection'!$E$32),0)</f>
        <v>0</v>
      </c>
      <c r="G141" s="66">
        <f>IF(B141="Working",N('Savings Projection'!$F$32),0)</f>
        <v>0</v>
      </c>
      <c r="H141" s="66">
        <f>IF(D141=0,0,((LOOKUP(MAX(D141-E141-F141-'Tax Assumptions'!$B$8,0),'Tax Assumptions'!$F$9:$F$15,'Tax Assumptions'!$I$9:$I$15)+(MAX(D141-E141-F141-'Tax Assumptions'!$B$8,0)-LOOKUP(MAX(D141-E141-F141-'Tax Assumptions'!$B$8,0),'Tax Assumptions'!$F$9:$F$15,'Tax Assumptions'!$F$9:$F$15))*LOOKUP(MAX(D141-E141-F141-'Tax Assumptions'!$B$8,0),'Tax Assumptions'!$F$9:$F$15,'Tax Assumptions'!$H$9:$H$15))+(MIN(MAX(D141-F141,0),'Tax Assumptions'!$B$11)*'Tax Assumptions'!$B$10)+(MAX(D141-F141,0)*'Tax Assumptions'!$B$12)+(MAX(MAX(D141-F141,0)-'Tax Assumptions'!$B$14,0)*'Tax Assumptions'!$B$13)+(MIN(D141*'Tax Assumptions'!$B$15,'Tax Assumptions'!$B$16))+(MIN(D141*'Tax Assumptions'!$B$17,'Tax Assumptions'!$B$18))+(LOOKUP(MAX(D141-E141-'Tax Assumptions'!$B$9,0),'Tax Assumptions'!$K$9:$K$17,'Tax Assumptions'!$N$9:$N$17)+(MAX(D141-E141-'Tax Assumptions'!$B$9,0)-LOOKUP(MAX(D141-E141-'Tax Assumptions'!$B$9,0),'Tax Assumptions'!$K$9:$K$17,'Tax Assumptions'!$K$9:$K$17))*LOOKUP(MAX(D141-E141-'Tax Assumptions'!$B$9,0),'Tax Assumptions'!$K$9:$K$17,'Tax Assumptions'!$M$9:$M$17))+(LOOKUP(MAX(D141-E141-'Tax Assumptions'!$B$9,0),'Tax Assumptions'!$P$9:$P$12,'Tax Assumptions'!$S$9:$S$12)+(MAX(D141-E141-'Tax Assumptions'!$B$9,0)-LOOKUP(MAX(D141-E141-'Tax Assumptions'!$B$9,0),'Tax Assumptions'!$P$9:$P$12,'Tax Assumptions'!$P$9:$P$12))*LOOKUP(MAX(D141-E141-'Tax Assumptions'!$B$9,0),'Tax Assumptions'!$P$9:$P$12,'Tax Assumptions'!$R$9:$R$12)))*$D$7)</f>
        <v>0</v>
      </c>
      <c r="I141" s="66">
        <f t="shared" si="54"/>
        <v>0</v>
      </c>
      <c r="J141" s="66">
        <f>IF(B141="Working",N('Savings Projection'!$S$32)*$D$8,0)</f>
        <v>0</v>
      </c>
      <c r="K141" s="66">
        <f>IF(B141="Working",N('Savings Projection'!$T$32)*$D$9,0)</f>
        <v>0</v>
      </c>
      <c r="L141" s="66">
        <f>IF(B141="Working",MIN(MAX(I141-J141-K141-AB141-AC141,0),'Tax Assumptions'!$B$20),0)</f>
        <v>0</v>
      </c>
      <c r="M141" s="66">
        <f t="shared" si="55"/>
        <v>0</v>
      </c>
      <c r="N141" s="66">
        <f t="shared" si="56"/>
        <v>-591350.45755746693</v>
      </c>
      <c r="O141" s="66">
        <f t="shared" si="57"/>
        <v>591350.45755746693</v>
      </c>
      <c r="P141" s="66">
        <f t="shared" si="58"/>
        <v>591350.45755746693</v>
      </c>
      <c r="Q141" s="66">
        <f t="shared" si="68"/>
        <v>591350.45755746693</v>
      </c>
      <c r="R141" s="66">
        <f t="shared" si="69"/>
        <v>0</v>
      </c>
      <c r="S141" s="66">
        <f t="shared" si="70"/>
        <v>0</v>
      </c>
      <c r="T141" s="66">
        <f t="shared" si="71"/>
        <v>0</v>
      </c>
      <c r="U141" s="66">
        <f t="shared" si="72"/>
        <v>3352043.521972443</v>
      </c>
      <c r="V141" s="66">
        <f t="shared" si="73"/>
        <v>490844.7252470926</v>
      </c>
      <c r="W141" s="66">
        <f t="shared" si="74"/>
        <v>150258.58936135488</v>
      </c>
      <c r="X141" s="66">
        <f t="shared" si="75"/>
        <v>0</v>
      </c>
      <c r="Y141" s="66">
        <f t="shared" si="59"/>
        <v>3993146.8365808902</v>
      </c>
      <c r="Z141" s="66">
        <f t="shared" si="60"/>
        <v>0</v>
      </c>
      <c r="AA141" s="69">
        <f t="shared" si="61"/>
        <v>0</v>
      </c>
      <c r="AB141" s="66">
        <f t="shared" si="62"/>
        <v>0</v>
      </c>
      <c r="AC141" s="66">
        <f t="shared" si="63"/>
        <v>351350.45755746693</v>
      </c>
      <c r="AD141" s="66">
        <f t="shared" si="64"/>
        <v>5627544.0499999998</v>
      </c>
      <c r="AE141" s="66">
        <f t="shared" si="65"/>
        <v>2808329.3232469233</v>
      </c>
      <c r="AF141" s="66">
        <f t="shared" si="66"/>
        <v>2819214.7267530765</v>
      </c>
      <c r="AG141" s="129">
        <f t="shared" si="67"/>
        <v>6812361.5633339668</v>
      </c>
    </row>
    <row r="142" spans="1:33" x14ac:dyDescent="0.2">
      <c r="A142" s="126">
        <v>15</v>
      </c>
      <c r="B142" s="100" t="str">
        <f t="shared" si="52"/>
        <v>Retired</v>
      </c>
      <c r="C142" s="101">
        <f>N('Savings Projection'!$B$33)</f>
        <v>0</v>
      </c>
      <c r="D142" s="68">
        <f t="shared" si="53"/>
        <v>0</v>
      </c>
      <c r="E142" s="101">
        <f>IF(OR(B142="Retired",D142=0),0,MIN(D142,'Tax Assumptions'!$B$19))</f>
        <v>0</v>
      </c>
      <c r="F142" s="101">
        <f>IF(B142="Working",N('Savings Projection'!$E$33),0)</f>
        <v>0</v>
      </c>
      <c r="G142" s="101">
        <f>IF(B142="Working",N('Savings Projection'!$F$33),0)</f>
        <v>0</v>
      </c>
      <c r="H142" s="68">
        <f>IF(D142=0,0,((LOOKUP(MAX(D142-E142-F142-'Tax Assumptions'!$B$8,0),'Tax Assumptions'!$F$9:$F$15,'Tax Assumptions'!$I$9:$I$15)+(MAX(D142-E142-F142-'Tax Assumptions'!$B$8,0)-LOOKUP(MAX(D142-E142-F142-'Tax Assumptions'!$B$8,0),'Tax Assumptions'!$F$9:$F$15,'Tax Assumptions'!$F$9:$F$15))*LOOKUP(MAX(D142-E142-F142-'Tax Assumptions'!$B$8,0),'Tax Assumptions'!$F$9:$F$15,'Tax Assumptions'!$H$9:$H$15))+(MIN(MAX(D142-F142,0),'Tax Assumptions'!$B$11)*'Tax Assumptions'!$B$10)+(MAX(D142-F142,0)*'Tax Assumptions'!$B$12)+(MAX(MAX(D142-F142,0)-'Tax Assumptions'!$B$14,0)*'Tax Assumptions'!$B$13)+(MIN(D142*'Tax Assumptions'!$B$15,'Tax Assumptions'!$B$16))+(MIN(D142*'Tax Assumptions'!$B$17,'Tax Assumptions'!$B$18))+(LOOKUP(MAX(D142-E142-'Tax Assumptions'!$B$9,0),'Tax Assumptions'!$K$9:$K$17,'Tax Assumptions'!$N$9:$N$17)+(MAX(D142-E142-'Tax Assumptions'!$B$9,0)-LOOKUP(MAX(D142-E142-'Tax Assumptions'!$B$9,0),'Tax Assumptions'!$K$9:$K$17,'Tax Assumptions'!$K$9:$K$17))*LOOKUP(MAX(D142-E142-'Tax Assumptions'!$B$9,0),'Tax Assumptions'!$K$9:$K$17,'Tax Assumptions'!$M$9:$M$17))+(LOOKUP(MAX(D142-E142-'Tax Assumptions'!$B$9,0),'Tax Assumptions'!$P$9:$P$12,'Tax Assumptions'!$S$9:$S$12)+(MAX(D142-E142-'Tax Assumptions'!$B$9,0)-LOOKUP(MAX(D142-E142-'Tax Assumptions'!$B$9,0),'Tax Assumptions'!$P$9:$P$12,'Tax Assumptions'!$P$9:$P$12))*LOOKUP(MAX(D142-E142-'Tax Assumptions'!$B$9,0),'Tax Assumptions'!$P$9:$P$12,'Tax Assumptions'!$R$9:$R$12)))*$D$7)</f>
        <v>0</v>
      </c>
      <c r="I142" s="68">
        <f t="shared" si="54"/>
        <v>0</v>
      </c>
      <c r="J142" s="101">
        <f>IF(B142="Working",N('Savings Projection'!$S$33)*$D$8,0)</f>
        <v>0</v>
      </c>
      <c r="K142" s="101">
        <f>IF(B142="Working",N('Savings Projection'!$T$33)*$D$9,0)</f>
        <v>0</v>
      </c>
      <c r="L142" s="68">
        <f>IF(B142="Working",MIN(MAX(I142-J142-K142-AB142-AC142,0),'Tax Assumptions'!$B$20),0)</f>
        <v>0</v>
      </c>
      <c r="M142" s="68">
        <f t="shared" si="55"/>
        <v>0</v>
      </c>
      <c r="N142" s="101">
        <f t="shared" si="56"/>
        <v>-595064.63663046691</v>
      </c>
      <c r="O142" s="101">
        <f t="shared" si="57"/>
        <v>595064.63663046691</v>
      </c>
      <c r="P142" s="101">
        <f t="shared" si="58"/>
        <v>595064.63663046691</v>
      </c>
      <c r="Q142" s="101">
        <f t="shared" si="68"/>
        <v>595064.63663046691</v>
      </c>
      <c r="R142" s="101">
        <f t="shared" si="69"/>
        <v>0</v>
      </c>
      <c r="S142" s="101">
        <f t="shared" si="70"/>
        <v>0</v>
      </c>
      <c r="T142" s="101">
        <f t="shared" si="71"/>
        <v>0</v>
      </c>
      <c r="U142" s="68">
        <f t="shared" si="72"/>
        <v>3058662.8023194959</v>
      </c>
      <c r="V142" s="68">
        <f t="shared" si="73"/>
        <v>535020.75051933096</v>
      </c>
      <c r="W142" s="68">
        <f t="shared" si="74"/>
        <v>163781.86240387685</v>
      </c>
      <c r="X142" s="68">
        <f t="shared" si="75"/>
        <v>0</v>
      </c>
      <c r="Y142" s="68">
        <f t="shared" si="59"/>
        <v>3757465.4152427036</v>
      </c>
      <c r="Z142" s="101">
        <f t="shared" si="60"/>
        <v>0</v>
      </c>
      <c r="AA142" s="102">
        <f t="shared" si="61"/>
        <v>0</v>
      </c>
      <c r="AB142" s="68">
        <f t="shared" si="62"/>
        <v>0</v>
      </c>
      <c r="AC142" s="68">
        <f t="shared" si="63"/>
        <v>355064.63663046691</v>
      </c>
      <c r="AD142" s="68">
        <f t="shared" si="64"/>
        <v>5796370.3714999994</v>
      </c>
      <c r="AE142" s="68">
        <f t="shared" si="65"/>
        <v>2761961.0189813892</v>
      </c>
      <c r="AF142" s="68">
        <f t="shared" si="66"/>
        <v>3034409.3525186102</v>
      </c>
      <c r="AG142" s="127">
        <f t="shared" si="67"/>
        <v>6791874.7677613143</v>
      </c>
    </row>
    <row r="143" spans="1:33" x14ac:dyDescent="0.2">
      <c r="A143" s="128">
        <v>16</v>
      </c>
      <c r="B143" s="65" t="str">
        <f t="shared" si="52"/>
        <v>Retired</v>
      </c>
      <c r="C143" s="66">
        <f>N('Savings Projection'!$B$34)</f>
        <v>0</v>
      </c>
      <c r="D143" s="66">
        <f t="shared" si="53"/>
        <v>0</v>
      </c>
      <c r="E143" s="66">
        <f>IF(OR(B143="Retired",D143=0),0,MIN(D143,'Tax Assumptions'!$B$19))</f>
        <v>0</v>
      </c>
      <c r="F143" s="66">
        <f>IF(B143="Working",N('Savings Projection'!$E$34),0)</f>
        <v>0</v>
      </c>
      <c r="G143" s="66">
        <f>IF(B143="Working",N('Savings Projection'!$F$34),0)</f>
        <v>0</v>
      </c>
      <c r="H143" s="66">
        <f>IF(D143=0,0,((LOOKUP(MAX(D143-E143-F143-'Tax Assumptions'!$B$8,0),'Tax Assumptions'!$F$9:$F$15,'Tax Assumptions'!$I$9:$I$15)+(MAX(D143-E143-F143-'Tax Assumptions'!$B$8,0)-LOOKUP(MAX(D143-E143-F143-'Tax Assumptions'!$B$8,0),'Tax Assumptions'!$F$9:$F$15,'Tax Assumptions'!$F$9:$F$15))*LOOKUP(MAX(D143-E143-F143-'Tax Assumptions'!$B$8,0),'Tax Assumptions'!$F$9:$F$15,'Tax Assumptions'!$H$9:$H$15))+(MIN(MAX(D143-F143,0),'Tax Assumptions'!$B$11)*'Tax Assumptions'!$B$10)+(MAX(D143-F143,0)*'Tax Assumptions'!$B$12)+(MAX(MAX(D143-F143,0)-'Tax Assumptions'!$B$14,0)*'Tax Assumptions'!$B$13)+(MIN(D143*'Tax Assumptions'!$B$15,'Tax Assumptions'!$B$16))+(MIN(D143*'Tax Assumptions'!$B$17,'Tax Assumptions'!$B$18))+(LOOKUP(MAX(D143-E143-'Tax Assumptions'!$B$9,0),'Tax Assumptions'!$K$9:$K$17,'Tax Assumptions'!$N$9:$N$17)+(MAX(D143-E143-'Tax Assumptions'!$B$9,0)-LOOKUP(MAX(D143-E143-'Tax Assumptions'!$B$9,0),'Tax Assumptions'!$K$9:$K$17,'Tax Assumptions'!$K$9:$K$17))*LOOKUP(MAX(D143-E143-'Tax Assumptions'!$B$9,0),'Tax Assumptions'!$K$9:$K$17,'Tax Assumptions'!$M$9:$M$17))+(LOOKUP(MAX(D143-E143-'Tax Assumptions'!$B$9,0),'Tax Assumptions'!$P$9:$P$12,'Tax Assumptions'!$S$9:$S$12)+(MAX(D143-E143-'Tax Assumptions'!$B$9,0)-LOOKUP(MAX(D143-E143-'Tax Assumptions'!$B$9,0),'Tax Assumptions'!$P$9:$P$12,'Tax Assumptions'!$P$9:$P$12))*LOOKUP(MAX(D143-E143-'Tax Assumptions'!$B$9,0),'Tax Assumptions'!$P$9:$P$12,'Tax Assumptions'!$R$9:$R$12)))*$D$7)</f>
        <v>0</v>
      </c>
      <c r="I143" s="66">
        <f t="shared" si="54"/>
        <v>0</v>
      </c>
      <c r="J143" s="66">
        <f>IF(B143="Working",N('Savings Projection'!$S$34)*$D$8,0)</f>
        <v>0</v>
      </c>
      <c r="K143" s="66">
        <f>IF(B143="Working",N('Savings Projection'!$T$34)*$D$9,0)</f>
        <v>0</v>
      </c>
      <c r="L143" s="66">
        <f>IF(B143="Working",MIN(MAX(I143-J143-K143-AB143-AC143,0),'Tax Assumptions'!$B$20),0)</f>
        <v>0</v>
      </c>
      <c r="M143" s="66">
        <f t="shared" si="55"/>
        <v>0</v>
      </c>
      <c r="N143" s="66">
        <f t="shared" si="56"/>
        <v>-598890.24107565696</v>
      </c>
      <c r="O143" s="66">
        <f t="shared" si="57"/>
        <v>598890.24107565696</v>
      </c>
      <c r="P143" s="66">
        <f t="shared" si="58"/>
        <v>598890.24107565696</v>
      </c>
      <c r="Q143" s="66">
        <f t="shared" si="68"/>
        <v>598890.24107565696</v>
      </c>
      <c r="R143" s="66">
        <f t="shared" si="69"/>
        <v>0</v>
      </c>
      <c r="S143" s="66">
        <f t="shared" si="70"/>
        <v>0</v>
      </c>
      <c r="T143" s="66">
        <f t="shared" si="71"/>
        <v>0</v>
      </c>
      <c r="U143" s="66">
        <f t="shared" si="72"/>
        <v>2735052.2134525939</v>
      </c>
      <c r="V143" s="66">
        <f t="shared" si="73"/>
        <v>583172.61806607083</v>
      </c>
      <c r="W143" s="66">
        <f t="shared" si="74"/>
        <v>178522.23002022578</v>
      </c>
      <c r="X143" s="66">
        <f t="shared" si="75"/>
        <v>0</v>
      </c>
      <c r="Y143" s="66">
        <f t="shared" si="59"/>
        <v>3496747.0615388909</v>
      </c>
      <c r="Z143" s="66">
        <f t="shared" si="60"/>
        <v>0</v>
      </c>
      <c r="AA143" s="69">
        <f t="shared" si="61"/>
        <v>0</v>
      </c>
      <c r="AB143" s="66">
        <f t="shared" si="62"/>
        <v>0</v>
      </c>
      <c r="AC143" s="66">
        <f t="shared" si="63"/>
        <v>358890.24107565696</v>
      </c>
      <c r="AD143" s="66">
        <f t="shared" si="64"/>
        <v>5970261.4826449994</v>
      </c>
      <c r="AE143" s="66">
        <f t="shared" si="65"/>
        <v>2712487.3435049765</v>
      </c>
      <c r="AF143" s="66">
        <f t="shared" si="66"/>
        <v>3257774.1391400229</v>
      </c>
      <c r="AG143" s="129">
        <f t="shared" si="67"/>
        <v>6754521.2006789139</v>
      </c>
    </row>
    <row r="144" spans="1:33" x14ac:dyDescent="0.2">
      <c r="A144" s="126">
        <v>17</v>
      </c>
      <c r="B144" s="100" t="str">
        <f t="shared" si="52"/>
        <v>Retired</v>
      </c>
      <c r="C144" s="101">
        <f>N('Savings Projection'!$B$35)</f>
        <v>0</v>
      </c>
      <c r="D144" s="68">
        <f t="shared" si="53"/>
        <v>0</v>
      </c>
      <c r="E144" s="101">
        <f>IF(OR(B144="Retired",D144=0),0,MIN(D144,'Tax Assumptions'!$B$19))</f>
        <v>0</v>
      </c>
      <c r="F144" s="101">
        <f>IF(B144="Working",N('Savings Projection'!$E$35),0)</f>
        <v>0</v>
      </c>
      <c r="G144" s="101">
        <f>IF(B144="Working",N('Savings Projection'!$F$35),0)</f>
        <v>0</v>
      </c>
      <c r="H144" s="68">
        <f>IF(D144=0,0,((LOOKUP(MAX(D144-E144-F144-'Tax Assumptions'!$B$8,0),'Tax Assumptions'!$F$9:$F$15,'Tax Assumptions'!$I$9:$I$15)+(MAX(D144-E144-F144-'Tax Assumptions'!$B$8,0)-LOOKUP(MAX(D144-E144-F144-'Tax Assumptions'!$B$8,0),'Tax Assumptions'!$F$9:$F$15,'Tax Assumptions'!$F$9:$F$15))*LOOKUP(MAX(D144-E144-F144-'Tax Assumptions'!$B$8,0),'Tax Assumptions'!$F$9:$F$15,'Tax Assumptions'!$H$9:$H$15))+(MIN(MAX(D144-F144,0),'Tax Assumptions'!$B$11)*'Tax Assumptions'!$B$10)+(MAX(D144-F144,0)*'Tax Assumptions'!$B$12)+(MAX(MAX(D144-F144,0)-'Tax Assumptions'!$B$14,0)*'Tax Assumptions'!$B$13)+(MIN(D144*'Tax Assumptions'!$B$15,'Tax Assumptions'!$B$16))+(MIN(D144*'Tax Assumptions'!$B$17,'Tax Assumptions'!$B$18))+(LOOKUP(MAX(D144-E144-'Tax Assumptions'!$B$9,0),'Tax Assumptions'!$K$9:$K$17,'Tax Assumptions'!$N$9:$N$17)+(MAX(D144-E144-'Tax Assumptions'!$B$9,0)-LOOKUP(MAX(D144-E144-'Tax Assumptions'!$B$9,0),'Tax Assumptions'!$K$9:$K$17,'Tax Assumptions'!$K$9:$K$17))*LOOKUP(MAX(D144-E144-'Tax Assumptions'!$B$9,0),'Tax Assumptions'!$K$9:$K$17,'Tax Assumptions'!$M$9:$M$17))+(LOOKUP(MAX(D144-E144-'Tax Assumptions'!$B$9,0),'Tax Assumptions'!$P$9:$P$12,'Tax Assumptions'!$S$9:$S$12)+(MAX(D144-E144-'Tax Assumptions'!$B$9,0)-LOOKUP(MAX(D144-E144-'Tax Assumptions'!$B$9,0),'Tax Assumptions'!$P$9:$P$12,'Tax Assumptions'!$P$9:$P$12))*LOOKUP(MAX(D144-E144-'Tax Assumptions'!$B$9,0),'Tax Assumptions'!$P$9:$P$12,'Tax Assumptions'!$R$9:$R$12)))*$D$7)</f>
        <v>0</v>
      </c>
      <c r="I144" s="68">
        <f t="shared" si="54"/>
        <v>0</v>
      </c>
      <c r="J144" s="101">
        <f>IF(B144="Working",N('Savings Projection'!$S$35)*$D$8,0)</f>
        <v>0</v>
      </c>
      <c r="K144" s="101">
        <f>IF(B144="Working",N('Savings Projection'!$T$35)*$D$9,0)</f>
        <v>0</v>
      </c>
      <c r="L144" s="68">
        <f>IF(B144="Working",MIN(MAX(I144-J144-K144-AB144-AC144,0),'Tax Assumptions'!$B$20),0)</f>
        <v>0</v>
      </c>
      <c r="M144" s="68">
        <f t="shared" si="55"/>
        <v>0</v>
      </c>
      <c r="N144" s="101">
        <f t="shared" si="56"/>
        <v>-602830.61365420267</v>
      </c>
      <c r="O144" s="101">
        <f t="shared" si="57"/>
        <v>602830.61365420267</v>
      </c>
      <c r="P144" s="101">
        <f t="shared" si="58"/>
        <v>602830.61365420267</v>
      </c>
      <c r="Q144" s="101">
        <f t="shared" si="68"/>
        <v>602830.61365420267</v>
      </c>
      <c r="R144" s="101">
        <f t="shared" si="69"/>
        <v>0</v>
      </c>
      <c r="S144" s="101">
        <f t="shared" si="70"/>
        <v>0</v>
      </c>
      <c r="T144" s="101">
        <f t="shared" si="71"/>
        <v>0</v>
      </c>
      <c r="U144" s="68">
        <f t="shared" si="72"/>
        <v>2378376.2990091247</v>
      </c>
      <c r="V144" s="68">
        <f t="shared" si="73"/>
        <v>635658.15369201731</v>
      </c>
      <c r="W144" s="68">
        <f t="shared" si="74"/>
        <v>194589.23072204611</v>
      </c>
      <c r="X144" s="68">
        <f t="shared" si="75"/>
        <v>0</v>
      </c>
      <c r="Y144" s="68">
        <f t="shared" si="59"/>
        <v>3208623.683423188</v>
      </c>
      <c r="Z144" s="101">
        <f t="shared" si="60"/>
        <v>0</v>
      </c>
      <c r="AA144" s="102">
        <f t="shared" si="61"/>
        <v>0</v>
      </c>
      <c r="AB144" s="68">
        <f t="shared" si="62"/>
        <v>0</v>
      </c>
      <c r="AC144" s="68">
        <f t="shared" si="63"/>
        <v>362830.61365420267</v>
      </c>
      <c r="AD144" s="68">
        <f t="shared" si="64"/>
        <v>6149369.3271243498</v>
      </c>
      <c r="AE144" s="68">
        <f t="shared" si="65"/>
        <v>2659700.3243565345</v>
      </c>
      <c r="AF144" s="68">
        <f t="shared" si="66"/>
        <v>3489669.0027678153</v>
      </c>
      <c r="AG144" s="127">
        <f t="shared" si="67"/>
        <v>6698292.6861910038</v>
      </c>
    </row>
    <row r="145" spans="1:33" x14ac:dyDescent="0.2">
      <c r="A145" s="128">
        <v>18</v>
      </c>
      <c r="B145" s="65" t="str">
        <f t="shared" si="52"/>
        <v>Retired</v>
      </c>
      <c r="C145" s="66">
        <f>N('Savings Projection'!$B$36)</f>
        <v>0</v>
      </c>
      <c r="D145" s="66">
        <f t="shared" si="53"/>
        <v>0</v>
      </c>
      <c r="E145" s="66">
        <f>IF(OR(B145="Retired",D145=0),0,MIN(D145,'Tax Assumptions'!$B$19))</f>
        <v>0</v>
      </c>
      <c r="F145" s="66">
        <f>IF(B145="Working",N('Savings Projection'!$E$36),0)</f>
        <v>0</v>
      </c>
      <c r="G145" s="66">
        <f>IF(B145="Working",N('Savings Projection'!$F$36),0)</f>
        <v>0</v>
      </c>
      <c r="H145" s="66">
        <f>IF(D145=0,0,((LOOKUP(MAX(D145-E145-F145-'Tax Assumptions'!$B$8,0),'Tax Assumptions'!$F$9:$F$15,'Tax Assumptions'!$I$9:$I$15)+(MAX(D145-E145-F145-'Tax Assumptions'!$B$8,0)-LOOKUP(MAX(D145-E145-F145-'Tax Assumptions'!$B$8,0),'Tax Assumptions'!$F$9:$F$15,'Tax Assumptions'!$F$9:$F$15))*LOOKUP(MAX(D145-E145-F145-'Tax Assumptions'!$B$8,0),'Tax Assumptions'!$F$9:$F$15,'Tax Assumptions'!$H$9:$H$15))+(MIN(MAX(D145-F145,0),'Tax Assumptions'!$B$11)*'Tax Assumptions'!$B$10)+(MAX(D145-F145,0)*'Tax Assumptions'!$B$12)+(MAX(MAX(D145-F145,0)-'Tax Assumptions'!$B$14,0)*'Tax Assumptions'!$B$13)+(MIN(D145*'Tax Assumptions'!$B$15,'Tax Assumptions'!$B$16))+(MIN(D145*'Tax Assumptions'!$B$17,'Tax Assumptions'!$B$18))+(LOOKUP(MAX(D145-E145-'Tax Assumptions'!$B$9,0),'Tax Assumptions'!$K$9:$K$17,'Tax Assumptions'!$N$9:$N$17)+(MAX(D145-E145-'Tax Assumptions'!$B$9,0)-LOOKUP(MAX(D145-E145-'Tax Assumptions'!$B$9,0),'Tax Assumptions'!$K$9:$K$17,'Tax Assumptions'!$K$9:$K$17))*LOOKUP(MAX(D145-E145-'Tax Assumptions'!$B$9,0),'Tax Assumptions'!$K$9:$K$17,'Tax Assumptions'!$M$9:$M$17))+(LOOKUP(MAX(D145-E145-'Tax Assumptions'!$B$9,0),'Tax Assumptions'!$P$9:$P$12,'Tax Assumptions'!$S$9:$S$12)+(MAX(D145-E145-'Tax Assumptions'!$B$9,0)-LOOKUP(MAX(D145-E145-'Tax Assumptions'!$B$9,0),'Tax Assumptions'!$P$9:$P$12,'Tax Assumptions'!$P$9:$P$12))*LOOKUP(MAX(D145-E145-'Tax Assumptions'!$B$9,0),'Tax Assumptions'!$P$9:$P$12,'Tax Assumptions'!$R$9:$R$12)))*$D$7)</f>
        <v>0</v>
      </c>
      <c r="I145" s="66">
        <f t="shared" si="54"/>
        <v>0</v>
      </c>
      <c r="J145" s="66">
        <f>IF(B145="Working",N('Savings Projection'!$S$36)*$D$8,0)</f>
        <v>0</v>
      </c>
      <c r="K145" s="66">
        <f>IF(B145="Working",N('Savings Projection'!$T$36)*$D$9,0)</f>
        <v>0</v>
      </c>
      <c r="L145" s="66">
        <f>IF(B145="Working",MIN(MAX(I145-J145-K145-AB145-AC145,0),'Tax Assumptions'!$B$20),0)</f>
        <v>0</v>
      </c>
      <c r="M145" s="66">
        <f t="shared" si="55"/>
        <v>0</v>
      </c>
      <c r="N145" s="66">
        <f t="shared" si="56"/>
        <v>-606889.19741010468</v>
      </c>
      <c r="O145" s="66">
        <f t="shared" si="57"/>
        <v>606889.19741010468</v>
      </c>
      <c r="P145" s="66">
        <f t="shared" si="58"/>
        <v>606889.19741010468</v>
      </c>
      <c r="Q145" s="66">
        <f t="shared" si="68"/>
        <v>606889.19741010468</v>
      </c>
      <c r="R145" s="66">
        <f t="shared" si="69"/>
        <v>0</v>
      </c>
      <c r="S145" s="66">
        <f t="shared" si="70"/>
        <v>0</v>
      </c>
      <c r="T145" s="66">
        <f t="shared" si="71"/>
        <v>0</v>
      </c>
      <c r="U145" s="66">
        <f t="shared" si="72"/>
        <v>1985540.9685098412</v>
      </c>
      <c r="V145" s="66">
        <f t="shared" si="73"/>
        <v>692867.38752429897</v>
      </c>
      <c r="W145" s="66">
        <f t="shared" si="74"/>
        <v>212102.26148703028</v>
      </c>
      <c r="X145" s="66">
        <f t="shared" si="75"/>
        <v>0</v>
      </c>
      <c r="Y145" s="66">
        <f t="shared" si="59"/>
        <v>2890510.6175211705</v>
      </c>
      <c r="Z145" s="66">
        <f t="shared" si="60"/>
        <v>0</v>
      </c>
      <c r="AA145" s="69">
        <f t="shared" si="61"/>
        <v>0</v>
      </c>
      <c r="AB145" s="66">
        <f t="shared" si="62"/>
        <v>0</v>
      </c>
      <c r="AC145" s="66">
        <f t="shared" si="63"/>
        <v>366889.19741010468</v>
      </c>
      <c r="AD145" s="66">
        <f t="shared" si="64"/>
        <v>6333850.4069380797</v>
      </c>
      <c r="AE145" s="66">
        <f t="shared" si="65"/>
        <v>2603378.0607740269</v>
      </c>
      <c r="AF145" s="66">
        <f t="shared" si="66"/>
        <v>3730472.3461640528</v>
      </c>
      <c r="AG145" s="129">
        <f t="shared" si="67"/>
        <v>6620982.9636852238</v>
      </c>
    </row>
    <row r="146" spans="1:33" x14ac:dyDescent="0.2">
      <c r="A146" s="126">
        <v>19</v>
      </c>
      <c r="B146" s="100" t="str">
        <f t="shared" si="52"/>
        <v>Retired</v>
      </c>
      <c r="C146" s="101">
        <f>N('Savings Projection'!$B$37)</f>
        <v>0</v>
      </c>
      <c r="D146" s="68">
        <f t="shared" si="53"/>
        <v>0</v>
      </c>
      <c r="E146" s="101">
        <f>IF(OR(B146="Retired",D146=0),0,MIN(D146,'Tax Assumptions'!$B$19))</f>
        <v>0</v>
      </c>
      <c r="F146" s="101">
        <f>IF(B146="Working",N('Savings Projection'!$E$37),0)</f>
        <v>0</v>
      </c>
      <c r="G146" s="101">
        <f>IF(B146="Working",N('Savings Projection'!$F$37),0)</f>
        <v>0</v>
      </c>
      <c r="H146" s="68">
        <f>IF(D146=0,0,((LOOKUP(MAX(D146-E146-F146-'Tax Assumptions'!$B$8,0),'Tax Assumptions'!$F$9:$F$15,'Tax Assumptions'!$I$9:$I$15)+(MAX(D146-E146-F146-'Tax Assumptions'!$B$8,0)-LOOKUP(MAX(D146-E146-F146-'Tax Assumptions'!$B$8,0),'Tax Assumptions'!$F$9:$F$15,'Tax Assumptions'!$F$9:$F$15))*LOOKUP(MAX(D146-E146-F146-'Tax Assumptions'!$B$8,0),'Tax Assumptions'!$F$9:$F$15,'Tax Assumptions'!$H$9:$H$15))+(MIN(MAX(D146-F146,0),'Tax Assumptions'!$B$11)*'Tax Assumptions'!$B$10)+(MAX(D146-F146,0)*'Tax Assumptions'!$B$12)+(MAX(MAX(D146-F146,0)-'Tax Assumptions'!$B$14,0)*'Tax Assumptions'!$B$13)+(MIN(D146*'Tax Assumptions'!$B$15,'Tax Assumptions'!$B$16))+(MIN(D146*'Tax Assumptions'!$B$17,'Tax Assumptions'!$B$18))+(LOOKUP(MAX(D146-E146-'Tax Assumptions'!$B$9,0),'Tax Assumptions'!$K$9:$K$17,'Tax Assumptions'!$N$9:$N$17)+(MAX(D146-E146-'Tax Assumptions'!$B$9,0)-LOOKUP(MAX(D146-E146-'Tax Assumptions'!$B$9,0),'Tax Assumptions'!$K$9:$K$17,'Tax Assumptions'!$K$9:$K$17))*LOOKUP(MAX(D146-E146-'Tax Assumptions'!$B$9,0),'Tax Assumptions'!$K$9:$K$17,'Tax Assumptions'!$M$9:$M$17))+(LOOKUP(MAX(D146-E146-'Tax Assumptions'!$B$9,0),'Tax Assumptions'!$P$9:$P$12,'Tax Assumptions'!$S$9:$S$12)+(MAX(D146-E146-'Tax Assumptions'!$B$9,0)-LOOKUP(MAX(D146-E146-'Tax Assumptions'!$B$9,0),'Tax Assumptions'!$P$9:$P$12,'Tax Assumptions'!$P$9:$P$12))*LOOKUP(MAX(D146-E146-'Tax Assumptions'!$B$9,0),'Tax Assumptions'!$P$9:$P$12,'Tax Assumptions'!$R$9:$R$12)))*$D$7)</f>
        <v>0</v>
      </c>
      <c r="I146" s="68">
        <f t="shared" si="54"/>
        <v>0</v>
      </c>
      <c r="J146" s="101">
        <f>IF(B146="Working",N('Savings Projection'!$S$37)*$D$8,0)</f>
        <v>0</v>
      </c>
      <c r="K146" s="101">
        <f>IF(B146="Working",N('Savings Projection'!$T$37)*$D$9,0)</f>
        <v>0</v>
      </c>
      <c r="L146" s="68">
        <f>IF(B146="Working",MIN(MAX(I146-J146-K146-AB146-AC146,0),'Tax Assumptions'!$B$20),0)</f>
        <v>0</v>
      </c>
      <c r="M146" s="68">
        <f t="shared" si="55"/>
        <v>0</v>
      </c>
      <c r="N146" s="101">
        <f t="shared" si="56"/>
        <v>-611069.53867868381</v>
      </c>
      <c r="O146" s="101">
        <f t="shared" si="57"/>
        <v>611069.53867868381</v>
      </c>
      <c r="P146" s="101">
        <f t="shared" si="58"/>
        <v>611069.53867868381</v>
      </c>
      <c r="Q146" s="101">
        <f t="shared" si="68"/>
        <v>611069.53867868381</v>
      </c>
      <c r="R146" s="101">
        <f t="shared" si="69"/>
        <v>0</v>
      </c>
      <c r="S146" s="101">
        <f t="shared" si="70"/>
        <v>0</v>
      </c>
      <c r="T146" s="101">
        <f t="shared" si="71"/>
        <v>0</v>
      </c>
      <c r="U146" s="68">
        <f t="shared" si="72"/>
        <v>1553170.1169970431</v>
      </c>
      <c r="V146" s="68">
        <f t="shared" si="73"/>
        <v>755225.45240148599</v>
      </c>
      <c r="W146" s="68">
        <f t="shared" si="74"/>
        <v>231191.46502086302</v>
      </c>
      <c r="X146" s="68">
        <f t="shared" si="75"/>
        <v>0</v>
      </c>
      <c r="Y146" s="68">
        <f t="shared" si="59"/>
        <v>2539587.0344193918</v>
      </c>
      <c r="Z146" s="101">
        <f t="shared" si="60"/>
        <v>0</v>
      </c>
      <c r="AA146" s="102">
        <f t="shared" si="61"/>
        <v>0</v>
      </c>
      <c r="AB146" s="68">
        <f t="shared" si="62"/>
        <v>0</v>
      </c>
      <c r="AC146" s="68">
        <f t="shared" si="63"/>
        <v>371069.53867868381</v>
      </c>
      <c r="AD146" s="68">
        <f t="shared" si="64"/>
        <v>6523865.9191462221</v>
      </c>
      <c r="AE146" s="68">
        <f t="shared" si="65"/>
        <v>2543283.7908904245</v>
      </c>
      <c r="AF146" s="68">
        <f t="shared" si="66"/>
        <v>3980582.1282557976</v>
      </c>
      <c r="AG146" s="127">
        <f t="shared" si="67"/>
        <v>6520169.1626751889</v>
      </c>
    </row>
    <row r="147" spans="1:33" x14ac:dyDescent="0.2">
      <c r="A147" s="128">
        <v>20</v>
      </c>
      <c r="B147" s="65" t="str">
        <f t="shared" si="52"/>
        <v>Retired</v>
      </c>
      <c r="C147" s="66">
        <f>N('Savings Projection'!$B$38)</f>
        <v>0</v>
      </c>
      <c r="D147" s="66">
        <f t="shared" si="53"/>
        <v>0</v>
      </c>
      <c r="E147" s="66">
        <f>IF(OR(B147="Retired",D147=0),0,MIN(D147,'Tax Assumptions'!$B$19))</f>
        <v>0</v>
      </c>
      <c r="F147" s="66">
        <f>IF(B147="Working",N('Savings Projection'!$E$38),0)</f>
        <v>0</v>
      </c>
      <c r="G147" s="66">
        <f>IF(B147="Working",N('Savings Projection'!$F$38),0)</f>
        <v>0</v>
      </c>
      <c r="H147" s="66">
        <f>IF(D147=0,0,((LOOKUP(MAX(D147-E147-F147-'Tax Assumptions'!$B$8,0),'Tax Assumptions'!$F$9:$F$15,'Tax Assumptions'!$I$9:$I$15)+(MAX(D147-E147-F147-'Tax Assumptions'!$B$8,0)-LOOKUP(MAX(D147-E147-F147-'Tax Assumptions'!$B$8,0),'Tax Assumptions'!$F$9:$F$15,'Tax Assumptions'!$F$9:$F$15))*LOOKUP(MAX(D147-E147-F147-'Tax Assumptions'!$B$8,0),'Tax Assumptions'!$F$9:$F$15,'Tax Assumptions'!$H$9:$H$15))+(MIN(MAX(D147-F147,0),'Tax Assumptions'!$B$11)*'Tax Assumptions'!$B$10)+(MAX(D147-F147,0)*'Tax Assumptions'!$B$12)+(MAX(MAX(D147-F147,0)-'Tax Assumptions'!$B$14,0)*'Tax Assumptions'!$B$13)+(MIN(D147*'Tax Assumptions'!$B$15,'Tax Assumptions'!$B$16))+(MIN(D147*'Tax Assumptions'!$B$17,'Tax Assumptions'!$B$18))+(LOOKUP(MAX(D147-E147-'Tax Assumptions'!$B$9,0),'Tax Assumptions'!$K$9:$K$17,'Tax Assumptions'!$N$9:$N$17)+(MAX(D147-E147-'Tax Assumptions'!$B$9,0)-LOOKUP(MAX(D147-E147-'Tax Assumptions'!$B$9,0),'Tax Assumptions'!$K$9:$K$17,'Tax Assumptions'!$K$9:$K$17))*LOOKUP(MAX(D147-E147-'Tax Assumptions'!$B$9,0),'Tax Assumptions'!$K$9:$K$17,'Tax Assumptions'!$M$9:$M$17))+(LOOKUP(MAX(D147-E147-'Tax Assumptions'!$B$9,0),'Tax Assumptions'!$P$9:$P$12,'Tax Assumptions'!$S$9:$S$12)+(MAX(D147-E147-'Tax Assumptions'!$B$9,0)-LOOKUP(MAX(D147-E147-'Tax Assumptions'!$B$9,0),'Tax Assumptions'!$P$9:$P$12,'Tax Assumptions'!$P$9:$P$12))*LOOKUP(MAX(D147-E147-'Tax Assumptions'!$B$9,0),'Tax Assumptions'!$P$9:$P$12,'Tax Assumptions'!$R$9:$R$12)))*$D$7)</f>
        <v>0</v>
      </c>
      <c r="I147" s="66">
        <f t="shared" si="54"/>
        <v>0</v>
      </c>
      <c r="J147" s="66">
        <f>IF(B147="Working",N('Savings Projection'!$S$38)*$D$8,0)</f>
        <v>0</v>
      </c>
      <c r="K147" s="66">
        <f>IF(B147="Working",N('Savings Projection'!$T$38)*$D$9,0)</f>
        <v>0</v>
      </c>
      <c r="L147" s="66">
        <f>IF(B147="Working",MIN(MAX(I147-J147-K147-AB147-AC147,0),'Tax Assumptions'!$B$20),0)</f>
        <v>0</v>
      </c>
      <c r="M147" s="66">
        <f t="shared" si="55"/>
        <v>0</v>
      </c>
      <c r="N147" s="66">
        <f t="shared" si="56"/>
        <v>-615375.29018532031</v>
      </c>
      <c r="O147" s="66">
        <f t="shared" si="57"/>
        <v>615375.29018532031</v>
      </c>
      <c r="P147" s="66">
        <f t="shared" si="58"/>
        <v>615375.29018532031</v>
      </c>
      <c r="Q147" s="66">
        <f t="shared" si="68"/>
        <v>615375.29018532031</v>
      </c>
      <c r="R147" s="66">
        <f t="shared" si="69"/>
        <v>0</v>
      </c>
      <c r="S147" s="66">
        <f t="shared" si="70"/>
        <v>0</v>
      </c>
      <c r="T147" s="66">
        <f t="shared" si="71"/>
        <v>0</v>
      </c>
      <c r="U147" s="66">
        <f t="shared" si="72"/>
        <v>1077580.137341457</v>
      </c>
      <c r="V147" s="66">
        <f t="shared" si="73"/>
        <v>823195.74311761977</v>
      </c>
      <c r="W147" s="66">
        <f t="shared" si="74"/>
        <v>251998.69687274072</v>
      </c>
      <c r="X147" s="66">
        <f t="shared" si="75"/>
        <v>0</v>
      </c>
      <c r="Y147" s="66">
        <f t="shared" si="59"/>
        <v>2152774.5773318172</v>
      </c>
      <c r="Z147" s="66">
        <f t="shared" si="60"/>
        <v>0</v>
      </c>
      <c r="AA147" s="69">
        <f t="shared" si="61"/>
        <v>0</v>
      </c>
      <c r="AB147" s="66">
        <f t="shared" si="62"/>
        <v>0</v>
      </c>
      <c r="AC147" s="66">
        <f t="shared" si="63"/>
        <v>375375.29018532031</v>
      </c>
      <c r="AD147" s="66">
        <f t="shared" si="64"/>
        <v>6719581.8967206087</v>
      </c>
      <c r="AE147" s="66">
        <f t="shared" si="65"/>
        <v>2479164.8964579762</v>
      </c>
      <c r="AF147" s="66">
        <f t="shared" si="66"/>
        <v>4240417.000262633</v>
      </c>
      <c r="AG147" s="129">
        <f t="shared" si="67"/>
        <v>6393191.5775944497</v>
      </c>
    </row>
    <row r="148" spans="1:33" x14ac:dyDescent="0.2">
      <c r="A148" s="126">
        <v>21</v>
      </c>
      <c r="B148" s="100" t="str">
        <f t="shared" si="52"/>
        <v>Retired</v>
      </c>
      <c r="C148" s="101">
        <f>N('Savings Projection'!$B$39)</f>
        <v>0</v>
      </c>
      <c r="D148" s="68">
        <f t="shared" si="53"/>
        <v>0</v>
      </c>
      <c r="E148" s="101">
        <f>IF(OR(B148="Retired",D148=0),0,MIN(D148,'Tax Assumptions'!$B$19))</f>
        <v>0</v>
      </c>
      <c r="F148" s="101">
        <f>IF(B148="Working",N('Savings Projection'!$E$39),0)</f>
        <v>0</v>
      </c>
      <c r="G148" s="101">
        <f>IF(B148="Working",N('Savings Projection'!$F$39),0)</f>
        <v>0</v>
      </c>
      <c r="H148" s="68">
        <f>IF(D148=0,0,((LOOKUP(MAX(D148-E148-F148-'Tax Assumptions'!$B$8,0),'Tax Assumptions'!$F$9:$F$15,'Tax Assumptions'!$I$9:$I$15)+(MAX(D148-E148-F148-'Tax Assumptions'!$B$8,0)-LOOKUP(MAX(D148-E148-F148-'Tax Assumptions'!$B$8,0),'Tax Assumptions'!$F$9:$F$15,'Tax Assumptions'!$F$9:$F$15))*LOOKUP(MAX(D148-E148-F148-'Tax Assumptions'!$B$8,0),'Tax Assumptions'!$F$9:$F$15,'Tax Assumptions'!$H$9:$H$15))+(MIN(MAX(D148-F148,0),'Tax Assumptions'!$B$11)*'Tax Assumptions'!$B$10)+(MAX(D148-F148,0)*'Tax Assumptions'!$B$12)+(MAX(MAX(D148-F148,0)-'Tax Assumptions'!$B$14,0)*'Tax Assumptions'!$B$13)+(MIN(D148*'Tax Assumptions'!$B$15,'Tax Assumptions'!$B$16))+(MIN(D148*'Tax Assumptions'!$B$17,'Tax Assumptions'!$B$18))+(LOOKUP(MAX(D148-E148-'Tax Assumptions'!$B$9,0),'Tax Assumptions'!$K$9:$K$17,'Tax Assumptions'!$N$9:$N$17)+(MAX(D148-E148-'Tax Assumptions'!$B$9,0)-LOOKUP(MAX(D148-E148-'Tax Assumptions'!$B$9,0),'Tax Assumptions'!$K$9:$K$17,'Tax Assumptions'!$K$9:$K$17))*LOOKUP(MAX(D148-E148-'Tax Assumptions'!$B$9,0),'Tax Assumptions'!$K$9:$K$17,'Tax Assumptions'!$M$9:$M$17))+(LOOKUP(MAX(D148-E148-'Tax Assumptions'!$B$9,0),'Tax Assumptions'!$P$9:$P$12,'Tax Assumptions'!$S$9:$S$12)+(MAX(D148-E148-'Tax Assumptions'!$B$9,0)-LOOKUP(MAX(D148-E148-'Tax Assumptions'!$B$9,0),'Tax Assumptions'!$P$9:$P$12,'Tax Assumptions'!$P$9:$P$12))*LOOKUP(MAX(D148-E148-'Tax Assumptions'!$B$9,0),'Tax Assumptions'!$P$9:$P$12,'Tax Assumptions'!$R$9:$R$12)))*$D$7)</f>
        <v>0</v>
      </c>
      <c r="I148" s="68">
        <f t="shared" si="54"/>
        <v>0</v>
      </c>
      <c r="J148" s="101">
        <f>IF(B148="Working",N('Savings Projection'!$S$39)*$D$8,0)</f>
        <v>0</v>
      </c>
      <c r="K148" s="101">
        <f>IF(B148="Working",N('Savings Projection'!$T$39)*$D$9,0)</f>
        <v>0</v>
      </c>
      <c r="L148" s="68">
        <f>IF(B148="Working",MIN(MAX(I148-J148-K148-AB148-AC148,0),'Tax Assumptions'!$B$20),0)</f>
        <v>0</v>
      </c>
      <c r="M148" s="68">
        <f t="shared" si="55"/>
        <v>0</v>
      </c>
      <c r="N148" s="101">
        <f t="shared" si="56"/>
        <v>-619810.21423715586</v>
      </c>
      <c r="O148" s="101">
        <f t="shared" si="57"/>
        <v>619810.21423715586</v>
      </c>
      <c r="P148" s="101">
        <f t="shared" si="58"/>
        <v>619810.21423715586</v>
      </c>
      <c r="Q148" s="101">
        <f t="shared" si="68"/>
        <v>619810.21423715586</v>
      </c>
      <c r="R148" s="101">
        <f t="shared" si="69"/>
        <v>0</v>
      </c>
      <c r="S148" s="101">
        <f t="shared" si="70"/>
        <v>0</v>
      </c>
      <c r="T148" s="101">
        <f t="shared" si="71"/>
        <v>0</v>
      </c>
      <c r="U148" s="68">
        <f t="shared" si="72"/>
        <v>554752.13546503242</v>
      </c>
      <c r="V148" s="68">
        <f t="shared" si="73"/>
        <v>897283.35999820556</v>
      </c>
      <c r="W148" s="68">
        <f t="shared" si="74"/>
        <v>274678.57959128742</v>
      </c>
      <c r="X148" s="68">
        <f t="shared" si="75"/>
        <v>0</v>
      </c>
      <c r="Y148" s="68">
        <f t="shared" si="59"/>
        <v>1726714.0750545254</v>
      </c>
      <c r="Z148" s="101">
        <f t="shared" si="60"/>
        <v>0</v>
      </c>
      <c r="AA148" s="102">
        <f t="shared" si="61"/>
        <v>0</v>
      </c>
      <c r="AB148" s="68">
        <f t="shared" si="62"/>
        <v>0</v>
      </c>
      <c r="AC148" s="68">
        <f t="shared" si="63"/>
        <v>379810.21423715592</v>
      </c>
      <c r="AD148" s="68">
        <f t="shared" si="64"/>
        <v>6921169.353622227</v>
      </c>
      <c r="AE148" s="68">
        <f t="shared" si="65"/>
        <v>2410751.8409170313</v>
      </c>
      <c r="AF148" s="68">
        <f t="shared" si="66"/>
        <v>4510417.5127051957</v>
      </c>
      <c r="AG148" s="127">
        <f t="shared" si="67"/>
        <v>6237131.5877597211</v>
      </c>
    </row>
    <row r="149" spans="1:33" x14ac:dyDescent="0.2">
      <c r="A149" s="128">
        <v>22</v>
      </c>
      <c r="B149" s="65" t="str">
        <f t="shared" si="52"/>
        <v>Retired</v>
      </c>
      <c r="C149" s="66">
        <f>N('Savings Projection'!$B$40)</f>
        <v>0</v>
      </c>
      <c r="D149" s="66">
        <f t="shared" si="53"/>
        <v>0</v>
      </c>
      <c r="E149" s="66">
        <f>IF(OR(B149="Retired",D149=0),0,MIN(D149,'Tax Assumptions'!$B$19))</f>
        <v>0</v>
      </c>
      <c r="F149" s="66">
        <f>IF(B149="Working",N('Savings Projection'!$E$40),0)</f>
        <v>0</v>
      </c>
      <c r="G149" s="66">
        <f>IF(B149="Working",N('Savings Projection'!$F$40),0)</f>
        <v>0</v>
      </c>
      <c r="H149" s="66">
        <f>IF(D149=0,0,((LOOKUP(MAX(D149-E149-F149-'Tax Assumptions'!$B$8,0),'Tax Assumptions'!$F$9:$F$15,'Tax Assumptions'!$I$9:$I$15)+(MAX(D149-E149-F149-'Tax Assumptions'!$B$8,0)-LOOKUP(MAX(D149-E149-F149-'Tax Assumptions'!$B$8,0),'Tax Assumptions'!$F$9:$F$15,'Tax Assumptions'!$F$9:$F$15))*LOOKUP(MAX(D149-E149-F149-'Tax Assumptions'!$B$8,0),'Tax Assumptions'!$F$9:$F$15,'Tax Assumptions'!$H$9:$H$15))+(MIN(MAX(D149-F149,0),'Tax Assumptions'!$B$11)*'Tax Assumptions'!$B$10)+(MAX(D149-F149,0)*'Tax Assumptions'!$B$12)+(MAX(MAX(D149-F149,0)-'Tax Assumptions'!$B$14,0)*'Tax Assumptions'!$B$13)+(MIN(D149*'Tax Assumptions'!$B$15,'Tax Assumptions'!$B$16))+(MIN(D149*'Tax Assumptions'!$B$17,'Tax Assumptions'!$B$18))+(LOOKUP(MAX(D149-E149-'Tax Assumptions'!$B$9,0),'Tax Assumptions'!$K$9:$K$17,'Tax Assumptions'!$N$9:$N$17)+(MAX(D149-E149-'Tax Assumptions'!$B$9,0)-LOOKUP(MAX(D149-E149-'Tax Assumptions'!$B$9,0),'Tax Assumptions'!$K$9:$K$17,'Tax Assumptions'!$K$9:$K$17))*LOOKUP(MAX(D149-E149-'Tax Assumptions'!$B$9,0),'Tax Assumptions'!$K$9:$K$17,'Tax Assumptions'!$M$9:$M$17))+(LOOKUP(MAX(D149-E149-'Tax Assumptions'!$B$9,0),'Tax Assumptions'!$P$9:$P$12,'Tax Assumptions'!$S$9:$S$12)+(MAX(D149-E149-'Tax Assumptions'!$B$9,0)-LOOKUP(MAX(D149-E149-'Tax Assumptions'!$B$9,0),'Tax Assumptions'!$P$9:$P$12,'Tax Assumptions'!$P$9:$P$12))*LOOKUP(MAX(D149-E149-'Tax Assumptions'!$B$9,0),'Tax Assumptions'!$P$9:$P$12,'Tax Assumptions'!$R$9:$R$12)))*$D$7)</f>
        <v>0</v>
      </c>
      <c r="I149" s="66">
        <f t="shared" si="54"/>
        <v>0</v>
      </c>
      <c r="J149" s="66">
        <f>IF(B149="Working",N('Savings Projection'!$S$40)*$D$8,0)</f>
        <v>0</v>
      </c>
      <c r="K149" s="66">
        <f>IF(B149="Working",N('Savings Projection'!$T$40)*$D$9,0)</f>
        <v>0</v>
      </c>
      <c r="L149" s="66">
        <f>IF(B149="Working",MIN(MAX(I149-J149-K149-AB149-AC149,0),'Tax Assumptions'!$B$20),0)</f>
        <v>0</v>
      </c>
      <c r="M149" s="66">
        <f t="shared" si="55"/>
        <v>0</v>
      </c>
      <c r="N149" s="66">
        <f t="shared" si="56"/>
        <v>-624378.18601054652</v>
      </c>
      <c r="O149" s="66">
        <f t="shared" si="57"/>
        <v>624378.18601054652</v>
      </c>
      <c r="P149" s="66">
        <f t="shared" si="58"/>
        <v>624378.18601054652</v>
      </c>
      <c r="Q149" s="66">
        <f t="shared" si="68"/>
        <v>604679.82765688538</v>
      </c>
      <c r="R149" s="66">
        <f t="shared" si="69"/>
        <v>19698.35835366114</v>
      </c>
      <c r="S149" s="66">
        <f t="shared" si="70"/>
        <v>0</v>
      </c>
      <c r="T149" s="66">
        <f t="shared" si="71"/>
        <v>0</v>
      </c>
      <c r="U149" s="66">
        <f t="shared" si="72"/>
        <v>0</v>
      </c>
      <c r="V149" s="66">
        <f t="shared" si="73"/>
        <v>958340.50404438295</v>
      </c>
      <c r="W149" s="66">
        <f t="shared" si="74"/>
        <v>299399.65175450331</v>
      </c>
      <c r="X149" s="66">
        <f t="shared" si="75"/>
        <v>0</v>
      </c>
      <c r="Y149" s="66">
        <f t="shared" si="59"/>
        <v>1257740.1557988862</v>
      </c>
      <c r="Z149" s="66">
        <f t="shared" si="60"/>
        <v>0</v>
      </c>
      <c r="AA149" s="69">
        <f t="shared" si="61"/>
        <v>0</v>
      </c>
      <c r="AB149" s="66">
        <f t="shared" si="62"/>
        <v>0</v>
      </c>
      <c r="AC149" s="66">
        <f t="shared" si="63"/>
        <v>384378.18601054657</v>
      </c>
      <c r="AD149" s="66">
        <f t="shared" si="64"/>
        <v>7128804.4342308929</v>
      </c>
      <c r="AE149" s="66">
        <f t="shared" si="65"/>
        <v>2337757.0363453571</v>
      </c>
      <c r="AF149" s="66">
        <f t="shared" si="66"/>
        <v>4791047.3978855358</v>
      </c>
      <c r="AG149" s="129">
        <f t="shared" si="67"/>
        <v>6048787.5536844218</v>
      </c>
    </row>
    <row r="150" spans="1:33" x14ac:dyDescent="0.2">
      <c r="A150" s="126">
        <v>23</v>
      </c>
      <c r="B150" s="100" t="str">
        <f t="shared" si="52"/>
        <v>Retired</v>
      </c>
      <c r="C150" s="101">
        <f>N('Savings Projection'!$B$41)</f>
        <v>0</v>
      </c>
      <c r="D150" s="68">
        <f t="shared" si="53"/>
        <v>0</v>
      </c>
      <c r="E150" s="101">
        <f>IF(OR(B150="Retired",D150=0),0,MIN(D150,'Tax Assumptions'!$B$19))</f>
        <v>0</v>
      </c>
      <c r="F150" s="101">
        <f>IF(B150="Working",N('Savings Projection'!$E$41),0)</f>
        <v>0</v>
      </c>
      <c r="G150" s="101">
        <f>IF(B150="Working",N('Savings Projection'!$F$41),0)</f>
        <v>0</v>
      </c>
      <c r="H150" s="68">
        <f>IF(D150=0,0,((LOOKUP(MAX(D150-E150-F150-'Tax Assumptions'!$B$8,0),'Tax Assumptions'!$F$9:$F$15,'Tax Assumptions'!$I$9:$I$15)+(MAX(D150-E150-F150-'Tax Assumptions'!$B$8,0)-LOOKUP(MAX(D150-E150-F150-'Tax Assumptions'!$B$8,0),'Tax Assumptions'!$F$9:$F$15,'Tax Assumptions'!$F$9:$F$15))*LOOKUP(MAX(D150-E150-F150-'Tax Assumptions'!$B$8,0),'Tax Assumptions'!$F$9:$F$15,'Tax Assumptions'!$H$9:$H$15))+(MIN(MAX(D150-F150,0),'Tax Assumptions'!$B$11)*'Tax Assumptions'!$B$10)+(MAX(D150-F150,0)*'Tax Assumptions'!$B$12)+(MAX(MAX(D150-F150,0)-'Tax Assumptions'!$B$14,0)*'Tax Assumptions'!$B$13)+(MIN(D150*'Tax Assumptions'!$B$15,'Tax Assumptions'!$B$16))+(MIN(D150*'Tax Assumptions'!$B$17,'Tax Assumptions'!$B$18))+(LOOKUP(MAX(D150-E150-'Tax Assumptions'!$B$9,0),'Tax Assumptions'!$K$9:$K$17,'Tax Assumptions'!$N$9:$N$17)+(MAX(D150-E150-'Tax Assumptions'!$B$9,0)-LOOKUP(MAX(D150-E150-'Tax Assumptions'!$B$9,0),'Tax Assumptions'!$K$9:$K$17,'Tax Assumptions'!$K$9:$K$17))*LOOKUP(MAX(D150-E150-'Tax Assumptions'!$B$9,0),'Tax Assumptions'!$K$9:$K$17,'Tax Assumptions'!$M$9:$M$17))+(LOOKUP(MAX(D150-E150-'Tax Assumptions'!$B$9,0),'Tax Assumptions'!$P$9:$P$12,'Tax Assumptions'!$S$9:$S$12)+(MAX(D150-E150-'Tax Assumptions'!$B$9,0)-LOOKUP(MAX(D150-E150-'Tax Assumptions'!$B$9,0),'Tax Assumptions'!$P$9:$P$12,'Tax Assumptions'!$P$9:$P$12))*LOOKUP(MAX(D150-E150-'Tax Assumptions'!$B$9,0),'Tax Assumptions'!$P$9:$P$12,'Tax Assumptions'!$R$9:$R$12)))*$D$7)</f>
        <v>0</v>
      </c>
      <c r="I150" s="68">
        <f t="shared" si="54"/>
        <v>0</v>
      </c>
      <c r="J150" s="101">
        <f>IF(B150="Working",N('Savings Projection'!$S$41)*$D$8,0)</f>
        <v>0</v>
      </c>
      <c r="K150" s="101">
        <f>IF(B150="Working",N('Savings Projection'!$T$41)*$D$9,0)</f>
        <v>0</v>
      </c>
      <c r="L150" s="68">
        <f>IF(B150="Working",MIN(MAX(I150-J150-K150-AB150-AC150,0),'Tax Assumptions'!$B$20),0)</f>
        <v>0</v>
      </c>
      <c r="M150" s="68">
        <f t="shared" si="55"/>
        <v>0</v>
      </c>
      <c r="N150" s="101">
        <f t="shared" si="56"/>
        <v>-629083.19693713891</v>
      </c>
      <c r="O150" s="101">
        <f t="shared" si="57"/>
        <v>629083.19693713891</v>
      </c>
      <c r="P150" s="101">
        <f t="shared" si="58"/>
        <v>629083.19693713891</v>
      </c>
      <c r="Q150" s="101">
        <f t="shared" si="68"/>
        <v>0</v>
      </c>
      <c r="R150" s="101">
        <f t="shared" si="69"/>
        <v>629083.19693713891</v>
      </c>
      <c r="S150" s="101">
        <f t="shared" si="70"/>
        <v>0</v>
      </c>
      <c r="T150" s="101">
        <f t="shared" si="71"/>
        <v>0</v>
      </c>
      <c r="U150" s="68">
        <f t="shared" si="72"/>
        <v>0</v>
      </c>
      <c r="V150" s="68">
        <f t="shared" si="73"/>
        <v>415507.95247123856</v>
      </c>
      <c r="W150" s="68">
        <f t="shared" si="74"/>
        <v>326345.62041240861</v>
      </c>
      <c r="X150" s="68">
        <f t="shared" si="75"/>
        <v>0</v>
      </c>
      <c r="Y150" s="68">
        <f t="shared" si="59"/>
        <v>741853.57288364717</v>
      </c>
      <c r="Z150" s="101">
        <f t="shared" si="60"/>
        <v>0</v>
      </c>
      <c r="AA150" s="102">
        <f t="shared" si="61"/>
        <v>0</v>
      </c>
      <c r="AB150" s="68">
        <f t="shared" si="62"/>
        <v>0</v>
      </c>
      <c r="AC150" s="68">
        <f t="shared" si="63"/>
        <v>389083.19693713897</v>
      </c>
      <c r="AD150" s="68">
        <f t="shared" si="64"/>
        <v>7342668.5672578197</v>
      </c>
      <c r="AE150" s="68">
        <f t="shared" si="65"/>
        <v>2259873.6345249536</v>
      </c>
      <c r="AF150" s="68">
        <f t="shared" si="66"/>
        <v>5082794.9327328661</v>
      </c>
      <c r="AG150" s="127">
        <f t="shared" si="67"/>
        <v>5824648.5056165131</v>
      </c>
    </row>
    <row r="151" spans="1:33" x14ac:dyDescent="0.2">
      <c r="A151" s="128">
        <v>24</v>
      </c>
      <c r="B151" s="65" t="str">
        <f t="shared" si="52"/>
        <v>Retired</v>
      </c>
      <c r="C151" s="66">
        <f>N('Savings Projection'!$B$42)</f>
        <v>0</v>
      </c>
      <c r="D151" s="66">
        <f t="shared" si="53"/>
        <v>0</v>
      </c>
      <c r="E151" s="66">
        <f>IF(OR(B151="Retired",D151=0),0,MIN(D151,'Tax Assumptions'!$B$19))</f>
        <v>0</v>
      </c>
      <c r="F151" s="66">
        <f>IF(B151="Working",N('Savings Projection'!$E$42),0)</f>
        <v>0</v>
      </c>
      <c r="G151" s="66">
        <f>IF(B151="Working",N('Savings Projection'!$F$42),0)</f>
        <v>0</v>
      </c>
      <c r="H151" s="66">
        <f>IF(D151=0,0,((LOOKUP(MAX(D151-E151-F151-'Tax Assumptions'!$B$8,0),'Tax Assumptions'!$F$9:$F$15,'Tax Assumptions'!$I$9:$I$15)+(MAX(D151-E151-F151-'Tax Assumptions'!$B$8,0)-LOOKUP(MAX(D151-E151-F151-'Tax Assumptions'!$B$8,0),'Tax Assumptions'!$F$9:$F$15,'Tax Assumptions'!$F$9:$F$15))*LOOKUP(MAX(D151-E151-F151-'Tax Assumptions'!$B$8,0),'Tax Assumptions'!$F$9:$F$15,'Tax Assumptions'!$H$9:$H$15))+(MIN(MAX(D151-F151,0),'Tax Assumptions'!$B$11)*'Tax Assumptions'!$B$10)+(MAX(D151-F151,0)*'Tax Assumptions'!$B$12)+(MAX(MAX(D151-F151,0)-'Tax Assumptions'!$B$14,0)*'Tax Assumptions'!$B$13)+(MIN(D151*'Tax Assumptions'!$B$15,'Tax Assumptions'!$B$16))+(MIN(D151*'Tax Assumptions'!$B$17,'Tax Assumptions'!$B$18))+(LOOKUP(MAX(D151-E151-'Tax Assumptions'!$B$9,0),'Tax Assumptions'!$K$9:$K$17,'Tax Assumptions'!$N$9:$N$17)+(MAX(D151-E151-'Tax Assumptions'!$B$9,0)-LOOKUP(MAX(D151-E151-'Tax Assumptions'!$B$9,0),'Tax Assumptions'!$K$9:$K$17,'Tax Assumptions'!$K$9:$K$17))*LOOKUP(MAX(D151-E151-'Tax Assumptions'!$B$9,0),'Tax Assumptions'!$K$9:$K$17,'Tax Assumptions'!$M$9:$M$17))+(LOOKUP(MAX(D151-E151-'Tax Assumptions'!$B$9,0),'Tax Assumptions'!$P$9:$P$12,'Tax Assumptions'!$S$9:$S$12)+(MAX(D151-E151-'Tax Assumptions'!$B$9,0)-LOOKUP(MAX(D151-E151-'Tax Assumptions'!$B$9,0),'Tax Assumptions'!$P$9:$P$12,'Tax Assumptions'!$P$9:$P$12))*LOOKUP(MAX(D151-E151-'Tax Assumptions'!$B$9,0),'Tax Assumptions'!$P$9:$P$12,'Tax Assumptions'!$R$9:$R$12)))*$D$7)</f>
        <v>0</v>
      </c>
      <c r="I151" s="66">
        <f t="shared" si="54"/>
        <v>0</v>
      </c>
      <c r="J151" s="66">
        <f>IF(B151="Working",N('Savings Projection'!$S$42)*$D$8,0)</f>
        <v>0</v>
      </c>
      <c r="K151" s="66">
        <f>IF(B151="Working",N('Savings Projection'!$T$42)*$D$9,0)</f>
        <v>0</v>
      </c>
      <c r="L151" s="66">
        <f>IF(B151="Working",MIN(MAX(I151-J151-K151-AB151-AC151,0),'Tax Assumptions'!$B$20),0)</f>
        <v>0</v>
      </c>
      <c r="M151" s="66">
        <f t="shared" si="55"/>
        <v>0</v>
      </c>
      <c r="N151" s="66">
        <f t="shared" si="56"/>
        <v>-633929.35819152917</v>
      </c>
      <c r="O151" s="66">
        <f t="shared" si="57"/>
        <v>633929.35819152917</v>
      </c>
      <c r="P151" s="66">
        <f t="shared" si="58"/>
        <v>633929.35819152917</v>
      </c>
      <c r="Q151" s="66">
        <f t="shared" si="68"/>
        <v>0</v>
      </c>
      <c r="R151" s="66">
        <f t="shared" si="69"/>
        <v>452903.66819365008</v>
      </c>
      <c r="S151" s="66">
        <f t="shared" si="70"/>
        <v>181025.68999787909</v>
      </c>
      <c r="T151" s="66">
        <f t="shared" si="71"/>
        <v>0</v>
      </c>
      <c r="U151" s="66">
        <f t="shared" si="72"/>
        <v>0</v>
      </c>
      <c r="V151" s="66">
        <f t="shared" si="73"/>
        <v>0</v>
      </c>
      <c r="W151" s="66">
        <f t="shared" si="74"/>
        <v>174691.03625164629</v>
      </c>
      <c r="X151" s="66">
        <f t="shared" si="75"/>
        <v>0</v>
      </c>
      <c r="Y151" s="66">
        <f t="shared" si="59"/>
        <v>174691.03625164629</v>
      </c>
      <c r="Z151" s="66">
        <f t="shared" si="60"/>
        <v>0</v>
      </c>
      <c r="AA151" s="69">
        <f t="shared" si="61"/>
        <v>0</v>
      </c>
      <c r="AB151" s="66">
        <f t="shared" si="62"/>
        <v>0</v>
      </c>
      <c r="AC151" s="66">
        <f t="shared" si="63"/>
        <v>393929.35819152917</v>
      </c>
      <c r="AD151" s="66">
        <f t="shared" si="64"/>
        <v>7562948.6242755549</v>
      </c>
      <c r="AE151" s="66">
        <f t="shared" si="65"/>
        <v>2176774.23704438</v>
      </c>
      <c r="AF151" s="66">
        <f t="shared" si="66"/>
        <v>5386174.3872311749</v>
      </c>
      <c r="AG151" s="129">
        <f t="shared" si="67"/>
        <v>5560865.4234828213</v>
      </c>
    </row>
    <row r="152" spans="1:33" x14ac:dyDescent="0.2">
      <c r="A152" s="126">
        <v>25</v>
      </c>
      <c r="B152" s="100" t="str">
        <f t="shared" si="52"/>
        <v>Retired</v>
      </c>
      <c r="C152" s="101">
        <f>N('Savings Projection'!$B$43)</f>
        <v>0</v>
      </c>
      <c r="D152" s="68">
        <f t="shared" si="53"/>
        <v>0</v>
      </c>
      <c r="E152" s="101">
        <f>IF(OR(B152="Retired",D152=0),0,MIN(D152,'Tax Assumptions'!$B$19))</f>
        <v>0</v>
      </c>
      <c r="F152" s="101">
        <f>IF(B152="Working",N('Savings Projection'!$E$43),0)</f>
        <v>0</v>
      </c>
      <c r="G152" s="101">
        <f>IF(B152="Working",N('Savings Projection'!$F$43),0)</f>
        <v>0</v>
      </c>
      <c r="H152" s="68">
        <f>IF(D152=0,0,((LOOKUP(MAX(D152-E152-F152-'Tax Assumptions'!$B$8,0),'Tax Assumptions'!$F$9:$F$15,'Tax Assumptions'!$I$9:$I$15)+(MAX(D152-E152-F152-'Tax Assumptions'!$B$8,0)-LOOKUP(MAX(D152-E152-F152-'Tax Assumptions'!$B$8,0),'Tax Assumptions'!$F$9:$F$15,'Tax Assumptions'!$F$9:$F$15))*LOOKUP(MAX(D152-E152-F152-'Tax Assumptions'!$B$8,0),'Tax Assumptions'!$F$9:$F$15,'Tax Assumptions'!$H$9:$H$15))+(MIN(MAX(D152-F152,0),'Tax Assumptions'!$B$11)*'Tax Assumptions'!$B$10)+(MAX(D152-F152,0)*'Tax Assumptions'!$B$12)+(MAX(MAX(D152-F152,0)-'Tax Assumptions'!$B$14,0)*'Tax Assumptions'!$B$13)+(MIN(D152*'Tax Assumptions'!$B$15,'Tax Assumptions'!$B$16))+(MIN(D152*'Tax Assumptions'!$B$17,'Tax Assumptions'!$B$18))+(LOOKUP(MAX(D152-E152-'Tax Assumptions'!$B$9,0),'Tax Assumptions'!$K$9:$K$17,'Tax Assumptions'!$N$9:$N$17)+(MAX(D152-E152-'Tax Assumptions'!$B$9,0)-LOOKUP(MAX(D152-E152-'Tax Assumptions'!$B$9,0),'Tax Assumptions'!$K$9:$K$17,'Tax Assumptions'!$K$9:$K$17))*LOOKUP(MAX(D152-E152-'Tax Assumptions'!$B$9,0),'Tax Assumptions'!$K$9:$K$17,'Tax Assumptions'!$M$9:$M$17))+(LOOKUP(MAX(D152-E152-'Tax Assumptions'!$B$9,0),'Tax Assumptions'!$P$9:$P$12,'Tax Assumptions'!$S$9:$S$12)+(MAX(D152-E152-'Tax Assumptions'!$B$9,0)-LOOKUP(MAX(D152-E152-'Tax Assumptions'!$B$9,0),'Tax Assumptions'!$P$9:$P$12,'Tax Assumptions'!$P$9:$P$12))*LOOKUP(MAX(D152-E152-'Tax Assumptions'!$B$9,0),'Tax Assumptions'!$P$9:$P$12,'Tax Assumptions'!$R$9:$R$12)))*$D$7)</f>
        <v>0</v>
      </c>
      <c r="I152" s="68">
        <f t="shared" si="54"/>
        <v>0</v>
      </c>
      <c r="J152" s="101">
        <f>IF(B152="Working",N('Savings Projection'!$S$43)*$D$8,0)</f>
        <v>0</v>
      </c>
      <c r="K152" s="101">
        <f>IF(B152="Working",N('Savings Projection'!$T$43)*$D$9,0)</f>
        <v>0</v>
      </c>
      <c r="L152" s="68">
        <f>IF(B152="Working",MIN(MAX(I152-J152-K152-AB152-AC152,0),'Tax Assumptions'!$B$20),0)</f>
        <v>0</v>
      </c>
      <c r="M152" s="68">
        <f t="shared" si="55"/>
        <v>0</v>
      </c>
      <c r="N152" s="101">
        <f t="shared" si="56"/>
        <v>-190413.22951429448</v>
      </c>
      <c r="O152" s="101">
        <f t="shared" si="57"/>
        <v>638920.90428355103</v>
      </c>
      <c r="P152" s="101">
        <f t="shared" si="58"/>
        <v>190413.22951429448</v>
      </c>
      <c r="Q152" s="101">
        <f t="shared" si="68"/>
        <v>0</v>
      </c>
      <c r="R152" s="101">
        <f t="shared" si="69"/>
        <v>0</v>
      </c>
      <c r="S152" s="101">
        <f t="shared" si="70"/>
        <v>190413.22951429448</v>
      </c>
      <c r="T152" s="101">
        <f t="shared" si="71"/>
        <v>0</v>
      </c>
      <c r="U152" s="68">
        <f t="shared" si="72"/>
        <v>0</v>
      </c>
      <c r="V152" s="68">
        <f t="shared" si="73"/>
        <v>0</v>
      </c>
      <c r="W152" s="68">
        <f t="shared" si="74"/>
        <v>0</v>
      </c>
      <c r="X152" s="68">
        <f t="shared" si="75"/>
        <v>0</v>
      </c>
      <c r="Y152" s="68">
        <f t="shared" si="59"/>
        <v>0</v>
      </c>
      <c r="Z152" s="101">
        <f t="shared" si="60"/>
        <v>448507.67476925656</v>
      </c>
      <c r="AA152" s="102">
        <f t="shared" si="61"/>
        <v>0</v>
      </c>
      <c r="AB152" s="68">
        <f t="shared" si="62"/>
        <v>0</v>
      </c>
      <c r="AC152" s="68">
        <f t="shared" si="63"/>
        <v>398920.90428355103</v>
      </c>
      <c r="AD152" s="68">
        <f t="shared" si="64"/>
        <v>7789837.0830038218</v>
      </c>
      <c r="AE152" s="68">
        <f t="shared" si="65"/>
        <v>2088109.5190142356</v>
      </c>
      <c r="AF152" s="68">
        <f t="shared" si="66"/>
        <v>5701727.5639895862</v>
      </c>
      <c r="AG152" s="127">
        <f t="shared" si="67"/>
        <v>5701727.5639895862</v>
      </c>
    </row>
    <row r="153" spans="1:33" x14ac:dyDescent="0.2">
      <c r="A153" s="128">
        <v>26</v>
      </c>
      <c r="B153" s="65" t="str">
        <f t="shared" si="52"/>
        <v>Retired</v>
      </c>
      <c r="C153" s="66">
        <f>N('Savings Projection'!$B$44)</f>
        <v>0</v>
      </c>
      <c r="D153" s="66">
        <f t="shared" si="53"/>
        <v>0</v>
      </c>
      <c r="E153" s="66">
        <f>IF(OR(B153="Retired",D153=0),0,MIN(D153,'Tax Assumptions'!$B$19))</f>
        <v>0</v>
      </c>
      <c r="F153" s="66">
        <f>IF(B153="Working",N('Savings Projection'!$E$44),0)</f>
        <v>0</v>
      </c>
      <c r="G153" s="66">
        <f>IF(B153="Working",N('Savings Projection'!$F$44),0)</f>
        <v>0</v>
      </c>
      <c r="H153" s="66">
        <f>IF(D153=0,0,((LOOKUP(MAX(D153-E153-F153-'Tax Assumptions'!$B$8,0),'Tax Assumptions'!$F$9:$F$15,'Tax Assumptions'!$I$9:$I$15)+(MAX(D153-E153-F153-'Tax Assumptions'!$B$8,0)-LOOKUP(MAX(D153-E153-F153-'Tax Assumptions'!$B$8,0),'Tax Assumptions'!$F$9:$F$15,'Tax Assumptions'!$F$9:$F$15))*LOOKUP(MAX(D153-E153-F153-'Tax Assumptions'!$B$8,0),'Tax Assumptions'!$F$9:$F$15,'Tax Assumptions'!$H$9:$H$15))+(MIN(MAX(D153-F153,0),'Tax Assumptions'!$B$11)*'Tax Assumptions'!$B$10)+(MAX(D153-F153,0)*'Tax Assumptions'!$B$12)+(MAX(MAX(D153-F153,0)-'Tax Assumptions'!$B$14,0)*'Tax Assumptions'!$B$13)+(MIN(D153*'Tax Assumptions'!$B$15,'Tax Assumptions'!$B$16))+(MIN(D153*'Tax Assumptions'!$B$17,'Tax Assumptions'!$B$18))+(LOOKUP(MAX(D153-E153-'Tax Assumptions'!$B$9,0),'Tax Assumptions'!$K$9:$K$17,'Tax Assumptions'!$N$9:$N$17)+(MAX(D153-E153-'Tax Assumptions'!$B$9,0)-LOOKUP(MAX(D153-E153-'Tax Assumptions'!$B$9,0),'Tax Assumptions'!$K$9:$K$17,'Tax Assumptions'!$K$9:$K$17))*LOOKUP(MAX(D153-E153-'Tax Assumptions'!$B$9,0),'Tax Assumptions'!$K$9:$K$17,'Tax Assumptions'!$M$9:$M$17))+(LOOKUP(MAX(D153-E153-'Tax Assumptions'!$B$9,0),'Tax Assumptions'!$P$9:$P$12,'Tax Assumptions'!$S$9:$S$12)+(MAX(D153-E153-'Tax Assumptions'!$B$9,0)-LOOKUP(MAX(D153-E153-'Tax Assumptions'!$B$9,0),'Tax Assumptions'!$P$9:$P$12,'Tax Assumptions'!$P$9:$P$12))*LOOKUP(MAX(D153-E153-'Tax Assumptions'!$B$9,0),'Tax Assumptions'!$P$9:$P$12,'Tax Assumptions'!$R$9:$R$12)))*$D$7)</f>
        <v>0</v>
      </c>
      <c r="I153" s="66">
        <f t="shared" si="54"/>
        <v>0</v>
      </c>
      <c r="J153" s="66">
        <f>IF(B153="Working",N('Savings Projection'!$S$44)*$D$8,0)</f>
        <v>0</v>
      </c>
      <c r="K153" s="66">
        <f>IF(B153="Working",N('Savings Projection'!$T$44)*$D$9,0)</f>
        <v>0</v>
      </c>
      <c r="L153" s="66">
        <f>IF(B153="Working",MIN(MAX(I153-J153-K153-AB153-AC153,0),'Tax Assumptions'!$B$20),0)</f>
        <v>0</v>
      </c>
      <c r="M153" s="66">
        <f t="shared" si="55"/>
        <v>0</v>
      </c>
      <c r="N153" s="66">
        <f t="shared" si="56"/>
        <v>0</v>
      </c>
      <c r="O153" s="66">
        <f t="shared" si="57"/>
        <v>644062.19675833348</v>
      </c>
      <c r="P153" s="66">
        <f t="shared" si="58"/>
        <v>0</v>
      </c>
      <c r="Q153" s="66">
        <f t="shared" si="68"/>
        <v>0</v>
      </c>
      <c r="R153" s="66">
        <f t="shared" si="69"/>
        <v>0</v>
      </c>
      <c r="S153" s="66">
        <f t="shared" si="70"/>
        <v>0</v>
      </c>
      <c r="T153" s="66">
        <f t="shared" si="71"/>
        <v>0</v>
      </c>
      <c r="U153" s="66">
        <f t="shared" si="72"/>
        <v>0</v>
      </c>
      <c r="V153" s="66">
        <f t="shared" si="73"/>
        <v>0</v>
      </c>
      <c r="W153" s="66">
        <f t="shared" si="74"/>
        <v>0</v>
      </c>
      <c r="X153" s="66">
        <f t="shared" si="75"/>
        <v>0</v>
      </c>
      <c r="Y153" s="66">
        <f t="shared" si="59"/>
        <v>0</v>
      </c>
      <c r="Z153" s="66">
        <f t="shared" si="60"/>
        <v>644062.19675833348</v>
      </c>
      <c r="AA153" s="69">
        <f t="shared" si="61"/>
        <v>0</v>
      </c>
      <c r="AB153" s="66">
        <f t="shared" si="62"/>
        <v>0</v>
      </c>
      <c r="AC153" s="66">
        <f t="shared" si="63"/>
        <v>404062.19675833348</v>
      </c>
      <c r="AD153" s="66">
        <f t="shared" si="64"/>
        <v>8023532.1954939356</v>
      </c>
      <c r="AE153" s="66">
        <f t="shared" si="65"/>
        <v>1993506.7606103299</v>
      </c>
      <c r="AF153" s="66">
        <f t="shared" si="66"/>
        <v>6030025.4348836057</v>
      </c>
      <c r="AG153" s="129">
        <f t="shared" si="67"/>
        <v>6030025.4348836057</v>
      </c>
    </row>
    <row r="154" spans="1:33" x14ac:dyDescent="0.2">
      <c r="A154" s="126">
        <v>27</v>
      </c>
      <c r="B154" s="100" t="str">
        <f t="shared" si="52"/>
        <v>Retired</v>
      </c>
      <c r="C154" s="101">
        <f>N('Savings Projection'!$B$45)</f>
        <v>0</v>
      </c>
      <c r="D154" s="68">
        <f t="shared" si="53"/>
        <v>0</v>
      </c>
      <c r="E154" s="101">
        <f>IF(OR(B154="Retired",D154=0),0,MIN(D154,'Tax Assumptions'!$B$19))</f>
        <v>0</v>
      </c>
      <c r="F154" s="101">
        <f>IF(B154="Working",N('Savings Projection'!$E$45),0)</f>
        <v>0</v>
      </c>
      <c r="G154" s="101">
        <f>IF(B154="Working",N('Savings Projection'!$F$45),0)</f>
        <v>0</v>
      </c>
      <c r="H154" s="68">
        <f>IF(D154=0,0,((LOOKUP(MAX(D154-E154-F154-'Tax Assumptions'!$B$8,0),'Tax Assumptions'!$F$9:$F$15,'Tax Assumptions'!$I$9:$I$15)+(MAX(D154-E154-F154-'Tax Assumptions'!$B$8,0)-LOOKUP(MAX(D154-E154-F154-'Tax Assumptions'!$B$8,0),'Tax Assumptions'!$F$9:$F$15,'Tax Assumptions'!$F$9:$F$15))*LOOKUP(MAX(D154-E154-F154-'Tax Assumptions'!$B$8,0),'Tax Assumptions'!$F$9:$F$15,'Tax Assumptions'!$H$9:$H$15))+(MIN(MAX(D154-F154,0),'Tax Assumptions'!$B$11)*'Tax Assumptions'!$B$10)+(MAX(D154-F154,0)*'Tax Assumptions'!$B$12)+(MAX(MAX(D154-F154,0)-'Tax Assumptions'!$B$14,0)*'Tax Assumptions'!$B$13)+(MIN(D154*'Tax Assumptions'!$B$15,'Tax Assumptions'!$B$16))+(MIN(D154*'Tax Assumptions'!$B$17,'Tax Assumptions'!$B$18))+(LOOKUP(MAX(D154-E154-'Tax Assumptions'!$B$9,0),'Tax Assumptions'!$K$9:$K$17,'Tax Assumptions'!$N$9:$N$17)+(MAX(D154-E154-'Tax Assumptions'!$B$9,0)-LOOKUP(MAX(D154-E154-'Tax Assumptions'!$B$9,0),'Tax Assumptions'!$K$9:$K$17,'Tax Assumptions'!$K$9:$K$17))*LOOKUP(MAX(D154-E154-'Tax Assumptions'!$B$9,0),'Tax Assumptions'!$K$9:$K$17,'Tax Assumptions'!$M$9:$M$17))+(LOOKUP(MAX(D154-E154-'Tax Assumptions'!$B$9,0),'Tax Assumptions'!$P$9:$P$12,'Tax Assumptions'!$S$9:$S$12)+(MAX(D154-E154-'Tax Assumptions'!$B$9,0)-LOOKUP(MAX(D154-E154-'Tax Assumptions'!$B$9,0),'Tax Assumptions'!$P$9:$P$12,'Tax Assumptions'!$P$9:$P$12))*LOOKUP(MAX(D154-E154-'Tax Assumptions'!$B$9,0),'Tax Assumptions'!$P$9:$P$12,'Tax Assumptions'!$R$9:$R$12)))*$D$7)</f>
        <v>0</v>
      </c>
      <c r="I154" s="68">
        <f t="shared" si="54"/>
        <v>0</v>
      </c>
      <c r="J154" s="101">
        <f>IF(B154="Working",N('Savings Projection'!$S$45)*$D$8,0)</f>
        <v>0</v>
      </c>
      <c r="K154" s="101">
        <f>IF(B154="Working",N('Savings Projection'!$T$45)*$D$9,0)</f>
        <v>0</v>
      </c>
      <c r="L154" s="68">
        <f>IF(B154="Working",MIN(MAX(I154-J154-K154-AB154-AC154,0),'Tax Assumptions'!$B$20),0)</f>
        <v>0</v>
      </c>
      <c r="M154" s="68">
        <f t="shared" si="55"/>
        <v>0</v>
      </c>
      <c r="N154" s="101">
        <f t="shared" si="56"/>
        <v>0</v>
      </c>
      <c r="O154" s="101">
        <f t="shared" si="57"/>
        <v>649357.72800735943</v>
      </c>
      <c r="P154" s="101">
        <f t="shared" si="58"/>
        <v>0</v>
      </c>
      <c r="Q154" s="101">
        <f t="shared" si="68"/>
        <v>0</v>
      </c>
      <c r="R154" s="101">
        <f t="shared" si="69"/>
        <v>0</v>
      </c>
      <c r="S154" s="101">
        <f t="shared" si="70"/>
        <v>0</v>
      </c>
      <c r="T154" s="101">
        <f t="shared" si="71"/>
        <v>0</v>
      </c>
      <c r="U154" s="68">
        <f t="shared" si="72"/>
        <v>0</v>
      </c>
      <c r="V154" s="68">
        <f t="shared" si="73"/>
        <v>0</v>
      </c>
      <c r="W154" s="68">
        <f t="shared" si="74"/>
        <v>0</v>
      </c>
      <c r="X154" s="68">
        <f t="shared" si="75"/>
        <v>0</v>
      </c>
      <c r="Y154" s="68">
        <f t="shared" si="59"/>
        <v>0</v>
      </c>
      <c r="Z154" s="101">
        <f t="shared" si="60"/>
        <v>649357.72800735943</v>
      </c>
      <c r="AA154" s="102">
        <f t="shared" si="61"/>
        <v>0</v>
      </c>
      <c r="AB154" s="68">
        <f t="shared" si="62"/>
        <v>0</v>
      </c>
      <c r="AC154" s="68">
        <f t="shared" si="63"/>
        <v>409357.72800735949</v>
      </c>
      <c r="AD154" s="68">
        <f t="shared" si="64"/>
        <v>8264238.1613587532</v>
      </c>
      <c r="AE154" s="68">
        <f t="shared" si="65"/>
        <v>1892568.2802715665</v>
      </c>
      <c r="AF154" s="68">
        <f t="shared" si="66"/>
        <v>6371669.8810871867</v>
      </c>
      <c r="AG154" s="127">
        <f t="shared" si="67"/>
        <v>6371669.8810871867</v>
      </c>
    </row>
    <row r="155" spans="1:33" x14ac:dyDescent="0.2">
      <c r="A155" s="128">
        <v>28</v>
      </c>
      <c r="B155" s="65" t="str">
        <f t="shared" si="52"/>
        <v>Retired</v>
      </c>
      <c r="C155" s="66">
        <f>N('Savings Projection'!$B$46)</f>
        <v>0</v>
      </c>
      <c r="D155" s="66">
        <f t="shared" si="53"/>
        <v>0</v>
      </c>
      <c r="E155" s="66">
        <f>IF(OR(B155="Retired",D155=0),0,MIN(D155,'Tax Assumptions'!$B$19))</f>
        <v>0</v>
      </c>
      <c r="F155" s="66">
        <f>IF(B155="Working",N('Savings Projection'!$E$46),0)</f>
        <v>0</v>
      </c>
      <c r="G155" s="66">
        <f>IF(B155="Working",N('Savings Projection'!$F$46),0)</f>
        <v>0</v>
      </c>
      <c r="H155" s="66">
        <f>IF(D155=0,0,((LOOKUP(MAX(D155-E155-F155-'Tax Assumptions'!$B$8,0),'Tax Assumptions'!$F$9:$F$15,'Tax Assumptions'!$I$9:$I$15)+(MAX(D155-E155-F155-'Tax Assumptions'!$B$8,0)-LOOKUP(MAX(D155-E155-F155-'Tax Assumptions'!$B$8,0),'Tax Assumptions'!$F$9:$F$15,'Tax Assumptions'!$F$9:$F$15))*LOOKUP(MAX(D155-E155-F155-'Tax Assumptions'!$B$8,0),'Tax Assumptions'!$F$9:$F$15,'Tax Assumptions'!$H$9:$H$15))+(MIN(MAX(D155-F155,0),'Tax Assumptions'!$B$11)*'Tax Assumptions'!$B$10)+(MAX(D155-F155,0)*'Tax Assumptions'!$B$12)+(MAX(MAX(D155-F155,0)-'Tax Assumptions'!$B$14,0)*'Tax Assumptions'!$B$13)+(MIN(D155*'Tax Assumptions'!$B$15,'Tax Assumptions'!$B$16))+(MIN(D155*'Tax Assumptions'!$B$17,'Tax Assumptions'!$B$18))+(LOOKUP(MAX(D155-E155-'Tax Assumptions'!$B$9,0),'Tax Assumptions'!$K$9:$K$17,'Tax Assumptions'!$N$9:$N$17)+(MAX(D155-E155-'Tax Assumptions'!$B$9,0)-LOOKUP(MAX(D155-E155-'Tax Assumptions'!$B$9,0),'Tax Assumptions'!$K$9:$K$17,'Tax Assumptions'!$K$9:$K$17))*LOOKUP(MAX(D155-E155-'Tax Assumptions'!$B$9,0),'Tax Assumptions'!$K$9:$K$17,'Tax Assumptions'!$M$9:$M$17))+(LOOKUP(MAX(D155-E155-'Tax Assumptions'!$B$9,0),'Tax Assumptions'!$P$9:$P$12,'Tax Assumptions'!$S$9:$S$12)+(MAX(D155-E155-'Tax Assumptions'!$B$9,0)-LOOKUP(MAX(D155-E155-'Tax Assumptions'!$B$9,0),'Tax Assumptions'!$P$9:$P$12,'Tax Assumptions'!$P$9:$P$12))*LOOKUP(MAX(D155-E155-'Tax Assumptions'!$B$9,0),'Tax Assumptions'!$P$9:$P$12,'Tax Assumptions'!$R$9:$R$12)))*$D$7)</f>
        <v>0</v>
      </c>
      <c r="I155" s="66">
        <f t="shared" si="54"/>
        <v>0</v>
      </c>
      <c r="J155" s="66">
        <f>IF(B155="Working",N('Savings Projection'!$S$46)*$D$8,0)</f>
        <v>0</v>
      </c>
      <c r="K155" s="66">
        <f>IF(B155="Working",N('Savings Projection'!$T$46)*$D$9,0)</f>
        <v>0</v>
      </c>
      <c r="L155" s="66">
        <f>IF(B155="Working",MIN(MAX(I155-J155-K155-AB155-AC155,0),'Tax Assumptions'!$B$20),0)</f>
        <v>0</v>
      </c>
      <c r="M155" s="66">
        <f t="shared" si="55"/>
        <v>0</v>
      </c>
      <c r="N155" s="66">
        <f t="shared" si="56"/>
        <v>0</v>
      </c>
      <c r="O155" s="66">
        <f t="shared" si="57"/>
        <v>654812.12519385631</v>
      </c>
      <c r="P155" s="66">
        <f t="shared" si="58"/>
        <v>0</v>
      </c>
      <c r="Q155" s="66">
        <f t="shared" si="68"/>
        <v>0</v>
      </c>
      <c r="R155" s="66">
        <f t="shared" si="69"/>
        <v>0</v>
      </c>
      <c r="S155" s="66">
        <f t="shared" si="70"/>
        <v>0</v>
      </c>
      <c r="T155" s="66">
        <f t="shared" si="71"/>
        <v>0</v>
      </c>
      <c r="U155" s="66">
        <f t="shared" si="72"/>
        <v>0</v>
      </c>
      <c r="V155" s="66">
        <f t="shared" si="73"/>
        <v>0</v>
      </c>
      <c r="W155" s="66">
        <f t="shared" si="74"/>
        <v>0</v>
      </c>
      <c r="X155" s="66">
        <f t="shared" si="75"/>
        <v>0</v>
      </c>
      <c r="Y155" s="66">
        <f t="shared" si="59"/>
        <v>0</v>
      </c>
      <c r="Z155" s="66">
        <f t="shared" si="60"/>
        <v>654812.12519385631</v>
      </c>
      <c r="AA155" s="69">
        <f t="shared" si="61"/>
        <v>0</v>
      </c>
      <c r="AB155" s="66">
        <f t="shared" si="62"/>
        <v>0</v>
      </c>
      <c r="AC155" s="66">
        <f t="shared" si="63"/>
        <v>414812.12519385631</v>
      </c>
      <c r="AD155" s="66">
        <f t="shared" si="64"/>
        <v>8512165.3061995152</v>
      </c>
      <c r="AE155" s="66">
        <f t="shared" si="65"/>
        <v>1784869.7629661933</v>
      </c>
      <c r="AF155" s="66">
        <f t="shared" si="66"/>
        <v>6727295.543233322</v>
      </c>
      <c r="AG155" s="129">
        <f t="shared" si="67"/>
        <v>6727295.543233322</v>
      </c>
    </row>
    <row r="156" spans="1:33" x14ac:dyDescent="0.2">
      <c r="A156" s="126">
        <v>29</v>
      </c>
      <c r="B156" s="100" t="str">
        <f t="shared" si="52"/>
        <v>Retired</v>
      </c>
      <c r="C156" s="101">
        <f>N('Savings Projection'!$B$47)</f>
        <v>0</v>
      </c>
      <c r="D156" s="68">
        <f t="shared" si="53"/>
        <v>0</v>
      </c>
      <c r="E156" s="101">
        <f>IF(OR(B156="Retired",D156=0),0,MIN(D156,'Tax Assumptions'!$B$19))</f>
        <v>0</v>
      </c>
      <c r="F156" s="101">
        <f>IF(B156="Working",N('Savings Projection'!$E$47),0)</f>
        <v>0</v>
      </c>
      <c r="G156" s="101">
        <f>IF(B156="Working",N('Savings Projection'!$F$47),0)</f>
        <v>0</v>
      </c>
      <c r="H156" s="68">
        <f>IF(D156=0,0,((LOOKUP(MAX(D156-E156-F156-'Tax Assumptions'!$B$8,0),'Tax Assumptions'!$F$9:$F$15,'Tax Assumptions'!$I$9:$I$15)+(MAX(D156-E156-F156-'Tax Assumptions'!$B$8,0)-LOOKUP(MAX(D156-E156-F156-'Tax Assumptions'!$B$8,0),'Tax Assumptions'!$F$9:$F$15,'Tax Assumptions'!$F$9:$F$15))*LOOKUP(MAX(D156-E156-F156-'Tax Assumptions'!$B$8,0),'Tax Assumptions'!$F$9:$F$15,'Tax Assumptions'!$H$9:$H$15))+(MIN(MAX(D156-F156,0),'Tax Assumptions'!$B$11)*'Tax Assumptions'!$B$10)+(MAX(D156-F156,0)*'Tax Assumptions'!$B$12)+(MAX(MAX(D156-F156,0)-'Tax Assumptions'!$B$14,0)*'Tax Assumptions'!$B$13)+(MIN(D156*'Tax Assumptions'!$B$15,'Tax Assumptions'!$B$16))+(MIN(D156*'Tax Assumptions'!$B$17,'Tax Assumptions'!$B$18))+(LOOKUP(MAX(D156-E156-'Tax Assumptions'!$B$9,0),'Tax Assumptions'!$K$9:$K$17,'Tax Assumptions'!$N$9:$N$17)+(MAX(D156-E156-'Tax Assumptions'!$B$9,0)-LOOKUP(MAX(D156-E156-'Tax Assumptions'!$B$9,0),'Tax Assumptions'!$K$9:$K$17,'Tax Assumptions'!$K$9:$K$17))*LOOKUP(MAX(D156-E156-'Tax Assumptions'!$B$9,0),'Tax Assumptions'!$K$9:$K$17,'Tax Assumptions'!$M$9:$M$17))+(LOOKUP(MAX(D156-E156-'Tax Assumptions'!$B$9,0),'Tax Assumptions'!$P$9:$P$12,'Tax Assumptions'!$S$9:$S$12)+(MAX(D156-E156-'Tax Assumptions'!$B$9,0)-LOOKUP(MAX(D156-E156-'Tax Assumptions'!$B$9,0),'Tax Assumptions'!$P$9:$P$12,'Tax Assumptions'!$P$9:$P$12))*LOOKUP(MAX(D156-E156-'Tax Assumptions'!$B$9,0),'Tax Assumptions'!$P$9:$P$12,'Tax Assumptions'!$R$9:$R$12)))*$D$7)</f>
        <v>0</v>
      </c>
      <c r="I156" s="68">
        <f t="shared" si="54"/>
        <v>0</v>
      </c>
      <c r="J156" s="101">
        <f>IF(B156="Working",N('Savings Projection'!$S$47)*$D$8,0)</f>
        <v>0</v>
      </c>
      <c r="K156" s="101">
        <f>IF(B156="Working",N('Savings Projection'!$T$47)*$D$9,0)</f>
        <v>0</v>
      </c>
      <c r="L156" s="68">
        <f>IF(B156="Working",MIN(MAX(I156-J156-K156-AB156-AC156,0),'Tax Assumptions'!$B$20),0)</f>
        <v>0</v>
      </c>
      <c r="M156" s="68">
        <f t="shared" si="55"/>
        <v>0</v>
      </c>
      <c r="N156" s="101">
        <f t="shared" si="56"/>
        <v>0</v>
      </c>
      <c r="O156" s="101">
        <f t="shared" si="57"/>
        <v>660430.15429594798</v>
      </c>
      <c r="P156" s="101">
        <f t="shared" si="58"/>
        <v>0</v>
      </c>
      <c r="Q156" s="101">
        <f t="shared" si="68"/>
        <v>0</v>
      </c>
      <c r="R156" s="101">
        <f t="shared" si="69"/>
        <v>0</v>
      </c>
      <c r="S156" s="101">
        <f t="shared" si="70"/>
        <v>0</v>
      </c>
      <c r="T156" s="101">
        <f t="shared" si="71"/>
        <v>0</v>
      </c>
      <c r="U156" s="68">
        <f t="shared" si="72"/>
        <v>0</v>
      </c>
      <c r="V156" s="68">
        <f t="shared" si="73"/>
        <v>0</v>
      </c>
      <c r="W156" s="68">
        <f t="shared" si="74"/>
        <v>0</v>
      </c>
      <c r="X156" s="68">
        <f t="shared" si="75"/>
        <v>0</v>
      </c>
      <c r="Y156" s="68">
        <f t="shared" si="59"/>
        <v>0</v>
      </c>
      <c r="Z156" s="101">
        <f t="shared" si="60"/>
        <v>660430.15429594798</v>
      </c>
      <c r="AA156" s="102">
        <f t="shared" si="61"/>
        <v>0</v>
      </c>
      <c r="AB156" s="68">
        <f t="shared" si="62"/>
        <v>0</v>
      </c>
      <c r="AC156" s="68">
        <f t="shared" si="63"/>
        <v>420430.15429594798</v>
      </c>
      <c r="AD156" s="68">
        <f t="shared" si="64"/>
        <v>8767530.2653855011</v>
      </c>
      <c r="AE156" s="68">
        <f t="shared" si="65"/>
        <v>1669958.4764989484</v>
      </c>
      <c r="AF156" s="68">
        <f t="shared" si="66"/>
        <v>7097571.7888865527</v>
      </c>
      <c r="AG156" s="127">
        <f t="shared" si="67"/>
        <v>7097571.7888865527</v>
      </c>
    </row>
    <row r="157" spans="1:33" x14ac:dyDescent="0.2">
      <c r="A157" s="128">
        <v>30</v>
      </c>
      <c r="B157" s="65" t="str">
        <f t="shared" si="52"/>
        <v>Retired</v>
      </c>
      <c r="C157" s="66">
        <f>N('Savings Projection'!$B$48)</f>
        <v>0</v>
      </c>
      <c r="D157" s="66">
        <f t="shared" si="53"/>
        <v>0</v>
      </c>
      <c r="E157" s="66">
        <f>IF(OR(B157="Retired",D157=0),0,MIN(D157,'Tax Assumptions'!$B$19))</f>
        <v>0</v>
      </c>
      <c r="F157" s="66">
        <f>IF(B157="Working",N('Savings Projection'!$E$48),0)</f>
        <v>0</v>
      </c>
      <c r="G157" s="66">
        <f>IF(B157="Working",N('Savings Projection'!$F$48),0)</f>
        <v>0</v>
      </c>
      <c r="H157" s="66">
        <f>IF(D157=0,0,((LOOKUP(MAX(D157-E157-F157-'Tax Assumptions'!$B$8,0),'Tax Assumptions'!$F$9:$F$15,'Tax Assumptions'!$I$9:$I$15)+(MAX(D157-E157-F157-'Tax Assumptions'!$B$8,0)-LOOKUP(MAX(D157-E157-F157-'Tax Assumptions'!$B$8,0),'Tax Assumptions'!$F$9:$F$15,'Tax Assumptions'!$F$9:$F$15))*LOOKUP(MAX(D157-E157-F157-'Tax Assumptions'!$B$8,0),'Tax Assumptions'!$F$9:$F$15,'Tax Assumptions'!$H$9:$H$15))+(MIN(MAX(D157-F157,0),'Tax Assumptions'!$B$11)*'Tax Assumptions'!$B$10)+(MAX(D157-F157,0)*'Tax Assumptions'!$B$12)+(MAX(MAX(D157-F157,0)-'Tax Assumptions'!$B$14,0)*'Tax Assumptions'!$B$13)+(MIN(D157*'Tax Assumptions'!$B$15,'Tax Assumptions'!$B$16))+(MIN(D157*'Tax Assumptions'!$B$17,'Tax Assumptions'!$B$18))+(LOOKUP(MAX(D157-E157-'Tax Assumptions'!$B$9,0),'Tax Assumptions'!$K$9:$K$17,'Tax Assumptions'!$N$9:$N$17)+(MAX(D157-E157-'Tax Assumptions'!$B$9,0)-LOOKUP(MAX(D157-E157-'Tax Assumptions'!$B$9,0),'Tax Assumptions'!$K$9:$K$17,'Tax Assumptions'!$K$9:$K$17))*LOOKUP(MAX(D157-E157-'Tax Assumptions'!$B$9,0),'Tax Assumptions'!$K$9:$K$17,'Tax Assumptions'!$M$9:$M$17))+(LOOKUP(MAX(D157-E157-'Tax Assumptions'!$B$9,0),'Tax Assumptions'!$P$9:$P$12,'Tax Assumptions'!$S$9:$S$12)+(MAX(D157-E157-'Tax Assumptions'!$B$9,0)-LOOKUP(MAX(D157-E157-'Tax Assumptions'!$B$9,0),'Tax Assumptions'!$P$9:$P$12,'Tax Assumptions'!$P$9:$P$12))*LOOKUP(MAX(D157-E157-'Tax Assumptions'!$B$9,0),'Tax Assumptions'!$P$9:$P$12,'Tax Assumptions'!$R$9:$R$12)))*$D$7)</f>
        <v>0</v>
      </c>
      <c r="I157" s="66">
        <f t="shared" si="54"/>
        <v>0</v>
      </c>
      <c r="J157" s="66">
        <f>IF(B157="Working",N('Savings Projection'!$S$48)*$D$8,0)</f>
        <v>0</v>
      </c>
      <c r="K157" s="66">
        <f>IF(B157="Working",N('Savings Projection'!$T$48)*$D$9,0)</f>
        <v>0</v>
      </c>
      <c r="L157" s="66">
        <f>IF(B157="Working",MIN(MAX(I157-J157-K157-AB157-AC157,0),'Tax Assumptions'!$B$20),0)</f>
        <v>0</v>
      </c>
      <c r="M157" s="66">
        <f t="shared" si="55"/>
        <v>0</v>
      </c>
      <c r="N157" s="66">
        <f t="shared" si="56"/>
        <v>0</v>
      </c>
      <c r="O157" s="66">
        <f t="shared" si="57"/>
        <v>666216.72427110234</v>
      </c>
      <c r="P157" s="66">
        <f t="shared" si="58"/>
        <v>0</v>
      </c>
      <c r="Q157" s="66">
        <f t="shared" si="68"/>
        <v>0</v>
      </c>
      <c r="R157" s="66">
        <f t="shared" si="69"/>
        <v>0</v>
      </c>
      <c r="S157" s="66">
        <f t="shared" si="70"/>
        <v>0</v>
      </c>
      <c r="T157" s="66">
        <f t="shared" si="71"/>
        <v>0</v>
      </c>
      <c r="U157" s="66">
        <f t="shared" si="72"/>
        <v>0</v>
      </c>
      <c r="V157" s="66">
        <f t="shared" si="73"/>
        <v>0</v>
      </c>
      <c r="W157" s="66">
        <f t="shared" si="74"/>
        <v>0</v>
      </c>
      <c r="X157" s="66">
        <f t="shared" si="75"/>
        <v>0</v>
      </c>
      <c r="Y157" s="66">
        <f t="shared" si="59"/>
        <v>0</v>
      </c>
      <c r="Z157" s="66">
        <f t="shared" si="60"/>
        <v>666216.72427110234</v>
      </c>
      <c r="AA157" s="69">
        <f t="shared" si="61"/>
        <v>0</v>
      </c>
      <c r="AB157" s="66">
        <f t="shared" si="62"/>
        <v>0</v>
      </c>
      <c r="AC157" s="66">
        <f t="shared" si="63"/>
        <v>426216.7242711024</v>
      </c>
      <c r="AD157" s="66">
        <f t="shared" si="64"/>
        <v>9030556.1733470671</v>
      </c>
      <c r="AE157" s="66">
        <f t="shared" si="65"/>
        <v>1547351.368361</v>
      </c>
      <c r="AF157" s="66">
        <f t="shared" si="66"/>
        <v>7483204.8049860671</v>
      </c>
      <c r="AG157" s="129">
        <f t="shared" si="67"/>
        <v>7483204.8049860671</v>
      </c>
    </row>
    <row r="158" spans="1:33" x14ac:dyDescent="0.2">
      <c r="A158" s="126">
        <v>31</v>
      </c>
      <c r="B158" s="100" t="str">
        <f t="shared" si="52"/>
        <v>Retired</v>
      </c>
      <c r="C158" s="101">
        <f>N('Savings Projection'!$B$49)</f>
        <v>0</v>
      </c>
      <c r="D158" s="68">
        <f t="shared" si="53"/>
        <v>0</v>
      </c>
      <c r="E158" s="101">
        <f>IF(OR(B158="Retired",D158=0),0,MIN(D158,'Tax Assumptions'!$B$19))</f>
        <v>0</v>
      </c>
      <c r="F158" s="101">
        <f>IF(B158="Working",N('Savings Projection'!$E$49),0)</f>
        <v>0</v>
      </c>
      <c r="G158" s="101">
        <f>IF(B158="Working",N('Savings Projection'!$F$49),0)</f>
        <v>0</v>
      </c>
      <c r="H158" s="68">
        <f>IF(D158=0,0,((LOOKUP(MAX(D158-E158-F158-'Tax Assumptions'!$B$8,0),'Tax Assumptions'!$F$9:$F$15,'Tax Assumptions'!$I$9:$I$15)+(MAX(D158-E158-F158-'Tax Assumptions'!$B$8,0)-LOOKUP(MAX(D158-E158-F158-'Tax Assumptions'!$B$8,0),'Tax Assumptions'!$F$9:$F$15,'Tax Assumptions'!$F$9:$F$15))*LOOKUP(MAX(D158-E158-F158-'Tax Assumptions'!$B$8,0),'Tax Assumptions'!$F$9:$F$15,'Tax Assumptions'!$H$9:$H$15))+(MIN(MAX(D158-F158,0),'Tax Assumptions'!$B$11)*'Tax Assumptions'!$B$10)+(MAX(D158-F158,0)*'Tax Assumptions'!$B$12)+(MAX(MAX(D158-F158,0)-'Tax Assumptions'!$B$14,0)*'Tax Assumptions'!$B$13)+(MIN(D158*'Tax Assumptions'!$B$15,'Tax Assumptions'!$B$16))+(MIN(D158*'Tax Assumptions'!$B$17,'Tax Assumptions'!$B$18))+(LOOKUP(MAX(D158-E158-'Tax Assumptions'!$B$9,0),'Tax Assumptions'!$K$9:$K$17,'Tax Assumptions'!$N$9:$N$17)+(MAX(D158-E158-'Tax Assumptions'!$B$9,0)-LOOKUP(MAX(D158-E158-'Tax Assumptions'!$B$9,0),'Tax Assumptions'!$K$9:$K$17,'Tax Assumptions'!$K$9:$K$17))*LOOKUP(MAX(D158-E158-'Tax Assumptions'!$B$9,0),'Tax Assumptions'!$K$9:$K$17,'Tax Assumptions'!$M$9:$M$17))+(LOOKUP(MAX(D158-E158-'Tax Assumptions'!$B$9,0),'Tax Assumptions'!$P$9:$P$12,'Tax Assumptions'!$S$9:$S$12)+(MAX(D158-E158-'Tax Assumptions'!$B$9,0)-LOOKUP(MAX(D158-E158-'Tax Assumptions'!$B$9,0),'Tax Assumptions'!$P$9:$P$12,'Tax Assumptions'!$P$9:$P$12))*LOOKUP(MAX(D158-E158-'Tax Assumptions'!$B$9,0),'Tax Assumptions'!$P$9:$P$12,'Tax Assumptions'!$R$9:$R$12)))*$D$7)</f>
        <v>0</v>
      </c>
      <c r="I158" s="68">
        <f t="shared" si="54"/>
        <v>0</v>
      </c>
      <c r="J158" s="101">
        <f>IF(B158="Working",N('Savings Projection'!$S$49)*$D$8,0)</f>
        <v>0</v>
      </c>
      <c r="K158" s="101">
        <f>IF(B158="Working",N('Savings Projection'!$T$49)*$D$9,0)</f>
        <v>0</v>
      </c>
      <c r="L158" s="68">
        <f>IF(B158="Working",MIN(MAX(I158-J158-K158-AB158-AC158,0),'Tax Assumptions'!$B$20),0)</f>
        <v>0</v>
      </c>
      <c r="M158" s="68">
        <f t="shared" si="55"/>
        <v>0</v>
      </c>
      <c r="N158" s="101">
        <f t="shared" si="56"/>
        <v>0</v>
      </c>
      <c r="O158" s="101">
        <f t="shared" si="57"/>
        <v>672176.89134551142</v>
      </c>
      <c r="P158" s="101">
        <f t="shared" si="58"/>
        <v>0</v>
      </c>
      <c r="Q158" s="101">
        <f t="shared" si="68"/>
        <v>0</v>
      </c>
      <c r="R158" s="101">
        <f t="shared" si="69"/>
        <v>0</v>
      </c>
      <c r="S158" s="101">
        <f t="shared" si="70"/>
        <v>0</v>
      </c>
      <c r="T158" s="101">
        <f t="shared" si="71"/>
        <v>0</v>
      </c>
      <c r="U158" s="68">
        <f t="shared" si="72"/>
        <v>0</v>
      </c>
      <c r="V158" s="68">
        <f t="shared" si="73"/>
        <v>0</v>
      </c>
      <c r="W158" s="68">
        <f t="shared" si="74"/>
        <v>0</v>
      </c>
      <c r="X158" s="68">
        <f t="shared" si="75"/>
        <v>0</v>
      </c>
      <c r="Y158" s="68">
        <f t="shared" si="59"/>
        <v>0</v>
      </c>
      <c r="Z158" s="101">
        <f t="shared" si="60"/>
        <v>672176.89134551142</v>
      </c>
      <c r="AA158" s="102">
        <f t="shared" si="61"/>
        <v>0</v>
      </c>
      <c r="AB158" s="68">
        <f t="shared" si="62"/>
        <v>0</v>
      </c>
      <c r="AC158" s="68">
        <f t="shared" si="63"/>
        <v>432176.89134551142</v>
      </c>
      <c r="AD158" s="68">
        <f t="shared" si="64"/>
        <v>9301472.8585474771</v>
      </c>
      <c r="AE158" s="68">
        <f t="shared" si="65"/>
        <v>1416533.0351223778</v>
      </c>
      <c r="AF158" s="68">
        <f t="shared" si="66"/>
        <v>7884939.8234250993</v>
      </c>
      <c r="AG158" s="127">
        <f t="shared" si="67"/>
        <v>7884939.8234250993</v>
      </c>
    </row>
    <row r="159" spans="1:33" x14ac:dyDescent="0.2">
      <c r="A159" s="128">
        <v>32</v>
      </c>
      <c r="B159" s="65" t="str">
        <f t="shared" si="52"/>
        <v>Retired</v>
      </c>
      <c r="C159" s="66">
        <f>N('Savings Projection'!$B$50)</f>
        <v>0</v>
      </c>
      <c r="D159" s="66">
        <f t="shared" si="53"/>
        <v>0</v>
      </c>
      <c r="E159" s="66">
        <f>IF(OR(B159="Retired",D159=0),0,MIN(D159,'Tax Assumptions'!$B$19))</f>
        <v>0</v>
      </c>
      <c r="F159" s="66">
        <f>IF(B159="Working",N('Savings Projection'!$E$50),0)</f>
        <v>0</v>
      </c>
      <c r="G159" s="66">
        <f>IF(B159="Working",N('Savings Projection'!$F$50),0)</f>
        <v>0</v>
      </c>
      <c r="H159" s="66">
        <f>IF(D159=0,0,((LOOKUP(MAX(D159-E159-F159-'Tax Assumptions'!$B$8,0),'Tax Assumptions'!$F$9:$F$15,'Tax Assumptions'!$I$9:$I$15)+(MAX(D159-E159-F159-'Tax Assumptions'!$B$8,0)-LOOKUP(MAX(D159-E159-F159-'Tax Assumptions'!$B$8,0),'Tax Assumptions'!$F$9:$F$15,'Tax Assumptions'!$F$9:$F$15))*LOOKUP(MAX(D159-E159-F159-'Tax Assumptions'!$B$8,0),'Tax Assumptions'!$F$9:$F$15,'Tax Assumptions'!$H$9:$H$15))+(MIN(MAX(D159-F159,0),'Tax Assumptions'!$B$11)*'Tax Assumptions'!$B$10)+(MAX(D159-F159,0)*'Tax Assumptions'!$B$12)+(MAX(MAX(D159-F159,0)-'Tax Assumptions'!$B$14,0)*'Tax Assumptions'!$B$13)+(MIN(D159*'Tax Assumptions'!$B$15,'Tax Assumptions'!$B$16))+(MIN(D159*'Tax Assumptions'!$B$17,'Tax Assumptions'!$B$18))+(LOOKUP(MAX(D159-E159-'Tax Assumptions'!$B$9,0),'Tax Assumptions'!$K$9:$K$17,'Tax Assumptions'!$N$9:$N$17)+(MAX(D159-E159-'Tax Assumptions'!$B$9,0)-LOOKUP(MAX(D159-E159-'Tax Assumptions'!$B$9,0),'Tax Assumptions'!$K$9:$K$17,'Tax Assumptions'!$K$9:$K$17))*LOOKUP(MAX(D159-E159-'Tax Assumptions'!$B$9,0),'Tax Assumptions'!$K$9:$K$17,'Tax Assumptions'!$M$9:$M$17))+(LOOKUP(MAX(D159-E159-'Tax Assumptions'!$B$9,0),'Tax Assumptions'!$P$9:$P$12,'Tax Assumptions'!$S$9:$S$12)+(MAX(D159-E159-'Tax Assumptions'!$B$9,0)-LOOKUP(MAX(D159-E159-'Tax Assumptions'!$B$9,0),'Tax Assumptions'!$P$9:$P$12,'Tax Assumptions'!$P$9:$P$12))*LOOKUP(MAX(D159-E159-'Tax Assumptions'!$B$9,0),'Tax Assumptions'!$P$9:$P$12,'Tax Assumptions'!$R$9:$R$12)))*$D$7)</f>
        <v>0</v>
      </c>
      <c r="I159" s="66">
        <f t="shared" si="54"/>
        <v>0</v>
      </c>
      <c r="J159" s="66">
        <f>IF(B159="Working",N('Savings Projection'!$S$50)*$D$8,0)</f>
        <v>0</v>
      </c>
      <c r="K159" s="66">
        <f>IF(B159="Working",N('Savings Projection'!$T$50)*$D$9,0)</f>
        <v>0</v>
      </c>
      <c r="L159" s="66">
        <f>IF(B159="Working",MIN(MAX(I159-J159-K159-AB159-AC159,0),'Tax Assumptions'!$B$20),0)</f>
        <v>0</v>
      </c>
      <c r="M159" s="66">
        <f t="shared" si="55"/>
        <v>0</v>
      </c>
      <c r="N159" s="66">
        <f t="shared" si="56"/>
        <v>0</v>
      </c>
      <c r="O159" s="66">
        <f t="shared" si="57"/>
        <v>678315.86343215278</v>
      </c>
      <c r="P159" s="66">
        <f t="shared" si="58"/>
        <v>0</v>
      </c>
      <c r="Q159" s="66">
        <f t="shared" si="68"/>
        <v>0</v>
      </c>
      <c r="R159" s="66">
        <f t="shared" si="69"/>
        <v>0</v>
      </c>
      <c r="S159" s="66">
        <f t="shared" si="70"/>
        <v>0</v>
      </c>
      <c r="T159" s="66">
        <f t="shared" si="71"/>
        <v>0</v>
      </c>
      <c r="U159" s="66">
        <f t="shared" si="72"/>
        <v>0</v>
      </c>
      <c r="V159" s="66">
        <f t="shared" si="73"/>
        <v>0</v>
      </c>
      <c r="W159" s="66">
        <f t="shared" si="74"/>
        <v>0</v>
      </c>
      <c r="X159" s="66">
        <f t="shared" si="75"/>
        <v>0</v>
      </c>
      <c r="Y159" s="66">
        <f t="shared" si="59"/>
        <v>0</v>
      </c>
      <c r="Z159" s="66">
        <f t="shared" si="60"/>
        <v>678315.86343215278</v>
      </c>
      <c r="AA159" s="69">
        <f t="shared" si="61"/>
        <v>0</v>
      </c>
      <c r="AB159" s="66">
        <f t="shared" si="62"/>
        <v>0</v>
      </c>
      <c r="AC159" s="66">
        <f t="shared" si="63"/>
        <v>438315.86343215278</v>
      </c>
      <c r="AD159" s="66">
        <f t="shared" si="64"/>
        <v>9580517.0443039015</v>
      </c>
      <c r="AE159" s="66">
        <f t="shared" si="65"/>
        <v>1276953.5558308791</v>
      </c>
      <c r="AF159" s="66">
        <f t="shared" si="66"/>
        <v>8303563.4884730224</v>
      </c>
      <c r="AG159" s="129">
        <f t="shared" si="67"/>
        <v>8303563.4884730224</v>
      </c>
    </row>
    <row r="160" spans="1:33" x14ac:dyDescent="0.2">
      <c r="A160" s="126">
        <v>33</v>
      </c>
      <c r="B160" s="100" t="str">
        <f t="shared" si="52"/>
        <v>Retired</v>
      </c>
      <c r="C160" s="101">
        <f>N('Savings Projection'!$B$51)</f>
        <v>0</v>
      </c>
      <c r="D160" s="68">
        <f t="shared" si="53"/>
        <v>0</v>
      </c>
      <c r="E160" s="101">
        <f>IF(OR(B160="Retired",D160=0),0,MIN(D160,'Tax Assumptions'!$B$19))</f>
        <v>0</v>
      </c>
      <c r="F160" s="101">
        <f>IF(B160="Working",N('Savings Projection'!$E$51),0)</f>
        <v>0</v>
      </c>
      <c r="G160" s="101">
        <f>IF(B160="Working",N('Savings Projection'!$F$51),0)</f>
        <v>0</v>
      </c>
      <c r="H160" s="68">
        <f>IF(D160=0,0,((LOOKUP(MAX(D160-E160-F160-'Tax Assumptions'!$B$8,0),'Tax Assumptions'!$F$9:$F$15,'Tax Assumptions'!$I$9:$I$15)+(MAX(D160-E160-F160-'Tax Assumptions'!$B$8,0)-LOOKUP(MAX(D160-E160-F160-'Tax Assumptions'!$B$8,0),'Tax Assumptions'!$F$9:$F$15,'Tax Assumptions'!$F$9:$F$15))*LOOKUP(MAX(D160-E160-F160-'Tax Assumptions'!$B$8,0),'Tax Assumptions'!$F$9:$F$15,'Tax Assumptions'!$H$9:$H$15))+(MIN(MAX(D160-F160,0),'Tax Assumptions'!$B$11)*'Tax Assumptions'!$B$10)+(MAX(D160-F160,0)*'Tax Assumptions'!$B$12)+(MAX(MAX(D160-F160,0)-'Tax Assumptions'!$B$14,0)*'Tax Assumptions'!$B$13)+(MIN(D160*'Tax Assumptions'!$B$15,'Tax Assumptions'!$B$16))+(MIN(D160*'Tax Assumptions'!$B$17,'Tax Assumptions'!$B$18))+(LOOKUP(MAX(D160-E160-'Tax Assumptions'!$B$9,0),'Tax Assumptions'!$K$9:$K$17,'Tax Assumptions'!$N$9:$N$17)+(MAX(D160-E160-'Tax Assumptions'!$B$9,0)-LOOKUP(MAX(D160-E160-'Tax Assumptions'!$B$9,0),'Tax Assumptions'!$K$9:$K$17,'Tax Assumptions'!$K$9:$K$17))*LOOKUP(MAX(D160-E160-'Tax Assumptions'!$B$9,0),'Tax Assumptions'!$K$9:$K$17,'Tax Assumptions'!$M$9:$M$17))+(LOOKUP(MAX(D160-E160-'Tax Assumptions'!$B$9,0),'Tax Assumptions'!$P$9:$P$12,'Tax Assumptions'!$S$9:$S$12)+(MAX(D160-E160-'Tax Assumptions'!$B$9,0)-LOOKUP(MAX(D160-E160-'Tax Assumptions'!$B$9,0),'Tax Assumptions'!$P$9:$P$12,'Tax Assumptions'!$P$9:$P$12))*LOOKUP(MAX(D160-E160-'Tax Assumptions'!$B$9,0),'Tax Assumptions'!$P$9:$P$12,'Tax Assumptions'!$R$9:$R$12)))*$D$7)</f>
        <v>0</v>
      </c>
      <c r="I160" s="68">
        <f t="shared" si="54"/>
        <v>0</v>
      </c>
      <c r="J160" s="101">
        <f>IF(B160="Working",N('Savings Projection'!$S$51)*$D$8,0)</f>
        <v>0</v>
      </c>
      <c r="K160" s="101">
        <f>IF(B160="Working",N('Savings Projection'!$T$51)*$D$9,0)</f>
        <v>0</v>
      </c>
      <c r="L160" s="68">
        <f>IF(B160="Working",MIN(MAX(I160-J160-K160-AB160-AC160,0),'Tax Assumptions'!$B$20),0)</f>
        <v>0</v>
      </c>
      <c r="M160" s="68">
        <f t="shared" si="55"/>
        <v>0</v>
      </c>
      <c r="N160" s="101">
        <f t="shared" si="56"/>
        <v>0</v>
      </c>
      <c r="O160" s="101">
        <f t="shared" si="57"/>
        <v>684639.00468139339</v>
      </c>
      <c r="P160" s="101">
        <f t="shared" si="58"/>
        <v>0</v>
      </c>
      <c r="Q160" s="101">
        <f t="shared" si="68"/>
        <v>0</v>
      </c>
      <c r="R160" s="101">
        <f t="shared" si="69"/>
        <v>0</v>
      </c>
      <c r="S160" s="101">
        <f t="shared" si="70"/>
        <v>0</v>
      </c>
      <c r="T160" s="101">
        <f t="shared" si="71"/>
        <v>0</v>
      </c>
      <c r="U160" s="68">
        <f t="shared" si="72"/>
        <v>0</v>
      </c>
      <c r="V160" s="68">
        <f t="shared" si="73"/>
        <v>0</v>
      </c>
      <c r="W160" s="68">
        <f t="shared" si="74"/>
        <v>0</v>
      </c>
      <c r="X160" s="68">
        <f t="shared" si="75"/>
        <v>0</v>
      </c>
      <c r="Y160" s="68">
        <f t="shared" si="59"/>
        <v>0</v>
      </c>
      <c r="Z160" s="101">
        <f t="shared" si="60"/>
        <v>684639.00468139339</v>
      </c>
      <c r="AA160" s="102">
        <f t="shared" si="61"/>
        <v>0</v>
      </c>
      <c r="AB160" s="68">
        <f t="shared" si="62"/>
        <v>0</v>
      </c>
      <c r="AC160" s="68">
        <f t="shared" si="63"/>
        <v>444639.00468139339</v>
      </c>
      <c r="AD160" s="68">
        <f t="shared" si="64"/>
        <v>9867932.5556330197</v>
      </c>
      <c r="AE160" s="68">
        <f t="shared" si="65"/>
        <v>1128026.1803096756</v>
      </c>
      <c r="AF160" s="68">
        <f t="shared" si="66"/>
        <v>8739906.375323344</v>
      </c>
      <c r="AG160" s="127">
        <f t="shared" si="67"/>
        <v>8739906.375323344</v>
      </c>
    </row>
    <row r="161" spans="1:33" x14ac:dyDescent="0.2">
      <c r="A161" s="128">
        <v>34</v>
      </c>
      <c r="B161" s="65" t="str">
        <f t="shared" si="52"/>
        <v>Retired</v>
      </c>
      <c r="C161" s="66">
        <f>N('Savings Projection'!$B$52)</f>
        <v>0</v>
      </c>
      <c r="D161" s="66">
        <f t="shared" si="53"/>
        <v>0</v>
      </c>
      <c r="E161" s="66">
        <f>IF(OR(B161="Retired",D161=0),0,MIN(D161,'Tax Assumptions'!$B$19))</f>
        <v>0</v>
      </c>
      <c r="F161" s="66">
        <f>IF(B161="Working",N('Savings Projection'!$E$52),0)</f>
        <v>0</v>
      </c>
      <c r="G161" s="66">
        <f>IF(B161="Working",N('Savings Projection'!$F$52),0)</f>
        <v>0</v>
      </c>
      <c r="H161" s="66">
        <f>IF(D161=0,0,((LOOKUP(MAX(D161-E161-F161-'Tax Assumptions'!$B$8,0),'Tax Assumptions'!$F$9:$F$15,'Tax Assumptions'!$I$9:$I$15)+(MAX(D161-E161-F161-'Tax Assumptions'!$B$8,0)-LOOKUP(MAX(D161-E161-F161-'Tax Assumptions'!$B$8,0),'Tax Assumptions'!$F$9:$F$15,'Tax Assumptions'!$F$9:$F$15))*LOOKUP(MAX(D161-E161-F161-'Tax Assumptions'!$B$8,0),'Tax Assumptions'!$F$9:$F$15,'Tax Assumptions'!$H$9:$H$15))+(MIN(MAX(D161-F161,0),'Tax Assumptions'!$B$11)*'Tax Assumptions'!$B$10)+(MAX(D161-F161,0)*'Tax Assumptions'!$B$12)+(MAX(MAX(D161-F161,0)-'Tax Assumptions'!$B$14,0)*'Tax Assumptions'!$B$13)+(MIN(D161*'Tax Assumptions'!$B$15,'Tax Assumptions'!$B$16))+(MIN(D161*'Tax Assumptions'!$B$17,'Tax Assumptions'!$B$18))+(LOOKUP(MAX(D161-E161-'Tax Assumptions'!$B$9,0),'Tax Assumptions'!$K$9:$K$17,'Tax Assumptions'!$N$9:$N$17)+(MAX(D161-E161-'Tax Assumptions'!$B$9,0)-LOOKUP(MAX(D161-E161-'Tax Assumptions'!$B$9,0),'Tax Assumptions'!$K$9:$K$17,'Tax Assumptions'!$K$9:$K$17))*LOOKUP(MAX(D161-E161-'Tax Assumptions'!$B$9,0),'Tax Assumptions'!$K$9:$K$17,'Tax Assumptions'!$M$9:$M$17))+(LOOKUP(MAX(D161-E161-'Tax Assumptions'!$B$9,0),'Tax Assumptions'!$P$9:$P$12,'Tax Assumptions'!$S$9:$S$12)+(MAX(D161-E161-'Tax Assumptions'!$B$9,0)-LOOKUP(MAX(D161-E161-'Tax Assumptions'!$B$9,0),'Tax Assumptions'!$P$9:$P$12,'Tax Assumptions'!$P$9:$P$12))*LOOKUP(MAX(D161-E161-'Tax Assumptions'!$B$9,0),'Tax Assumptions'!$P$9:$P$12,'Tax Assumptions'!$R$9:$R$12)))*$D$7)</f>
        <v>0</v>
      </c>
      <c r="I161" s="66">
        <f t="shared" si="54"/>
        <v>0</v>
      </c>
      <c r="J161" s="66">
        <f>IF(B161="Working",N('Savings Projection'!$S$52)*$D$8,0)</f>
        <v>0</v>
      </c>
      <c r="K161" s="66">
        <f>IF(B161="Working",N('Savings Projection'!$T$52)*$D$9,0)</f>
        <v>0</v>
      </c>
      <c r="L161" s="66">
        <f>IF(B161="Working",MIN(MAX(I161-J161-K161-AB161-AC161,0),'Tax Assumptions'!$B$20),0)</f>
        <v>0</v>
      </c>
      <c r="M161" s="66">
        <f t="shared" si="55"/>
        <v>0</v>
      </c>
      <c r="N161" s="66">
        <f t="shared" si="56"/>
        <v>0</v>
      </c>
      <c r="O161" s="66">
        <f t="shared" si="57"/>
        <v>691151.84016811114</v>
      </c>
      <c r="P161" s="66">
        <f t="shared" si="58"/>
        <v>0</v>
      </c>
      <c r="Q161" s="66">
        <f t="shared" si="68"/>
        <v>0</v>
      </c>
      <c r="R161" s="66">
        <f t="shared" si="69"/>
        <v>0</v>
      </c>
      <c r="S161" s="66">
        <f t="shared" si="70"/>
        <v>0</v>
      </c>
      <c r="T161" s="66">
        <f t="shared" si="71"/>
        <v>0</v>
      </c>
      <c r="U161" s="66">
        <f t="shared" si="72"/>
        <v>0</v>
      </c>
      <c r="V161" s="66">
        <f t="shared" si="73"/>
        <v>0</v>
      </c>
      <c r="W161" s="66">
        <f t="shared" si="74"/>
        <v>0</v>
      </c>
      <c r="X161" s="66">
        <f t="shared" si="75"/>
        <v>0</v>
      </c>
      <c r="Y161" s="66">
        <f t="shared" si="59"/>
        <v>0</v>
      </c>
      <c r="Z161" s="66">
        <f t="shared" si="60"/>
        <v>691151.84016811114</v>
      </c>
      <c r="AA161" s="69">
        <f t="shared" si="61"/>
        <v>0</v>
      </c>
      <c r="AB161" s="66">
        <f t="shared" si="62"/>
        <v>0</v>
      </c>
      <c r="AC161" s="66">
        <f t="shared" si="63"/>
        <v>451151.84016811114</v>
      </c>
      <c r="AD161" s="66">
        <f t="shared" si="64"/>
        <v>10163970.532302009</v>
      </c>
      <c r="AE161" s="66">
        <f t="shared" si="65"/>
        <v>969124.86263594404</v>
      </c>
      <c r="AF161" s="66">
        <f t="shared" si="66"/>
        <v>9194845.6696660649</v>
      </c>
      <c r="AG161" s="129">
        <f t="shared" si="67"/>
        <v>9194845.6696660649</v>
      </c>
    </row>
    <row r="162" spans="1:33" x14ac:dyDescent="0.2">
      <c r="A162" s="126">
        <v>35</v>
      </c>
      <c r="B162" s="100" t="str">
        <f t="shared" si="52"/>
        <v>Retired</v>
      </c>
      <c r="C162" s="101">
        <f>N('Savings Projection'!$B$53)</f>
        <v>0</v>
      </c>
      <c r="D162" s="68">
        <f t="shared" si="53"/>
        <v>0</v>
      </c>
      <c r="E162" s="101">
        <f>IF(OR(B162="Retired",D162=0),0,MIN(D162,'Tax Assumptions'!$B$19))</f>
        <v>0</v>
      </c>
      <c r="F162" s="101">
        <f>IF(B162="Working",N('Savings Projection'!$E$53),0)</f>
        <v>0</v>
      </c>
      <c r="G162" s="101">
        <f>IF(B162="Working",N('Savings Projection'!$F$53),0)</f>
        <v>0</v>
      </c>
      <c r="H162" s="68">
        <f>IF(D162=0,0,((LOOKUP(MAX(D162-E162-F162-'Tax Assumptions'!$B$8,0),'Tax Assumptions'!$F$9:$F$15,'Tax Assumptions'!$I$9:$I$15)+(MAX(D162-E162-F162-'Tax Assumptions'!$B$8,0)-LOOKUP(MAX(D162-E162-F162-'Tax Assumptions'!$B$8,0),'Tax Assumptions'!$F$9:$F$15,'Tax Assumptions'!$F$9:$F$15))*LOOKUP(MAX(D162-E162-F162-'Tax Assumptions'!$B$8,0),'Tax Assumptions'!$F$9:$F$15,'Tax Assumptions'!$H$9:$H$15))+(MIN(MAX(D162-F162,0),'Tax Assumptions'!$B$11)*'Tax Assumptions'!$B$10)+(MAX(D162-F162,0)*'Tax Assumptions'!$B$12)+(MAX(MAX(D162-F162,0)-'Tax Assumptions'!$B$14,0)*'Tax Assumptions'!$B$13)+(MIN(D162*'Tax Assumptions'!$B$15,'Tax Assumptions'!$B$16))+(MIN(D162*'Tax Assumptions'!$B$17,'Tax Assumptions'!$B$18))+(LOOKUP(MAX(D162-E162-'Tax Assumptions'!$B$9,0),'Tax Assumptions'!$K$9:$K$17,'Tax Assumptions'!$N$9:$N$17)+(MAX(D162-E162-'Tax Assumptions'!$B$9,0)-LOOKUP(MAX(D162-E162-'Tax Assumptions'!$B$9,0),'Tax Assumptions'!$K$9:$K$17,'Tax Assumptions'!$K$9:$K$17))*LOOKUP(MAX(D162-E162-'Tax Assumptions'!$B$9,0),'Tax Assumptions'!$K$9:$K$17,'Tax Assumptions'!$M$9:$M$17))+(LOOKUP(MAX(D162-E162-'Tax Assumptions'!$B$9,0),'Tax Assumptions'!$P$9:$P$12,'Tax Assumptions'!$S$9:$S$12)+(MAX(D162-E162-'Tax Assumptions'!$B$9,0)-LOOKUP(MAX(D162-E162-'Tax Assumptions'!$B$9,0),'Tax Assumptions'!$P$9:$P$12,'Tax Assumptions'!$P$9:$P$12))*LOOKUP(MAX(D162-E162-'Tax Assumptions'!$B$9,0),'Tax Assumptions'!$P$9:$P$12,'Tax Assumptions'!$R$9:$R$12)))*$D$7)</f>
        <v>0</v>
      </c>
      <c r="I162" s="68">
        <f t="shared" si="54"/>
        <v>0</v>
      </c>
      <c r="J162" s="101">
        <f>IF(B162="Working",N('Savings Projection'!$S$53)*$D$8,0)</f>
        <v>0</v>
      </c>
      <c r="K162" s="101">
        <f>IF(B162="Working",N('Savings Projection'!$T$53)*$D$9,0)</f>
        <v>0</v>
      </c>
      <c r="L162" s="68">
        <f>IF(B162="Working",MIN(MAX(I162-J162-K162-AB162-AC162,0),'Tax Assumptions'!$B$20),0)</f>
        <v>0</v>
      </c>
      <c r="M162" s="68">
        <f t="shared" si="55"/>
        <v>0</v>
      </c>
      <c r="N162" s="101">
        <f t="shared" si="56"/>
        <v>0</v>
      </c>
      <c r="O162" s="101">
        <f t="shared" si="57"/>
        <v>697860.06071943045</v>
      </c>
      <c r="P162" s="101">
        <f t="shared" si="58"/>
        <v>0</v>
      </c>
      <c r="Q162" s="101">
        <f t="shared" si="68"/>
        <v>0</v>
      </c>
      <c r="R162" s="101">
        <f t="shared" si="69"/>
        <v>0</v>
      </c>
      <c r="S162" s="101">
        <f t="shared" si="70"/>
        <v>0</v>
      </c>
      <c r="T162" s="101">
        <f t="shared" si="71"/>
        <v>0</v>
      </c>
      <c r="U162" s="68">
        <f t="shared" si="72"/>
        <v>0</v>
      </c>
      <c r="V162" s="68">
        <f t="shared" si="73"/>
        <v>0</v>
      </c>
      <c r="W162" s="68">
        <f t="shared" si="74"/>
        <v>0</v>
      </c>
      <c r="X162" s="68">
        <f t="shared" si="75"/>
        <v>0</v>
      </c>
      <c r="Y162" s="68">
        <f t="shared" si="59"/>
        <v>0</v>
      </c>
      <c r="Z162" s="101">
        <f t="shared" si="60"/>
        <v>697860.06071943045</v>
      </c>
      <c r="AA162" s="102">
        <f t="shared" si="61"/>
        <v>0</v>
      </c>
      <c r="AB162" s="68">
        <f t="shared" si="62"/>
        <v>0</v>
      </c>
      <c r="AC162" s="68">
        <f t="shared" si="63"/>
        <v>457860.06071943045</v>
      </c>
      <c r="AD162" s="68">
        <f t="shared" si="64"/>
        <v>10468889.648271069</v>
      </c>
      <c r="AE162" s="68">
        <f t="shared" si="65"/>
        <v>799581.62943195365</v>
      </c>
      <c r="AF162" s="68">
        <f t="shared" si="66"/>
        <v>9669308.0188391153</v>
      </c>
      <c r="AG162" s="127">
        <f t="shared" si="67"/>
        <v>9669308.0188391153</v>
      </c>
    </row>
    <row r="163" spans="1:33" x14ac:dyDescent="0.2">
      <c r="A163" s="128">
        <v>36</v>
      </c>
      <c r="B163" s="65" t="str">
        <f t="shared" si="52"/>
        <v>Retired</v>
      </c>
      <c r="C163" s="66">
        <f>N('Savings Projection'!$B$54)</f>
        <v>0</v>
      </c>
      <c r="D163" s="66">
        <f t="shared" si="53"/>
        <v>0</v>
      </c>
      <c r="E163" s="66">
        <f>IF(OR(B163="Retired",D163=0),0,MIN(D163,'Tax Assumptions'!$B$19))</f>
        <v>0</v>
      </c>
      <c r="F163" s="66">
        <f>IF(B163="Working",N('Savings Projection'!$E$54),0)</f>
        <v>0</v>
      </c>
      <c r="G163" s="66">
        <f>IF(B163="Working",N('Savings Projection'!$F$54),0)</f>
        <v>0</v>
      </c>
      <c r="H163" s="66">
        <f>IF(D163=0,0,((LOOKUP(MAX(D163-E163-F163-'Tax Assumptions'!$B$8,0),'Tax Assumptions'!$F$9:$F$15,'Tax Assumptions'!$I$9:$I$15)+(MAX(D163-E163-F163-'Tax Assumptions'!$B$8,0)-LOOKUP(MAX(D163-E163-F163-'Tax Assumptions'!$B$8,0),'Tax Assumptions'!$F$9:$F$15,'Tax Assumptions'!$F$9:$F$15))*LOOKUP(MAX(D163-E163-F163-'Tax Assumptions'!$B$8,0),'Tax Assumptions'!$F$9:$F$15,'Tax Assumptions'!$H$9:$H$15))+(MIN(MAX(D163-F163,0),'Tax Assumptions'!$B$11)*'Tax Assumptions'!$B$10)+(MAX(D163-F163,0)*'Tax Assumptions'!$B$12)+(MAX(MAX(D163-F163,0)-'Tax Assumptions'!$B$14,0)*'Tax Assumptions'!$B$13)+(MIN(D163*'Tax Assumptions'!$B$15,'Tax Assumptions'!$B$16))+(MIN(D163*'Tax Assumptions'!$B$17,'Tax Assumptions'!$B$18))+(LOOKUP(MAX(D163-E163-'Tax Assumptions'!$B$9,0),'Tax Assumptions'!$K$9:$K$17,'Tax Assumptions'!$N$9:$N$17)+(MAX(D163-E163-'Tax Assumptions'!$B$9,0)-LOOKUP(MAX(D163-E163-'Tax Assumptions'!$B$9,0),'Tax Assumptions'!$K$9:$K$17,'Tax Assumptions'!$K$9:$K$17))*LOOKUP(MAX(D163-E163-'Tax Assumptions'!$B$9,0),'Tax Assumptions'!$K$9:$K$17,'Tax Assumptions'!$M$9:$M$17))+(LOOKUP(MAX(D163-E163-'Tax Assumptions'!$B$9,0),'Tax Assumptions'!$P$9:$P$12,'Tax Assumptions'!$S$9:$S$12)+(MAX(D163-E163-'Tax Assumptions'!$B$9,0)-LOOKUP(MAX(D163-E163-'Tax Assumptions'!$B$9,0),'Tax Assumptions'!$P$9:$P$12,'Tax Assumptions'!$P$9:$P$12))*LOOKUP(MAX(D163-E163-'Tax Assumptions'!$B$9,0),'Tax Assumptions'!$P$9:$P$12,'Tax Assumptions'!$R$9:$R$12)))*$D$7)</f>
        <v>0</v>
      </c>
      <c r="I163" s="66">
        <f t="shared" si="54"/>
        <v>0</v>
      </c>
      <c r="J163" s="66">
        <f>IF(B163="Working",N('Savings Projection'!$S$54)*$D$8,0)</f>
        <v>0</v>
      </c>
      <c r="K163" s="66">
        <f>IF(B163="Working",N('Savings Projection'!$T$54)*$D$9,0)</f>
        <v>0</v>
      </c>
      <c r="L163" s="66">
        <f>IF(B163="Working",MIN(MAX(I163-J163-K163-AB163-AC163,0),'Tax Assumptions'!$B$20),0)</f>
        <v>0</v>
      </c>
      <c r="M163" s="66">
        <f t="shared" si="55"/>
        <v>0</v>
      </c>
      <c r="N163" s="66">
        <f t="shared" si="56"/>
        <v>0</v>
      </c>
      <c r="O163" s="66">
        <f t="shared" si="57"/>
        <v>704769.52788728941</v>
      </c>
      <c r="P163" s="66">
        <f t="shared" si="58"/>
        <v>0</v>
      </c>
      <c r="Q163" s="66">
        <f t="shared" si="68"/>
        <v>0</v>
      </c>
      <c r="R163" s="66">
        <f t="shared" si="69"/>
        <v>0</v>
      </c>
      <c r="S163" s="66">
        <f t="shared" si="70"/>
        <v>0</v>
      </c>
      <c r="T163" s="66">
        <f t="shared" si="71"/>
        <v>0</v>
      </c>
      <c r="U163" s="66">
        <f t="shared" si="72"/>
        <v>0</v>
      </c>
      <c r="V163" s="66">
        <f t="shared" si="73"/>
        <v>0</v>
      </c>
      <c r="W163" s="66">
        <f t="shared" si="74"/>
        <v>0</v>
      </c>
      <c r="X163" s="66">
        <f t="shared" si="75"/>
        <v>0</v>
      </c>
      <c r="Y163" s="66">
        <f t="shared" si="59"/>
        <v>0</v>
      </c>
      <c r="Z163" s="66">
        <f t="shared" si="60"/>
        <v>704769.52788728941</v>
      </c>
      <c r="AA163" s="69">
        <f t="shared" si="61"/>
        <v>0</v>
      </c>
      <c r="AB163" s="66">
        <f t="shared" si="62"/>
        <v>0</v>
      </c>
      <c r="AC163" s="66">
        <f t="shared" si="63"/>
        <v>464769.52788728941</v>
      </c>
      <c r="AD163" s="66">
        <f t="shared" si="64"/>
        <v>10782956.337719202</v>
      </c>
      <c r="AE163" s="66">
        <f t="shared" si="65"/>
        <v>618683.7719057966</v>
      </c>
      <c r="AF163" s="66">
        <f t="shared" si="66"/>
        <v>10164272.565813405</v>
      </c>
      <c r="AG163" s="129">
        <f t="shared" si="67"/>
        <v>10164272.565813405</v>
      </c>
    </row>
    <row r="164" spans="1:33" x14ac:dyDescent="0.2">
      <c r="A164" s="126">
        <v>37</v>
      </c>
      <c r="B164" s="100" t="str">
        <f t="shared" si="52"/>
        <v>Retired</v>
      </c>
      <c r="C164" s="101">
        <f>N('Savings Projection'!$B$55)</f>
        <v>0</v>
      </c>
      <c r="D164" s="68">
        <f t="shared" si="53"/>
        <v>0</v>
      </c>
      <c r="E164" s="101">
        <f>IF(OR(B164="Retired",D164=0),0,MIN(D164,'Tax Assumptions'!$B$19))</f>
        <v>0</v>
      </c>
      <c r="F164" s="101">
        <f>IF(B164="Working",N('Savings Projection'!$E$55),0)</f>
        <v>0</v>
      </c>
      <c r="G164" s="101">
        <f>IF(B164="Working",N('Savings Projection'!$F$55),0)</f>
        <v>0</v>
      </c>
      <c r="H164" s="68">
        <f>IF(D164=0,0,((LOOKUP(MAX(D164-E164-F164-'Tax Assumptions'!$B$8,0),'Tax Assumptions'!$F$9:$F$15,'Tax Assumptions'!$I$9:$I$15)+(MAX(D164-E164-F164-'Tax Assumptions'!$B$8,0)-LOOKUP(MAX(D164-E164-F164-'Tax Assumptions'!$B$8,0),'Tax Assumptions'!$F$9:$F$15,'Tax Assumptions'!$F$9:$F$15))*LOOKUP(MAX(D164-E164-F164-'Tax Assumptions'!$B$8,0),'Tax Assumptions'!$F$9:$F$15,'Tax Assumptions'!$H$9:$H$15))+(MIN(MAX(D164-F164,0),'Tax Assumptions'!$B$11)*'Tax Assumptions'!$B$10)+(MAX(D164-F164,0)*'Tax Assumptions'!$B$12)+(MAX(MAX(D164-F164,0)-'Tax Assumptions'!$B$14,0)*'Tax Assumptions'!$B$13)+(MIN(D164*'Tax Assumptions'!$B$15,'Tax Assumptions'!$B$16))+(MIN(D164*'Tax Assumptions'!$B$17,'Tax Assumptions'!$B$18))+(LOOKUP(MAX(D164-E164-'Tax Assumptions'!$B$9,0),'Tax Assumptions'!$K$9:$K$17,'Tax Assumptions'!$N$9:$N$17)+(MAX(D164-E164-'Tax Assumptions'!$B$9,0)-LOOKUP(MAX(D164-E164-'Tax Assumptions'!$B$9,0),'Tax Assumptions'!$K$9:$K$17,'Tax Assumptions'!$K$9:$K$17))*LOOKUP(MAX(D164-E164-'Tax Assumptions'!$B$9,0),'Tax Assumptions'!$K$9:$K$17,'Tax Assumptions'!$M$9:$M$17))+(LOOKUP(MAX(D164-E164-'Tax Assumptions'!$B$9,0),'Tax Assumptions'!$P$9:$P$12,'Tax Assumptions'!$S$9:$S$12)+(MAX(D164-E164-'Tax Assumptions'!$B$9,0)-LOOKUP(MAX(D164-E164-'Tax Assumptions'!$B$9,0),'Tax Assumptions'!$P$9:$P$12,'Tax Assumptions'!$P$9:$P$12))*LOOKUP(MAX(D164-E164-'Tax Assumptions'!$B$9,0),'Tax Assumptions'!$P$9:$P$12,'Tax Assumptions'!$R$9:$R$12)))*$D$7)</f>
        <v>0</v>
      </c>
      <c r="I164" s="68">
        <f t="shared" si="54"/>
        <v>0</v>
      </c>
      <c r="J164" s="101">
        <f>IF(B164="Working",N('Savings Projection'!$S$55)*$D$8,0)</f>
        <v>0</v>
      </c>
      <c r="K164" s="101">
        <f>IF(B164="Working",N('Savings Projection'!$T$55)*$D$9,0)</f>
        <v>0</v>
      </c>
      <c r="L164" s="68">
        <f>IF(B164="Working",MIN(MAX(I164-J164-K164-AB164-AC164,0),'Tax Assumptions'!$B$20),0)</f>
        <v>0</v>
      </c>
      <c r="M164" s="68">
        <f t="shared" si="55"/>
        <v>0</v>
      </c>
      <c r="N164" s="101">
        <f t="shared" si="56"/>
        <v>0</v>
      </c>
      <c r="O164" s="101">
        <f t="shared" si="57"/>
        <v>711886.27907018398</v>
      </c>
      <c r="P164" s="101">
        <f t="shared" si="58"/>
        <v>0</v>
      </c>
      <c r="Q164" s="101">
        <f t="shared" si="68"/>
        <v>0</v>
      </c>
      <c r="R164" s="101">
        <f t="shared" si="69"/>
        <v>0</v>
      </c>
      <c r="S164" s="101">
        <f t="shared" si="70"/>
        <v>0</v>
      </c>
      <c r="T164" s="101">
        <f t="shared" si="71"/>
        <v>0</v>
      </c>
      <c r="U164" s="68">
        <f t="shared" si="72"/>
        <v>0</v>
      </c>
      <c r="V164" s="68">
        <f t="shared" si="73"/>
        <v>0</v>
      </c>
      <c r="W164" s="68">
        <f t="shared" si="74"/>
        <v>0</v>
      </c>
      <c r="X164" s="68">
        <f t="shared" si="75"/>
        <v>0</v>
      </c>
      <c r="Y164" s="68">
        <f t="shared" si="59"/>
        <v>0</v>
      </c>
      <c r="Z164" s="101">
        <f t="shared" si="60"/>
        <v>711886.27907018398</v>
      </c>
      <c r="AA164" s="102">
        <f t="shared" si="61"/>
        <v>0</v>
      </c>
      <c r="AB164" s="68">
        <f t="shared" si="62"/>
        <v>0</v>
      </c>
      <c r="AC164" s="68">
        <f t="shared" si="63"/>
        <v>471886.27907018398</v>
      </c>
      <c r="AD164" s="68">
        <f t="shared" si="64"/>
        <v>11106445.027850777</v>
      </c>
      <c r="AE164" s="68">
        <f t="shared" si="65"/>
        <v>425670.84983781725</v>
      </c>
      <c r="AF164" s="68">
        <f t="shared" si="66"/>
        <v>10680774.17801296</v>
      </c>
      <c r="AG164" s="127">
        <f t="shared" si="67"/>
        <v>10680774.17801296</v>
      </c>
    </row>
    <row r="165" spans="1:33" x14ac:dyDescent="0.2">
      <c r="A165" s="128">
        <v>38</v>
      </c>
      <c r="B165" s="65" t="str">
        <f t="shared" si="52"/>
        <v>Retired</v>
      </c>
      <c r="C165" s="66">
        <f>N('Savings Projection'!$B$56)</f>
        <v>0</v>
      </c>
      <c r="D165" s="66">
        <f t="shared" si="53"/>
        <v>0</v>
      </c>
      <c r="E165" s="66">
        <f>IF(OR(B165="Retired",D165=0),0,MIN(D165,'Tax Assumptions'!$B$19))</f>
        <v>0</v>
      </c>
      <c r="F165" s="66">
        <f>IF(B165="Working",N('Savings Projection'!$E$56),0)</f>
        <v>0</v>
      </c>
      <c r="G165" s="66">
        <f>IF(B165="Working",N('Savings Projection'!$F$56),0)</f>
        <v>0</v>
      </c>
      <c r="H165" s="66">
        <f>IF(D165=0,0,((LOOKUP(MAX(D165-E165-F165-'Tax Assumptions'!$B$8,0),'Tax Assumptions'!$F$9:$F$15,'Tax Assumptions'!$I$9:$I$15)+(MAX(D165-E165-F165-'Tax Assumptions'!$B$8,0)-LOOKUP(MAX(D165-E165-F165-'Tax Assumptions'!$B$8,0),'Tax Assumptions'!$F$9:$F$15,'Tax Assumptions'!$F$9:$F$15))*LOOKUP(MAX(D165-E165-F165-'Tax Assumptions'!$B$8,0),'Tax Assumptions'!$F$9:$F$15,'Tax Assumptions'!$H$9:$H$15))+(MIN(MAX(D165-F165,0),'Tax Assumptions'!$B$11)*'Tax Assumptions'!$B$10)+(MAX(D165-F165,0)*'Tax Assumptions'!$B$12)+(MAX(MAX(D165-F165,0)-'Tax Assumptions'!$B$14,0)*'Tax Assumptions'!$B$13)+(MIN(D165*'Tax Assumptions'!$B$15,'Tax Assumptions'!$B$16))+(MIN(D165*'Tax Assumptions'!$B$17,'Tax Assumptions'!$B$18))+(LOOKUP(MAX(D165-E165-'Tax Assumptions'!$B$9,0),'Tax Assumptions'!$K$9:$K$17,'Tax Assumptions'!$N$9:$N$17)+(MAX(D165-E165-'Tax Assumptions'!$B$9,0)-LOOKUP(MAX(D165-E165-'Tax Assumptions'!$B$9,0),'Tax Assumptions'!$K$9:$K$17,'Tax Assumptions'!$K$9:$K$17))*LOOKUP(MAX(D165-E165-'Tax Assumptions'!$B$9,0),'Tax Assumptions'!$K$9:$K$17,'Tax Assumptions'!$M$9:$M$17))+(LOOKUP(MAX(D165-E165-'Tax Assumptions'!$B$9,0),'Tax Assumptions'!$P$9:$P$12,'Tax Assumptions'!$S$9:$S$12)+(MAX(D165-E165-'Tax Assumptions'!$B$9,0)-LOOKUP(MAX(D165-E165-'Tax Assumptions'!$B$9,0),'Tax Assumptions'!$P$9:$P$12,'Tax Assumptions'!$P$9:$P$12))*LOOKUP(MAX(D165-E165-'Tax Assumptions'!$B$9,0),'Tax Assumptions'!$P$9:$P$12,'Tax Assumptions'!$R$9:$R$12)))*$D$7)</f>
        <v>0</v>
      </c>
      <c r="I165" s="66">
        <f t="shared" si="54"/>
        <v>0</v>
      </c>
      <c r="J165" s="66">
        <f>IF(B165="Working",N('Savings Projection'!$S$56)*$D$8,0)</f>
        <v>0</v>
      </c>
      <c r="K165" s="66">
        <f>IF(B165="Working",N('Savings Projection'!$T$56)*$D$9,0)</f>
        <v>0</v>
      </c>
      <c r="L165" s="66">
        <f>IF(B165="Working",MIN(MAX(I165-J165-K165-AB165-AC165,0),'Tax Assumptions'!$B$20),0)</f>
        <v>0</v>
      </c>
      <c r="M165" s="66">
        <f t="shared" si="55"/>
        <v>0</v>
      </c>
      <c r="N165" s="66">
        <f t="shared" si="56"/>
        <v>0</v>
      </c>
      <c r="O165" s="66">
        <f t="shared" si="57"/>
        <v>719216.53278856562</v>
      </c>
      <c r="P165" s="66">
        <f t="shared" si="58"/>
        <v>0</v>
      </c>
      <c r="Q165" s="66">
        <f t="shared" si="68"/>
        <v>0</v>
      </c>
      <c r="R165" s="66">
        <f t="shared" si="69"/>
        <v>0</v>
      </c>
      <c r="S165" s="66">
        <f t="shared" si="70"/>
        <v>0</v>
      </c>
      <c r="T165" s="66">
        <f t="shared" si="71"/>
        <v>0</v>
      </c>
      <c r="U165" s="66">
        <f t="shared" si="72"/>
        <v>0</v>
      </c>
      <c r="V165" s="66">
        <f t="shared" si="73"/>
        <v>0</v>
      </c>
      <c r="W165" s="66">
        <f t="shared" si="74"/>
        <v>0</v>
      </c>
      <c r="X165" s="66">
        <f t="shared" si="75"/>
        <v>0</v>
      </c>
      <c r="Y165" s="66">
        <f t="shared" si="59"/>
        <v>0</v>
      </c>
      <c r="Z165" s="66">
        <f t="shared" si="60"/>
        <v>719216.53278856562</v>
      </c>
      <c r="AA165" s="69">
        <f t="shared" si="61"/>
        <v>0</v>
      </c>
      <c r="AB165" s="66">
        <f t="shared" si="62"/>
        <v>0</v>
      </c>
      <c r="AC165" s="66">
        <f t="shared" si="63"/>
        <v>479216.53278856556</v>
      </c>
      <c r="AD165" s="66">
        <f t="shared" si="64"/>
        <v>11439638.378686301</v>
      </c>
      <c r="AE165" s="66">
        <f t="shared" si="65"/>
        <v>219731.49491852149</v>
      </c>
      <c r="AF165" s="66">
        <f t="shared" si="66"/>
        <v>11219906.88376778</v>
      </c>
      <c r="AG165" s="129">
        <f t="shared" si="67"/>
        <v>11219906.88376778</v>
      </c>
    </row>
    <row r="166" spans="1:33" x14ac:dyDescent="0.2">
      <c r="A166" s="126">
        <v>39</v>
      </c>
      <c r="B166" s="100" t="str">
        <f t="shared" si="52"/>
        <v>Retired</v>
      </c>
      <c r="C166" s="101">
        <f>N('Savings Projection'!$B$57)</f>
        <v>0</v>
      </c>
      <c r="D166" s="68">
        <f t="shared" si="53"/>
        <v>0</v>
      </c>
      <c r="E166" s="101">
        <f>IF(OR(B166="Retired",D166=0),0,MIN(D166,'Tax Assumptions'!$B$19))</f>
        <v>0</v>
      </c>
      <c r="F166" s="101">
        <f>IF(B166="Working",N('Savings Projection'!$E$57),0)</f>
        <v>0</v>
      </c>
      <c r="G166" s="101">
        <f>IF(B166="Working",N('Savings Projection'!$F$57),0)</f>
        <v>0</v>
      </c>
      <c r="H166" s="68">
        <f>IF(D166=0,0,((LOOKUP(MAX(D166-E166-F166-'Tax Assumptions'!$B$8,0),'Tax Assumptions'!$F$9:$F$15,'Tax Assumptions'!$I$9:$I$15)+(MAX(D166-E166-F166-'Tax Assumptions'!$B$8,0)-LOOKUP(MAX(D166-E166-F166-'Tax Assumptions'!$B$8,0),'Tax Assumptions'!$F$9:$F$15,'Tax Assumptions'!$F$9:$F$15))*LOOKUP(MAX(D166-E166-F166-'Tax Assumptions'!$B$8,0),'Tax Assumptions'!$F$9:$F$15,'Tax Assumptions'!$H$9:$H$15))+(MIN(MAX(D166-F166,0),'Tax Assumptions'!$B$11)*'Tax Assumptions'!$B$10)+(MAX(D166-F166,0)*'Tax Assumptions'!$B$12)+(MAX(MAX(D166-F166,0)-'Tax Assumptions'!$B$14,0)*'Tax Assumptions'!$B$13)+(MIN(D166*'Tax Assumptions'!$B$15,'Tax Assumptions'!$B$16))+(MIN(D166*'Tax Assumptions'!$B$17,'Tax Assumptions'!$B$18))+(LOOKUP(MAX(D166-E166-'Tax Assumptions'!$B$9,0),'Tax Assumptions'!$K$9:$K$17,'Tax Assumptions'!$N$9:$N$17)+(MAX(D166-E166-'Tax Assumptions'!$B$9,0)-LOOKUP(MAX(D166-E166-'Tax Assumptions'!$B$9,0),'Tax Assumptions'!$K$9:$K$17,'Tax Assumptions'!$K$9:$K$17))*LOOKUP(MAX(D166-E166-'Tax Assumptions'!$B$9,0),'Tax Assumptions'!$K$9:$K$17,'Tax Assumptions'!$M$9:$M$17))+(LOOKUP(MAX(D166-E166-'Tax Assumptions'!$B$9,0),'Tax Assumptions'!$P$9:$P$12,'Tax Assumptions'!$S$9:$S$12)+(MAX(D166-E166-'Tax Assumptions'!$B$9,0)-LOOKUP(MAX(D166-E166-'Tax Assumptions'!$B$9,0),'Tax Assumptions'!$P$9:$P$12,'Tax Assumptions'!$P$9:$P$12))*LOOKUP(MAX(D166-E166-'Tax Assumptions'!$B$9,0),'Tax Assumptions'!$P$9:$P$12,'Tax Assumptions'!$R$9:$R$12)))*$D$7)</f>
        <v>0</v>
      </c>
      <c r="I166" s="68">
        <f t="shared" si="54"/>
        <v>0</v>
      </c>
      <c r="J166" s="101">
        <f>IF(B166="Working",N('Savings Projection'!$S$57)*$D$8,0)</f>
        <v>0</v>
      </c>
      <c r="K166" s="101">
        <f>IF(B166="Working",N('Savings Projection'!$T$57)*$D$9,0)</f>
        <v>0</v>
      </c>
      <c r="L166" s="68">
        <f>IF(B166="Working",MIN(MAX(I166-J166-K166-AB166-AC166,0),'Tax Assumptions'!$B$20),0)</f>
        <v>0</v>
      </c>
      <c r="M166" s="68">
        <f t="shared" si="55"/>
        <v>0</v>
      </c>
      <c r="N166" s="101">
        <f t="shared" si="56"/>
        <v>0</v>
      </c>
      <c r="O166" s="101">
        <f t="shared" si="57"/>
        <v>726766.69411849848</v>
      </c>
      <c r="P166" s="101">
        <f t="shared" si="58"/>
        <v>0</v>
      </c>
      <c r="Q166" s="101">
        <f t="shared" si="68"/>
        <v>0</v>
      </c>
      <c r="R166" s="101">
        <f t="shared" si="69"/>
        <v>0</v>
      </c>
      <c r="S166" s="101">
        <f t="shared" si="70"/>
        <v>0</v>
      </c>
      <c r="T166" s="101">
        <f t="shared" si="71"/>
        <v>0</v>
      </c>
      <c r="U166" s="68">
        <f t="shared" si="72"/>
        <v>0</v>
      </c>
      <c r="V166" s="68">
        <f t="shared" si="73"/>
        <v>0</v>
      </c>
      <c r="W166" s="68">
        <f t="shared" si="74"/>
        <v>0</v>
      </c>
      <c r="X166" s="68">
        <f t="shared" si="75"/>
        <v>0</v>
      </c>
      <c r="Y166" s="68">
        <f t="shared" si="59"/>
        <v>0</v>
      </c>
      <c r="Z166" s="101">
        <f t="shared" si="60"/>
        <v>726766.69411849848</v>
      </c>
      <c r="AA166" s="102">
        <f t="shared" si="61"/>
        <v>0</v>
      </c>
      <c r="AB166" s="68">
        <f t="shared" si="62"/>
        <v>0</v>
      </c>
      <c r="AC166" s="68">
        <f t="shared" si="63"/>
        <v>486766.69411849848</v>
      </c>
      <c r="AD166" s="68">
        <f t="shared" si="64"/>
        <v>11782827.53004689</v>
      </c>
      <c r="AE166" s="68">
        <f t="shared" si="65"/>
        <v>0</v>
      </c>
      <c r="AF166" s="68">
        <f t="shared" si="66"/>
        <v>11782827.53004689</v>
      </c>
      <c r="AG166" s="127">
        <f t="shared" si="67"/>
        <v>11782827.53004689</v>
      </c>
    </row>
    <row r="167" spans="1:33" x14ac:dyDescent="0.2">
      <c r="A167" s="128">
        <v>40</v>
      </c>
      <c r="B167" s="65" t="str">
        <f t="shared" si="52"/>
        <v>Retired</v>
      </c>
      <c r="C167" s="66">
        <f>N('Savings Projection'!$B$58)</f>
        <v>0</v>
      </c>
      <c r="D167" s="66">
        <f t="shared" si="53"/>
        <v>0</v>
      </c>
      <c r="E167" s="66">
        <f>IF(OR(B167="Retired",D167=0),0,MIN(D167,'Tax Assumptions'!$B$19))</f>
        <v>0</v>
      </c>
      <c r="F167" s="66">
        <f>IF(B167="Working",N('Savings Projection'!$E$58),0)</f>
        <v>0</v>
      </c>
      <c r="G167" s="66">
        <f>IF(B167="Working",N('Savings Projection'!$F$58),0)</f>
        <v>0</v>
      </c>
      <c r="H167" s="66">
        <f>IF(D167=0,0,((LOOKUP(MAX(D167-E167-F167-'Tax Assumptions'!$B$8,0),'Tax Assumptions'!$F$9:$F$15,'Tax Assumptions'!$I$9:$I$15)+(MAX(D167-E167-F167-'Tax Assumptions'!$B$8,0)-LOOKUP(MAX(D167-E167-F167-'Tax Assumptions'!$B$8,0),'Tax Assumptions'!$F$9:$F$15,'Tax Assumptions'!$F$9:$F$15))*LOOKUP(MAX(D167-E167-F167-'Tax Assumptions'!$B$8,0),'Tax Assumptions'!$F$9:$F$15,'Tax Assumptions'!$H$9:$H$15))+(MIN(MAX(D167-F167,0),'Tax Assumptions'!$B$11)*'Tax Assumptions'!$B$10)+(MAX(D167-F167,0)*'Tax Assumptions'!$B$12)+(MAX(MAX(D167-F167,0)-'Tax Assumptions'!$B$14,0)*'Tax Assumptions'!$B$13)+(MIN(D167*'Tax Assumptions'!$B$15,'Tax Assumptions'!$B$16))+(MIN(D167*'Tax Assumptions'!$B$17,'Tax Assumptions'!$B$18))+(LOOKUP(MAX(D167-E167-'Tax Assumptions'!$B$9,0),'Tax Assumptions'!$K$9:$K$17,'Tax Assumptions'!$N$9:$N$17)+(MAX(D167-E167-'Tax Assumptions'!$B$9,0)-LOOKUP(MAX(D167-E167-'Tax Assumptions'!$B$9,0),'Tax Assumptions'!$K$9:$K$17,'Tax Assumptions'!$K$9:$K$17))*LOOKUP(MAX(D167-E167-'Tax Assumptions'!$B$9,0),'Tax Assumptions'!$K$9:$K$17,'Tax Assumptions'!$M$9:$M$17))+(LOOKUP(MAX(D167-E167-'Tax Assumptions'!$B$9,0),'Tax Assumptions'!$P$9:$P$12,'Tax Assumptions'!$S$9:$S$12)+(MAX(D167-E167-'Tax Assumptions'!$B$9,0)-LOOKUP(MAX(D167-E167-'Tax Assumptions'!$B$9,0),'Tax Assumptions'!$P$9:$P$12,'Tax Assumptions'!$P$9:$P$12))*LOOKUP(MAX(D167-E167-'Tax Assumptions'!$B$9,0),'Tax Assumptions'!$P$9:$P$12,'Tax Assumptions'!$R$9:$R$12)))*$D$7)</f>
        <v>0</v>
      </c>
      <c r="I167" s="66">
        <f t="shared" si="54"/>
        <v>0</v>
      </c>
      <c r="J167" s="66">
        <f>IF(B167="Working",N('Savings Projection'!$S$58)*$D$8,0)</f>
        <v>0</v>
      </c>
      <c r="K167" s="66">
        <f>IF(B167="Working",N('Savings Projection'!$T$58)*$D$9,0)</f>
        <v>0</v>
      </c>
      <c r="L167" s="66">
        <f>IF(B167="Working",MIN(MAX(I167-J167-K167-AB167-AC167,0),'Tax Assumptions'!$B$20),0)</f>
        <v>0</v>
      </c>
      <c r="M167" s="66">
        <f t="shared" si="55"/>
        <v>0</v>
      </c>
      <c r="N167" s="66">
        <f t="shared" si="56"/>
        <v>0</v>
      </c>
      <c r="O167" s="66">
        <f t="shared" si="57"/>
        <v>506998.87183086248</v>
      </c>
      <c r="P167" s="66">
        <f t="shared" si="58"/>
        <v>0</v>
      </c>
      <c r="Q167" s="66">
        <f t="shared" si="68"/>
        <v>0</v>
      </c>
      <c r="R167" s="66">
        <f t="shared" si="69"/>
        <v>0</v>
      </c>
      <c r="S167" s="66">
        <f t="shared" si="70"/>
        <v>0</v>
      </c>
      <c r="T167" s="66">
        <f t="shared" si="71"/>
        <v>0</v>
      </c>
      <c r="U167" s="66">
        <f t="shared" si="72"/>
        <v>0</v>
      </c>
      <c r="V167" s="66">
        <f t="shared" si="73"/>
        <v>0</v>
      </c>
      <c r="W167" s="66">
        <f t="shared" si="74"/>
        <v>0</v>
      </c>
      <c r="X167" s="66">
        <f t="shared" si="75"/>
        <v>0</v>
      </c>
      <c r="Y167" s="66">
        <f t="shared" si="59"/>
        <v>0</v>
      </c>
      <c r="Z167" s="66">
        <f t="shared" si="60"/>
        <v>506998.87183086248</v>
      </c>
      <c r="AA167" s="69">
        <f t="shared" si="61"/>
        <v>0</v>
      </c>
      <c r="AB167" s="66">
        <f t="shared" si="62"/>
        <v>0</v>
      </c>
      <c r="AC167" s="66">
        <f t="shared" si="63"/>
        <v>266998.87183086248</v>
      </c>
      <c r="AD167" s="66">
        <f t="shared" si="64"/>
        <v>12136312.355948295</v>
      </c>
      <c r="AE167" s="66">
        <f t="shared" si="65"/>
        <v>0</v>
      </c>
      <c r="AF167" s="66">
        <f t="shared" si="66"/>
        <v>12136312.355948295</v>
      </c>
      <c r="AG167" s="129">
        <f t="shared" si="67"/>
        <v>12136312.355948295</v>
      </c>
    </row>
    <row r="168" spans="1:33" x14ac:dyDescent="0.2">
      <c r="A168" s="130" t="s">
        <v>277</v>
      </c>
      <c r="B168" s="131"/>
      <c r="C168" s="131"/>
      <c r="D168" s="132">
        <f t="shared" ref="D168:T168" si="76">SUM(D128:D167)</f>
        <v>11741678.712361477</v>
      </c>
      <c r="E168" s="132">
        <f t="shared" si="76"/>
        <v>220500</v>
      </c>
      <c r="F168" s="132">
        <f t="shared" si="76"/>
        <v>0</v>
      </c>
      <c r="G168" s="132">
        <f t="shared" si="76"/>
        <v>0</v>
      </c>
      <c r="H168" s="132">
        <f t="shared" si="76"/>
        <v>5315775.8910198072</v>
      </c>
      <c r="I168" s="132">
        <f t="shared" si="76"/>
        <v>6205402.8213416701</v>
      </c>
      <c r="J168" s="132">
        <f t="shared" si="76"/>
        <v>842215.72952088492</v>
      </c>
      <c r="K168" s="132">
        <f t="shared" si="76"/>
        <v>526667.73089264031</v>
      </c>
      <c r="L168" s="132">
        <f t="shared" si="76"/>
        <v>67500</v>
      </c>
      <c r="M168" s="132">
        <f t="shared" si="76"/>
        <v>4769019.3609281443</v>
      </c>
      <c r="N168" s="132">
        <f t="shared" si="76"/>
        <v>-6317441.7229842898</v>
      </c>
      <c r="O168" s="132">
        <f t="shared" si="76"/>
        <v>21891629.25325029</v>
      </c>
      <c r="P168" s="132">
        <f t="shared" si="76"/>
        <v>11374461.083912436</v>
      </c>
      <c r="Q168" s="132">
        <f t="shared" si="76"/>
        <v>9901336.9409158118</v>
      </c>
      <c r="R168" s="132">
        <f t="shared" si="76"/>
        <v>1101685.22348445</v>
      </c>
      <c r="S168" s="132">
        <f t="shared" si="76"/>
        <v>371438.91951217357</v>
      </c>
      <c r="T168" s="132">
        <f t="shared" si="76"/>
        <v>0</v>
      </c>
      <c r="U168" s="132">
        <f t="shared" ref="U168:Z168" si="77">U167</f>
        <v>0</v>
      </c>
      <c r="V168" s="132">
        <f t="shared" si="77"/>
        <v>0</v>
      </c>
      <c r="W168" s="132">
        <f t="shared" si="77"/>
        <v>0</v>
      </c>
      <c r="X168" s="132">
        <f t="shared" si="77"/>
        <v>0</v>
      </c>
      <c r="Y168" s="132">
        <f t="shared" si="77"/>
        <v>0</v>
      </c>
      <c r="Z168" s="132">
        <f t="shared" si="77"/>
        <v>506998.87183086248</v>
      </c>
      <c r="AA168" s="133">
        <f>AVERAGEIF(AA128:AA167,"&gt;0",AA128:AA167)</f>
        <v>0.41846168702039765</v>
      </c>
      <c r="AB168" s="132">
        <f>SUM(AB128:AB167)</f>
        <v>2125000</v>
      </c>
      <c r="AC168" s="132">
        <f>SUM(AC128:AC167)</f>
        <v>12326629.25325029</v>
      </c>
      <c r="AD168" s="132">
        <f>AD167</f>
        <v>12136312.355948295</v>
      </c>
      <c r="AE168" s="132">
        <f>AE167</f>
        <v>0</v>
      </c>
      <c r="AF168" s="132">
        <f>AF167</f>
        <v>12136312.355948295</v>
      </c>
      <c r="AG168" s="134">
        <f>AG167</f>
        <v>12136312.355948295</v>
      </c>
    </row>
    <row r="169" spans="1:33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8" t="s">
        <v>315</v>
      </c>
      <c r="L171" s="35"/>
      <c r="M171" s="35"/>
      <c r="N171" s="3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79" t="s">
        <v>224</v>
      </c>
      <c r="L172" s="80" t="str">
        <f>B5</f>
        <v>Downside</v>
      </c>
      <c r="M172" s="81" t="str">
        <f>C5</f>
        <v>Base</v>
      </c>
      <c r="N172" s="82" t="str">
        <f>D5</f>
        <v>Upside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135">
        <v>1</v>
      </c>
      <c r="L173" s="10">
        <f t="shared" ref="L173:L212" si="78">Y32</f>
        <v>289500.76879999996</v>
      </c>
      <c r="M173" s="10">
        <f t="shared" ref="M173:M212" si="79">Y80</f>
        <v>368165.47</v>
      </c>
      <c r="N173" s="86">
        <f t="shared" ref="N173:N212" si="80">Y128</f>
        <v>430953.41389999999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135">
        <v>2</v>
      </c>
      <c r="L174" s="10">
        <f t="shared" si="78"/>
        <v>379538.07835199998</v>
      </c>
      <c r="M174" s="10">
        <f t="shared" si="79"/>
        <v>524485.36820000003</v>
      </c>
      <c r="N174" s="86">
        <f t="shared" si="80"/>
        <v>645385.27305099997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135">
        <v>3</v>
      </c>
      <c r="L175" s="10">
        <f t="shared" si="78"/>
        <v>557953.32028608001</v>
      </c>
      <c r="M175" s="10">
        <f t="shared" si="79"/>
        <v>812229.7602919999</v>
      </c>
      <c r="N175" s="86">
        <f t="shared" si="80"/>
        <v>1029397.75152559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135">
        <v>4</v>
      </c>
      <c r="L176" s="10">
        <f t="shared" si="78"/>
        <v>767636.42339752312</v>
      </c>
      <c r="M176" s="10">
        <f t="shared" si="79"/>
        <v>1150731.9599095201</v>
      </c>
      <c r="N176" s="86">
        <f t="shared" si="80"/>
        <v>1489929.7157628932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135">
        <v>5</v>
      </c>
      <c r="L177" s="10">
        <f t="shared" si="78"/>
        <v>1057322.3634914751</v>
      </c>
      <c r="M177" s="10">
        <f t="shared" si="79"/>
        <v>1607112.0601069673</v>
      </c>
      <c r="N177" s="86">
        <f t="shared" si="80"/>
        <v>2112307.7352881236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135">
        <v>6</v>
      </c>
      <c r="L178" s="10">
        <f t="shared" si="78"/>
        <v>1411364.5377450588</v>
      </c>
      <c r="M178" s="10">
        <f t="shared" si="79"/>
        <v>2166393.2688241508</v>
      </c>
      <c r="N178" s="86">
        <f t="shared" si="80"/>
        <v>2880159.8699628506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135">
        <v>7</v>
      </c>
      <c r="L179" s="10">
        <f t="shared" si="78"/>
        <v>1882747.0825189699</v>
      </c>
      <c r="M179" s="10">
        <f t="shared" si="79"/>
        <v>2895807.8170600096</v>
      </c>
      <c r="N179" s="86">
        <f t="shared" si="80"/>
        <v>3887335.9904359151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135">
        <v>8</v>
      </c>
      <c r="L180" s="10">
        <f t="shared" si="78"/>
        <v>2522984.2120018741</v>
      </c>
      <c r="M180" s="10">
        <f t="shared" si="79"/>
        <v>3878220.2465237915</v>
      </c>
      <c r="N180" s="86">
        <f t="shared" si="80"/>
        <v>5245522.2665733062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135">
        <v>9</v>
      </c>
      <c r="L181" s="10">
        <f t="shared" si="78"/>
        <v>3238732.8812221298</v>
      </c>
      <c r="M181" s="10">
        <f t="shared" si="79"/>
        <v>4991010.7228063662</v>
      </c>
      <c r="N181" s="86">
        <f t="shared" si="80"/>
        <v>6815408.6424131179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135">
        <v>10</v>
      </c>
      <c r="L182" s="10">
        <f t="shared" si="78"/>
        <v>1797689.4875999922</v>
      </c>
      <c r="M182" s="10">
        <f t="shared" si="79"/>
        <v>3736659.1927112164</v>
      </c>
      <c r="N182" s="86">
        <f t="shared" si="80"/>
        <v>4726250.9317728337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135">
        <v>11</v>
      </c>
      <c r="L183" s="10">
        <f t="shared" si="78"/>
        <v>1351167.7623646094</v>
      </c>
      <c r="M183" s="10">
        <f t="shared" si="79"/>
        <v>3438976.296521211</v>
      </c>
      <c r="N183" s="86">
        <f t="shared" si="80"/>
        <v>4570769.0271749217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135">
        <v>12</v>
      </c>
      <c r="L184" s="10">
        <f t="shared" si="78"/>
        <v>883386.16811981122</v>
      </c>
      <c r="M184" s="10">
        <f t="shared" si="79"/>
        <v>3120033.4265598059</v>
      </c>
      <c r="N184" s="86">
        <f t="shared" si="80"/>
        <v>4397894.7511631986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135">
        <v>13</v>
      </c>
      <c r="L185" s="10">
        <f t="shared" si="78"/>
        <v>393392.34010522126</v>
      </c>
      <c r="M185" s="10">
        <f t="shared" si="79"/>
        <v>2778453.0144007164</v>
      </c>
      <c r="N185" s="86">
        <f t="shared" si="80"/>
        <v>4205960.8203104194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135">
        <v>14</v>
      </c>
      <c r="L186" s="10">
        <f t="shared" si="78"/>
        <v>0</v>
      </c>
      <c r="M186" s="10">
        <f t="shared" si="79"/>
        <v>2412771.7784120808</v>
      </c>
      <c r="N186" s="86">
        <f t="shared" si="80"/>
        <v>3993146.8365808902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135">
        <v>15</v>
      </c>
      <c r="L187" s="10">
        <f t="shared" si="78"/>
        <v>0</v>
      </c>
      <c r="M187" s="10">
        <f t="shared" si="79"/>
        <v>2021435.4891911282</v>
      </c>
      <c r="N187" s="86">
        <f t="shared" si="80"/>
        <v>3757465.4152427036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135">
        <v>16</v>
      </c>
      <c r="L188" s="10">
        <f t="shared" si="78"/>
        <v>0</v>
      </c>
      <c r="M188" s="10">
        <f t="shared" si="79"/>
        <v>1602793.4181717278</v>
      </c>
      <c r="N188" s="86">
        <f t="shared" si="80"/>
        <v>3496747.0615388909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135">
        <v>17</v>
      </c>
      <c r="L189" s="10">
        <f t="shared" si="78"/>
        <v>0</v>
      </c>
      <c r="M189" s="10">
        <f t="shared" si="79"/>
        <v>1155092.4503126177</v>
      </c>
      <c r="N189" s="86">
        <f t="shared" si="80"/>
        <v>3208623.683423188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135">
        <v>18</v>
      </c>
      <c r="L190" s="10">
        <f t="shared" si="78"/>
        <v>0</v>
      </c>
      <c r="M190" s="10">
        <f t="shared" si="79"/>
        <v>676470.84062605922</v>
      </c>
      <c r="N190" s="86">
        <f t="shared" si="80"/>
        <v>2890510.6175211705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135">
        <v>19</v>
      </c>
      <c r="L191" s="10">
        <f t="shared" si="78"/>
        <v>0</v>
      </c>
      <c r="M191" s="10">
        <f t="shared" si="79"/>
        <v>164951.59308972783</v>
      </c>
      <c r="N191" s="86">
        <f t="shared" si="80"/>
        <v>2539587.0344193918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135">
        <v>20</v>
      </c>
      <c r="L192" s="10">
        <f t="shared" si="78"/>
        <v>0</v>
      </c>
      <c r="M192" s="10">
        <f t="shared" si="79"/>
        <v>0</v>
      </c>
      <c r="N192" s="86">
        <f t="shared" si="80"/>
        <v>2152774.5773318172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135">
        <v>21</v>
      </c>
      <c r="L193" s="10">
        <f t="shared" si="78"/>
        <v>0</v>
      </c>
      <c r="M193" s="10">
        <f t="shared" si="79"/>
        <v>0</v>
      </c>
      <c r="N193" s="86">
        <f t="shared" si="80"/>
        <v>1726714.0750545254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135">
        <v>22</v>
      </c>
      <c r="L194" s="10">
        <f t="shared" si="78"/>
        <v>0</v>
      </c>
      <c r="M194" s="10">
        <f t="shared" si="79"/>
        <v>0</v>
      </c>
      <c r="N194" s="86">
        <f t="shared" si="80"/>
        <v>1257740.1557988862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135">
        <v>23</v>
      </c>
      <c r="L195" s="10">
        <f t="shared" si="78"/>
        <v>0</v>
      </c>
      <c r="M195" s="10">
        <f t="shared" si="79"/>
        <v>0</v>
      </c>
      <c r="N195" s="86">
        <f t="shared" si="80"/>
        <v>741853.57288364717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135">
        <v>24</v>
      </c>
      <c r="L196" s="10">
        <f t="shared" si="78"/>
        <v>0</v>
      </c>
      <c r="M196" s="10">
        <f t="shared" si="79"/>
        <v>0</v>
      </c>
      <c r="N196" s="86">
        <f t="shared" si="80"/>
        <v>174691.03625164629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135">
        <v>25</v>
      </c>
      <c r="L197" s="10">
        <f t="shared" si="78"/>
        <v>0</v>
      </c>
      <c r="M197" s="10">
        <f t="shared" si="79"/>
        <v>0</v>
      </c>
      <c r="N197" s="86">
        <f t="shared" si="80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135">
        <v>26</v>
      </c>
      <c r="L198" s="10">
        <f t="shared" si="78"/>
        <v>0</v>
      </c>
      <c r="M198" s="10">
        <f t="shared" si="79"/>
        <v>0</v>
      </c>
      <c r="N198" s="86">
        <f t="shared" si="80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135">
        <v>27</v>
      </c>
      <c r="L199" s="10">
        <f t="shared" si="78"/>
        <v>0</v>
      </c>
      <c r="M199" s="10">
        <f t="shared" si="79"/>
        <v>0</v>
      </c>
      <c r="N199" s="86">
        <f t="shared" si="80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135">
        <v>28</v>
      </c>
      <c r="L200" s="10">
        <f t="shared" si="78"/>
        <v>0</v>
      </c>
      <c r="M200" s="10">
        <f t="shared" si="79"/>
        <v>0</v>
      </c>
      <c r="N200" s="86">
        <f t="shared" si="80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135">
        <v>29</v>
      </c>
      <c r="L201" s="10">
        <f t="shared" si="78"/>
        <v>0</v>
      </c>
      <c r="M201" s="10">
        <f t="shared" si="79"/>
        <v>0</v>
      </c>
      <c r="N201" s="86">
        <f t="shared" si="80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135">
        <v>30</v>
      </c>
      <c r="L202" s="10">
        <f t="shared" si="78"/>
        <v>0</v>
      </c>
      <c r="M202" s="10">
        <f t="shared" si="79"/>
        <v>0</v>
      </c>
      <c r="N202" s="86">
        <f t="shared" si="80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135">
        <v>31</v>
      </c>
      <c r="L203" s="10">
        <f t="shared" si="78"/>
        <v>0</v>
      </c>
      <c r="M203" s="10">
        <f t="shared" si="79"/>
        <v>0</v>
      </c>
      <c r="N203" s="86">
        <f t="shared" si="80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135">
        <v>32</v>
      </c>
      <c r="L204" s="10">
        <f t="shared" si="78"/>
        <v>0</v>
      </c>
      <c r="M204" s="10">
        <f t="shared" si="79"/>
        <v>0</v>
      </c>
      <c r="N204" s="86">
        <f t="shared" si="80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135">
        <v>33</v>
      </c>
      <c r="L205" s="10">
        <f t="shared" si="78"/>
        <v>0</v>
      </c>
      <c r="M205" s="10">
        <f t="shared" si="79"/>
        <v>0</v>
      </c>
      <c r="N205" s="86">
        <f t="shared" si="80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135">
        <v>34</v>
      </c>
      <c r="L206" s="10">
        <f t="shared" si="78"/>
        <v>0</v>
      </c>
      <c r="M206" s="10">
        <f t="shared" si="79"/>
        <v>0</v>
      </c>
      <c r="N206" s="86">
        <f t="shared" si="80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135">
        <v>35</v>
      </c>
      <c r="L207" s="10">
        <f t="shared" si="78"/>
        <v>0</v>
      </c>
      <c r="M207" s="10">
        <f t="shared" si="79"/>
        <v>0</v>
      </c>
      <c r="N207" s="86">
        <f t="shared" si="80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135">
        <v>36</v>
      </c>
      <c r="L208" s="10">
        <f t="shared" si="78"/>
        <v>0</v>
      </c>
      <c r="M208" s="10">
        <f t="shared" si="79"/>
        <v>0</v>
      </c>
      <c r="N208" s="86">
        <f t="shared" si="80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135">
        <v>37</v>
      </c>
      <c r="L209" s="10">
        <f t="shared" si="78"/>
        <v>0</v>
      </c>
      <c r="M209" s="10">
        <f t="shared" si="79"/>
        <v>0</v>
      </c>
      <c r="N209" s="86">
        <f t="shared" si="80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135">
        <v>38</v>
      </c>
      <c r="L210" s="10">
        <f t="shared" si="78"/>
        <v>0</v>
      </c>
      <c r="M210" s="10">
        <f t="shared" si="79"/>
        <v>0</v>
      </c>
      <c r="N210" s="86">
        <f t="shared" si="80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135">
        <v>39</v>
      </c>
      <c r="L211" s="10">
        <f t="shared" si="78"/>
        <v>0</v>
      </c>
      <c r="M211" s="10">
        <f t="shared" si="79"/>
        <v>0</v>
      </c>
      <c r="N211" s="86">
        <f t="shared" si="80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13">
        <v>40</v>
      </c>
      <c r="L212" s="14">
        <f t="shared" si="78"/>
        <v>0</v>
      </c>
      <c r="M212" s="14">
        <f t="shared" si="79"/>
        <v>0</v>
      </c>
      <c r="N212" s="95">
        <f t="shared" si="80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6" customHeight="1" x14ac:dyDescent="0.2">
      <c r="A216" s="327" t="s">
        <v>316</v>
      </c>
      <c r="B216" s="250"/>
      <c r="C216" s="250"/>
      <c r="D216" s="250"/>
      <c r="E216" s="250"/>
      <c r="F216" s="250"/>
      <c r="G216" s="250"/>
      <c r="H216" s="250"/>
      <c r="I216" s="251"/>
      <c r="J216" s="325" t="s">
        <v>317</v>
      </c>
      <c r="K216" s="250"/>
      <c r="L216" s="250"/>
      <c r="M216" s="250"/>
      <c r="N216" s="250"/>
      <c r="O216" s="250"/>
      <c r="P216" s="250"/>
      <c r="Q216" s="251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">
      <c r="A217" s="324" t="s">
        <v>318</v>
      </c>
      <c r="B217" s="245"/>
      <c r="C217" s="329" t="s">
        <v>319</v>
      </c>
      <c r="D217" s="244"/>
      <c r="E217" s="244"/>
      <c r="F217" s="244"/>
      <c r="G217" s="245"/>
      <c r="H217" s="136"/>
      <c r="I217" s="137"/>
      <c r="J217" s="252" t="s">
        <v>133</v>
      </c>
      <c r="K217" s="244"/>
      <c r="L217" s="244"/>
      <c r="M217" s="245"/>
      <c r="N217" s="320">
        <f>O239</f>
        <v>4519714.0461025937</v>
      </c>
      <c r="O217" s="244"/>
      <c r="P217" s="244"/>
      <c r="Q217" s="24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">
      <c r="A218" s="138" t="s">
        <v>320</v>
      </c>
      <c r="B218" s="139" t="s">
        <v>321</v>
      </c>
      <c r="C218" s="140">
        <v>-0.3</v>
      </c>
      <c r="D218" s="140">
        <v>-0.15</v>
      </c>
      <c r="E218" s="140">
        <v>0</v>
      </c>
      <c r="F218" s="140">
        <v>0.15</v>
      </c>
      <c r="G218" s="140">
        <v>0.3</v>
      </c>
      <c r="H218" s="136"/>
      <c r="I218" s="137"/>
      <c r="J218" s="252" t="s">
        <v>135</v>
      </c>
      <c r="K218" s="244"/>
      <c r="L218" s="244"/>
      <c r="M218" s="245"/>
      <c r="N218" s="320">
        <f>IF(O249&gt;=0,L249,IF(O244&gt;=0,L244,IF(O239&gt;=0,L239,IF(O234&gt;=0,L234,IF(O229&gt;=0,L229,0)))))</f>
        <v>2028215.4610585084</v>
      </c>
      <c r="O218" s="244"/>
      <c r="P218" s="244"/>
      <c r="Q218" s="24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">
      <c r="A219" s="138" t="s">
        <v>322</v>
      </c>
      <c r="B219" s="143">
        <f>IF($C$14&lt;=0,$H$22,IF($H$22&gt;0,MIN($C$14,$H$22),$C$14))</f>
        <v>1690179.5508820903</v>
      </c>
      <c r="C219" s="141">
        <f>MAX($C$12*(1+C218),0)</f>
        <v>140000</v>
      </c>
      <c r="D219" s="141">
        <f>MAX($C$12*(1+D218),0)</f>
        <v>170000</v>
      </c>
      <c r="E219" s="141">
        <f>MAX($C$12*(1+E218),0)</f>
        <v>200000</v>
      </c>
      <c r="F219" s="141">
        <f>MAX($C$12*(1+F218),0)</f>
        <v>229999.99999999997</v>
      </c>
      <c r="G219" s="141">
        <f>MAX($C$12*(1+G218),0)</f>
        <v>260000</v>
      </c>
      <c r="H219" s="136"/>
      <c r="I219" s="137"/>
      <c r="J219" s="252" t="s">
        <v>136</v>
      </c>
      <c r="K219" s="244"/>
      <c r="L219" s="244"/>
      <c r="M219" s="245"/>
      <c r="N219" s="320">
        <f>IF(O241&gt;=0,N241,IF(O240&gt;=0,N240,IF(O239&gt;=0,N239,IF(O238&gt;=0,N238,IF(O237&gt;=0,N237,0)))))</f>
        <v>260000</v>
      </c>
      <c r="O219" s="244"/>
      <c r="P219" s="244"/>
      <c r="Q219" s="24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">
      <c r="A220" s="142">
        <v>-0.4</v>
      </c>
      <c r="B220" s="143">
        <f>MAX($B$219*(1+A220),0)</f>
        <v>1014107.7305292542</v>
      </c>
      <c r="C220" s="144">
        <f>O227</f>
        <v>4883925.0838471139</v>
      </c>
      <c r="D220" s="144">
        <f>O228</f>
        <v>4883925.0838471139</v>
      </c>
      <c r="E220" s="144">
        <f>O229</f>
        <v>4883925.0838471139</v>
      </c>
      <c r="F220" s="144">
        <f>O230</f>
        <v>4883925.0838471139</v>
      </c>
      <c r="G220" s="144">
        <f>O231</f>
        <v>4883925.0838471139</v>
      </c>
      <c r="H220" s="136"/>
      <c r="I220" s="137"/>
      <c r="J220" s="252" t="s">
        <v>137</v>
      </c>
      <c r="K220" s="244"/>
      <c r="L220" s="244"/>
      <c r="M220" s="245"/>
      <c r="N220" s="320">
        <f>MAX(O227:O251)</f>
        <v>4883925.0838471139</v>
      </c>
      <c r="O220" s="244"/>
      <c r="P220" s="244"/>
      <c r="Q220" s="24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">
      <c r="A221" s="142">
        <v>-0.2</v>
      </c>
      <c r="B221" s="143">
        <f>MAX($B$219*(1+A221),0)</f>
        <v>1352143.6407056723</v>
      </c>
      <c r="C221" s="144">
        <f>O232</f>
        <v>4701819.5649748538</v>
      </c>
      <c r="D221" s="144">
        <f>O233</f>
        <v>4701819.5649748538</v>
      </c>
      <c r="E221" s="144">
        <f>O234</f>
        <v>4701819.5649748538</v>
      </c>
      <c r="F221" s="144">
        <f>O235</f>
        <v>4701819.5649748538</v>
      </c>
      <c r="G221" s="144">
        <f>O236</f>
        <v>3403290.3980073929</v>
      </c>
      <c r="H221" s="136"/>
      <c r="I221" s="137"/>
      <c r="J221" s="252" t="s">
        <v>138</v>
      </c>
      <c r="K221" s="244"/>
      <c r="L221" s="244"/>
      <c r="M221" s="245"/>
      <c r="N221" s="320">
        <f>MIN(O227:O251)</f>
        <v>-836524.6397693418</v>
      </c>
      <c r="O221" s="244"/>
      <c r="P221" s="244"/>
      <c r="Q221" s="24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">
      <c r="A222" s="142">
        <v>0</v>
      </c>
      <c r="B222" s="143">
        <f>MAX($B$219*(1+A222),0)</f>
        <v>1690179.5508820903</v>
      </c>
      <c r="C222" s="144">
        <f>O237</f>
        <v>4519714.0461025937</v>
      </c>
      <c r="D222" s="144">
        <f>O238</f>
        <v>4519714.0461025937</v>
      </c>
      <c r="E222" s="144">
        <f>O239</f>
        <v>4519714.0461025937</v>
      </c>
      <c r="F222" s="144">
        <f>O240</f>
        <v>2781631.662529307</v>
      </c>
      <c r="G222" s="144">
        <f>O241</f>
        <v>409886.07607268542</v>
      </c>
      <c r="H222" s="136"/>
      <c r="I222" s="137"/>
      <c r="J222" s="252" t="s">
        <v>139</v>
      </c>
      <c r="K222" s="244"/>
      <c r="L222" s="244"/>
      <c r="M222" s="245"/>
      <c r="N222" s="320">
        <f>P239</f>
        <v>6153377.2489859434</v>
      </c>
      <c r="O222" s="244"/>
      <c r="P222" s="244"/>
      <c r="Q222" s="24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">
      <c r="A223" s="142">
        <v>0.2</v>
      </c>
      <c r="B223" s="143">
        <f>MAX($B$219*(1+A223),0)</f>
        <v>2028215.4610585084</v>
      </c>
      <c r="C223" s="144">
        <f>O242</f>
        <v>4337608.5272303335</v>
      </c>
      <c r="D223" s="144">
        <f>O243</f>
        <v>4337608.5272303335</v>
      </c>
      <c r="E223" s="144">
        <f>O244</f>
        <v>2159972.9270512373</v>
      </c>
      <c r="F223" s="144">
        <f>O245</f>
        <v>-211772.65940539143</v>
      </c>
      <c r="G223" s="144">
        <f>O246</f>
        <v>-768763.4900749434</v>
      </c>
      <c r="H223" s="136"/>
      <c r="I223" s="137"/>
      <c r="J223" s="252" t="s">
        <v>140</v>
      </c>
      <c r="K223" s="244"/>
      <c r="L223" s="244"/>
      <c r="M223" s="245"/>
      <c r="N223" s="320">
        <f>R239</f>
        <v>10255886.642414235</v>
      </c>
      <c r="O223" s="244"/>
      <c r="P223" s="244"/>
      <c r="Q223" s="24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">
      <c r="A224" s="145">
        <v>0.4</v>
      </c>
      <c r="B224" s="146">
        <f>MAX($B$219*(1+A224),0)</f>
        <v>2366251.3712349264</v>
      </c>
      <c r="C224" s="147">
        <f>O247</f>
        <v>3883412.3276861841</v>
      </c>
      <c r="D224" s="147">
        <f>O248</f>
        <v>1538314.1915731407</v>
      </c>
      <c r="E224" s="147">
        <f>O249</f>
        <v>-833431.39488349063</v>
      </c>
      <c r="F224" s="147">
        <f>O250</f>
        <v>-836524.6397693418</v>
      </c>
      <c r="G224" s="147">
        <f>O251</f>
        <v>-570547.30189606478</v>
      </c>
      <c r="H224" s="148"/>
      <c r="I224" s="15"/>
      <c r="J224" s="322" t="s">
        <v>323</v>
      </c>
      <c r="K224" s="258"/>
      <c r="L224" s="258"/>
      <c r="M224" s="258"/>
      <c r="N224" s="258"/>
      <c r="O224" s="258"/>
      <c r="P224" s="258"/>
      <c r="Q224" s="259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32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149" t="s">
        <v>324</v>
      </c>
      <c r="K226" s="150" t="s">
        <v>325</v>
      </c>
      <c r="L226" s="150" t="s">
        <v>321</v>
      </c>
      <c r="M226" s="150" t="s">
        <v>326</v>
      </c>
      <c r="N226" s="150" t="s">
        <v>327</v>
      </c>
      <c r="O226" s="150" t="s">
        <v>328</v>
      </c>
      <c r="P226" s="150" t="s">
        <v>329</v>
      </c>
      <c r="Q226" s="150" t="s">
        <v>330</v>
      </c>
      <c r="R226" s="151" t="s">
        <v>331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152" t="s">
        <v>332</v>
      </c>
      <c r="K227" s="153">
        <v>-0.4</v>
      </c>
      <c r="L227" s="154">
        <f t="shared" ref="L227:L251" si="81">MAX($B$219*(1+K227),0)</f>
        <v>1014107.7305292542</v>
      </c>
      <c r="M227" s="153">
        <v>-0.3</v>
      </c>
      <c r="N227" s="154">
        <f t="shared" ref="N227:N251" si="82">MAX($C$12*(1+M227),0)</f>
        <v>140000</v>
      </c>
      <c r="O227" s="154">
        <f>W297</f>
        <v>4883925.0838471139</v>
      </c>
      <c r="P227" s="154">
        <f>U296</f>
        <v>16883677.065768607</v>
      </c>
      <c r="Q227" s="155">
        <f>IF(COUNTIF(V257:V296,"&gt;0")=0,0,INDEX(A257:A296,MATCH(1,INDEX((V257:V296&gt;0)*1,0),0)))</f>
        <v>0</v>
      </c>
      <c r="R227" s="156">
        <f>AA296</f>
        <v>19345182.701825581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157" t="s">
        <v>333</v>
      </c>
      <c r="K228" s="158">
        <v>-0.4</v>
      </c>
      <c r="L228" s="159">
        <f t="shared" si="81"/>
        <v>1014107.7305292542</v>
      </c>
      <c r="M228" s="158">
        <v>-0.15</v>
      </c>
      <c r="N228" s="159">
        <f t="shared" si="82"/>
        <v>170000</v>
      </c>
      <c r="O228" s="159">
        <f>W341</f>
        <v>4883925.0838471139</v>
      </c>
      <c r="P228" s="159">
        <f>U340</f>
        <v>14511931.479311978</v>
      </c>
      <c r="Q228" s="160">
        <f>IF(COUNTIF(V301:V340,"&gt;0")=0,0,INDEX(A301:A340,MATCH(1,INDEX((V301:V340&gt;0)*1,0),0)))</f>
        <v>0</v>
      </c>
      <c r="R228" s="161">
        <f>AA340</f>
        <v>16973437.115368955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152" t="s">
        <v>334</v>
      </c>
      <c r="K229" s="153">
        <v>-0.4</v>
      </c>
      <c r="L229" s="154">
        <f t="shared" si="81"/>
        <v>1014107.7305292542</v>
      </c>
      <c r="M229" s="153">
        <v>0</v>
      </c>
      <c r="N229" s="154">
        <f t="shared" si="82"/>
        <v>200000</v>
      </c>
      <c r="O229" s="154">
        <f>W385</f>
        <v>4883925.0838471139</v>
      </c>
      <c r="P229" s="154">
        <f>U384</f>
        <v>12140185.892855357</v>
      </c>
      <c r="Q229" s="155">
        <f>IF(COUNTIF(V345:V384,"&gt;0")=0,0,INDEX(A345:A384,MATCH(1,INDEX((V345:V384&gt;0)*1,0),0)))</f>
        <v>0</v>
      </c>
      <c r="R229" s="156">
        <f>AA384</f>
        <v>14601691.528912332</v>
      </c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157" t="s">
        <v>335</v>
      </c>
      <c r="K230" s="158">
        <v>-0.4</v>
      </c>
      <c r="L230" s="159">
        <f t="shared" si="81"/>
        <v>1014107.7305292542</v>
      </c>
      <c r="M230" s="158">
        <v>0.15</v>
      </c>
      <c r="N230" s="159">
        <f t="shared" si="82"/>
        <v>229999.99999999997</v>
      </c>
      <c r="O230" s="159">
        <f>W429</f>
        <v>4883925.0838471139</v>
      </c>
      <c r="P230" s="159">
        <f>U428</f>
        <v>9768440.306398727</v>
      </c>
      <c r="Q230" s="160">
        <f>IF(COUNTIF(V389:V428,"&gt;0")=0,0,INDEX(A389:A428,MATCH(1,INDEX((V389:V428&gt;0)*1,0),0)))</f>
        <v>0</v>
      </c>
      <c r="R230" s="161">
        <f>AA428</f>
        <v>12229945.942455702</v>
      </c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152" t="s">
        <v>336</v>
      </c>
      <c r="K231" s="153">
        <v>-0.4</v>
      </c>
      <c r="L231" s="154">
        <f t="shared" si="81"/>
        <v>1014107.7305292542</v>
      </c>
      <c r="M231" s="153">
        <v>0.3</v>
      </c>
      <c r="N231" s="154">
        <f t="shared" si="82"/>
        <v>260000</v>
      </c>
      <c r="O231" s="154">
        <f>W473</f>
        <v>4883925.0838471139</v>
      </c>
      <c r="P231" s="154">
        <f>U472</f>
        <v>7396694.7199420929</v>
      </c>
      <c r="Q231" s="155">
        <f>IF(COUNTIF(V433:V472,"&gt;0")=0,0,INDEX(A433:A472,MATCH(1,INDEX((V433:V472&gt;0)*1,0),0)))</f>
        <v>0</v>
      </c>
      <c r="R231" s="156">
        <f>AA472</f>
        <v>9858200.3559990674</v>
      </c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157" t="s">
        <v>337</v>
      </c>
      <c r="K232" s="158">
        <v>-0.2</v>
      </c>
      <c r="L232" s="159">
        <f t="shared" si="81"/>
        <v>1352143.6407056723</v>
      </c>
      <c r="M232" s="158">
        <v>-0.3</v>
      </c>
      <c r="N232" s="159">
        <f t="shared" si="82"/>
        <v>140000</v>
      </c>
      <c r="O232" s="159">
        <f>W517</f>
        <v>4701819.5649748538</v>
      </c>
      <c r="P232" s="159">
        <f>U516</f>
        <v>13890272.743833901</v>
      </c>
      <c r="Q232" s="160">
        <f>IF(COUNTIF(V477:V516,"&gt;0")=0,0,INDEX(A477:A516,MATCH(1,INDEX((V477:V516&gt;0)*1,0),0)))</f>
        <v>0</v>
      </c>
      <c r="R232" s="161">
        <f>AA516</f>
        <v>17172280.258576535</v>
      </c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152" t="s">
        <v>338</v>
      </c>
      <c r="K233" s="153">
        <v>-0.2</v>
      </c>
      <c r="L233" s="154">
        <f t="shared" si="81"/>
        <v>1352143.6407056723</v>
      </c>
      <c r="M233" s="153">
        <v>-0.15</v>
      </c>
      <c r="N233" s="154">
        <f t="shared" si="82"/>
        <v>170000</v>
      </c>
      <c r="O233" s="154">
        <f>W561</f>
        <v>4701819.5649748538</v>
      </c>
      <c r="P233" s="154">
        <f>U560</f>
        <v>11518527.157377271</v>
      </c>
      <c r="Q233" s="155">
        <f>IF(COUNTIF(V521:V560,"&gt;0")=0,0,INDEX(A521:A560,MATCH(1,INDEX((V521:V560&gt;0)*1,0),0)))</f>
        <v>0</v>
      </c>
      <c r="R233" s="156">
        <f>AA560</f>
        <v>14800534.672119904</v>
      </c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157" t="s">
        <v>339</v>
      </c>
      <c r="K234" s="158">
        <v>-0.2</v>
      </c>
      <c r="L234" s="159">
        <f t="shared" si="81"/>
        <v>1352143.6407056723</v>
      </c>
      <c r="M234" s="158">
        <v>0</v>
      </c>
      <c r="N234" s="159">
        <f t="shared" si="82"/>
        <v>200000</v>
      </c>
      <c r="O234" s="159">
        <f>W605</f>
        <v>4701819.5649748538</v>
      </c>
      <c r="P234" s="159">
        <f>U604</f>
        <v>9146781.5709206481</v>
      </c>
      <c r="Q234" s="160">
        <f>IF(COUNTIF(V565:V604,"&gt;0")=0,0,INDEX(A565:A604,MATCH(1,INDEX((V565:V604&gt;0)*1,0),0)))</f>
        <v>0</v>
      </c>
      <c r="R234" s="161">
        <f>AA604</f>
        <v>12428789.085663281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152" t="s">
        <v>340</v>
      </c>
      <c r="K235" s="153">
        <v>-0.2</v>
      </c>
      <c r="L235" s="154">
        <f t="shared" si="81"/>
        <v>1352143.6407056723</v>
      </c>
      <c r="M235" s="153">
        <v>0.15</v>
      </c>
      <c r="N235" s="154">
        <f t="shared" si="82"/>
        <v>229999.99999999997</v>
      </c>
      <c r="O235" s="154">
        <f>W649</f>
        <v>4701819.5649748538</v>
      </c>
      <c r="P235" s="154">
        <f>U648</f>
        <v>6775035.9844640205</v>
      </c>
      <c r="Q235" s="155">
        <f>IF(COUNTIF(V609:V648,"&gt;0")=0,0,INDEX(A609:A648,MATCH(1,INDEX((V609:V648&gt;0)*1,0),0)))</f>
        <v>0</v>
      </c>
      <c r="R235" s="156">
        <f>AA648</f>
        <v>10057043.499206653</v>
      </c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157" t="s">
        <v>341</v>
      </c>
      <c r="K236" s="158">
        <v>-0.2</v>
      </c>
      <c r="L236" s="159">
        <f t="shared" si="81"/>
        <v>1352143.6407056723</v>
      </c>
      <c r="M236" s="158">
        <v>0.3</v>
      </c>
      <c r="N236" s="159">
        <f t="shared" si="82"/>
        <v>260000</v>
      </c>
      <c r="O236" s="159">
        <f>W693</f>
        <v>3403290.3980073929</v>
      </c>
      <c r="P236" s="159">
        <f>U692</f>
        <v>4403290.3980073929</v>
      </c>
      <c r="Q236" s="160">
        <f>IF(COUNTIF(V653:V692,"&gt;0")=0,0,INDEX(A653:A692,MATCH(1,INDEX((V653:V692&gt;0)*1,0),0)))</f>
        <v>0</v>
      </c>
      <c r="R236" s="161">
        <f>AA692</f>
        <v>7685297.9127500262</v>
      </c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152" t="s">
        <v>342</v>
      </c>
      <c r="K237" s="153">
        <v>0</v>
      </c>
      <c r="L237" s="154">
        <f t="shared" si="81"/>
        <v>1690179.5508820903</v>
      </c>
      <c r="M237" s="153">
        <v>-0.3</v>
      </c>
      <c r="N237" s="154">
        <f t="shared" si="82"/>
        <v>140000</v>
      </c>
      <c r="O237" s="154">
        <f>W737</f>
        <v>4519714.0461025937</v>
      </c>
      <c r="P237" s="154">
        <f>U736</f>
        <v>10896868.421899198</v>
      </c>
      <c r="Q237" s="155">
        <f>IF(COUNTIF(V697:V736,"&gt;0")=0,0,INDEX(A697:A736,MATCH(1,INDEX((V697:V736&gt;0)*1,0),0)))</f>
        <v>0</v>
      </c>
      <c r="R237" s="156">
        <f>AA736</f>
        <v>14999377.815327488</v>
      </c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157" t="s">
        <v>343</v>
      </c>
      <c r="K238" s="158">
        <v>0</v>
      </c>
      <c r="L238" s="159">
        <f t="shared" si="81"/>
        <v>1690179.5508820903</v>
      </c>
      <c r="M238" s="158">
        <v>-0.15</v>
      </c>
      <c r="N238" s="159">
        <f t="shared" si="82"/>
        <v>170000</v>
      </c>
      <c r="O238" s="159">
        <f>W781</f>
        <v>4519714.0461025937</v>
      </c>
      <c r="P238" s="159">
        <f>U780</f>
        <v>8525122.8354425691</v>
      </c>
      <c r="Q238" s="160">
        <f>IF(COUNTIF(V741:V780,"&gt;0")=0,0,INDEX(A741:A780,MATCH(1,INDEX((V741:V780&gt;0)*1,0),0)))</f>
        <v>0</v>
      </c>
      <c r="R238" s="161">
        <f>AA780</f>
        <v>12627632.228870859</v>
      </c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152" t="s">
        <v>344</v>
      </c>
      <c r="K239" s="153">
        <v>0</v>
      </c>
      <c r="L239" s="154">
        <f t="shared" si="81"/>
        <v>1690179.5508820903</v>
      </c>
      <c r="M239" s="153">
        <v>0</v>
      </c>
      <c r="N239" s="154">
        <f t="shared" si="82"/>
        <v>200000</v>
      </c>
      <c r="O239" s="154">
        <f>W825</f>
        <v>4519714.0461025937</v>
      </c>
      <c r="P239" s="154">
        <f>U824</f>
        <v>6153377.2489859434</v>
      </c>
      <c r="Q239" s="155">
        <f>IF(COUNTIF(V785:V824,"&gt;0")=0,0,INDEX(A785:A824,MATCH(1,INDEX((V785:V824&gt;0)*1,0),0)))</f>
        <v>0</v>
      </c>
      <c r="R239" s="156">
        <f>AA824</f>
        <v>10255886.642414235</v>
      </c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157" t="s">
        <v>345</v>
      </c>
      <c r="K240" s="158">
        <v>0</v>
      </c>
      <c r="L240" s="159">
        <f t="shared" si="81"/>
        <v>1690179.5508820903</v>
      </c>
      <c r="M240" s="158">
        <v>0.15</v>
      </c>
      <c r="N240" s="159">
        <f t="shared" si="82"/>
        <v>229999.99999999997</v>
      </c>
      <c r="O240" s="159">
        <f>W869</f>
        <v>2781631.662529307</v>
      </c>
      <c r="P240" s="159">
        <f>U868</f>
        <v>3781631.662529307</v>
      </c>
      <c r="Q240" s="160">
        <f>IF(COUNTIF(V829:V868,"&gt;0")=0,0,INDEX(A829:A868,MATCH(1,INDEX((V829:V868&gt;0)*1,0),0)))</f>
        <v>0</v>
      </c>
      <c r="R240" s="161">
        <f>AA868</f>
        <v>7884141.0559575977</v>
      </c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152" t="s">
        <v>346</v>
      </c>
      <c r="K241" s="153">
        <v>0</v>
      </c>
      <c r="L241" s="154">
        <f t="shared" si="81"/>
        <v>1690179.5508820903</v>
      </c>
      <c r="M241" s="153">
        <v>0.3</v>
      </c>
      <c r="N241" s="154">
        <f t="shared" si="82"/>
        <v>260000</v>
      </c>
      <c r="O241" s="154">
        <f>W913</f>
        <v>409886.07607268542</v>
      </c>
      <c r="P241" s="154">
        <f>U912</f>
        <v>1409886.0760726854</v>
      </c>
      <c r="Q241" s="155">
        <f>IF(COUNTIF(V873:V912,"&gt;0")=0,0,INDEX(A873:A912,MATCH(1,INDEX((V873:V912&gt;0)*1,0),0)))</f>
        <v>0</v>
      </c>
      <c r="R241" s="156">
        <f>AA912</f>
        <v>5512395.4695009757</v>
      </c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157" t="s">
        <v>347</v>
      </c>
      <c r="K242" s="158">
        <v>0.2</v>
      </c>
      <c r="L242" s="159">
        <f t="shared" si="81"/>
        <v>2028215.4610585084</v>
      </c>
      <c r="M242" s="158">
        <v>-0.3</v>
      </c>
      <c r="N242" s="159">
        <f t="shared" si="82"/>
        <v>140000</v>
      </c>
      <c r="O242" s="159">
        <f>W957</f>
        <v>4337608.5272303335</v>
      </c>
      <c r="P242" s="159">
        <f>U956</f>
        <v>7903464.0999644948</v>
      </c>
      <c r="Q242" s="160">
        <f>IF(COUNTIF(V917:V956,"&gt;0")=0,0,INDEX(A917:A956,MATCH(1,INDEX((V917:V956&gt;0)*1,0),0)))</f>
        <v>0</v>
      </c>
      <c r="R242" s="161">
        <f>AA956</f>
        <v>12826475.372078445</v>
      </c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152" t="s">
        <v>348</v>
      </c>
      <c r="K243" s="153">
        <v>0.2</v>
      </c>
      <c r="L243" s="154">
        <f t="shared" si="81"/>
        <v>2028215.4610585084</v>
      </c>
      <c r="M243" s="153">
        <v>-0.15</v>
      </c>
      <c r="N243" s="154">
        <f t="shared" si="82"/>
        <v>170000</v>
      </c>
      <c r="O243" s="154">
        <f>W1001</f>
        <v>4337608.5272303335</v>
      </c>
      <c r="P243" s="154">
        <f>U1000</f>
        <v>5531718.5135078533</v>
      </c>
      <c r="Q243" s="155">
        <f>IF(COUNTIF(V961:V1000,"&gt;0")=0,0,INDEX(A961:A1000,MATCH(1,INDEX((V961:V1000&gt;0)*1,0),0)))</f>
        <v>0</v>
      </c>
      <c r="R243" s="156">
        <f>AA1000</f>
        <v>10454729.785621803</v>
      </c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157" t="s">
        <v>349</v>
      </c>
      <c r="K244" s="158">
        <v>0.2</v>
      </c>
      <c r="L244" s="159">
        <f t="shared" si="81"/>
        <v>2028215.4610585084</v>
      </c>
      <c r="M244" s="158">
        <v>0</v>
      </c>
      <c r="N244" s="159">
        <f t="shared" si="82"/>
        <v>200000</v>
      </c>
      <c r="O244" s="159">
        <f>W1045</f>
        <v>2159972.9270512373</v>
      </c>
      <c r="P244" s="159">
        <f>U1044</f>
        <v>3159972.9270512373</v>
      </c>
      <c r="Q244" s="160">
        <f>IF(COUNTIF(V1005:V1044,"&gt;0")=0,0,INDEX(A1005:A1044,MATCH(1,INDEX((V1005:V1044&gt;0)*1,0),0)))</f>
        <v>0</v>
      </c>
      <c r="R244" s="161">
        <f>AA1044</f>
        <v>8082984.1991651859</v>
      </c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152" t="s">
        <v>350</v>
      </c>
      <c r="K245" s="153">
        <v>0.2</v>
      </c>
      <c r="L245" s="154">
        <f t="shared" si="81"/>
        <v>2028215.4610585084</v>
      </c>
      <c r="M245" s="153">
        <v>0.15</v>
      </c>
      <c r="N245" s="154">
        <f t="shared" si="82"/>
        <v>229999.99999999997</v>
      </c>
      <c r="O245" s="154">
        <f>W1089</f>
        <v>-211772.65940539143</v>
      </c>
      <c r="P245" s="154">
        <f>U1088</f>
        <v>788227.34059460857</v>
      </c>
      <c r="Q245" s="155">
        <f>IF(COUNTIF(V1049:V1088,"&gt;0")=0,0,INDEX(A1049:A1088,MATCH(1,INDEX((V1049:V1088&gt;0)*1,0),0)))</f>
        <v>0</v>
      </c>
      <c r="R245" s="156">
        <f>AA1088</f>
        <v>5711238.6127085574</v>
      </c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157" t="s">
        <v>351</v>
      </c>
      <c r="K246" s="158">
        <v>0.2</v>
      </c>
      <c r="L246" s="159">
        <f t="shared" si="81"/>
        <v>2028215.4610585084</v>
      </c>
      <c r="M246" s="158">
        <v>0.3</v>
      </c>
      <c r="N246" s="159">
        <f t="shared" si="82"/>
        <v>260000</v>
      </c>
      <c r="O246" s="159">
        <f>W1133</f>
        <v>-768763.4900749434</v>
      </c>
      <c r="P246" s="159">
        <f>U1132</f>
        <v>0</v>
      </c>
      <c r="Q246" s="160">
        <f>IF(COUNTIF(V1093:V1132,"&gt;0")=0,0,INDEX(A1093:A1132,MATCH(1,INDEX((V1093:V1132&gt;0)*1,0),0)))</f>
        <v>37</v>
      </c>
      <c r="R246" s="161">
        <f>AA1132</f>
        <v>4923011.2721139491</v>
      </c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152" t="s">
        <v>352</v>
      </c>
      <c r="K247" s="153">
        <v>0.4</v>
      </c>
      <c r="L247" s="154">
        <f t="shared" si="81"/>
        <v>2366251.3712349264</v>
      </c>
      <c r="M247" s="153">
        <v>-0.3</v>
      </c>
      <c r="N247" s="154">
        <f t="shared" si="82"/>
        <v>140000</v>
      </c>
      <c r="O247" s="154">
        <f>W1177</f>
        <v>3883412.3276861841</v>
      </c>
      <c r="P247" s="154">
        <f>U1176</f>
        <v>4910059.7780297641</v>
      </c>
      <c r="Q247" s="155">
        <f>IF(COUNTIF(V1137:V1176,"&gt;0")=0,0,INDEX(A1137:A1176,MATCH(1,INDEX((V1137:V1176&gt;0)*1,0),0)))</f>
        <v>0</v>
      </c>
      <c r="R247" s="156">
        <f>AA1176</f>
        <v>10653572.928829372</v>
      </c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157" t="s">
        <v>353</v>
      </c>
      <c r="K248" s="158">
        <v>0.4</v>
      </c>
      <c r="L248" s="159">
        <f t="shared" si="81"/>
        <v>2366251.3712349264</v>
      </c>
      <c r="M248" s="158">
        <v>-0.15</v>
      </c>
      <c r="N248" s="159">
        <f t="shared" si="82"/>
        <v>170000</v>
      </c>
      <c r="O248" s="159">
        <f>W1221</f>
        <v>1538314.1915731407</v>
      </c>
      <c r="P248" s="159">
        <f>U1220</f>
        <v>2538314.1915731407</v>
      </c>
      <c r="Q248" s="160">
        <f>IF(COUNTIF(V1181:V1220,"&gt;0")=0,0,INDEX(A1181:A1220,MATCH(1,INDEX((V1181:V1220&gt;0)*1,0),0)))</f>
        <v>0</v>
      </c>
      <c r="R248" s="161">
        <f>AA1220</f>
        <v>8281827.3423727471</v>
      </c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152" t="s">
        <v>354</v>
      </c>
      <c r="K249" s="153">
        <v>0.4</v>
      </c>
      <c r="L249" s="154">
        <f t="shared" si="81"/>
        <v>2366251.3712349264</v>
      </c>
      <c r="M249" s="153">
        <v>0</v>
      </c>
      <c r="N249" s="154">
        <f t="shared" si="82"/>
        <v>200000</v>
      </c>
      <c r="O249" s="154">
        <f>W1265</f>
        <v>-833431.39488349063</v>
      </c>
      <c r="P249" s="154">
        <f>U1264</f>
        <v>166568.60511650942</v>
      </c>
      <c r="Q249" s="155">
        <f>IF(COUNTIF(V1225:V1264,"&gt;0")=0,0,INDEX(A1225:A1264,MATCH(1,INDEX((V1225:V1264&gt;0)*1,0),0)))</f>
        <v>0</v>
      </c>
      <c r="R249" s="156">
        <f>AA1264</f>
        <v>5910081.7559161168</v>
      </c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157" t="s">
        <v>355</v>
      </c>
      <c r="K250" s="158">
        <v>0.4</v>
      </c>
      <c r="L250" s="159">
        <f t="shared" si="81"/>
        <v>2366251.3712349264</v>
      </c>
      <c r="M250" s="158">
        <v>0.15</v>
      </c>
      <c r="N250" s="159">
        <f t="shared" si="82"/>
        <v>229999.99999999997</v>
      </c>
      <c r="O250" s="159">
        <f>W1309</f>
        <v>-836524.6397693418</v>
      </c>
      <c r="P250" s="159">
        <f>U1308</f>
        <v>0</v>
      </c>
      <c r="Q250" s="160">
        <f>IF(COUNTIF(V1269:V1308,"&gt;0")=0,0,INDEX(A1269:A1308,MATCH(1,INDEX((V1269:V1308&gt;0)*1,0),0)))</f>
        <v>36</v>
      </c>
      <c r="R250" s="161">
        <f>AA1308</f>
        <v>5743513.1507996069</v>
      </c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162" t="s">
        <v>356</v>
      </c>
      <c r="K251" s="163">
        <v>0.4</v>
      </c>
      <c r="L251" s="164">
        <f t="shared" si="81"/>
        <v>2366251.3712349264</v>
      </c>
      <c r="M251" s="163">
        <v>0.3</v>
      </c>
      <c r="N251" s="164">
        <f t="shared" si="82"/>
        <v>260000</v>
      </c>
      <c r="O251" s="164">
        <f>W1353</f>
        <v>-570547.30189606478</v>
      </c>
      <c r="P251" s="164">
        <f>U1352</f>
        <v>0</v>
      </c>
      <c r="Q251" s="165">
        <f>IF(COUNTIF(V1313:V1352,"&gt;0")=0,0,INDEX(A1313:A1352,MATCH(1,INDEX((V1313:V1352&gt;0)*1,0),0)))</f>
        <v>32</v>
      </c>
      <c r="R251" s="166">
        <f>AA1352</f>
        <v>5743513.1507996069</v>
      </c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">
      <c r="A255" s="319" t="str">
        <f>J227&amp;" | House "&amp;TEXT($L$227,"$#,##0")&amp;" | Spend "&amp;TEXT($N$227,"$#,##0")</f>
        <v>Case 01 | House $1,014,108 | Spend $140,000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89"/>
      <c r="AB255" s="5"/>
      <c r="AC255" s="5"/>
      <c r="AD255" s="5"/>
      <c r="AE255" s="5"/>
      <c r="AF255" s="5"/>
      <c r="AG255" s="5"/>
    </row>
    <row r="256" spans="1:33" ht="34" customHeight="1" x14ac:dyDescent="0.2">
      <c r="A256" s="167" t="s">
        <v>224</v>
      </c>
      <c r="B256" s="112" t="s">
        <v>106</v>
      </c>
      <c r="C256" s="112" t="s">
        <v>357</v>
      </c>
      <c r="D256" s="112" t="s">
        <v>66</v>
      </c>
      <c r="E256" s="112" t="s">
        <v>300</v>
      </c>
      <c r="F256" s="112" t="s">
        <v>301</v>
      </c>
      <c r="G256" s="112" t="s">
        <v>358</v>
      </c>
      <c r="H256" s="112" t="s">
        <v>359</v>
      </c>
      <c r="I256" s="112" t="s">
        <v>69</v>
      </c>
      <c r="J256" s="112" t="s">
        <v>360</v>
      </c>
      <c r="K256" s="112" t="s">
        <v>361</v>
      </c>
      <c r="L256" s="112" t="s">
        <v>362</v>
      </c>
      <c r="M256" s="112" t="s">
        <v>304</v>
      </c>
      <c r="N256" s="112" t="s">
        <v>305</v>
      </c>
      <c r="O256" s="112" t="s">
        <v>306</v>
      </c>
      <c r="P256" s="112" t="s">
        <v>307</v>
      </c>
      <c r="Q256" s="112" t="s">
        <v>363</v>
      </c>
      <c r="R256" s="112" t="s">
        <v>364</v>
      </c>
      <c r="S256" s="112" t="s">
        <v>365</v>
      </c>
      <c r="T256" s="112" t="s">
        <v>366</v>
      </c>
      <c r="U256" s="112" t="s">
        <v>308</v>
      </c>
      <c r="V256" s="112" t="s">
        <v>309</v>
      </c>
      <c r="W256" s="112" t="s">
        <v>367</v>
      </c>
      <c r="X256" s="112" t="s">
        <v>311</v>
      </c>
      <c r="Y256" s="112" t="s">
        <v>312</v>
      </c>
      <c r="Z256" s="112" t="s">
        <v>313</v>
      </c>
      <c r="AA256" s="168" t="s">
        <v>368</v>
      </c>
      <c r="AB256" s="5"/>
      <c r="AC256" s="5"/>
      <c r="AD256" s="5"/>
      <c r="AE256" s="5"/>
      <c r="AF256" s="5"/>
      <c r="AG256" s="5"/>
    </row>
    <row r="257" spans="1:33" x14ac:dyDescent="0.2">
      <c r="A257" s="169">
        <v>1</v>
      </c>
      <c r="B257" s="100" t="str">
        <f t="shared" ref="B257:B296" si="83">B80</f>
        <v>Working</v>
      </c>
      <c r="C257" s="170">
        <f t="shared" ref="C257:C296" si="84">D80</f>
        <v>550000</v>
      </c>
      <c r="D257" s="170">
        <f t="shared" ref="D257:D296" si="85">I80</f>
        <v>302665.46999999997</v>
      </c>
      <c r="E257" s="170">
        <f t="shared" ref="E257:E296" si="86">J80</f>
        <v>78000</v>
      </c>
      <c r="F257" s="170">
        <f t="shared" ref="F257:F296" si="87">K80</f>
        <v>40000</v>
      </c>
      <c r="G257" s="171">
        <f t="shared" ref="G257:G296" si="88">IF(AND($L$227&gt;0,A257=$C$13),$L$227*($C$15+$C$18),0)+IF(AND($L$227&gt;0,A257=$C$13),$C$24,0)</f>
        <v>0</v>
      </c>
      <c r="H257" s="171">
        <f t="shared" ref="H257:H296" si="89">IF(OR($L$227&lt;=0,A257&lt;$C$13),0,IF(AND($L$227&gt;0,$C$17&gt;0,A257&gt;=$C$13,A257&lt;($C$13+$C$17)),IF($C$17&lt;=0,0,IF($C$16=0,MAX($L$227*(1-$C$15),0)/$C$17,-PMT($C$16/12,$C$17*12,MAX($L$227*(1-$C$15),0))*12)),0)+X257*($C$19+$C$20+$C$21)+$C$22+$C$23)</f>
        <v>0</v>
      </c>
      <c r="I257" s="171">
        <f>IF(B257="Working",MIN(MAX(D257-E257-F257-G257-H257,0),'Tax Assumptions'!$B$20),0)</f>
        <v>7500</v>
      </c>
      <c r="J257" s="171">
        <f t="shared" ref="J257:J296" si="90">IF(B257="Working",D257-E257-F257-I257-G257-H257,-L257)</f>
        <v>177165.46999999997</v>
      </c>
      <c r="K257" s="170">
        <f t="shared" ref="K257:K296" si="91">IF(B257="Retired",$N$227+G257+H257,0)</f>
        <v>0</v>
      </c>
      <c r="L257" s="170">
        <f t="shared" ref="L257:L296" si="92">M257+N257+O257+P257</f>
        <v>0</v>
      </c>
      <c r="M257" s="170">
        <f>IF(B257="Retired",MIN((('Savings Projection'!$B$7)*(1+$C$10)+IF(B257="Working",J257,0)),K257),0)</f>
        <v>0</v>
      </c>
      <c r="N257" s="170">
        <f>IF(B257="Retired",MIN(MAX(K257-M257,0),(('Savings Projection'!$B$8)*(1+$C$10)+IF(B257="Working",E80,0))),0)</f>
        <v>0</v>
      </c>
      <c r="O257" s="170">
        <f>IF(B257="Retired",MIN(MAX(K257-M257-N257,0),(('Savings Projection'!$B$9)*(1+$C$10)+IF(B257="Working",I257,0))),0)</f>
        <v>0</v>
      </c>
      <c r="P257" s="170">
        <f>IF(B257="Retired",MIN(MAX(K257-M257-N257-O257,0),(('Savings Projection'!$B$10)*(1+$C$10)+IF(B257="Working",F80,0))),0)</f>
        <v>0</v>
      </c>
      <c r="Q257" s="171">
        <f>MAX((('Savings Projection'!$B$7)*(1+$C$10)+IF(B257="Working",J257,0))-M257,0)</f>
        <v>336165.47</v>
      </c>
      <c r="R257" s="171">
        <f>MAX((('Savings Projection'!$B$8)*(1+$C$10)+IF(B257="Working",E80,0))-N257,0)</f>
        <v>24500</v>
      </c>
      <c r="S257" s="171">
        <f>MAX((('Savings Projection'!$B$9)*(1+$C$10)+IF(B257="Working",I257,0))-O257,0)</f>
        <v>7500</v>
      </c>
      <c r="T257" s="171">
        <f>MAX((('Savings Projection'!$B$10)*(1+$C$10)+IF(B257="Working",F80,0))-P257,0)</f>
        <v>0</v>
      </c>
      <c r="U257" s="171">
        <f t="shared" ref="U257:U296" si="93">Q257+R257+S257+T257</f>
        <v>368165.47</v>
      </c>
      <c r="V257" s="171">
        <f>IF(B257="Working",MAX(-((('Savings Projection'!$B$7)*(1+$C$10)+IF(B257="Working",J257,0))),0),MAX(K257-L257,0))</f>
        <v>0</v>
      </c>
      <c r="W257" s="171" t="str">
        <f>IF(OR(A257&gt;=$C$13,B257="Retired"),IF(V257&gt;0,-V257,U257-'Model Inputs'!$B$18),"")</f>
        <v/>
      </c>
      <c r="X257" s="171">
        <f t="shared" ref="X257:X296" si="94">IF(AND($L$227&gt;0,A257&gt;=$C$13),$L$227*(1+$C$25)^(A257-$C$13),0)</f>
        <v>0</v>
      </c>
      <c r="Y257" s="171">
        <f t="shared" ref="Y257:Y296" si="95">IF(OR($L$227&lt;=0,$C$17&lt;=0,A257&lt;$C$13,MIN(MAX((A257-$C$13+1)*12,0),$C$17*12)&gt;=$C$17*12),0,IF($C$16=0,MAX(MAX($L$227*(1-$C$15),0)-(IF($C$17&lt;=0,0,IF($C$16=0,MAX($L$227*(1-$C$15),0)/$C$17,-PMT($C$16/12,$C$17*12,MAX($L$227*(1-$C$15),0))*12))/12)*MIN(MAX((A257-$C$13+1)*12,0),$C$17*12),0),MAX(MAX($L$227*(1-$C$15),0)*(1+$C$16/12)^MIN(MAX((A257-$C$13+1)*12,0),$C$17*12)-(IF($C$17&lt;=0,0,IF($C$16=0,MAX($L$227*(1-$C$15),0)/$C$17,-PMT($C$16/12,$C$17*12,MAX($L$227*(1-$C$15),0))*12))/12)*(((1+$C$16/12)^MIN(MAX((A257-$C$13+1)*12,0),$C$17*12)-1)/($C$16/12)),0)))</f>
        <v>0</v>
      </c>
      <c r="Z257" s="171">
        <f t="shared" ref="Z257:Z296" si="96">MAX(X257-Y257,0)</f>
        <v>0</v>
      </c>
      <c r="AA257" s="172">
        <f t="shared" ref="AA257:AA296" si="97">U257+Z257</f>
        <v>368165.47</v>
      </c>
      <c r="AB257" s="5"/>
      <c r="AC257" s="5"/>
      <c r="AD257" s="5"/>
      <c r="AE257" s="5"/>
      <c r="AF257" s="5"/>
      <c r="AG257" s="5"/>
    </row>
    <row r="258" spans="1:33" x14ac:dyDescent="0.2">
      <c r="A258" s="173">
        <v>2</v>
      </c>
      <c r="B258" s="65" t="str">
        <f t="shared" si="83"/>
        <v>Working</v>
      </c>
      <c r="C258" s="174">
        <f t="shared" si="84"/>
        <v>412500</v>
      </c>
      <c r="D258" s="174">
        <f t="shared" si="85"/>
        <v>231269.97</v>
      </c>
      <c r="E258" s="174">
        <f t="shared" si="86"/>
        <v>80340</v>
      </c>
      <c r="F258" s="174">
        <f t="shared" si="87"/>
        <v>41200</v>
      </c>
      <c r="G258" s="171">
        <f t="shared" si="88"/>
        <v>0</v>
      </c>
      <c r="H258" s="171">
        <f t="shared" si="89"/>
        <v>0</v>
      </c>
      <c r="I258" s="171">
        <f>IF(B258="Working",MIN(MAX(D258-E258-F258-G258-H258,0),'Tax Assumptions'!$B$20),0)</f>
        <v>7500</v>
      </c>
      <c r="J258" s="171">
        <f t="shared" si="90"/>
        <v>102229.97</v>
      </c>
      <c r="K258" s="174">
        <f t="shared" si="91"/>
        <v>0</v>
      </c>
      <c r="L258" s="174">
        <f t="shared" si="92"/>
        <v>0</v>
      </c>
      <c r="M258" s="174">
        <f t="shared" ref="M258:M296" si="98">IF(B258="Retired",MIN(((Q257)*(1+$C$10)+IF(B258="Working",J258,0)),K258),0)</f>
        <v>0</v>
      </c>
      <c r="N258" s="174">
        <f t="shared" ref="N258:N296" si="99">IF(B258="Retired",MIN(MAX(K258-M258,0),((R257)*(1+$C$10)+IF(B258="Working",E81,0))),0)</f>
        <v>0</v>
      </c>
      <c r="O258" s="174">
        <f t="shared" ref="O258:O296" si="100">IF(B258="Retired",MIN(MAX(K258-M258-N258,0),((S257)*(1+$C$10)+IF(B258="Working",I258,0))),0)</f>
        <v>0</v>
      </c>
      <c r="P258" s="174">
        <f t="shared" ref="P258:P296" si="101">IF(B258="Retired",MIN(MAX(K258-M258-N258-O258,0),((T257)*(1+$C$10)+IF(B258="Working",F81,0))),0)</f>
        <v>0</v>
      </c>
      <c r="Q258" s="171">
        <f t="shared" ref="Q258:Q296" si="102">MAX(((Q257)*(1+$C$10)+IF(B258="Working",J258,0))-M258,0)</f>
        <v>458565.36820000003</v>
      </c>
      <c r="R258" s="171">
        <f t="shared" ref="R258:R296" si="103">MAX(((R257)*(1+$C$10)+IF(B258="Working",E81,0))-N258,0)</f>
        <v>50470</v>
      </c>
      <c r="S258" s="171">
        <f t="shared" ref="S258:S296" si="104">MAX(((S257)*(1+$C$10)+IF(B258="Working",I258,0))-O258,0)</f>
        <v>15450</v>
      </c>
      <c r="T258" s="171">
        <f t="shared" ref="T258:T296" si="105">MAX(((T257)*(1+$C$10)+IF(B258="Working",F81,0))-P258,0)</f>
        <v>0</v>
      </c>
      <c r="U258" s="171">
        <f t="shared" si="93"/>
        <v>524485.36820000003</v>
      </c>
      <c r="V258" s="171">
        <f t="shared" ref="V258:V296" si="106">IF(B258="Working",MAX(-(((Q257)*(1+$C$10)+IF(B258="Working",J258,0))),0),MAX(K258-L258,0))</f>
        <v>0</v>
      </c>
      <c r="W258" s="171" t="str">
        <f>IF(OR(A258&gt;=$C$13,B258="Retired"),IF(V258&gt;0,-V258,U258-'Model Inputs'!$B$18),"")</f>
        <v/>
      </c>
      <c r="X258" s="171">
        <f t="shared" si="94"/>
        <v>0</v>
      </c>
      <c r="Y258" s="171">
        <f t="shared" si="95"/>
        <v>0</v>
      </c>
      <c r="Z258" s="171">
        <f t="shared" si="96"/>
        <v>0</v>
      </c>
      <c r="AA258" s="175">
        <f t="shared" si="97"/>
        <v>524485.36820000003</v>
      </c>
      <c r="AB258" s="5"/>
      <c r="AC258" s="5"/>
      <c r="AD258" s="5"/>
      <c r="AE258" s="5"/>
      <c r="AF258" s="5"/>
      <c r="AG258" s="5"/>
    </row>
    <row r="259" spans="1:33" x14ac:dyDescent="0.2">
      <c r="A259" s="169">
        <v>3</v>
      </c>
      <c r="B259" s="100" t="str">
        <f t="shared" si="83"/>
        <v>Working</v>
      </c>
      <c r="C259" s="170">
        <f t="shared" si="84"/>
        <v>675000</v>
      </c>
      <c r="D259" s="170">
        <f t="shared" si="85"/>
        <v>367570.47</v>
      </c>
      <c r="E259" s="170">
        <f t="shared" si="86"/>
        <v>82750.2</v>
      </c>
      <c r="F259" s="170">
        <f t="shared" si="87"/>
        <v>53045</v>
      </c>
      <c r="G259" s="171">
        <f t="shared" si="88"/>
        <v>0</v>
      </c>
      <c r="H259" s="171">
        <f t="shared" si="89"/>
        <v>0</v>
      </c>
      <c r="I259" s="171">
        <f>IF(B259="Working",MIN(MAX(D259-E259-F259-G259-H259,0),'Tax Assumptions'!$B$20),0)</f>
        <v>7500</v>
      </c>
      <c r="J259" s="171">
        <f t="shared" si="90"/>
        <v>224275.26999999996</v>
      </c>
      <c r="K259" s="170">
        <f t="shared" si="91"/>
        <v>0</v>
      </c>
      <c r="L259" s="170">
        <f t="shared" si="92"/>
        <v>0</v>
      </c>
      <c r="M259" s="170">
        <f t="shared" si="98"/>
        <v>0</v>
      </c>
      <c r="N259" s="170">
        <f t="shared" si="99"/>
        <v>0</v>
      </c>
      <c r="O259" s="170">
        <f t="shared" si="100"/>
        <v>0</v>
      </c>
      <c r="P259" s="170">
        <f t="shared" si="101"/>
        <v>0</v>
      </c>
      <c r="Q259" s="171">
        <f t="shared" si="102"/>
        <v>710354.56029199995</v>
      </c>
      <c r="R259" s="171">
        <f t="shared" si="103"/>
        <v>77998.200000000012</v>
      </c>
      <c r="S259" s="171">
        <f t="shared" si="104"/>
        <v>23877</v>
      </c>
      <c r="T259" s="171">
        <f t="shared" si="105"/>
        <v>0</v>
      </c>
      <c r="U259" s="171">
        <f t="shared" si="93"/>
        <v>812229.7602919999</v>
      </c>
      <c r="V259" s="171">
        <f t="shared" si="106"/>
        <v>0</v>
      </c>
      <c r="W259" s="171" t="str">
        <f>IF(OR(A259&gt;=$C$13,B259="Retired"),IF(V259&gt;0,-V259,U259-'Model Inputs'!$B$18),"")</f>
        <v/>
      </c>
      <c r="X259" s="171">
        <f t="shared" si="94"/>
        <v>0</v>
      </c>
      <c r="Y259" s="171">
        <f t="shared" si="95"/>
        <v>0</v>
      </c>
      <c r="Z259" s="171">
        <f t="shared" si="96"/>
        <v>0</v>
      </c>
      <c r="AA259" s="172">
        <f t="shared" si="97"/>
        <v>812229.7602919999</v>
      </c>
      <c r="AB259" s="5"/>
      <c r="AC259" s="5"/>
      <c r="AD259" s="5"/>
      <c r="AE259" s="5"/>
      <c r="AF259" s="5"/>
      <c r="AG259" s="5"/>
    </row>
    <row r="260" spans="1:33" x14ac:dyDescent="0.2">
      <c r="A260" s="173">
        <v>4</v>
      </c>
      <c r="B260" s="65" t="str">
        <f t="shared" si="83"/>
        <v>Working</v>
      </c>
      <c r="C260" s="174">
        <f t="shared" si="84"/>
        <v>750000</v>
      </c>
      <c r="D260" s="174">
        <f t="shared" si="85"/>
        <v>405137.47</v>
      </c>
      <c r="E260" s="174">
        <f t="shared" si="86"/>
        <v>85232.706000000006</v>
      </c>
      <c r="F260" s="174">
        <f t="shared" si="87"/>
        <v>54636.35</v>
      </c>
      <c r="G260" s="171">
        <f t="shared" si="88"/>
        <v>0</v>
      </c>
      <c r="H260" s="171">
        <f t="shared" si="89"/>
        <v>0</v>
      </c>
      <c r="I260" s="171">
        <f>IF(B260="Working",MIN(MAX(D260-E260-F260-G260-H260,0),'Tax Assumptions'!$B$20),0)</f>
        <v>7500</v>
      </c>
      <c r="J260" s="171">
        <f t="shared" si="90"/>
        <v>257768.41399999999</v>
      </c>
      <c r="K260" s="174">
        <f t="shared" si="91"/>
        <v>0</v>
      </c>
      <c r="L260" s="174">
        <f t="shared" si="92"/>
        <v>0</v>
      </c>
      <c r="M260" s="174">
        <f t="shared" si="98"/>
        <v>0</v>
      </c>
      <c r="N260" s="174">
        <f t="shared" si="99"/>
        <v>0</v>
      </c>
      <c r="O260" s="174">
        <f t="shared" si="100"/>
        <v>0</v>
      </c>
      <c r="P260" s="174">
        <f t="shared" si="101"/>
        <v>0</v>
      </c>
      <c r="Q260" s="171">
        <f t="shared" si="102"/>
        <v>1010744.2479095199</v>
      </c>
      <c r="R260" s="171">
        <f t="shared" si="103"/>
        <v>107178.09200000002</v>
      </c>
      <c r="S260" s="171">
        <f t="shared" si="104"/>
        <v>32809.620000000003</v>
      </c>
      <c r="T260" s="171">
        <f t="shared" si="105"/>
        <v>0</v>
      </c>
      <c r="U260" s="171">
        <f t="shared" si="93"/>
        <v>1150731.9599095201</v>
      </c>
      <c r="V260" s="171">
        <f t="shared" si="106"/>
        <v>0</v>
      </c>
      <c r="W260" s="171" t="str">
        <f>IF(OR(A260&gt;=$C$13,B260="Retired"),IF(V260&gt;0,-V260,U260-'Model Inputs'!$B$18),"")</f>
        <v/>
      </c>
      <c r="X260" s="171">
        <f t="shared" si="94"/>
        <v>0</v>
      </c>
      <c r="Y260" s="171">
        <f t="shared" si="95"/>
        <v>0</v>
      </c>
      <c r="Z260" s="171">
        <f t="shared" si="96"/>
        <v>0</v>
      </c>
      <c r="AA260" s="175">
        <f t="shared" si="97"/>
        <v>1150731.9599095201</v>
      </c>
      <c r="AB260" s="5"/>
      <c r="AC260" s="5"/>
      <c r="AD260" s="5"/>
      <c r="AE260" s="5"/>
      <c r="AF260" s="5"/>
      <c r="AG260" s="5"/>
    </row>
    <row r="261" spans="1:33" x14ac:dyDescent="0.2">
      <c r="A261" s="169">
        <v>5</v>
      </c>
      <c r="B261" s="100" t="str">
        <f t="shared" si="83"/>
        <v>Working</v>
      </c>
      <c r="C261" s="170">
        <f t="shared" si="84"/>
        <v>953837.51358640334</v>
      </c>
      <c r="D261" s="170">
        <f t="shared" si="85"/>
        <v>506901.31028287602</v>
      </c>
      <c r="E261" s="170">
        <f t="shared" si="86"/>
        <v>87789.687179999994</v>
      </c>
      <c r="F261" s="170">
        <f t="shared" si="87"/>
        <v>56275.440499999997</v>
      </c>
      <c r="G261" s="171">
        <f t="shared" si="88"/>
        <v>0</v>
      </c>
      <c r="H261" s="171">
        <f t="shared" si="89"/>
        <v>0</v>
      </c>
      <c r="I261" s="171">
        <f>IF(B261="Working",MIN(MAX(D261-E261-F261-G261-H261,0),'Tax Assumptions'!$B$20),0)</f>
        <v>7500</v>
      </c>
      <c r="J261" s="171">
        <f t="shared" si="90"/>
        <v>355336.18260287598</v>
      </c>
      <c r="K261" s="170">
        <f t="shared" si="91"/>
        <v>0</v>
      </c>
      <c r="L261" s="170">
        <f t="shared" si="92"/>
        <v>0</v>
      </c>
      <c r="M261" s="170">
        <f t="shared" si="98"/>
        <v>0</v>
      </c>
      <c r="N261" s="170">
        <f t="shared" si="99"/>
        <v>0</v>
      </c>
      <c r="O261" s="170">
        <f t="shared" si="100"/>
        <v>0</v>
      </c>
      <c r="P261" s="170">
        <f t="shared" si="101"/>
        <v>0</v>
      </c>
      <c r="Q261" s="171">
        <f t="shared" si="102"/>
        <v>1426725.0853869673</v>
      </c>
      <c r="R261" s="171">
        <f t="shared" si="103"/>
        <v>138108.77752000003</v>
      </c>
      <c r="S261" s="171">
        <f t="shared" si="104"/>
        <v>42278.197200000002</v>
      </c>
      <c r="T261" s="171">
        <f t="shared" si="105"/>
        <v>0</v>
      </c>
      <c r="U261" s="171">
        <f t="shared" si="93"/>
        <v>1607112.0601069673</v>
      </c>
      <c r="V261" s="171">
        <f t="shared" si="106"/>
        <v>0</v>
      </c>
      <c r="W261" s="171" t="str">
        <f>IF(OR(A261&gt;=$C$13,B261="Retired"),IF(V261&gt;0,-V261,U261-'Model Inputs'!$B$18),"")</f>
        <v/>
      </c>
      <c r="X261" s="171">
        <f t="shared" si="94"/>
        <v>0</v>
      </c>
      <c r="Y261" s="171">
        <f t="shared" si="95"/>
        <v>0</v>
      </c>
      <c r="Z261" s="171">
        <f t="shared" si="96"/>
        <v>0</v>
      </c>
      <c r="AA261" s="172">
        <f t="shared" si="97"/>
        <v>1607112.0601069673</v>
      </c>
      <c r="AB261" s="5"/>
      <c r="AC261" s="5"/>
      <c r="AD261" s="5"/>
      <c r="AE261" s="5"/>
      <c r="AF261" s="5"/>
      <c r="AG261" s="5"/>
    </row>
    <row r="262" spans="1:33" x14ac:dyDescent="0.2">
      <c r="A262" s="173">
        <v>6</v>
      </c>
      <c r="B262" s="65" t="str">
        <f t="shared" si="83"/>
        <v>Working</v>
      </c>
      <c r="C262" s="174">
        <f t="shared" si="84"/>
        <v>1118900.665838565</v>
      </c>
      <c r="D262" s="174">
        <f t="shared" si="85"/>
        <v>589060.11476976541</v>
      </c>
      <c r="E262" s="174">
        <f t="shared" si="86"/>
        <v>92741.925943999988</v>
      </c>
      <c r="F262" s="174">
        <f t="shared" si="87"/>
        <v>57963.703714999989</v>
      </c>
      <c r="G262" s="171">
        <f t="shared" si="88"/>
        <v>0</v>
      </c>
      <c r="H262" s="171">
        <f t="shared" si="89"/>
        <v>0</v>
      </c>
      <c r="I262" s="171">
        <f>IF(B262="Working",MIN(MAX(D262-E262-F262-G262-H262,0),'Tax Assumptions'!$B$20),0)</f>
        <v>7500</v>
      </c>
      <c r="J262" s="171">
        <f t="shared" si="90"/>
        <v>430854.48511076538</v>
      </c>
      <c r="K262" s="174">
        <f t="shared" si="91"/>
        <v>0</v>
      </c>
      <c r="L262" s="174">
        <f t="shared" si="92"/>
        <v>0</v>
      </c>
      <c r="M262" s="174">
        <f t="shared" si="98"/>
        <v>0</v>
      </c>
      <c r="N262" s="174">
        <f t="shared" si="99"/>
        <v>0</v>
      </c>
      <c r="O262" s="174">
        <f t="shared" si="100"/>
        <v>0</v>
      </c>
      <c r="P262" s="174">
        <f t="shared" si="101"/>
        <v>0</v>
      </c>
      <c r="Q262" s="171">
        <f t="shared" si="102"/>
        <v>1943183.0756209507</v>
      </c>
      <c r="R262" s="171">
        <f t="shared" si="103"/>
        <v>170895.30417120006</v>
      </c>
      <c r="S262" s="171">
        <f t="shared" si="104"/>
        <v>52314.889032000006</v>
      </c>
      <c r="T262" s="171">
        <f t="shared" si="105"/>
        <v>0</v>
      </c>
      <c r="U262" s="171">
        <f t="shared" si="93"/>
        <v>2166393.2688241508</v>
      </c>
      <c r="V262" s="171">
        <f t="shared" si="106"/>
        <v>0</v>
      </c>
      <c r="W262" s="171" t="str">
        <f>IF(OR(A262&gt;=$C$13,B262="Retired"),IF(V262&gt;0,-V262,U262-'Model Inputs'!$B$18),"")</f>
        <v/>
      </c>
      <c r="X262" s="171">
        <f t="shared" si="94"/>
        <v>0</v>
      </c>
      <c r="Y262" s="171">
        <f t="shared" si="95"/>
        <v>0</v>
      </c>
      <c r="Z262" s="171">
        <f t="shared" si="96"/>
        <v>0</v>
      </c>
      <c r="AA262" s="175">
        <f t="shared" si="97"/>
        <v>2166393.2688241508</v>
      </c>
      <c r="AB262" s="5"/>
      <c r="AC262" s="5"/>
      <c r="AD262" s="5"/>
      <c r="AE262" s="5"/>
      <c r="AF262" s="5"/>
      <c r="AG262" s="5"/>
    </row>
    <row r="263" spans="1:33" x14ac:dyDescent="0.2">
      <c r="A263" s="169">
        <v>7</v>
      </c>
      <c r="B263" s="100" t="str">
        <f t="shared" si="83"/>
        <v>Working</v>
      </c>
      <c r="C263" s="170">
        <f t="shared" si="84"/>
        <v>1418318.448466131</v>
      </c>
      <c r="D263" s="170">
        <f t="shared" si="85"/>
        <v>730157.75065517949</v>
      </c>
      <c r="E263" s="170">
        <f t="shared" si="86"/>
        <v>95524.183722319998</v>
      </c>
      <c r="F263" s="170">
        <f t="shared" si="87"/>
        <v>59702.614826449993</v>
      </c>
      <c r="G263" s="171">
        <f t="shared" si="88"/>
        <v>0</v>
      </c>
      <c r="H263" s="171">
        <f t="shared" si="89"/>
        <v>0</v>
      </c>
      <c r="I263" s="171">
        <f>IF(B263="Working",MIN(MAX(D263-E263-F263-G263-H263,0),'Tax Assumptions'!$B$20),0)</f>
        <v>7500</v>
      </c>
      <c r="J263" s="171">
        <f t="shared" si="90"/>
        <v>567430.95210640947</v>
      </c>
      <c r="K263" s="170">
        <f t="shared" si="91"/>
        <v>0</v>
      </c>
      <c r="L263" s="170">
        <f t="shared" si="92"/>
        <v>0</v>
      </c>
      <c r="M263" s="170">
        <f t="shared" si="98"/>
        <v>0</v>
      </c>
      <c r="N263" s="170">
        <f t="shared" si="99"/>
        <v>0</v>
      </c>
      <c r="O263" s="170">
        <f t="shared" si="100"/>
        <v>0</v>
      </c>
      <c r="P263" s="170">
        <f t="shared" si="101"/>
        <v>0</v>
      </c>
      <c r="Q263" s="171">
        <f t="shared" si="102"/>
        <v>2627205.0122646173</v>
      </c>
      <c r="R263" s="171">
        <f t="shared" si="103"/>
        <v>205649.02242147207</v>
      </c>
      <c r="S263" s="171">
        <f t="shared" si="104"/>
        <v>62953.78237392001</v>
      </c>
      <c r="T263" s="171">
        <f t="shared" si="105"/>
        <v>0</v>
      </c>
      <c r="U263" s="171">
        <f t="shared" si="93"/>
        <v>2895807.8170600096</v>
      </c>
      <c r="V263" s="171">
        <f t="shared" si="106"/>
        <v>0</v>
      </c>
      <c r="W263" s="171" t="str">
        <f>IF(OR(A263&gt;=$C$13,B263="Retired"),IF(V263&gt;0,-V263,U263-'Model Inputs'!$B$18),"")</f>
        <v/>
      </c>
      <c r="X263" s="171">
        <f t="shared" si="94"/>
        <v>0</v>
      </c>
      <c r="Y263" s="171">
        <f t="shared" si="95"/>
        <v>0</v>
      </c>
      <c r="Z263" s="171">
        <f t="shared" si="96"/>
        <v>0</v>
      </c>
      <c r="AA263" s="172">
        <f t="shared" si="97"/>
        <v>2895807.8170600096</v>
      </c>
      <c r="AB263" s="5"/>
      <c r="AC263" s="5"/>
      <c r="AD263" s="5"/>
      <c r="AE263" s="5"/>
      <c r="AF263" s="5"/>
      <c r="AG263" s="5"/>
    </row>
    <row r="264" spans="1:33" x14ac:dyDescent="0.2">
      <c r="A264" s="173">
        <v>8</v>
      </c>
      <c r="B264" s="65" t="str">
        <f t="shared" si="83"/>
        <v>Working</v>
      </c>
      <c r="C264" s="174">
        <f t="shared" si="84"/>
        <v>1872205.6657868917</v>
      </c>
      <c r="D264" s="174">
        <f t="shared" si="85"/>
        <v>944047.5629454148</v>
      </c>
      <c r="E264" s="174">
        <f t="shared" si="86"/>
        <v>98389.909233989601</v>
      </c>
      <c r="F264" s="174">
        <f t="shared" si="87"/>
        <v>61493.693271243501</v>
      </c>
      <c r="G264" s="171">
        <f t="shared" si="88"/>
        <v>0</v>
      </c>
      <c r="H264" s="171">
        <f t="shared" si="89"/>
        <v>0</v>
      </c>
      <c r="I264" s="171">
        <f>IF(B264="Working",MIN(MAX(D264-E264-F264-G264-H264,0),'Tax Assumptions'!$B$20),0)</f>
        <v>7500</v>
      </c>
      <c r="J264" s="171">
        <f t="shared" si="90"/>
        <v>776663.96044018166</v>
      </c>
      <c r="K264" s="174">
        <f t="shared" si="91"/>
        <v>0</v>
      </c>
      <c r="L264" s="174">
        <f t="shared" si="92"/>
        <v>0</v>
      </c>
      <c r="M264" s="174">
        <f t="shared" si="98"/>
        <v>0</v>
      </c>
      <c r="N264" s="174">
        <f t="shared" si="99"/>
        <v>0</v>
      </c>
      <c r="O264" s="174">
        <f t="shared" si="100"/>
        <v>0</v>
      </c>
      <c r="P264" s="174">
        <f t="shared" si="101"/>
        <v>0</v>
      </c>
      <c r="Q264" s="171">
        <f t="shared" si="102"/>
        <v>3561501.2734406763</v>
      </c>
      <c r="R264" s="171">
        <f t="shared" si="103"/>
        <v>242487.9637667604</v>
      </c>
      <c r="S264" s="171">
        <f t="shared" si="104"/>
        <v>74231.009316355208</v>
      </c>
      <c r="T264" s="171">
        <f t="shared" si="105"/>
        <v>0</v>
      </c>
      <c r="U264" s="171">
        <f t="shared" si="93"/>
        <v>3878220.2465237915</v>
      </c>
      <c r="V264" s="171">
        <f t="shared" si="106"/>
        <v>0</v>
      </c>
      <c r="W264" s="171" t="str">
        <f>IF(OR(A264&gt;=$C$13,B264="Retired"),IF(V264&gt;0,-V264,U264-'Model Inputs'!$B$18),"")</f>
        <v/>
      </c>
      <c r="X264" s="171">
        <f t="shared" si="94"/>
        <v>0</v>
      </c>
      <c r="Y264" s="171">
        <f t="shared" si="95"/>
        <v>0</v>
      </c>
      <c r="Z264" s="171">
        <f t="shared" si="96"/>
        <v>0</v>
      </c>
      <c r="AA264" s="175">
        <f t="shared" si="97"/>
        <v>3878220.2465237915</v>
      </c>
      <c r="AB264" s="5"/>
      <c r="AC264" s="5"/>
      <c r="AD264" s="5"/>
      <c r="AE264" s="5"/>
      <c r="AF264" s="5"/>
      <c r="AG264" s="5"/>
    </row>
    <row r="265" spans="1:33" x14ac:dyDescent="0.2">
      <c r="A265" s="169">
        <v>9</v>
      </c>
      <c r="B265" s="100" t="str">
        <f t="shared" si="83"/>
        <v>Working</v>
      </c>
      <c r="C265" s="170">
        <f t="shared" si="84"/>
        <v>2033969.9666232408</v>
      </c>
      <c r="D265" s="170">
        <f t="shared" si="85"/>
        <v>1020277.372071536</v>
      </c>
      <c r="E265" s="170">
        <f t="shared" si="86"/>
        <v>101341.60651100927</v>
      </c>
      <c r="F265" s="170">
        <f t="shared" si="87"/>
        <v>63338.504069380797</v>
      </c>
      <c r="G265" s="171">
        <f t="shared" si="88"/>
        <v>0</v>
      </c>
      <c r="H265" s="171">
        <f t="shared" si="89"/>
        <v>0</v>
      </c>
      <c r="I265" s="171">
        <f>IF(B265="Working",MIN(MAX(D265-E265-F265-G265-H265,0),'Tax Assumptions'!$B$20),0)</f>
        <v>7500</v>
      </c>
      <c r="J265" s="171">
        <f t="shared" si="90"/>
        <v>848097.26149114594</v>
      </c>
      <c r="K265" s="170">
        <f t="shared" si="91"/>
        <v>0</v>
      </c>
      <c r="L265" s="170">
        <f t="shared" si="92"/>
        <v>0</v>
      </c>
      <c r="M265" s="170">
        <f t="shared" si="98"/>
        <v>0</v>
      </c>
      <c r="N265" s="170">
        <f t="shared" si="99"/>
        <v>0</v>
      </c>
      <c r="O265" s="170">
        <f t="shared" si="100"/>
        <v>0</v>
      </c>
      <c r="P265" s="170">
        <f t="shared" si="101"/>
        <v>0</v>
      </c>
      <c r="Q265" s="171">
        <f t="shared" si="102"/>
        <v>4623288.6113382634</v>
      </c>
      <c r="R265" s="171">
        <f t="shared" si="103"/>
        <v>281537.24159276602</v>
      </c>
      <c r="S265" s="171">
        <f t="shared" si="104"/>
        <v>86184.869875336532</v>
      </c>
      <c r="T265" s="171">
        <f t="shared" si="105"/>
        <v>0</v>
      </c>
      <c r="U265" s="171">
        <f t="shared" si="93"/>
        <v>4991010.7228063662</v>
      </c>
      <c r="V265" s="171">
        <f t="shared" si="106"/>
        <v>0</v>
      </c>
      <c r="W265" s="171" t="str">
        <f>IF(OR(A265&gt;=$C$13,B265="Retired"),IF(V265&gt;0,-V265,U265-'Model Inputs'!$B$18),"")</f>
        <v/>
      </c>
      <c r="X265" s="171">
        <f t="shared" si="94"/>
        <v>0</v>
      </c>
      <c r="Y265" s="171">
        <f t="shared" si="95"/>
        <v>0</v>
      </c>
      <c r="Z265" s="171">
        <f t="shared" si="96"/>
        <v>0</v>
      </c>
      <c r="AA265" s="172">
        <f t="shared" si="97"/>
        <v>4991010.7228063662</v>
      </c>
      <c r="AB265" s="5"/>
      <c r="AC265" s="5"/>
      <c r="AD265" s="5"/>
      <c r="AE265" s="5"/>
      <c r="AF265" s="5"/>
      <c r="AG265" s="5"/>
    </row>
    <row r="266" spans="1:33" x14ac:dyDescent="0.2">
      <c r="A266" s="173">
        <v>10</v>
      </c>
      <c r="B266" s="65" t="str">
        <f t="shared" si="83"/>
        <v>Working</v>
      </c>
      <c r="C266" s="174">
        <f t="shared" si="84"/>
        <v>2595495.7626410057</v>
      </c>
      <c r="D266" s="174">
        <f t="shared" si="85"/>
        <v>1284890.7881869476</v>
      </c>
      <c r="E266" s="174">
        <f t="shared" si="86"/>
        <v>104381.85470633955</v>
      </c>
      <c r="F266" s="174">
        <f t="shared" si="87"/>
        <v>65238.659191462226</v>
      </c>
      <c r="G266" s="171">
        <f t="shared" si="88"/>
        <v>481701.17200139578</v>
      </c>
      <c r="H266" s="171">
        <f t="shared" si="89"/>
        <v>64615.384615384617</v>
      </c>
      <c r="I266" s="171">
        <f>IF(B266="Working",MIN(MAX(D266-E266-F266-G266-H266,0),'Tax Assumptions'!$B$20),0)</f>
        <v>7500</v>
      </c>
      <c r="J266" s="171">
        <f t="shared" si="90"/>
        <v>561453.71767236537</v>
      </c>
      <c r="K266" s="174">
        <f t="shared" si="91"/>
        <v>0</v>
      </c>
      <c r="L266" s="174">
        <f t="shared" si="92"/>
        <v>0</v>
      </c>
      <c r="M266" s="174">
        <f t="shared" si="98"/>
        <v>0</v>
      </c>
      <c r="N266" s="174">
        <f t="shared" si="99"/>
        <v>0</v>
      </c>
      <c r="O266" s="174">
        <f t="shared" si="100"/>
        <v>0</v>
      </c>
      <c r="P266" s="174">
        <f t="shared" si="101"/>
        <v>0</v>
      </c>
      <c r="Q266" s="171">
        <f t="shared" si="102"/>
        <v>5462139.6456909254</v>
      </c>
      <c r="R266" s="171">
        <f t="shared" si="103"/>
        <v>322929.47608833201</v>
      </c>
      <c r="S266" s="171">
        <f t="shared" si="104"/>
        <v>98855.96206785673</v>
      </c>
      <c r="T266" s="171">
        <f t="shared" si="105"/>
        <v>0</v>
      </c>
      <c r="U266" s="171">
        <f t="shared" si="93"/>
        <v>5883925.0838471139</v>
      </c>
      <c r="V266" s="171">
        <f t="shared" si="106"/>
        <v>0</v>
      </c>
      <c r="W266" s="171">
        <f>IF(OR(A266&gt;=$C$13,B266="Retired"),IF(V266&gt;0,-V266,U266-'Model Inputs'!$B$18),"")</f>
        <v>4883925.0838471139</v>
      </c>
      <c r="X266" s="171">
        <f t="shared" si="94"/>
        <v>1014107.7305292542</v>
      </c>
      <c r="Y266" s="171">
        <f t="shared" si="95"/>
        <v>551525.03457834024</v>
      </c>
      <c r="Z266" s="171">
        <f t="shared" si="96"/>
        <v>462582.69595091394</v>
      </c>
      <c r="AA266" s="175">
        <f t="shared" si="97"/>
        <v>6346507.7797980281</v>
      </c>
      <c r="AB266" s="5"/>
      <c r="AC266" s="5"/>
      <c r="AD266" s="5"/>
      <c r="AE266" s="5"/>
      <c r="AF266" s="5"/>
      <c r="AG266" s="5"/>
    </row>
    <row r="267" spans="1:33" x14ac:dyDescent="0.2">
      <c r="A267" s="169">
        <v>11</v>
      </c>
      <c r="B267" s="100" t="str">
        <f t="shared" si="83"/>
        <v>Retired</v>
      </c>
      <c r="C267" s="170">
        <f t="shared" si="84"/>
        <v>0</v>
      </c>
      <c r="D267" s="170">
        <f t="shared" si="85"/>
        <v>0</v>
      </c>
      <c r="E267" s="170">
        <f t="shared" si="86"/>
        <v>0</v>
      </c>
      <c r="F267" s="170">
        <f t="shared" si="87"/>
        <v>0</v>
      </c>
      <c r="G267" s="171">
        <f t="shared" si="88"/>
        <v>0</v>
      </c>
      <c r="H267" s="171">
        <f t="shared" si="89"/>
        <v>65284.695717533919</v>
      </c>
      <c r="I267" s="171">
        <f>IF(B267="Working",MIN(MAX(D267-E267-F267-G267-H267,0),'Tax Assumptions'!$B$20),0)</f>
        <v>0</v>
      </c>
      <c r="J267" s="171">
        <f t="shared" si="90"/>
        <v>-205284.69571753393</v>
      </c>
      <c r="K267" s="170">
        <f t="shared" si="91"/>
        <v>205284.69571753393</v>
      </c>
      <c r="L267" s="170">
        <f t="shared" si="92"/>
        <v>205284.69571753393</v>
      </c>
      <c r="M267" s="170">
        <f t="shared" si="98"/>
        <v>205284.69571753393</v>
      </c>
      <c r="N267" s="170">
        <f t="shared" si="99"/>
        <v>0</v>
      </c>
      <c r="O267" s="170">
        <f t="shared" si="100"/>
        <v>0</v>
      </c>
      <c r="P267" s="170">
        <f t="shared" si="101"/>
        <v>0</v>
      </c>
      <c r="Q267" s="171">
        <f t="shared" si="102"/>
        <v>5584583.3287148476</v>
      </c>
      <c r="R267" s="171">
        <f t="shared" si="103"/>
        <v>342305.24465363193</v>
      </c>
      <c r="S267" s="171">
        <f t="shared" si="104"/>
        <v>104787.31979192814</v>
      </c>
      <c r="T267" s="171">
        <f t="shared" si="105"/>
        <v>0</v>
      </c>
      <c r="U267" s="171">
        <f t="shared" si="93"/>
        <v>6031675.8931604074</v>
      </c>
      <c r="V267" s="171">
        <f t="shared" si="106"/>
        <v>0</v>
      </c>
      <c r="W267" s="171">
        <f>IF(OR(A267&gt;=$C$13,B267="Retired"),IF(V267&gt;0,-V267,U267-'Model Inputs'!$B$18),"")</f>
        <v>5031675.8931604074</v>
      </c>
      <c r="X267" s="171">
        <f t="shared" si="94"/>
        <v>1044530.9624451319</v>
      </c>
      <c r="Y267" s="171">
        <f t="shared" si="95"/>
        <v>544873.30029306666</v>
      </c>
      <c r="Z267" s="171">
        <f t="shared" si="96"/>
        <v>499657.6621520652</v>
      </c>
      <c r="AA267" s="172">
        <f t="shared" si="97"/>
        <v>6531333.5553124724</v>
      </c>
      <c r="AB267" s="5"/>
      <c r="AC267" s="5"/>
      <c r="AD267" s="5"/>
      <c r="AE267" s="5"/>
      <c r="AF267" s="5"/>
      <c r="AG267" s="5"/>
    </row>
    <row r="268" spans="1:33" x14ac:dyDescent="0.2">
      <c r="A268" s="173">
        <v>12</v>
      </c>
      <c r="B268" s="65" t="str">
        <f t="shared" si="83"/>
        <v>Retired</v>
      </c>
      <c r="C268" s="174">
        <f t="shared" si="84"/>
        <v>0</v>
      </c>
      <c r="D268" s="174">
        <f t="shared" si="85"/>
        <v>0</v>
      </c>
      <c r="E268" s="174">
        <f t="shared" si="86"/>
        <v>0</v>
      </c>
      <c r="F268" s="174">
        <f t="shared" si="87"/>
        <v>0</v>
      </c>
      <c r="G268" s="171">
        <f t="shared" si="88"/>
        <v>0</v>
      </c>
      <c r="H268" s="171">
        <f t="shared" si="89"/>
        <v>65974.08615274771</v>
      </c>
      <c r="I268" s="171">
        <f>IF(B268="Working",MIN(MAX(D268-E268-F268-G268-H268,0),'Tax Assumptions'!$B$20),0)</f>
        <v>0</v>
      </c>
      <c r="J268" s="171">
        <f t="shared" si="90"/>
        <v>-205974.08615274771</v>
      </c>
      <c r="K268" s="174">
        <f t="shared" si="91"/>
        <v>205974.08615274771</v>
      </c>
      <c r="L268" s="174">
        <f t="shared" si="92"/>
        <v>205974.08615274771</v>
      </c>
      <c r="M268" s="174">
        <f t="shared" si="98"/>
        <v>205974.08615274771</v>
      </c>
      <c r="N268" s="174">
        <f t="shared" si="99"/>
        <v>0</v>
      </c>
      <c r="O268" s="174">
        <f t="shared" si="100"/>
        <v>0</v>
      </c>
      <c r="P268" s="174">
        <f t="shared" si="101"/>
        <v>0</v>
      </c>
      <c r="Q268" s="171">
        <f t="shared" si="102"/>
        <v>5713684.2422849918</v>
      </c>
      <c r="R268" s="171">
        <f t="shared" si="103"/>
        <v>362843.55933284987</v>
      </c>
      <c r="S268" s="171">
        <f t="shared" si="104"/>
        <v>111074.55897944383</v>
      </c>
      <c r="T268" s="171">
        <f t="shared" si="105"/>
        <v>0</v>
      </c>
      <c r="U268" s="171">
        <f t="shared" si="93"/>
        <v>6187602.3605972854</v>
      </c>
      <c r="V268" s="171">
        <f t="shared" si="106"/>
        <v>0</v>
      </c>
      <c r="W268" s="171">
        <f>IF(OR(A268&gt;=$C$13,B268="Retired"),IF(V268&gt;0,-V268,U268-'Model Inputs'!$B$18),"")</f>
        <v>5187602.3605972854</v>
      </c>
      <c r="X268" s="171">
        <f t="shared" si="94"/>
        <v>1075866.8913184856</v>
      </c>
      <c r="Y268" s="171">
        <f t="shared" si="95"/>
        <v>537776.08704367955</v>
      </c>
      <c r="Z268" s="171">
        <f t="shared" si="96"/>
        <v>538090.80427480605</v>
      </c>
      <c r="AA268" s="175">
        <f t="shared" si="97"/>
        <v>6725693.1648720913</v>
      </c>
      <c r="AB268" s="5"/>
      <c r="AC268" s="5"/>
      <c r="AD268" s="5"/>
      <c r="AE268" s="5"/>
      <c r="AF268" s="5"/>
      <c r="AG268" s="5"/>
    </row>
    <row r="269" spans="1:33" x14ac:dyDescent="0.2">
      <c r="A269" s="169">
        <v>13</v>
      </c>
      <c r="B269" s="100" t="str">
        <f t="shared" si="83"/>
        <v>Retired</v>
      </c>
      <c r="C269" s="170">
        <f t="shared" si="84"/>
        <v>0</v>
      </c>
      <c r="D269" s="170">
        <f t="shared" si="85"/>
        <v>0</v>
      </c>
      <c r="E269" s="170">
        <f t="shared" si="86"/>
        <v>0</v>
      </c>
      <c r="F269" s="170">
        <f t="shared" si="87"/>
        <v>0</v>
      </c>
      <c r="G269" s="171">
        <f t="shared" si="88"/>
        <v>0</v>
      </c>
      <c r="H269" s="171">
        <f t="shared" si="89"/>
        <v>66684.158301017917</v>
      </c>
      <c r="I269" s="171">
        <f>IF(B269="Working",MIN(MAX(D269-E269-F269-G269-H269,0),'Tax Assumptions'!$B$20),0)</f>
        <v>0</v>
      </c>
      <c r="J269" s="171">
        <f t="shared" si="90"/>
        <v>-206684.15830101792</v>
      </c>
      <c r="K269" s="170">
        <f t="shared" si="91"/>
        <v>206684.15830101792</v>
      </c>
      <c r="L269" s="170">
        <f t="shared" si="92"/>
        <v>206684.15830101792</v>
      </c>
      <c r="M269" s="170">
        <f t="shared" si="98"/>
        <v>206684.15830101792</v>
      </c>
      <c r="N269" s="170">
        <f t="shared" si="99"/>
        <v>0</v>
      </c>
      <c r="O269" s="170">
        <f t="shared" si="100"/>
        <v>0</v>
      </c>
      <c r="P269" s="170">
        <f t="shared" si="101"/>
        <v>0</v>
      </c>
      <c r="Q269" s="171">
        <f t="shared" si="102"/>
        <v>5849821.1385210734</v>
      </c>
      <c r="R269" s="171">
        <f t="shared" si="103"/>
        <v>384614.1728928209</v>
      </c>
      <c r="S269" s="171">
        <f t="shared" si="104"/>
        <v>117739.03251821046</v>
      </c>
      <c r="T269" s="171">
        <f t="shared" si="105"/>
        <v>0</v>
      </c>
      <c r="U269" s="171">
        <f t="shared" si="93"/>
        <v>6352174.3439321052</v>
      </c>
      <c r="V269" s="171">
        <f t="shared" si="106"/>
        <v>0</v>
      </c>
      <c r="W269" s="171">
        <f>IF(OR(A269&gt;=$C$13,B269="Retired"),IF(V269&gt;0,-V269,U269-'Model Inputs'!$B$18),"")</f>
        <v>5352174.3439321052</v>
      </c>
      <c r="X269" s="171">
        <f t="shared" si="94"/>
        <v>1108142.8980580403</v>
      </c>
      <c r="Y269" s="171">
        <f t="shared" si="95"/>
        <v>530203.56027892395</v>
      </c>
      <c r="Z269" s="171">
        <f t="shared" si="96"/>
        <v>577939.33777911635</v>
      </c>
      <c r="AA269" s="172">
        <f t="shared" si="97"/>
        <v>6930113.6817112211</v>
      </c>
      <c r="AB269" s="5"/>
      <c r="AC269" s="5"/>
      <c r="AD269" s="5"/>
      <c r="AE269" s="5"/>
      <c r="AF269" s="5"/>
      <c r="AG269" s="5"/>
    </row>
    <row r="270" spans="1:33" x14ac:dyDescent="0.2">
      <c r="A270" s="173">
        <v>14</v>
      </c>
      <c r="B270" s="65" t="str">
        <f t="shared" si="83"/>
        <v>Retired</v>
      </c>
      <c r="C270" s="174">
        <f t="shared" si="84"/>
        <v>0</v>
      </c>
      <c r="D270" s="174">
        <f t="shared" si="85"/>
        <v>0</v>
      </c>
      <c r="E270" s="174">
        <f t="shared" si="86"/>
        <v>0</v>
      </c>
      <c r="F270" s="174">
        <f t="shared" si="87"/>
        <v>0</v>
      </c>
      <c r="G270" s="171">
        <f t="shared" si="88"/>
        <v>0</v>
      </c>
      <c r="H270" s="171">
        <f t="shared" si="89"/>
        <v>67415.532613736214</v>
      </c>
      <c r="I270" s="171">
        <f>IF(B270="Working",MIN(MAX(D270-E270-F270-G270-H270,0),'Tax Assumptions'!$B$20),0)</f>
        <v>0</v>
      </c>
      <c r="J270" s="171">
        <f t="shared" si="90"/>
        <v>-207415.53261373623</v>
      </c>
      <c r="K270" s="174">
        <f t="shared" si="91"/>
        <v>207415.53261373623</v>
      </c>
      <c r="L270" s="174">
        <f t="shared" si="92"/>
        <v>207415.53261373623</v>
      </c>
      <c r="M270" s="174">
        <f t="shared" si="98"/>
        <v>207415.53261373623</v>
      </c>
      <c r="N270" s="174">
        <f t="shared" si="99"/>
        <v>0</v>
      </c>
      <c r="O270" s="174">
        <f t="shared" si="100"/>
        <v>0</v>
      </c>
      <c r="P270" s="174">
        <f t="shared" si="101"/>
        <v>0</v>
      </c>
      <c r="Q270" s="171">
        <f t="shared" si="102"/>
        <v>5993394.8742186017</v>
      </c>
      <c r="R270" s="171">
        <f t="shared" si="103"/>
        <v>407691.0232663902</v>
      </c>
      <c r="S270" s="171">
        <f t="shared" si="104"/>
        <v>124803.37446930309</v>
      </c>
      <c r="T270" s="171">
        <f t="shared" si="105"/>
        <v>0</v>
      </c>
      <c r="U270" s="171">
        <f t="shared" si="93"/>
        <v>6525889.2719542952</v>
      </c>
      <c r="V270" s="171">
        <f t="shared" si="106"/>
        <v>0</v>
      </c>
      <c r="W270" s="171">
        <f>IF(OR(A270&gt;=$C$13,B270="Retired"),IF(V270&gt;0,-V270,U270-'Model Inputs'!$B$18),"")</f>
        <v>5525889.2719542952</v>
      </c>
      <c r="X270" s="171">
        <f t="shared" si="94"/>
        <v>1141387.1849997814</v>
      </c>
      <c r="Y270" s="171">
        <f t="shared" si="95"/>
        <v>522123.88737239386</v>
      </c>
      <c r="Z270" s="171">
        <f t="shared" si="96"/>
        <v>619263.29762738757</v>
      </c>
      <c r="AA270" s="175">
        <f t="shared" si="97"/>
        <v>7145152.5695816828</v>
      </c>
      <c r="AB270" s="5"/>
      <c r="AC270" s="5"/>
      <c r="AD270" s="5"/>
      <c r="AE270" s="5"/>
      <c r="AF270" s="5"/>
      <c r="AG270" s="5"/>
    </row>
    <row r="271" spans="1:33" x14ac:dyDescent="0.2">
      <c r="A271" s="169">
        <v>15</v>
      </c>
      <c r="B271" s="100" t="str">
        <f t="shared" si="83"/>
        <v>Retired</v>
      </c>
      <c r="C271" s="170">
        <f t="shared" si="84"/>
        <v>0</v>
      </c>
      <c r="D271" s="170">
        <f t="shared" si="85"/>
        <v>0</v>
      </c>
      <c r="E271" s="170">
        <f t="shared" si="86"/>
        <v>0</v>
      </c>
      <c r="F271" s="170">
        <f t="shared" si="87"/>
        <v>0</v>
      </c>
      <c r="G271" s="171">
        <f t="shared" si="88"/>
        <v>0</v>
      </c>
      <c r="H271" s="171">
        <f t="shared" si="89"/>
        <v>68168.84815583608</v>
      </c>
      <c r="I271" s="171">
        <f>IF(B271="Working",MIN(MAX(D271-E271-F271-G271-H271,0),'Tax Assumptions'!$B$20),0)</f>
        <v>0</v>
      </c>
      <c r="J271" s="171">
        <f t="shared" si="90"/>
        <v>-208168.84815583608</v>
      </c>
      <c r="K271" s="170">
        <f t="shared" si="91"/>
        <v>208168.84815583608</v>
      </c>
      <c r="L271" s="170">
        <f t="shared" si="92"/>
        <v>208168.84815583608</v>
      </c>
      <c r="M271" s="170">
        <f t="shared" si="98"/>
        <v>208168.84815583608</v>
      </c>
      <c r="N271" s="170">
        <f t="shared" si="99"/>
        <v>0</v>
      </c>
      <c r="O271" s="170">
        <f t="shared" si="100"/>
        <v>0</v>
      </c>
      <c r="P271" s="170">
        <f t="shared" si="101"/>
        <v>0</v>
      </c>
      <c r="Q271" s="171">
        <f t="shared" si="102"/>
        <v>6144829.7185158823</v>
      </c>
      <c r="R271" s="171">
        <f t="shared" si="103"/>
        <v>432152.48466237361</v>
      </c>
      <c r="S271" s="171">
        <f t="shared" si="104"/>
        <v>132291.57693746127</v>
      </c>
      <c r="T271" s="171">
        <f t="shared" si="105"/>
        <v>0</v>
      </c>
      <c r="U271" s="171">
        <f t="shared" si="93"/>
        <v>6709273.7801157171</v>
      </c>
      <c r="V271" s="171">
        <f t="shared" si="106"/>
        <v>0</v>
      </c>
      <c r="W271" s="171">
        <f>IF(OR(A271&gt;=$C$13,B271="Retired"),IF(V271&gt;0,-V271,U271-'Model Inputs'!$B$18),"")</f>
        <v>5709273.7801157171</v>
      </c>
      <c r="X271" s="171">
        <f t="shared" si="94"/>
        <v>1175628.8005497749</v>
      </c>
      <c r="Y271" s="171">
        <f t="shared" si="95"/>
        <v>513503.10380773869</v>
      </c>
      <c r="Z271" s="171">
        <f t="shared" si="96"/>
        <v>662125.69674203615</v>
      </c>
      <c r="AA271" s="172">
        <f t="shared" si="97"/>
        <v>7371399.4768577535</v>
      </c>
      <c r="AB271" s="5"/>
      <c r="AC271" s="5"/>
      <c r="AD271" s="5"/>
      <c r="AE271" s="5"/>
      <c r="AF271" s="5"/>
      <c r="AG271" s="5"/>
    </row>
    <row r="272" spans="1:33" x14ac:dyDescent="0.2">
      <c r="A272" s="173">
        <v>16</v>
      </c>
      <c r="B272" s="65" t="str">
        <f t="shared" si="83"/>
        <v>Retired</v>
      </c>
      <c r="C272" s="174">
        <f t="shared" si="84"/>
        <v>0</v>
      </c>
      <c r="D272" s="174">
        <f t="shared" si="85"/>
        <v>0</v>
      </c>
      <c r="E272" s="174">
        <f t="shared" si="86"/>
        <v>0</v>
      </c>
      <c r="F272" s="174">
        <f t="shared" si="87"/>
        <v>0</v>
      </c>
      <c r="G272" s="171">
        <f t="shared" si="88"/>
        <v>0</v>
      </c>
      <c r="H272" s="171">
        <f t="shared" si="89"/>
        <v>68944.763164198928</v>
      </c>
      <c r="I272" s="171">
        <f>IF(B272="Working",MIN(MAX(D272-E272-F272-G272-H272,0),'Tax Assumptions'!$B$20),0)</f>
        <v>0</v>
      </c>
      <c r="J272" s="171">
        <f t="shared" si="90"/>
        <v>-208944.76316419893</v>
      </c>
      <c r="K272" s="174">
        <f t="shared" si="91"/>
        <v>208944.76316419893</v>
      </c>
      <c r="L272" s="174">
        <f t="shared" si="92"/>
        <v>208944.76316419893</v>
      </c>
      <c r="M272" s="174">
        <f t="shared" si="98"/>
        <v>208944.76316419893</v>
      </c>
      <c r="N272" s="174">
        <f t="shared" si="99"/>
        <v>0</v>
      </c>
      <c r="O272" s="174">
        <f t="shared" si="100"/>
        <v>0</v>
      </c>
      <c r="P272" s="174">
        <f t="shared" si="101"/>
        <v>0</v>
      </c>
      <c r="Q272" s="171">
        <f t="shared" si="102"/>
        <v>6304574.7384626362</v>
      </c>
      <c r="R272" s="171">
        <f t="shared" si="103"/>
        <v>458081.63374211604</v>
      </c>
      <c r="S272" s="171">
        <f t="shared" si="104"/>
        <v>140229.07155370896</v>
      </c>
      <c r="T272" s="171">
        <f t="shared" si="105"/>
        <v>0</v>
      </c>
      <c r="U272" s="171">
        <f t="shared" si="93"/>
        <v>6902885.4437584616</v>
      </c>
      <c r="V272" s="171">
        <f t="shared" si="106"/>
        <v>0</v>
      </c>
      <c r="W272" s="171">
        <f>IF(OR(A272&gt;=$C$13,B272="Retired"),IF(V272&gt;0,-V272,U272-'Model Inputs'!$B$18),"")</f>
        <v>5902885.4437584616</v>
      </c>
      <c r="X272" s="171">
        <f t="shared" si="94"/>
        <v>1210897.6645662682</v>
      </c>
      <c r="Y272" s="171">
        <f t="shared" si="95"/>
        <v>504304.97040204541</v>
      </c>
      <c r="Z272" s="171">
        <f t="shared" si="96"/>
        <v>706592.6941642228</v>
      </c>
      <c r="AA272" s="175">
        <f t="shared" si="97"/>
        <v>7609478.1379226847</v>
      </c>
      <c r="AB272" s="5"/>
      <c r="AC272" s="5"/>
      <c r="AD272" s="5"/>
      <c r="AE272" s="5"/>
      <c r="AF272" s="5"/>
      <c r="AG272" s="5"/>
    </row>
    <row r="273" spans="1:33" x14ac:dyDescent="0.2">
      <c r="A273" s="169">
        <v>17</v>
      </c>
      <c r="B273" s="100" t="str">
        <f t="shared" si="83"/>
        <v>Retired</v>
      </c>
      <c r="C273" s="170">
        <f t="shared" si="84"/>
        <v>0</v>
      </c>
      <c r="D273" s="170">
        <f t="shared" si="85"/>
        <v>0</v>
      </c>
      <c r="E273" s="170">
        <f t="shared" si="86"/>
        <v>0</v>
      </c>
      <c r="F273" s="170">
        <f t="shared" si="87"/>
        <v>0</v>
      </c>
      <c r="G273" s="171">
        <f t="shared" si="88"/>
        <v>0</v>
      </c>
      <c r="H273" s="171">
        <f t="shared" si="89"/>
        <v>69743.95562281266</v>
      </c>
      <c r="I273" s="171">
        <f>IF(B273="Working",MIN(MAX(D273-E273-F273-G273-H273,0),'Tax Assumptions'!$B$20),0)</f>
        <v>0</v>
      </c>
      <c r="J273" s="171">
        <f t="shared" si="90"/>
        <v>-209743.95562281267</v>
      </c>
      <c r="K273" s="170">
        <f t="shared" si="91"/>
        <v>209743.95562281267</v>
      </c>
      <c r="L273" s="170">
        <f t="shared" si="92"/>
        <v>209743.95562281267</v>
      </c>
      <c r="M273" s="170">
        <f t="shared" si="98"/>
        <v>209743.95562281267</v>
      </c>
      <c r="N273" s="170">
        <f t="shared" si="99"/>
        <v>0</v>
      </c>
      <c r="O273" s="170">
        <f t="shared" si="100"/>
        <v>0</v>
      </c>
      <c r="P273" s="170">
        <f t="shared" si="101"/>
        <v>0</v>
      </c>
      <c r="Q273" s="171">
        <f t="shared" si="102"/>
        <v>6473105.267147582</v>
      </c>
      <c r="R273" s="171">
        <f t="shared" si="103"/>
        <v>485566.53176664305</v>
      </c>
      <c r="S273" s="171">
        <f t="shared" si="104"/>
        <v>148642.81584693151</v>
      </c>
      <c r="T273" s="171">
        <f t="shared" si="105"/>
        <v>0</v>
      </c>
      <c r="U273" s="171">
        <f t="shared" si="93"/>
        <v>7107314.614761156</v>
      </c>
      <c r="V273" s="171">
        <f t="shared" si="106"/>
        <v>0</v>
      </c>
      <c r="W273" s="171">
        <f>IF(OR(A273&gt;=$C$13,B273="Retired"),IF(V273&gt;0,-V273,U273-'Model Inputs'!$B$18),"")</f>
        <v>6107314.614761156</v>
      </c>
      <c r="X273" s="171">
        <f t="shared" si="94"/>
        <v>1247224.5945032563</v>
      </c>
      <c r="Y273" s="171">
        <f t="shared" si="95"/>
        <v>494490.8209672065</v>
      </c>
      <c r="Z273" s="171">
        <f t="shared" si="96"/>
        <v>752733.77353604976</v>
      </c>
      <c r="AA273" s="172">
        <f t="shared" si="97"/>
        <v>7860048.3882972058</v>
      </c>
      <c r="AB273" s="5"/>
      <c r="AC273" s="5"/>
      <c r="AD273" s="5"/>
      <c r="AE273" s="5"/>
      <c r="AF273" s="5"/>
      <c r="AG273" s="5"/>
    </row>
    <row r="274" spans="1:33" x14ac:dyDescent="0.2">
      <c r="A274" s="173">
        <v>18</v>
      </c>
      <c r="B274" s="65" t="str">
        <f t="shared" si="83"/>
        <v>Retired</v>
      </c>
      <c r="C274" s="174">
        <f t="shared" si="84"/>
        <v>0</v>
      </c>
      <c r="D274" s="174">
        <f t="shared" si="85"/>
        <v>0</v>
      </c>
      <c r="E274" s="174">
        <f t="shared" si="86"/>
        <v>0</v>
      </c>
      <c r="F274" s="174">
        <f t="shared" si="87"/>
        <v>0</v>
      </c>
      <c r="G274" s="171">
        <f t="shared" si="88"/>
        <v>0</v>
      </c>
      <c r="H274" s="171">
        <f t="shared" si="89"/>
        <v>70567.123855184807</v>
      </c>
      <c r="I274" s="171">
        <f>IF(B274="Working",MIN(MAX(D274-E274-F274-G274-H274,0),'Tax Assumptions'!$B$20),0)</f>
        <v>0</v>
      </c>
      <c r="J274" s="171">
        <f t="shared" si="90"/>
        <v>-210567.12385518482</v>
      </c>
      <c r="K274" s="174">
        <f t="shared" si="91"/>
        <v>210567.12385518482</v>
      </c>
      <c r="L274" s="174">
        <f t="shared" si="92"/>
        <v>210567.12385518482</v>
      </c>
      <c r="M274" s="174">
        <f t="shared" si="98"/>
        <v>210567.12385518482</v>
      </c>
      <c r="N274" s="174">
        <f t="shared" si="99"/>
        <v>0</v>
      </c>
      <c r="O274" s="174">
        <f t="shared" si="100"/>
        <v>0</v>
      </c>
      <c r="P274" s="174">
        <f t="shared" si="101"/>
        <v>0</v>
      </c>
      <c r="Q274" s="171">
        <f t="shared" si="102"/>
        <v>6650924.4593212521</v>
      </c>
      <c r="R274" s="171">
        <f t="shared" si="103"/>
        <v>514700.52367264166</v>
      </c>
      <c r="S274" s="171">
        <f t="shared" si="104"/>
        <v>157561.38479774742</v>
      </c>
      <c r="T274" s="171">
        <f t="shared" si="105"/>
        <v>0</v>
      </c>
      <c r="U274" s="171">
        <f t="shared" si="93"/>
        <v>7323186.3677916406</v>
      </c>
      <c r="V274" s="171">
        <f t="shared" si="106"/>
        <v>0</v>
      </c>
      <c r="W274" s="171">
        <f>IF(OR(A274&gt;=$C$13,B274="Retired"),IF(V274&gt;0,-V274,U274-'Model Inputs'!$B$18),"")</f>
        <v>6323186.3677916406</v>
      </c>
      <c r="X274" s="171">
        <f t="shared" si="94"/>
        <v>1284641.3323383539</v>
      </c>
      <c r="Y274" s="171">
        <f t="shared" si="95"/>
        <v>484019.39976888656</v>
      </c>
      <c r="Z274" s="171">
        <f t="shared" si="96"/>
        <v>800621.93256946723</v>
      </c>
      <c r="AA274" s="175">
        <f t="shared" si="97"/>
        <v>8123808.300361108</v>
      </c>
      <c r="AB274" s="5"/>
      <c r="AC274" s="5"/>
      <c r="AD274" s="5"/>
      <c r="AE274" s="5"/>
      <c r="AF274" s="5"/>
      <c r="AG274" s="5"/>
    </row>
    <row r="275" spans="1:33" x14ac:dyDescent="0.2">
      <c r="A275" s="169">
        <v>19</v>
      </c>
      <c r="B275" s="100" t="str">
        <f t="shared" si="83"/>
        <v>Retired</v>
      </c>
      <c r="C275" s="170">
        <f t="shared" si="84"/>
        <v>0</v>
      </c>
      <c r="D275" s="170">
        <f t="shared" si="85"/>
        <v>0</v>
      </c>
      <c r="E275" s="170">
        <f t="shared" si="86"/>
        <v>0</v>
      </c>
      <c r="F275" s="170">
        <f t="shared" si="87"/>
        <v>0</v>
      </c>
      <c r="G275" s="171">
        <f t="shared" si="88"/>
        <v>0</v>
      </c>
      <c r="H275" s="171">
        <f t="shared" si="89"/>
        <v>71414.987134528114</v>
      </c>
      <c r="I275" s="171">
        <f>IF(B275="Working",MIN(MAX(D275-E275-F275-G275-H275,0),'Tax Assumptions'!$B$20),0)</f>
        <v>0</v>
      </c>
      <c r="J275" s="171">
        <f t="shared" si="90"/>
        <v>-211414.98713452811</v>
      </c>
      <c r="K275" s="170">
        <f t="shared" si="91"/>
        <v>211414.98713452811</v>
      </c>
      <c r="L275" s="170">
        <f t="shared" si="92"/>
        <v>211414.98713452811</v>
      </c>
      <c r="M275" s="170">
        <f t="shared" si="98"/>
        <v>211414.98713452811</v>
      </c>
      <c r="N275" s="170">
        <f t="shared" si="99"/>
        <v>0</v>
      </c>
      <c r="O275" s="170">
        <f t="shared" si="100"/>
        <v>0</v>
      </c>
      <c r="P275" s="170">
        <f t="shared" si="101"/>
        <v>0</v>
      </c>
      <c r="Q275" s="171">
        <f t="shared" si="102"/>
        <v>6838564.9397459989</v>
      </c>
      <c r="R275" s="171">
        <f t="shared" si="103"/>
        <v>545582.55509300018</v>
      </c>
      <c r="S275" s="171">
        <f t="shared" si="104"/>
        <v>167015.06788561228</v>
      </c>
      <c r="T275" s="171">
        <f t="shared" si="105"/>
        <v>0</v>
      </c>
      <c r="U275" s="171">
        <f t="shared" si="93"/>
        <v>7551162.5627246117</v>
      </c>
      <c r="V275" s="171">
        <f t="shared" si="106"/>
        <v>0</v>
      </c>
      <c r="W275" s="171">
        <f>IF(OR(A275&gt;=$C$13,B275="Retired"),IF(V275&gt;0,-V275,U275-'Model Inputs'!$B$18),"")</f>
        <v>6551162.5627246117</v>
      </c>
      <c r="X275" s="171">
        <f t="shared" si="94"/>
        <v>1323180.5723085045</v>
      </c>
      <c r="Y275" s="171">
        <f t="shared" si="95"/>
        <v>472846.68809981644</v>
      </c>
      <c r="Z275" s="171">
        <f t="shared" si="96"/>
        <v>850333.88420868805</v>
      </c>
      <c r="AA275" s="172">
        <f t="shared" si="97"/>
        <v>8401496.4469332993</v>
      </c>
      <c r="AB275" s="5"/>
      <c r="AC275" s="5"/>
      <c r="AD275" s="5"/>
      <c r="AE275" s="5"/>
      <c r="AF275" s="5"/>
      <c r="AG275" s="5"/>
    </row>
    <row r="276" spans="1:33" x14ac:dyDescent="0.2">
      <c r="A276" s="173">
        <v>20</v>
      </c>
      <c r="B276" s="65" t="str">
        <f t="shared" si="83"/>
        <v>Retired</v>
      </c>
      <c r="C276" s="174">
        <f t="shared" si="84"/>
        <v>0</v>
      </c>
      <c r="D276" s="174">
        <f t="shared" si="85"/>
        <v>0</v>
      </c>
      <c r="E276" s="174">
        <f t="shared" si="86"/>
        <v>0</v>
      </c>
      <c r="F276" s="174">
        <f t="shared" si="87"/>
        <v>0</v>
      </c>
      <c r="G276" s="171">
        <f t="shared" si="88"/>
        <v>0</v>
      </c>
      <c r="H276" s="171">
        <f t="shared" si="89"/>
        <v>72288.28631225173</v>
      </c>
      <c r="I276" s="171">
        <f>IF(B276="Working",MIN(MAX(D276-E276-F276-G276-H276,0),'Tax Assumptions'!$B$20),0)</f>
        <v>0</v>
      </c>
      <c r="J276" s="171">
        <f t="shared" si="90"/>
        <v>-212288.28631225173</v>
      </c>
      <c r="K276" s="174">
        <f t="shared" si="91"/>
        <v>212288.28631225173</v>
      </c>
      <c r="L276" s="174">
        <f t="shared" si="92"/>
        <v>212288.28631225173</v>
      </c>
      <c r="M276" s="174">
        <f t="shared" si="98"/>
        <v>212288.28631225173</v>
      </c>
      <c r="N276" s="174">
        <f t="shared" si="99"/>
        <v>0</v>
      </c>
      <c r="O276" s="174">
        <f t="shared" si="100"/>
        <v>0</v>
      </c>
      <c r="P276" s="174">
        <f t="shared" si="101"/>
        <v>0</v>
      </c>
      <c r="Q276" s="171">
        <f t="shared" si="102"/>
        <v>7036590.5498185083</v>
      </c>
      <c r="R276" s="171">
        <f t="shared" si="103"/>
        <v>578317.50839858025</v>
      </c>
      <c r="S276" s="171">
        <f t="shared" si="104"/>
        <v>177035.97195874903</v>
      </c>
      <c r="T276" s="171">
        <f t="shared" si="105"/>
        <v>0</v>
      </c>
      <c r="U276" s="171">
        <f t="shared" si="93"/>
        <v>7791944.0301758377</v>
      </c>
      <c r="V276" s="171">
        <f t="shared" si="106"/>
        <v>0</v>
      </c>
      <c r="W276" s="171">
        <f>IF(OR(A276&gt;=$C$13,B276="Retired"),IF(V276&gt;0,-V276,U276-'Model Inputs'!$B$18),"")</f>
        <v>6791944.0301758377</v>
      </c>
      <c r="X276" s="171">
        <f t="shared" si="94"/>
        <v>1362875.9894777597</v>
      </c>
      <c r="Y276" s="171">
        <f t="shared" si="95"/>
        <v>460925.71923837857</v>
      </c>
      <c r="Z276" s="171">
        <f t="shared" si="96"/>
        <v>901950.27023938112</v>
      </c>
      <c r="AA276" s="175">
        <f t="shared" si="97"/>
        <v>8693894.3004152179</v>
      </c>
      <c r="AB276" s="5"/>
      <c r="AC276" s="5"/>
      <c r="AD276" s="5"/>
      <c r="AE276" s="5"/>
      <c r="AF276" s="5"/>
      <c r="AG276" s="5"/>
    </row>
    <row r="277" spans="1:33" x14ac:dyDescent="0.2">
      <c r="A277" s="169">
        <v>21</v>
      </c>
      <c r="B277" s="100" t="str">
        <f t="shared" si="83"/>
        <v>Retired</v>
      </c>
      <c r="C277" s="170">
        <f t="shared" si="84"/>
        <v>0</v>
      </c>
      <c r="D277" s="170">
        <f t="shared" si="85"/>
        <v>0</v>
      </c>
      <c r="E277" s="170">
        <f t="shared" si="86"/>
        <v>0</v>
      </c>
      <c r="F277" s="170">
        <f t="shared" si="87"/>
        <v>0</v>
      </c>
      <c r="G277" s="171">
        <f t="shared" si="88"/>
        <v>0</v>
      </c>
      <c r="H277" s="171">
        <f t="shared" si="89"/>
        <v>73187.78446530705</v>
      </c>
      <c r="I277" s="171">
        <f>IF(B277="Working",MIN(MAX(D277-E277-F277-G277-H277,0),'Tax Assumptions'!$B$20),0)</f>
        <v>0</v>
      </c>
      <c r="J277" s="171">
        <f t="shared" si="90"/>
        <v>-213187.78446530705</v>
      </c>
      <c r="K277" s="170">
        <f t="shared" si="91"/>
        <v>213187.78446530705</v>
      </c>
      <c r="L277" s="170">
        <f t="shared" si="92"/>
        <v>213187.78446530705</v>
      </c>
      <c r="M277" s="170">
        <f t="shared" si="98"/>
        <v>213187.78446530705</v>
      </c>
      <c r="N277" s="170">
        <f t="shared" si="99"/>
        <v>0</v>
      </c>
      <c r="O277" s="170">
        <f t="shared" si="100"/>
        <v>0</v>
      </c>
      <c r="P277" s="170">
        <f t="shared" si="101"/>
        <v>0</v>
      </c>
      <c r="Q277" s="171">
        <f t="shared" si="102"/>
        <v>7245598.1983423121</v>
      </c>
      <c r="R277" s="171">
        <f t="shared" si="103"/>
        <v>613016.55890249508</v>
      </c>
      <c r="S277" s="171">
        <f t="shared" si="104"/>
        <v>187658.13027627397</v>
      </c>
      <c r="T277" s="171">
        <f t="shared" si="105"/>
        <v>0</v>
      </c>
      <c r="U277" s="171">
        <f t="shared" si="93"/>
        <v>8046272.8875210807</v>
      </c>
      <c r="V277" s="171">
        <f t="shared" si="106"/>
        <v>0</v>
      </c>
      <c r="W277" s="171">
        <f>IF(OR(A277&gt;=$C$13,B277="Retired"),IF(V277&gt;0,-V277,U277-'Model Inputs'!$B$18),"")</f>
        <v>7046272.8875210807</v>
      </c>
      <c r="X277" s="171">
        <f t="shared" si="94"/>
        <v>1403762.2691620924</v>
      </c>
      <c r="Y277" s="171">
        <f t="shared" si="95"/>
        <v>448206.38101462531</v>
      </c>
      <c r="Z277" s="171">
        <f t="shared" si="96"/>
        <v>955555.88814746705</v>
      </c>
      <c r="AA277" s="172">
        <f t="shared" si="97"/>
        <v>9001828.7756685484</v>
      </c>
      <c r="AB277" s="5"/>
      <c r="AC277" s="5"/>
      <c r="AD277" s="5"/>
      <c r="AE277" s="5"/>
      <c r="AF277" s="5"/>
      <c r="AG277" s="5"/>
    </row>
    <row r="278" spans="1:33" x14ac:dyDescent="0.2">
      <c r="A278" s="173">
        <v>22</v>
      </c>
      <c r="B278" s="65" t="str">
        <f t="shared" si="83"/>
        <v>Retired</v>
      </c>
      <c r="C278" s="174">
        <f t="shared" si="84"/>
        <v>0</v>
      </c>
      <c r="D278" s="174">
        <f t="shared" si="85"/>
        <v>0</v>
      </c>
      <c r="E278" s="174">
        <f t="shared" si="86"/>
        <v>0</v>
      </c>
      <c r="F278" s="174">
        <f t="shared" si="87"/>
        <v>0</v>
      </c>
      <c r="G278" s="171">
        <f t="shared" si="88"/>
        <v>0</v>
      </c>
      <c r="H278" s="171">
        <f t="shared" si="89"/>
        <v>74114.267562954032</v>
      </c>
      <c r="I278" s="171">
        <f>IF(B278="Working",MIN(MAX(D278-E278-F278-G278-H278,0),'Tax Assumptions'!$B$20),0)</f>
        <v>0</v>
      </c>
      <c r="J278" s="171">
        <f t="shared" si="90"/>
        <v>-214114.26756295405</v>
      </c>
      <c r="K278" s="174">
        <f t="shared" si="91"/>
        <v>214114.26756295405</v>
      </c>
      <c r="L278" s="174">
        <f t="shared" si="92"/>
        <v>214114.26756295405</v>
      </c>
      <c r="M278" s="174">
        <f t="shared" si="98"/>
        <v>214114.26756295405</v>
      </c>
      <c r="N278" s="174">
        <f t="shared" si="99"/>
        <v>0</v>
      </c>
      <c r="O278" s="174">
        <f t="shared" si="100"/>
        <v>0</v>
      </c>
      <c r="P278" s="174">
        <f t="shared" si="101"/>
        <v>0</v>
      </c>
      <c r="Q278" s="171">
        <f t="shared" si="102"/>
        <v>7466219.8226798978</v>
      </c>
      <c r="R278" s="171">
        <f t="shared" si="103"/>
        <v>649797.55243664479</v>
      </c>
      <c r="S278" s="171">
        <f t="shared" si="104"/>
        <v>198917.6180928504</v>
      </c>
      <c r="T278" s="171">
        <f t="shared" si="105"/>
        <v>0</v>
      </c>
      <c r="U278" s="171">
        <f t="shared" si="93"/>
        <v>8314934.9932093937</v>
      </c>
      <c r="V278" s="171">
        <f t="shared" si="106"/>
        <v>0</v>
      </c>
      <c r="W278" s="171">
        <f>IF(OR(A278&gt;=$C$13,B278="Retired"),IF(V278&gt;0,-V278,U278-'Model Inputs'!$B$18),"")</f>
        <v>7314934.9932093937</v>
      </c>
      <c r="X278" s="171">
        <f t="shared" si="94"/>
        <v>1445875.1372369549</v>
      </c>
      <c r="Y278" s="171">
        <f t="shared" si="95"/>
        <v>434635.20515378064</v>
      </c>
      <c r="Z278" s="171">
        <f t="shared" si="96"/>
        <v>1011239.9320831742</v>
      </c>
      <c r="AA278" s="175">
        <f t="shared" si="97"/>
        <v>9326174.9252925683</v>
      </c>
      <c r="AB278" s="5"/>
      <c r="AC278" s="5"/>
      <c r="AD278" s="5"/>
      <c r="AE278" s="5"/>
      <c r="AF278" s="5"/>
      <c r="AG278" s="5"/>
    </row>
    <row r="279" spans="1:33" x14ac:dyDescent="0.2">
      <c r="A279" s="169">
        <v>23</v>
      </c>
      <c r="B279" s="100" t="str">
        <f t="shared" si="83"/>
        <v>Retired</v>
      </c>
      <c r="C279" s="170">
        <f t="shared" si="84"/>
        <v>0</v>
      </c>
      <c r="D279" s="170">
        <f t="shared" si="85"/>
        <v>0</v>
      </c>
      <c r="E279" s="170">
        <f t="shared" si="86"/>
        <v>0</v>
      </c>
      <c r="F279" s="170">
        <f t="shared" si="87"/>
        <v>0</v>
      </c>
      <c r="G279" s="171">
        <f t="shared" si="88"/>
        <v>0</v>
      </c>
      <c r="H279" s="171">
        <f t="shared" si="89"/>
        <v>75068.545153530416</v>
      </c>
      <c r="I279" s="171">
        <f>IF(B279="Working",MIN(MAX(D279-E279-F279-G279-H279,0),'Tax Assumptions'!$B$20),0)</f>
        <v>0</v>
      </c>
      <c r="J279" s="171">
        <f t="shared" si="90"/>
        <v>-215068.54515353043</v>
      </c>
      <c r="K279" s="170">
        <f t="shared" si="91"/>
        <v>215068.54515353043</v>
      </c>
      <c r="L279" s="170">
        <f t="shared" si="92"/>
        <v>215068.54515353043</v>
      </c>
      <c r="M279" s="170">
        <f t="shared" si="98"/>
        <v>215068.54515353043</v>
      </c>
      <c r="N279" s="170">
        <f t="shared" si="99"/>
        <v>0</v>
      </c>
      <c r="O279" s="170">
        <f t="shared" si="100"/>
        <v>0</v>
      </c>
      <c r="P279" s="170">
        <f t="shared" si="101"/>
        <v>0</v>
      </c>
      <c r="Q279" s="171">
        <f t="shared" si="102"/>
        <v>7699124.4668871621</v>
      </c>
      <c r="R279" s="171">
        <f t="shared" si="103"/>
        <v>688785.40558284346</v>
      </c>
      <c r="S279" s="171">
        <f t="shared" si="104"/>
        <v>210852.67517842143</v>
      </c>
      <c r="T279" s="171">
        <f t="shared" si="105"/>
        <v>0</v>
      </c>
      <c r="U279" s="171">
        <f t="shared" si="93"/>
        <v>8598762.5476484261</v>
      </c>
      <c r="V279" s="171">
        <f t="shared" si="106"/>
        <v>0</v>
      </c>
      <c r="W279" s="171">
        <f>IF(OR(A279&gt;=$C$13,B279="Retired"),IF(V279&gt;0,-V279,U279-'Model Inputs'!$B$18),"")</f>
        <v>7598762.5476484261</v>
      </c>
      <c r="X279" s="171">
        <f t="shared" si="94"/>
        <v>1489251.3913540635</v>
      </c>
      <c r="Y279" s="171">
        <f t="shared" si="95"/>
        <v>420155.14251168293</v>
      </c>
      <c r="Z279" s="171">
        <f t="shared" si="96"/>
        <v>1069096.2488423805</v>
      </c>
      <c r="AA279" s="172">
        <f t="shared" si="97"/>
        <v>9667858.7964908071</v>
      </c>
      <c r="AB279" s="5"/>
      <c r="AC279" s="5"/>
      <c r="AD279" s="5"/>
      <c r="AE279" s="5"/>
      <c r="AF279" s="5"/>
      <c r="AG279" s="5"/>
    </row>
    <row r="280" spans="1:33" x14ac:dyDescent="0.2">
      <c r="A280" s="173">
        <v>24</v>
      </c>
      <c r="B280" s="65" t="str">
        <f t="shared" si="83"/>
        <v>Retired</v>
      </c>
      <c r="C280" s="174">
        <f t="shared" si="84"/>
        <v>0</v>
      </c>
      <c r="D280" s="174">
        <f t="shared" si="85"/>
        <v>0</v>
      </c>
      <c r="E280" s="174">
        <f t="shared" si="86"/>
        <v>0</v>
      </c>
      <c r="F280" s="174">
        <f t="shared" si="87"/>
        <v>0</v>
      </c>
      <c r="G280" s="171">
        <f t="shared" si="88"/>
        <v>0</v>
      </c>
      <c r="H280" s="171">
        <f t="shared" si="89"/>
        <v>76051.451071824107</v>
      </c>
      <c r="I280" s="171">
        <f>IF(B280="Working",MIN(MAX(D280-E280-F280-G280-H280,0),'Tax Assumptions'!$B$20),0)</f>
        <v>0</v>
      </c>
      <c r="J280" s="171">
        <f t="shared" si="90"/>
        <v>-216051.45107182412</v>
      </c>
      <c r="K280" s="174">
        <f t="shared" si="91"/>
        <v>216051.45107182412</v>
      </c>
      <c r="L280" s="174">
        <f t="shared" si="92"/>
        <v>216051.45107182412</v>
      </c>
      <c r="M280" s="174">
        <f t="shared" si="98"/>
        <v>216051.45107182412</v>
      </c>
      <c r="N280" s="174">
        <f t="shared" si="99"/>
        <v>0</v>
      </c>
      <c r="O280" s="174">
        <f t="shared" si="100"/>
        <v>0</v>
      </c>
      <c r="P280" s="174">
        <f t="shared" si="101"/>
        <v>0</v>
      </c>
      <c r="Q280" s="171">
        <f t="shared" si="102"/>
        <v>7945020.4838285679</v>
      </c>
      <c r="R280" s="171">
        <f t="shared" si="103"/>
        <v>730112.52991781407</v>
      </c>
      <c r="S280" s="171">
        <f t="shared" si="104"/>
        <v>223503.83568912672</v>
      </c>
      <c r="T280" s="171">
        <f t="shared" si="105"/>
        <v>0</v>
      </c>
      <c r="U280" s="171">
        <f t="shared" si="93"/>
        <v>8898636.8494355101</v>
      </c>
      <c r="V280" s="171">
        <f t="shared" si="106"/>
        <v>0</v>
      </c>
      <c r="W280" s="171">
        <f>IF(OR(A280&gt;=$C$13,B280="Retired"),IF(V280&gt;0,-V280,U280-'Model Inputs'!$B$18),"")</f>
        <v>7898636.8494355101</v>
      </c>
      <c r="X280" s="171">
        <f t="shared" si="94"/>
        <v>1533928.9330946857</v>
      </c>
      <c r="Y280" s="171">
        <f t="shared" si="95"/>
        <v>404705.32325733127</v>
      </c>
      <c r="Z280" s="171">
        <f t="shared" si="96"/>
        <v>1129223.6098373544</v>
      </c>
      <c r="AA280" s="175">
        <f t="shared" si="97"/>
        <v>10027860.459272865</v>
      </c>
      <c r="AB280" s="5"/>
      <c r="AC280" s="5"/>
      <c r="AD280" s="5"/>
      <c r="AE280" s="5"/>
      <c r="AF280" s="5"/>
      <c r="AG280" s="5"/>
    </row>
    <row r="281" spans="1:33" x14ac:dyDescent="0.2">
      <c r="A281" s="169">
        <v>25</v>
      </c>
      <c r="B281" s="100" t="str">
        <f t="shared" si="83"/>
        <v>Retired</v>
      </c>
      <c r="C281" s="170">
        <f t="shared" si="84"/>
        <v>0</v>
      </c>
      <c r="D281" s="170">
        <f t="shared" si="85"/>
        <v>0</v>
      </c>
      <c r="E281" s="170">
        <f t="shared" si="86"/>
        <v>0</v>
      </c>
      <c r="F281" s="170">
        <f t="shared" si="87"/>
        <v>0</v>
      </c>
      <c r="G281" s="171">
        <f t="shared" si="88"/>
        <v>0</v>
      </c>
      <c r="H281" s="171">
        <f t="shared" si="89"/>
        <v>77063.844167666597</v>
      </c>
      <c r="I281" s="171">
        <f>IF(B281="Working",MIN(MAX(D281-E281-F281-G281-H281,0),'Tax Assumptions'!$B$20),0)</f>
        <v>0</v>
      </c>
      <c r="J281" s="171">
        <f t="shared" si="90"/>
        <v>-217063.8441676666</v>
      </c>
      <c r="K281" s="170">
        <f t="shared" si="91"/>
        <v>217063.8441676666</v>
      </c>
      <c r="L281" s="170">
        <f t="shared" si="92"/>
        <v>217063.8441676666</v>
      </c>
      <c r="M281" s="170">
        <f t="shared" si="98"/>
        <v>217063.8441676666</v>
      </c>
      <c r="N281" s="170">
        <f t="shared" si="99"/>
        <v>0</v>
      </c>
      <c r="O281" s="170">
        <f t="shared" si="100"/>
        <v>0</v>
      </c>
      <c r="P281" s="170">
        <f t="shared" si="101"/>
        <v>0</v>
      </c>
      <c r="Q281" s="171">
        <f t="shared" si="102"/>
        <v>8204657.8686906155</v>
      </c>
      <c r="R281" s="171">
        <f t="shared" si="103"/>
        <v>773919.28171288292</v>
      </c>
      <c r="S281" s="171">
        <f t="shared" si="104"/>
        <v>236914.06583047434</v>
      </c>
      <c r="T281" s="171">
        <f t="shared" si="105"/>
        <v>0</v>
      </c>
      <c r="U281" s="171">
        <f t="shared" si="93"/>
        <v>9215491.2162339725</v>
      </c>
      <c r="V281" s="171">
        <f t="shared" si="106"/>
        <v>0</v>
      </c>
      <c r="W281" s="171">
        <f>IF(OR(A281&gt;=$C$13,B281="Retired"),IF(V281&gt;0,-V281,U281-'Model Inputs'!$B$18),"")</f>
        <v>8215491.2162339725</v>
      </c>
      <c r="X281" s="171">
        <f t="shared" si="94"/>
        <v>1579946.8010875264</v>
      </c>
      <c r="Y281" s="171">
        <f t="shared" si="95"/>
        <v>388220.80099441088</v>
      </c>
      <c r="Z281" s="171">
        <f t="shared" si="96"/>
        <v>1191726.0000931155</v>
      </c>
      <c r="AA281" s="172">
        <f t="shared" si="97"/>
        <v>10407217.216327088</v>
      </c>
      <c r="AB281" s="5"/>
      <c r="AC281" s="5"/>
      <c r="AD281" s="5"/>
      <c r="AE281" s="5"/>
      <c r="AF281" s="5"/>
      <c r="AG281" s="5"/>
    </row>
    <row r="282" spans="1:33" x14ac:dyDescent="0.2">
      <c r="A282" s="173">
        <v>26</v>
      </c>
      <c r="B282" s="65" t="str">
        <f t="shared" si="83"/>
        <v>Retired</v>
      </c>
      <c r="C282" s="174">
        <f t="shared" si="84"/>
        <v>0</v>
      </c>
      <c r="D282" s="174">
        <f t="shared" si="85"/>
        <v>0</v>
      </c>
      <c r="E282" s="174">
        <f t="shared" si="86"/>
        <v>0</v>
      </c>
      <c r="F282" s="174">
        <f t="shared" si="87"/>
        <v>0</v>
      </c>
      <c r="G282" s="171">
        <f t="shared" si="88"/>
        <v>0</v>
      </c>
      <c r="H282" s="171">
        <f t="shared" si="89"/>
        <v>78106.609056384361</v>
      </c>
      <c r="I282" s="171">
        <f>IF(B282="Working",MIN(MAX(D282-E282-F282-G282-H282,0),'Tax Assumptions'!$B$20),0)</f>
        <v>0</v>
      </c>
      <c r="J282" s="171">
        <f t="shared" si="90"/>
        <v>-218106.60905638436</v>
      </c>
      <c r="K282" s="174">
        <f t="shared" si="91"/>
        <v>218106.60905638436</v>
      </c>
      <c r="L282" s="174">
        <f t="shared" si="92"/>
        <v>218106.60905638436</v>
      </c>
      <c r="M282" s="174">
        <f t="shared" si="98"/>
        <v>218106.60905638436</v>
      </c>
      <c r="N282" s="174">
        <f t="shared" si="99"/>
        <v>0</v>
      </c>
      <c r="O282" s="174">
        <f t="shared" si="100"/>
        <v>0</v>
      </c>
      <c r="P282" s="174">
        <f t="shared" si="101"/>
        <v>0</v>
      </c>
      <c r="Q282" s="171">
        <f t="shared" si="102"/>
        <v>8478830.7317556683</v>
      </c>
      <c r="R282" s="171">
        <f t="shared" si="103"/>
        <v>820354.43861565599</v>
      </c>
      <c r="S282" s="171">
        <f t="shared" si="104"/>
        <v>251128.90978030281</v>
      </c>
      <c r="T282" s="171">
        <f t="shared" si="105"/>
        <v>0</v>
      </c>
      <c r="U282" s="171">
        <f t="shared" si="93"/>
        <v>9550314.0801516268</v>
      </c>
      <c r="V282" s="171">
        <f t="shared" si="106"/>
        <v>0</v>
      </c>
      <c r="W282" s="171">
        <f>IF(OR(A282&gt;=$C$13,B282="Retired"),IF(V282&gt;0,-V282,U282-'Model Inputs'!$B$18),"")</f>
        <v>8550314.0801516268</v>
      </c>
      <c r="X282" s="171">
        <f t="shared" si="94"/>
        <v>1627345.2051201519</v>
      </c>
      <c r="Y282" s="171">
        <f t="shared" si="95"/>
        <v>370632.2797461655</v>
      </c>
      <c r="Z282" s="171">
        <f t="shared" si="96"/>
        <v>1256712.9253739864</v>
      </c>
      <c r="AA282" s="175">
        <f t="shared" si="97"/>
        <v>10807027.005525613</v>
      </c>
      <c r="AB282" s="5"/>
      <c r="AC282" s="5"/>
      <c r="AD282" s="5"/>
      <c r="AE282" s="5"/>
      <c r="AF282" s="5"/>
      <c r="AG282" s="5"/>
    </row>
    <row r="283" spans="1:33" x14ac:dyDescent="0.2">
      <c r="A283" s="169">
        <v>27</v>
      </c>
      <c r="B283" s="100" t="str">
        <f t="shared" si="83"/>
        <v>Retired</v>
      </c>
      <c r="C283" s="170">
        <f t="shared" si="84"/>
        <v>0</v>
      </c>
      <c r="D283" s="170">
        <f t="shared" si="85"/>
        <v>0</v>
      </c>
      <c r="E283" s="170">
        <f t="shared" si="86"/>
        <v>0</v>
      </c>
      <c r="F283" s="170">
        <f t="shared" si="87"/>
        <v>0</v>
      </c>
      <c r="G283" s="171">
        <f t="shared" si="88"/>
        <v>0</v>
      </c>
      <c r="H283" s="171">
        <f t="shared" si="89"/>
        <v>79180.656891763661</v>
      </c>
      <c r="I283" s="171">
        <f>IF(B283="Working",MIN(MAX(D283-E283-F283-G283-H283,0),'Tax Assumptions'!$B$20),0)</f>
        <v>0</v>
      </c>
      <c r="J283" s="171">
        <f t="shared" si="90"/>
        <v>-219180.65689176368</v>
      </c>
      <c r="K283" s="170">
        <f t="shared" si="91"/>
        <v>219180.65689176368</v>
      </c>
      <c r="L283" s="170">
        <f t="shared" si="92"/>
        <v>219180.65689176368</v>
      </c>
      <c r="M283" s="170">
        <f t="shared" si="98"/>
        <v>219180.65689176368</v>
      </c>
      <c r="N283" s="170">
        <f t="shared" si="99"/>
        <v>0</v>
      </c>
      <c r="O283" s="170">
        <f t="shared" si="100"/>
        <v>0</v>
      </c>
      <c r="P283" s="170">
        <f t="shared" si="101"/>
        <v>0</v>
      </c>
      <c r="Q283" s="171">
        <f t="shared" si="102"/>
        <v>8768379.918769246</v>
      </c>
      <c r="R283" s="171">
        <f t="shared" si="103"/>
        <v>869575.70493259537</v>
      </c>
      <c r="S283" s="171">
        <f t="shared" si="104"/>
        <v>266196.64436712099</v>
      </c>
      <c r="T283" s="171">
        <f t="shared" si="105"/>
        <v>0</v>
      </c>
      <c r="U283" s="171">
        <f t="shared" si="93"/>
        <v>9904152.2680689618</v>
      </c>
      <c r="V283" s="171">
        <f t="shared" si="106"/>
        <v>0</v>
      </c>
      <c r="W283" s="171">
        <f>IF(OR(A283&gt;=$C$13,B283="Retired"),IF(V283&gt;0,-V283,U283-'Model Inputs'!$B$18),"")</f>
        <v>8904152.2680689618</v>
      </c>
      <c r="X283" s="171">
        <f t="shared" si="94"/>
        <v>1676165.5612737564</v>
      </c>
      <c r="Y283" s="171">
        <f t="shared" si="95"/>
        <v>351865.8226559395</v>
      </c>
      <c r="Z283" s="171">
        <f t="shared" si="96"/>
        <v>1324299.7386178169</v>
      </c>
      <c r="AA283" s="172">
        <f t="shared" si="97"/>
        <v>11228452.006686779</v>
      </c>
      <c r="AB283" s="5"/>
      <c r="AC283" s="5"/>
      <c r="AD283" s="5"/>
      <c r="AE283" s="5"/>
      <c r="AF283" s="5"/>
      <c r="AG283" s="5"/>
    </row>
    <row r="284" spans="1:33" x14ac:dyDescent="0.2">
      <c r="A284" s="173">
        <v>28</v>
      </c>
      <c r="B284" s="65" t="str">
        <f t="shared" si="83"/>
        <v>Retired</v>
      </c>
      <c r="C284" s="174">
        <f t="shared" si="84"/>
        <v>0</v>
      </c>
      <c r="D284" s="174">
        <f t="shared" si="85"/>
        <v>0</v>
      </c>
      <c r="E284" s="174">
        <f t="shared" si="86"/>
        <v>0</v>
      </c>
      <c r="F284" s="174">
        <f t="shared" si="87"/>
        <v>0</v>
      </c>
      <c r="G284" s="171">
        <f t="shared" si="88"/>
        <v>0</v>
      </c>
      <c r="H284" s="171">
        <f t="shared" si="89"/>
        <v>80286.926162204341</v>
      </c>
      <c r="I284" s="171">
        <f>IF(B284="Working",MIN(MAX(D284-E284-F284-G284-H284,0),'Tax Assumptions'!$B$20),0)</f>
        <v>0</v>
      </c>
      <c r="J284" s="171">
        <f t="shared" si="90"/>
        <v>-220286.92616220436</v>
      </c>
      <c r="K284" s="174">
        <f t="shared" si="91"/>
        <v>220286.92616220436</v>
      </c>
      <c r="L284" s="174">
        <f t="shared" si="92"/>
        <v>220286.92616220436</v>
      </c>
      <c r="M284" s="174">
        <f t="shared" si="98"/>
        <v>220286.92616220436</v>
      </c>
      <c r="N284" s="174">
        <f t="shared" si="99"/>
        <v>0</v>
      </c>
      <c r="O284" s="174">
        <f t="shared" si="100"/>
        <v>0</v>
      </c>
      <c r="P284" s="174">
        <f t="shared" si="101"/>
        <v>0</v>
      </c>
      <c r="Q284" s="171">
        <f t="shared" si="102"/>
        <v>9074195.7877331972</v>
      </c>
      <c r="R284" s="171">
        <f t="shared" si="103"/>
        <v>921750.24722855119</v>
      </c>
      <c r="S284" s="171">
        <f t="shared" si="104"/>
        <v>282168.44302914827</v>
      </c>
      <c r="T284" s="171">
        <f t="shared" si="105"/>
        <v>0</v>
      </c>
      <c r="U284" s="171">
        <f t="shared" si="93"/>
        <v>10278114.477990897</v>
      </c>
      <c r="V284" s="171">
        <f t="shared" si="106"/>
        <v>0</v>
      </c>
      <c r="W284" s="171">
        <f>IF(OR(A284&gt;=$C$13,B284="Retired"),IF(V284&gt;0,-V284,U284-'Model Inputs'!$B$18),"")</f>
        <v>9278114.4779908974</v>
      </c>
      <c r="X284" s="171">
        <f t="shared" si="94"/>
        <v>1726450.5281119691</v>
      </c>
      <c r="Y284" s="171">
        <f t="shared" si="95"/>
        <v>331842.54117885442</v>
      </c>
      <c r="Z284" s="171">
        <f t="shared" si="96"/>
        <v>1394607.9869331147</v>
      </c>
      <c r="AA284" s="175">
        <f t="shared" si="97"/>
        <v>11672722.464924011</v>
      </c>
      <c r="AB284" s="5"/>
      <c r="AC284" s="5"/>
      <c r="AD284" s="5"/>
      <c r="AE284" s="5"/>
      <c r="AF284" s="5"/>
      <c r="AG284" s="5"/>
    </row>
    <row r="285" spans="1:33" x14ac:dyDescent="0.2">
      <c r="A285" s="169">
        <v>29</v>
      </c>
      <c r="B285" s="100" t="str">
        <f t="shared" si="83"/>
        <v>Retired</v>
      </c>
      <c r="C285" s="170">
        <f t="shared" si="84"/>
        <v>0</v>
      </c>
      <c r="D285" s="170">
        <f t="shared" si="85"/>
        <v>0</v>
      </c>
      <c r="E285" s="170">
        <f t="shared" si="86"/>
        <v>0</v>
      </c>
      <c r="F285" s="170">
        <f t="shared" si="87"/>
        <v>0</v>
      </c>
      <c r="G285" s="171">
        <f t="shared" si="88"/>
        <v>0</v>
      </c>
      <c r="H285" s="171">
        <f t="shared" si="89"/>
        <v>81426.383510758242</v>
      </c>
      <c r="I285" s="171">
        <f>IF(B285="Working",MIN(MAX(D285-E285-F285-G285-H285,0),'Tax Assumptions'!$B$20),0)</f>
        <v>0</v>
      </c>
      <c r="J285" s="171">
        <f t="shared" si="90"/>
        <v>-221426.38351075823</v>
      </c>
      <c r="K285" s="170">
        <f t="shared" si="91"/>
        <v>221426.38351075823</v>
      </c>
      <c r="L285" s="170">
        <f t="shared" si="92"/>
        <v>221426.38351075823</v>
      </c>
      <c r="M285" s="170">
        <f t="shared" si="98"/>
        <v>221426.38351075823</v>
      </c>
      <c r="N285" s="170">
        <f t="shared" si="99"/>
        <v>0</v>
      </c>
      <c r="O285" s="170">
        <f t="shared" si="100"/>
        <v>0</v>
      </c>
      <c r="P285" s="170">
        <f t="shared" si="101"/>
        <v>0</v>
      </c>
      <c r="Q285" s="171">
        <f t="shared" si="102"/>
        <v>9397221.1514864303</v>
      </c>
      <c r="R285" s="171">
        <f t="shared" si="103"/>
        <v>977055.26206226426</v>
      </c>
      <c r="S285" s="171">
        <f t="shared" si="104"/>
        <v>299098.5496108972</v>
      </c>
      <c r="T285" s="171">
        <f t="shared" si="105"/>
        <v>0</v>
      </c>
      <c r="U285" s="171">
        <f t="shared" si="93"/>
        <v>10673374.963159593</v>
      </c>
      <c r="V285" s="171">
        <f t="shared" si="106"/>
        <v>0</v>
      </c>
      <c r="W285" s="171">
        <f>IF(OR(A285&gt;=$C$13,B285="Retired"),IF(V285&gt;0,-V285,U285-'Model Inputs'!$B$18),"")</f>
        <v>9673374.9631595928</v>
      </c>
      <c r="X285" s="171">
        <f t="shared" si="94"/>
        <v>1778244.0439553282</v>
      </c>
      <c r="Y285" s="171">
        <f t="shared" si="95"/>
        <v>310478.26345808059</v>
      </c>
      <c r="Z285" s="171">
        <f t="shared" si="96"/>
        <v>1467765.7804972476</v>
      </c>
      <c r="AA285" s="172">
        <f t="shared" si="97"/>
        <v>12141140.74365684</v>
      </c>
      <c r="AB285" s="5"/>
      <c r="AC285" s="5"/>
      <c r="AD285" s="5"/>
      <c r="AE285" s="5"/>
      <c r="AF285" s="5"/>
      <c r="AG285" s="5"/>
    </row>
    <row r="286" spans="1:33" x14ac:dyDescent="0.2">
      <c r="A286" s="173">
        <v>30</v>
      </c>
      <c r="B286" s="65" t="str">
        <f t="shared" si="83"/>
        <v>Retired</v>
      </c>
      <c r="C286" s="174">
        <f t="shared" si="84"/>
        <v>0</v>
      </c>
      <c r="D286" s="174">
        <f t="shared" si="85"/>
        <v>0</v>
      </c>
      <c r="E286" s="174">
        <f t="shared" si="86"/>
        <v>0</v>
      </c>
      <c r="F286" s="174">
        <f t="shared" si="87"/>
        <v>0</v>
      </c>
      <c r="G286" s="171">
        <f t="shared" si="88"/>
        <v>0</v>
      </c>
      <c r="H286" s="171">
        <f t="shared" si="89"/>
        <v>82600.024579768753</v>
      </c>
      <c r="I286" s="171">
        <f>IF(B286="Working",MIN(MAX(D286-E286-F286-G286-H286,0),'Tax Assumptions'!$B$20),0)</f>
        <v>0</v>
      </c>
      <c r="J286" s="171">
        <f t="shared" si="90"/>
        <v>-222600.02457976877</v>
      </c>
      <c r="K286" s="174">
        <f t="shared" si="91"/>
        <v>222600.02457976877</v>
      </c>
      <c r="L286" s="174">
        <f t="shared" si="92"/>
        <v>222600.02457976877</v>
      </c>
      <c r="M286" s="174">
        <f t="shared" si="98"/>
        <v>222600.02457976877</v>
      </c>
      <c r="N286" s="174">
        <f t="shared" si="99"/>
        <v>0</v>
      </c>
      <c r="O286" s="174">
        <f t="shared" si="100"/>
        <v>0</v>
      </c>
      <c r="P286" s="174">
        <f t="shared" si="101"/>
        <v>0</v>
      </c>
      <c r="Q286" s="171">
        <f t="shared" si="102"/>
        <v>9738454.3959958479</v>
      </c>
      <c r="R286" s="171">
        <f t="shared" si="103"/>
        <v>1035678.5777860002</v>
      </c>
      <c r="S286" s="171">
        <f t="shared" si="104"/>
        <v>317044.46258755104</v>
      </c>
      <c r="T286" s="171">
        <f t="shared" si="105"/>
        <v>0</v>
      </c>
      <c r="U286" s="171">
        <f t="shared" si="93"/>
        <v>11091177.436369399</v>
      </c>
      <c r="V286" s="171">
        <f t="shared" si="106"/>
        <v>0</v>
      </c>
      <c r="W286" s="171">
        <f>IF(OR(A286&gt;=$C$13,B286="Retired"),IF(V286&gt;0,-V286,U286-'Model Inputs'!$B$18),"")</f>
        <v>10091177.436369399</v>
      </c>
      <c r="X286" s="171">
        <f t="shared" si="94"/>
        <v>1831591.3652739879</v>
      </c>
      <c r="Y286" s="171">
        <f t="shared" si="95"/>
        <v>287683.18049165024</v>
      </c>
      <c r="Z286" s="171">
        <f t="shared" si="96"/>
        <v>1543908.1847823376</v>
      </c>
      <c r="AA286" s="175">
        <f t="shared" si="97"/>
        <v>12635085.621151736</v>
      </c>
      <c r="AB286" s="5"/>
      <c r="AC286" s="5"/>
      <c r="AD286" s="5"/>
      <c r="AE286" s="5"/>
      <c r="AF286" s="5"/>
      <c r="AG286" s="5"/>
    </row>
    <row r="287" spans="1:33" x14ac:dyDescent="0.2">
      <c r="A287" s="169">
        <v>31</v>
      </c>
      <c r="B287" s="100" t="str">
        <f t="shared" si="83"/>
        <v>Retired</v>
      </c>
      <c r="C287" s="170">
        <f t="shared" si="84"/>
        <v>0</v>
      </c>
      <c r="D287" s="170">
        <f t="shared" si="85"/>
        <v>0</v>
      </c>
      <c r="E287" s="170">
        <f t="shared" si="86"/>
        <v>0</v>
      </c>
      <c r="F287" s="170">
        <f t="shared" si="87"/>
        <v>0</v>
      </c>
      <c r="G287" s="171">
        <f t="shared" si="88"/>
        <v>0</v>
      </c>
      <c r="H287" s="171">
        <f t="shared" si="89"/>
        <v>83808.874880849587</v>
      </c>
      <c r="I287" s="171">
        <f>IF(B287="Working",MIN(MAX(D287-E287-F287-G287-H287,0),'Tax Assumptions'!$B$20),0)</f>
        <v>0</v>
      </c>
      <c r="J287" s="171">
        <f t="shared" si="90"/>
        <v>-223808.87488084959</v>
      </c>
      <c r="K287" s="170">
        <f t="shared" si="91"/>
        <v>223808.87488084959</v>
      </c>
      <c r="L287" s="170">
        <f t="shared" si="92"/>
        <v>223808.87488084959</v>
      </c>
      <c r="M287" s="170">
        <f t="shared" si="98"/>
        <v>223808.87488084959</v>
      </c>
      <c r="N287" s="170">
        <f t="shared" si="99"/>
        <v>0</v>
      </c>
      <c r="O287" s="170">
        <f t="shared" si="100"/>
        <v>0</v>
      </c>
      <c r="P287" s="170">
        <f t="shared" si="101"/>
        <v>0</v>
      </c>
      <c r="Q287" s="171">
        <f t="shared" si="102"/>
        <v>10098952.784874748</v>
      </c>
      <c r="R287" s="171">
        <f t="shared" si="103"/>
        <v>1097819.2924531603</v>
      </c>
      <c r="S287" s="171">
        <f t="shared" si="104"/>
        <v>336067.13034280413</v>
      </c>
      <c r="T287" s="171">
        <f t="shared" si="105"/>
        <v>0</v>
      </c>
      <c r="U287" s="171">
        <f t="shared" si="93"/>
        <v>11532839.207670713</v>
      </c>
      <c r="V287" s="171">
        <f t="shared" si="106"/>
        <v>0</v>
      </c>
      <c r="W287" s="171">
        <f>IF(OR(A287&gt;=$C$13,B287="Retired"),IF(V287&gt;0,-V287,U287-'Model Inputs'!$B$18),"")</f>
        <v>10532839.207670713</v>
      </c>
      <c r="X287" s="171">
        <f t="shared" si="94"/>
        <v>1886539.1062322073</v>
      </c>
      <c r="Y287" s="171">
        <f t="shared" si="95"/>
        <v>263361.46860240656</v>
      </c>
      <c r="Z287" s="171">
        <f t="shared" si="96"/>
        <v>1623177.6376298007</v>
      </c>
      <c r="AA287" s="172">
        <f t="shared" si="97"/>
        <v>13156016.845300514</v>
      </c>
      <c r="AB287" s="5"/>
      <c r="AC287" s="5"/>
      <c r="AD287" s="5"/>
      <c r="AE287" s="5"/>
      <c r="AF287" s="5"/>
      <c r="AG287" s="5"/>
    </row>
    <row r="288" spans="1:33" x14ac:dyDescent="0.2">
      <c r="A288" s="173">
        <v>32</v>
      </c>
      <c r="B288" s="65" t="str">
        <f t="shared" si="83"/>
        <v>Retired</v>
      </c>
      <c r="C288" s="174">
        <f t="shared" si="84"/>
        <v>0</v>
      </c>
      <c r="D288" s="174">
        <f t="shared" si="85"/>
        <v>0</v>
      </c>
      <c r="E288" s="174">
        <f t="shared" si="86"/>
        <v>0</v>
      </c>
      <c r="F288" s="174">
        <f t="shared" si="87"/>
        <v>0</v>
      </c>
      <c r="G288" s="171">
        <f t="shared" si="88"/>
        <v>0</v>
      </c>
      <c r="H288" s="171">
        <f t="shared" si="89"/>
        <v>85053.990690962848</v>
      </c>
      <c r="I288" s="171">
        <f>IF(B288="Working",MIN(MAX(D288-E288-F288-G288-H288,0),'Tax Assumptions'!$B$20),0)</f>
        <v>0</v>
      </c>
      <c r="J288" s="171">
        <f t="shared" si="90"/>
        <v>-225053.99069096285</v>
      </c>
      <c r="K288" s="174">
        <f t="shared" si="91"/>
        <v>225053.99069096285</v>
      </c>
      <c r="L288" s="174">
        <f t="shared" si="92"/>
        <v>225053.99069096285</v>
      </c>
      <c r="M288" s="174">
        <f t="shared" si="98"/>
        <v>225053.99069096285</v>
      </c>
      <c r="N288" s="174">
        <f t="shared" si="99"/>
        <v>0</v>
      </c>
      <c r="O288" s="174">
        <f t="shared" si="100"/>
        <v>0</v>
      </c>
      <c r="P288" s="174">
        <f t="shared" si="101"/>
        <v>0</v>
      </c>
      <c r="Q288" s="171">
        <f t="shared" si="102"/>
        <v>10479835.96127627</v>
      </c>
      <c r="R288" s="171">
        <f t="shared" si="103"/>
        <v>1163688.4500003499</v>
      </c>
      <c r="S288" s="171">
        <f t="shared" si="104"/>
        <v>356231.15816337237</v>
      </c>
      <c r="T288" s="171">
        <f t="shared" si="105"/>
        <v>0</v>
      </c>
      <c r="U288" s="171">
        <f t="shared" si="93"/>
        <v>11999755.569439992</v>
      </c>
      <c r="V288" s="171">
        <f t="shared" si="106"/>
        <v>0</v>
      </c>
      <c r="W288" s="171">
        <f>IF(OR(A288&gt;=$C$13,B288="Retired"),IF(V288&gt;0,-V288,U288-'Model Inputs'!$B$18),"")</f>
        <v>10999755.569439992</v>
      </c>
      <c r="X288" s="171">
        <f t="shared" si="94"/>
        <v>1943135.2794191737</v>
      </c>
      <c r="Y288" s="171">
        <f t="shared" si="95"/>
        <v>237410.88662406756</v>
      </c>
      <c r="Z288" s="171">
        <f t="shared" si="96"/>
        <v>1705724.3927951062</v>
      </c>
      <c r="AA288" s="175">
        <f t="shared" si="97"/>
        <v>13705479.962235099</v>
      </c>
      <c r="AB288" s="5"/>
      <c r="AC288" s="5"/>
      <c r="AD288" s="5"/>
      <c r="AE288" s="5"/>
      <c r="AF288" s="5"/>
      <c r="AG288" s="5"/>
    </row>
    <row r="289" spans="1:33" x14ac:dyDescent="0.2">
      <c r="A289" s="169">
        <v>33</v>
      </c>
      <c r="B289" s="100" t="str">
        <f t="shared" si="83"/>
        <v>Retired</v>
      </c>
      <c r="C289" s="170">
        <f t="shared" si="84"/>
        <v>0</v>
      </c>
      <c r="D289" s="170">
        <f t="shared" si="85"/>
        <v>0</v>
      </c>
      <c r="E289" s="170">
        <f t="shared" si="86"/>
        <v>0</v>
      </c>
      <c r="F289" s="170">
        <f t="shared" si="87"/>
        <v>0</v>
      </c>
      <c r="G289" s="171">
        <f t="shared" si="88"/>
        <v>0</v>
      </c>
      <c r="H289" s="171">
        <f t="shared" si="89"/>
        <v>86336.459975379505</v>
      </c>
      <c r="I289" s="171">
        <f>IF(B289="Working",MIN(MAX(D289-E289-F289-G289-H289,0),'Tax Assumptions'!$B$20),0)</f>
        <v>0</v>
      </c>
      <c r="J289" s="171">
        <f t="shared" si="90"/>
        <v>-226336.45997537952</v>
      </c>
      <c r="K289" s="170">
        <f t="shared" si="91"/>
        <v>226336.45997537952</v>
      </c>
      <c r="L289" s="170">
        <f t="shared" si="92"/>
        <v>226336.45997537952</v>
      </c>
      <c r="M289" s="170">
        <f t="shared" si="98"/>
        <v>226336.45997537952</v>
      </c>
      <c r="N289" s="170">
        <f t="shared" si="99"/>
        <v>0</v>
      </c>
      <c r="O289" s="170">
        <f t="shared" si="100"/>
        <v>0</v>
      </c>
      <c r="P289" s="170">
        <f t="shared" si="101"/>
        <v>0</v>
      </c>
      <c r="Q289" s="171">
        <f t="shared" si="102"/>
        <v>10882289.658977468</v>
      </c>
      <c r="R289" s="171">
        <f t="shared" si="103"/>
        <v>1233509.7570003709</v>
      </c>
      <c r="S289" s="171">
        <f t="shared" si="104"/>
        <v>377605.02765317471</v>
      </c>
      <c r="T289" s="171">
        <f t="shared" si="105"/>
        <v>0</v>
      </c>
      <c r="U289" s="171">
        <f t="shared" si="93"/>
        <v>12493404.443631014</v>
      </c>
      <c r="V289" s="171">
        <f t="shared" si="106"/>
        <v>0</v>
      </c>
      <c r="W289" s="171">
        <f>IF(OR(A289&gt;=$C$13,B289="Retired"),IF(V289&gt;0,-V289,U289-'Model Inputs'!$B$18),"")</f>
        <v>11493404.443631014</v>
      </c>
      <c r="X289" s="171">
        <f t="shared" si="94"/>
        <v>2001429.3378017491</v>
      </c>
      <c r="Y289" s="171">
        <f t="shared" si="95"/>
        <v>209722.34611009574</v>
      </c>
      <c r="Z289" s="171">
        <f t="shared" si="96"/>
        <v>1791706.9916916534</v>
      </c>
      <c r="AA289" s="172">
        <f t="shared" si="97"/>
        <v>14285111.435322667</v>
      </c>
      <c r="AB289" s="5"/>
      <c r="AC289" s="5"/>
      <c r="AD289" s="5"/>
      <c r="AE289" s="5"/>
      <c r="AF289" s="5"/>
      <c r="AG289" s="5"/>
    </row>
    <row r="290" spans="1:33" x14ac:dyDescent="0.2">
      <c r="A290" s="173">
        <v>34</v>
      </c>
      <c r="B290" s="65" t="str">
        <f t="shared" si="83"/>
        <v>Retired</v>
      </c>
      <c r="C290" s="174">
        <f t="shared" si="84"/>
        <v>0</v>
      </c>
      <c r="D290" s="174">
        <f t="shared" si="85"/>
        <v>0</v>
      </c>
      <c r="E290" s="174">
        <f t="shared" si="86"/>
        <v>0</v>
      </c>
      <c r="F290" s="174">
        <f t="shared" si="87"/>
        <v>0</v>
      </c>
      <c r="G290" s="171">
        <f t="shared" si="88"/>
        <v>0</v>
      </c>
      <c r="H290" s="171">
        <f t="shared" si="89"/>
        <v>87657.403338328644</v>
      </c>
      <c r="I290" s="171">
        <f>IF(B290="Working",MIN(MAX(D290-E290-F290-G290-H290,0),'Tax Assumptions'!$B$20),0)</f>
        <v>0</v>
      </c>
      <c r="J290" s="171">
        <f t="shared" si="90"/>
        <v>-227657.40333832864</v>
      </c>
      <c r="K290" s="174">
        <f t="shared" si="91"/>
        <v>227657.40333832864</v>
      </c>
      <c r="L290" s="174">
        <f t="shared" si="92"/>
        <v>227657.40333832864</v>
      </c>
      <c r="M290" s="174">
        <f t="shared" si="98"/>
        <v>227657.40333832864</v>
      </c>
      <c r="N290" s="174">
        <f t="shared" si="99"/>
        <v>0</v>
      </c>
      <c r="O290" s="174">
        <f t="shared" si="100"/>
        <v>0</v>
      </c>
      <c r="P290" s="174">
        <f t="shared" si="101"/>
        <v>0</v>
      </c>
      <c r="Q290" s="171">
        <f t="shared" si="102"/>
        <v>11307569.635177787</v>
      </c>
      <c r="R290" s="171">
        <f t="shared" si="103"/>
        <v>1307520.3424203931</v>
      </c>
      <c r="S290" s="171">
        <f t="shared" si="104"/>
        <v>400261.32931236521</v>
      </c>
      <c r="T290" s="171">
        <f t="shared" si="105"/>
        <v>0</v>
      </c>
      <c r="U290" s="171">
        <f t="shared" si="93"/>
        <v>13015351.306910546</v>
      </c>
      <c r="V290" s="171">
        <f t="shared" si="106"/>
        <v>0</v>
      </c>
      <c r="W290" s="171">
        <f>IF(OR(A290&gt;=$C$13,B290="Retired"),IF(V290&gt;0,-V290,U290-'Model Inputs'!$B$18),"")</f>
        <v>12015351.306910546</v>
      </c>
      <c r="X290" s="171">
        <f t="shared" si="94"/>
        <v>2061472.2179358013</v>
      </c>
      <c r="Y290" s="171">
        <f t="shared" si="95"/>
        <v>180179.45275865542</v>
      </c>
      <c r="Z290" s="171">
        <f t="shared" si="96"/>
        <v>1881292.7651771458</v>
      </c>
      <c r="AA290" s="175">
        <f t="shared" si="97"/>
        <v>14896644.072087692</v>
      </c>
      <c r="AB290" s="5"/>
      <c r="AC290" s="5"/>
      <c r="AD290" s="5"/>
      <c r="AE290" s="5"/>
      <c r="AF290" s="5"/>
      <c r="AG290" s="5"/>
    </row>
    <row r="291" spans="1:33" x14ac:dyDescent="0.2">
      <c r="A291" s="169">
        <v>35</v>
      </c>
      <c r="B291" s="100" t="str">
        <f t="shared" si="83"/>
        <v>Retired</v>
      </c>
      <c r="C291" s="170">
        <f t="shared" si="84"/>
        <v>0</v>
      </c>
      <c r="D291" s="170">
        <f t="shared" si="85"/>
        <v>0</v>
      </c>
      <c r="E291" s="170">
        <f t="shared" si="86"/>
        <v>0</v>
      </c>
      <c r="F291" s="170">
        <f t="shared" si="87"/>
        <v>0</v>
      </c>
      <c r="G291" s="171">
        <f t="shared" si="88"/>
        <v>0</v>
      </c>
      <c r="H291" s="171">
        <f t="shared" si="89"/>
        <v>89017.975002166277</v>
      </c>
      <c r="I291" s="171">
        <f>IF(B291="Working",MIN(MAX(D291-E291-F291-G291-H291,0),'Tax Assumptions'!$B$20),0)</f>
        <v>0</v>
      </c>
      <c r="J291" s="171">
        <f t="shared" si="90"/>
        <v>-229017.97500216629</v>
      </c>
      <c r="K291" s="170">
        <f t="shared" si="91"/>
        <v>229017.97500216629</v>
      </c>
      <c r="L291" s="170">
        <f t="shared" si="92"/>
        <v>229017.97500216629</v>
      </c>
      <c r="M291" s="170">
        <f t="shared" si="98"/>
        <v>229017.97500216629</v>
      </c>
      <c r="N291" s="170">
        <f t="shared" si="99"/>
        <v>0</v>
      </c>
      <c r="O291" s="170">
        <f t="shared" si="100"/>
        <v>0</v>
      </c>
      <c r="P291" s="170">
        <f t="shared" si="101"/>
        <v>0</v>
      </c>
      <c r="Q291" s="171">
        <f t="shared" si="102"/>
        <v>11757005.83828629</v>
      </c>
      <c r="R291" s="171">
        <f t="shared" si="103"/>
        <v>1385971.5629656168</v>
      </c>
      <c r="S291" s="171">
        <f t="shared" si="104"/>
        <v>424277.00907110714</v>
      </c>
      <c r="T291" s="171">
        <f t="shared" si="105"/>
        <v>0</v>
      </c>
      <c r="U291" s="171">
        <f t="shared" si="93"/>
        <v>13567254.410323014</v>
      </c>
      <c r="V291" s="171">
        <f t="shared" si="106"/>
        <v>0</v>
      </c>
      <c r="W291" s="171">
        <f>IF(OR(A291&gt;=$C$13,B291="Retired"),IF(V291&gt;0,-V291,U291-'Model Inputs'!$B$18),"")</f>
        <v>12567254.410323014</v>
      </c>
      <c r="X291" s="171">
        <f t="shared" si="94"/>
        <v>2123316.3844738752</v>
      </c>
      <c r="Y291" s="171">
        <f t="shared" si="95"/>
        <v>148658.01712595532</v>
      </c>
      <c r="Z291" s="171">
        <f t="shared" si="96"/>
        <v>1974658.3673479198</v>
      </c>
      <c r="AA291" s="172">
        <f t="shared" si="97"/>
        <v>15541912.777670935</v>
      </c>
      <c r="AB291" s="5"/>
      <c r="AC291" s="5"/>
      <c r="AD291" s="5"/>
      <c r="AE291" s="5"/>
      <c r="AF291" s="5"/>
      <c r="AG291" s="5"/>
    </row>
    <row r="292" spans="1:33" x14ac:dyDescent="0.2">
      <c r="A292" s="173">
        <v>36</v>
      </c>
      <c r="B292" s="65" t="str">
        <f t="shared" si="83"/>
        <v>Retired</v>
      </c>
      <c r="C292" s="174">
        <f t="shared" si="84"/>
        <v>0</v>
      </c>
      <c r="D292" s="174">
        <f t="shared" si="85"/>
        <v>0</v>
      </c>
      <c r="E292" s="174">
        <f t="shared" si="86"/>
        <v>0</v>
      </c>
      <c r="F292" s="174">
        <f t="shared" si="87"/>
        <v>0</v>
      </c>
      <c r="G292" s="171">
        <f t="shared" si="88"/>
        <v>0</v>
      </c>
      <c r="H292" s="171">
        <f t="shared" si="89"/>
        <v>90419.363815919045</v>
      </c>
      <c r="I292" s="171">
        <f>IF(B292="Working",MIN(MAX(D292-E292-F292-G292-H292,0),'Tax Assumptions'!$B$20),0)</f>
        <v>0</v>
      </c>
      <c r="J292" s="171">
        <f t="shared" si="90"/>
        <v>-230419.36381591903</v>
      </c>
      <c r="K292" s="174">
        <f t="shared" si="91"/>
        <v>230419.36381591903</v>
      </c>
      <c r="L292" s="174">
        <f t="shared" si="92"/>
        <v>230419.36381591903</v>
      </c>
      <c r="M292" s="174">
        <f t="shared" si="98"/>
        <v>230419.36381591903</v>
      </c>
      <c r="N292" s="174">
        <f t="shared" si="99"/>
        <v>0</v>
      </c>
      <c r="O292" s="174">
        <f t="shared" si="100"/>
        <v>0</v>
      </c>
      <c r="P292" s="174">
        <f t="shared" si="101"/>
        <v>0</v>
      </c>
      <c r="Q292" s="171">
        <f t="shared" si="102"/>
        <v>12232006.824767549</v>
      </c>
      <c r="R292" s="171">
        <f t="shared" si="103"/>
        <v>1469129.8567435539</v>
      </c>
      <c r="S292" s="171">
        <f t="shared" si="104"/>
        <v>449733.62961537362</v>
      </c>
      <c r="T292" s="171">
        <f t="shared" si="105"/>
        <v>0</v>
      </c>
      <c r="U292" s="171">
        <f t="shared" si="93"/>
        <v>14150870.311126476</v>
      </c>
      <c r="V292" s="171">
        <f t="shared" si="106"/>
        <v>0</v>
      </c>
      <c r="W292" s="171">
        <f>IF(OR(A292&gt;=$C$13,B292="Retired"),IF(V292&gt;0,-V292,U292-'Model Inputs'!$B$18),"")</f>
        <v>13150870.311126476</v>
      </c>
      <c r="X292" s="171">
        <f t="shared" si="94"/>
        <v>2187015.876008092</v>
      </c>
      <c r="Y292" s="171">
        <f t="shared" si="95"/>
        <v>115025.53257115465</v>
      </c>
      <c r="Z292" s="171">
        <f t="shared" si="96"/>
        <v>2071990.3434369373</v>
      </c>
      <c r="AA292" s="175">
        <f t="shared" si="97"/>
        <v>16222860.654563414</v>
      </c>
      <c r="AB292" s="5"/>
      <c r="AC292" s="5"/>
      <c r="AD292" s="5"/>
      <c r="AE292" s="5"/>
      <c r="AF292" s="5"/>
      <c r="AG292" s="5"/>
    </row>
    <row r="293" spans="1:33" x14ac:dyDescent="0.2">
      <c r="A293" s="169">
        <v>37</v>
      </c>
      <c r="B293" s="100" t="str">
        <f t="shared" si="83"/>
        <v>Retired</v>
      </c>
      <c r="C293" s="170">
        <f t="shared" si="84"/>
        <v>0</v>
      </c>
      <c r="D293" s="170">
        <f t="shared" si="85"/>
        <v>0</v>
      </c>
      <c r="E293" s="170">
        <f t="shared" si="86"/>
        <v>0</v>
      </c>
      <c r="F293" s="170">
        <f t="shared" si="87"/>
        <v>0</v>
      </c>
      <c r="G293" s="171">
        <f t="shared" si="88"/>
        <v>0</v>
      </c>
      <c r="H293" s="171">
        <f t="shared" si="89"/>
        <v>91862.794294084364</v>
      </c>
      <c r="I293" s="171">
        <f>IF(B293="Working",MIN(MAX(D293-E293-F293-G293-H293,0),'Tax Assumptions'!$B$20),0)</f>
        <v>0</v>
      </c>
      <c r="J293" s="171">
        <f t="shared" si="90"/>
        <v>-231862.79429408436</v>
      </c>
      <c r="K293" s="170">
        <f t="shared" si="91"/>
        <v>231862.79429408436</v>
      </c>
      <c r="L293" s="170">
        <f t="shared" si="92"/>
        <v>231862.79429408436</v>
      </c>
      <c r="M293" s="170">
        <f t="shared" si="98"/>
        <v>231862.79429408436</v>
      </c>
      <c r="N293" s="170">
        <f t="shared" si="99"/>
        <v>0</v>
      </c>
      <c r="O293" s="170">
        <f t="shared" si="100"/>
        <v>0</v>
      </c>
      <c r="P293" s="170">
        <f t="shared" si="101"/>
        <v>0</v>
      </c>
      <c r="Q293" s="171">
        <f t="shared" si="102"/>
        <v>12734064.439959519</v>
      </c>
      <c r="R293" s="171">
        <f t="shared" si="103"/>
        <v>1557277.6481481672</v>
      </c>
      <c r="S293" s="171">
        <f t="shared" si="104"/>
        <v>476717.64739229606</v>
      </c>
      <c r="T293" s="171">
        <f t="shared" si="105"/>
        <v>0</v>
      </c>
      <c r="U293" s="171">
        <f t="shared" si="93"/>
        <v>14768059.735499982</v>
      </c>
      <c r="V293" s="171">
        <f t="shared" si="106"/>
        <v>0</v>
      </c>
      <c r="W293" s="171">
        <f>IF(OR(A293&gt;=$C$13,B293="Retired"),IF(V293&gt;0,-V293,U293-'Model Inputs'!$B$18),"")</f>
        <v>13768059.735499982</v>
      </c>
      <c r="X293" s="171">
        <f t="shared" si="94"/>
        <v>2252626.3522883342</v>
      </c>
      <c r="Y293" s="171">
        <f t="shared" si="95"/>
        <v>79140.618238272611</v>
      </c>
      <c r="Z293" s="171">
        <f t="shared" si="96"/>
        <v>2173485.7340500616</v>
      </c>
      <c r="AA293" s="172">
        <f t="shared" si="97"/>
        <v>16941545.469550043</v>
      </c>
      <c r="AB293" s="5"/>
      <c r="AC293" s="5"/>
      <c r="AD293" s="5"/>
      <c r="AE293" s="5"/>
      <c r="AF293" s="5"/>
      <c r="AG293" s="5"/>
    </row>
    <row r="294" spans="1:33" x14ac:dyDescent="0.2">
      <c r="A294" s="173">
        <v>38</v>
      </c>
      <c r="B294" s="65" t="str">
        <f t="shared" si="83"/>
        <v>Retired</v>
      </c>
      <c r="C294" s="174">
        <f t="shared" si="84"/>
        <v>0</v>
      </c>
      <c r="D294" s="174">
        <f t="shared" si="85"/>
        <v>0</v>
      </c>
      <c r="E294" s="174">
        <f t="shared" si="86"/>
        <v>0</v>
      </c>
      <c r="F294" s="174">
        <f t="shared" si="87"/>
        <v>0</v>
      </c>
      <c r="G294" s="171">
        <f t="shared" si="88"/>
        <v>0</v>
      </c>
      <c r="H294" s="171">
        <f t="shared" si="89"/>
        <v>93349.52768659468</v>
      </c>
      <c r="I294" s="171">
        <f>IF(B294="Working",MIN(MAX(D294-E294-F294-G294-H294,0),'Tax Assumptions'!$B$20),0)</f>
        <v>0</v>
      </c>
      <c r="J294" s="171">
        <f t="shared" si="90"/>
        <v>-233349.52768659469</v>
      </c>
      <c r="K294" s="174">
        <f t="shared" si="91"/>
        <v>233349.52768659469</v>
      </c>
      <c r="L294" s="174">
        <f t="shared" si="92"/>
        <v>233349.52768659469</v>
      </c>
      <c r="M294" s="174">
        <f t="shared" si="98"/>
        <v>233349.52768659469</v>
      </c>
      <c r="N294" s="174">
        <f t="shared" si="99"/>
        <v>0</v>
      </c>
      <c r="O294" s="174">
        <f t="shared" si="100"/>
        <v>0</v>
      </c>
      <c r="P294" s="174">
        <f t="shared" si="101"/>
        <v>0</v>
      </c>
      <c r="Q294" s="171">
        <f t="shared" si="102"/>
        <v>13264758.778670497</v>
      </c>
      <c r="R294" s="171">
        <f t="shared" si="103"/>
        <v>1650714.3070370574</v>
      </c>
      <c r="S294" s="171">
        <f t="shared" si="104"/>
        <v>505320.70623583387</v>
      </c>
      <c r="T294" s="171">
        <f t="shared" si="105"/>
        <v>0</v>
      </c>
      <c r="U294" s="171">
        <f t="shared" si="93"/>
        <v>15420793.791943388</v>
      </c>
      <c r="V294" s="171">
        <f t="shared" si="106"/>
        <v>0</v>
      </c>
      <c r="W294" s="171">
        <f>IF(OR(A294&gt;=$C$13,B294="Retired"),IF(V294&gt;0,-V294,U294-'Model Inputs'!$B$18),"")</f>
        <v>14420793.791943388</v>
      </c>
      <c r="X294" s="171">
        <f t="shared" si="94"/>
        <v>2320205.1428569844</v>
      </c>
      <c r="Y294" s="171">
        <f t="shared" si="95"/>
        <v>40852.424733563792</v>
      </c>
      <c r="Z294" s="171">
        <f t="shared" si="96"/>
        <v>2279352.7181234206</v>
      </c>
      <c r="AA294" s="175">
        <f t="shared" si="97"/>
        <v>17700146.510066807</v>
      </c>
      <c r="AB294" s="5"/>
      <c r="AC294" s="5"/>
      <c r="AD294" s="5"/>
      <c r="AE294" s="5"/>
      <c r="AF294" s="5"/>
      <c r="AG294" s="5"/>
    </row>
    <row r="295" spans="1:33" x14ac:dyDescent="0.2">
      <c r="A295" s="169">
        <v>39</v>
      </c>
      <c r="B295" s="100" t="str">
        <f t="shared" si="83"/>
        <v>Retired</v>
      </c>
      <c r="C295" s="170">
        <f t="shared" si="84"/>
        <v>0</v>
      </c>
      <c r="D295" s="170">
        <f t="shared" si="85"/>
        <v>0</v>
      </c>
      <c r="E295" s="170">
        <f t="shared" si="86"/>
        <v>0</v>
      </c>
      <c r="F295" s="170">
        <f t="shared" si="87"/>
        <v>0</v>
      </c>
      <c r="G295" s="171">
        <f t="shared" si="88"/>
        <v>0</v>
      </c>
      <c r="H295" s="171">
        <f t="shared" si="89"/>
        <v>94880.863080880285</v>
      </c>
      <c r="I295" s="171">
        <f>IF(B295="Working",MIN(MAX(D295-E295-F295-G295-H295,0),'Tax Assumptions'!$B$20),0)</f>
        <v>0</v>
      </c>
      <c r="J295" s="171">
        <f t="shared" si="90"/>
        <v>-234880.86308088028</v>
      </c>
      <c r="K295" s="170">
        <f t="shared" si="91"/>
        <v>234880.86308088028</v>
      </c>
      <c r="L295" s="170">
        <f t="shared" si="92"/>
        <v>234880.86308088028</v>
      </c>
      <c r="M295" s="170">
        <f t="shared" si="98"/>
        <v>234880.86308088028</v>
      </c>
      <c r="N295" s="170">
        <f t="shared" si="99"/>
        <v>0</v>
      </c>
      <c r="O295" s="170">
        <f t="shared" si="100"/>
        <v>0</v>
      </c>
      <c r="P295" s="170">
        <f t="shared" si="101"/>
        <v>0</v>
      </c>
      <c r="Q295" s="171">
        <f t="shared" si="102"/>
        <v>13825763.442309849</v>
      </c>
      <c r="R295" s="171">
        <f t="shared" si="103"/>
        <v>1749757.1654592808</v>
      </c>
      <c r="S295" s="171">
        <f t="shared" si="104"/>
        <v>535639.9486099839</v>
      </c>
      <c r="T295" s="171">
        <f t="shared" si="105"/>
        <v>0</v>
      </c>
      <c r="U295" s="171">
        <f t="shared" si="93"/>
        <v>16111160.556379113</v>
      </c>
      <c r="V295" s="171">
        <f t="shared" si="106"/>
        <v>0</v>
      </c>
      <c r="W295" s="171">
        <f>IF(OR(A295&gt;=$C$13,B295="Retired"),IF(V295&gt;0,-V295,U295-'Model Inputs'!$B$18),"")</f>
        <v>15111160.556379113</v>
      </c>
      <c r="X295" s="171">
        <f t="shared" si="94"/>
        <v>2389811.2971426938</v>
      </c>
      <c r="Y295" s="171">
        <f t="shared" si="95"/>
        <v>0</v>
      </c>
      <c r="Z295" s="171">
        <f t="shared" si="96"/>
        <v>2389811.2971426938</v>
      </c>
      <c r="AA295" s="172">
        <f t="shared" si="97"/>
        <v>18500971.853521809</v>
      </c>
      <c r="AB295" s="5"/>
      <c r="AC295" s="5"/>
      <c r="AD295" s="5"/>
      <c r="AE295" s="5"/>
      <c r="AF295" s="5"/>
      <c r="AG295" s="5"/>
    </row>
    <row r="296" spans="1:33" x14ac:dyDescent="0.2">
      <c r="A296" s="173">
        <v>40</v>
      </c>
      <c r="B296" s="65" t="str">
        <f t="shared" si="83"/>
        <v>Retired</v>
      </c>
      <c r="C296" s="174">
        <f t="shared" si="84"/>
        <v>0</v>
      </c>
      <c r="D296" s="174">
        <f t="shared" si="85"/>
        <v>0</v>
      </c>
      <c r="E296" s="174">
        <f t="shared" si="86"/>
        <v>0</v>
      </c>
      <c r="F296" s="174">
        <f t="shared" si="87"/>
        <v>0</v>
      </c>
      <c r="G296" s="171">
        <f t="shared" si="88"/>
        <v>0</v>
      </c>
      <c r="H296" s="171">
        <f t="shared" si="89"/>
        <v>54153.123993253437</v>
      </c>
      <c r="I296" s="171">
        <f>IF(B296="Working",MIN(MAX(D296-E296-F296-G296-H296,0),'Tax Assumptions'!$B$20),0)</f>
        <v>0</v>
      </c>
      <c r="J296" s="171">
        <f t="shared" si="90"/>
        <v>-194153.12399325345</v>
      </c>
      <c r="K296" s="174">
        <f t="shared" si="91"/>
        <v>194153.12399325345</v>
      </c>
      <c r="L296" s="174">
        <f t="shared" si="92"/>
        <v>194153.12399325345</v>
      </c>
      <c r="M296" s="174">
        <f t="shared" si="98"/>
        <v>194153.12399325345</v>
      </c>
      <c r="N296" s="174">
        <f t="shared" si="99"/>
        <v>0</v>
      </c>
      <c r="O296" s="174">
        <f t="shared" si="100"/>
        <v>0</v>
      </c>
      <c r="P296" s="174">
        <f t="shared" si="101"/>
        <v>0</v>
      </c>
      <c r="Q296" s="171">
        <f t="shared" si="102"/>
        <v>14461156.124855187</v>
      </c>
      <c r="R296" s="171">
        <f t="shared" si="103"/>
        <v>1854742.5953868378</v>
      </c>
      <c r="S296" s="171">
        <f t="shared" si="104"/>
        <v>567778.34552658291</v>
      </c>
      <c r="T296" s="171">
        <f t="shared" si="105"/>
        <v>0</v>
      </c>
      <c r="U296" s="171">
        <f t="shared" si="93"/>
        <v>16883677.065768607</v>
      </c>
      <c r="V296" s="171">
        <f t="shared" si="106"/>
        <v>0</v>
      </c>
      <c r="W296" s="171">
        <f>IF(OR(A296&gt;=$C$13,B296="Retired"),IF(V296&gt;0,-V296,U296-'Model Inputs'!$B$18),"")</f>
        <v>15883677.065768607</v>
      </c>
      <c r="X296" s="171">
        <f t="shared" si="94"/>
        <v>2461505.6360569745</v>
      </c>
      <c r="Y296" s="171">
        <f t="shared" si="95"/>
        <v>0</v>
      </c>
      <c r="Z296" s="171">
        <f t="shared" si="96"/>
        <v>2461505.6360569745</v>
      </c>
      <c r="AA296" s="175">
        <f t="shared" si="97"/>
        <v>19345182.701825581</v>
      </c>
      <c r="AB296" s="5"/>
      <c r="AC296" s="5"/>
      <c r="AD296" s="5"/>
      <c r="AE296" s="5"/>
      <c r="AF296" s="5"/>
      <c r="AG296" s="5"/>
    </row>
    <row r="297" spans="1:33" x14ac:dyDescent="0.2">
      <c r="A297" s="176" t="s">
        <v>369</v>
      </c>
      <c r="B297" s="177"/>
      <c r="C297" s="177"/>
      <c r="D297" s="177"/>
      <c r="E297" s="177"/>
      <c r="F297" s="177"/>
      <c r="G297" s="178">
        <f t="shared" ref="G297:P297" si="107">SUM(G257:G296)</f>
        <v>481701.17200139578</v>
      </c>
      <c r="H297" s="178">
        <f t="shared" si="107"/>
        <v>2384728.6910258122</v>
      </c>
      <c r="I297" s="178">
        <f t="shared" si="107"/>
        <v>75000</v>
      </c>
      <c r="J297" s="178">
        <f t="shared" si="107"/>
        <v>-2218837.622986685</v>
      </c>
      <c r="K297" s="178">
        <f t="shared" si="107"/>
        <v>6520113.3064104272</v>
      </c>
      <c r="L297" s="178">
        <f t="shared" si="107"/>
        <v>6520113.3064104272</v>
      </c>
      <c r="M297" s="178">
        <f t="shared" si="107"/>
        <v>6520113.3064104272</v>
      </c>
      <c r="N297" s="178">
        <f t="shared" si="107"/>
        <v>0</v>
      </c>
      <c r="O297" s="178">
        <f t="shared" si="107"/>
        <v>0</v>
      </c>
      <c r="P297" s="178">
        <f t="shared" si="107"/>
        <v>0</v>
      </c>
      <c r="Q297" s="178">
        <f>Q296</f>
        <v>14461156.124855187</v>
      </c>
      <c r="R297" s="178">
        <f>R296</f>
        <v>1854742.5953868378</v>
      </c>
      <c r="S297" s="178">
        <f>S296</f>
        <v>567778.34552658291</v>
      </c>
      <c r="T297" s="178">
        <f>T296</f>
        <v>0</v>
      </c>
      <c r="U297" s="178">
        <f>U296</f>
        <v>16883677.065768607</v>
      </c>
      <c r="V297" s="178">
        <f>SUM(V257:V296)</f>
        <v>0</v>
      </c>
      <c r="W297" s="178">
        <f>MIN(W257:W296)</f>
        <v>4883925.0838471139</v>
      </c>
      <c r="X297" s="178">
        <f>X296</f>
        <v>2461505.6360569745</v>
      </c>
      <c r="Y297" s="178">
        <f>Y296</f>
        <v>0</v>
      </c>
      <c r="Z297" s="178">
        <f>Z296</f>
        <v>2461505.6360569745</v>
      </c>
      <c r="AA297" s="179">
        <f>AA296</f>
        <v>19345182.701825581</v>
      </c>
      <c r="AB297" s="5"/>
      <c r="AC297" s="5"/>
      <c r="AD297" s="5"/>
      <c r="AE297" s="5"/>
      <c r="AF297" s="5"/>
      <c r="AG297" s="5"/>
    </row>
    <row r="298" spans="1:33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">
      <c r="A299" s="319" t="str">
        <f>J228&amp;" | House "&amp;TEXT($L$228,"$#,##0")&amp;" | Spend "&amp;TEXT($N$228,"$#,##0")</f>
        <v>Case 02 | House $1,014,108 | Spend $170,000</v>
      </c>
      <c r="B299" s="288"/>
      <c r="C299" s="288"/>
      <c r="D299" s="288"/>
      <c r="E299" s="288"/>
      <c r="F299" s="288"/>
      <c r="G299" s="288"/>
      <c r="H299" s="288"/>
      <c r="I299" s="288"/>
      <c r="J299" s="288"/>
      <c r="K299" s="288"/>
      <c r="L299" s="288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  <c r="AA299" s="289"/>
      <c r="AB299" s="5"/>
      <c r="AC299" s="5"/>
      <c r="AD299" s="5"/>
      <c r="AE299" s="5"/>
      <c r="AF299" s="5"/>
      <c r="AG299" s="5"/>
    </row>
    <row r="300" spans="1:33" ht="34" customHeight="1" x14ac:dyDescent="0.2">
      <c r="A300" s="167" t="s">
        <v>224</v>
      </c>
      <c r="B300" s="112" t="s">
        <v>106</v>
      </c>
      <c r="C300" s="112" t="s">
        <v>357</v>
      </c>
      <c r="D300" s="112" t="s">
        <v>66</v>
      </c>
      <c r="E300" s="112" t="s">
        <v>300</v>
      </c>
      <c r="F300" s="112" t="s">
        <v>301</v>
      </c>
      <c r="G300" s="112" t="s">
        <v>358</v>
      </c>
      <c r="H300" s="112" t="s">
        <v>359</v>
      </c>
      <c r="I300" s="112" t="s">
        <v>69</v>
      </c>
      <c r="J300" s="112" t="s">
        <v>360</v>
      </c>
      <c r="K300" s="112" t="s">
        <v>361</v>
      </c>
      <c r="L300" s="112" t="s">
        <v>362</v>
      </c>
      <c r="M300" s="112" t="s">
        <v>304</v>
      </c>
      <c r="N300" s="112" t="s">
        <v>305</v>
      </c>
      <c r="O300" s="112" t="s">
        <v>306</v>
      </c>
      <c r="P300" s="112" t="s">
        <v>307</v>
      </c>
      <c r="Q300" s="112" t="s">
        <v>363</v>
      </c>
      <c r="R300" s="112" t="s">
        <v>364</v>
      </c>
      <c r="S300" s="112" t="s">
        <v>365</v>
      </c>
      <c r="T300" s="112" t="s">
        <v>366</v>
      </c>
      <c r="U300" s="112" t="s">
        <v>308</v>
      </c>
      <c r="V300" s="112" t="s">
        <v>309</v>
      </c>
      <c r="W300" s="112" t="s">
        <v>367</v>
      </c>
      <c r="X300" s="112" t="s">
        <v>311</v>
      </c>
      <c r="Y300" s="112" t="s">
        <v>312</v>
      </c>
      <c r="Z300" s="112" t="s">
        <v>313</v>
      </c>
      <c r="AA300" s="168" t="s">
        <v>368</v>
      </c>
      <c r="AB300" s="5"/>
      <c r="AC300" s="5"/>
      <c r="AD300" s="5"/>
      <c r="AE300" s="5"/>
      <c r="AF300" s="5"/>
      <c r="AG300" s="5"/>
    </row>
    <row r="301" spans="1:33" x14ac:dyDescent="0.2">
      <c r="A301" s="169">
        <v>1</v>
      </c>
      <c r="B301" s="100" t="str">
        <f t="shared" ref="B301:B340" si="108">B80</f>
        <v>Working</v>
      </c>
      <c r="C301" s="170">
        <f t="shared" ref="C301:C340" si="109">D80</f>
        <v>550000</v>
      </c>
      <c r="D301" s="170">
        <f t="shared" ref="D301:D340" si="110">I80</f>
        <v>302665.46999999997</v>
      </c>
      <c r="E301" s="170">
        <f t="shared" ref="E301:E340" si="111">J80</f>
        <v>78000</v>
      </c>
      <c r="F301" s="170">
        <f t="shared" ref="F301:F340" si="112">K80</f>
        <v>40000</v>
      </c>
      <c r="G301" s="171">
        <f t="shared" ref="G301:G340" si="113">IF(AND($L$228&gt;0,A301=$C$13),$L$228*($C$15+$C$18),0)+IF(AND($L$228&gt;0,A301=$C$13),$C$24,0)</f>
        <v>0</v>
      </c>
      <c r="H301" s="171">
        <f t="shared" ref="H301:H340" si="114">IF(OR($L$228&lt;=0,A301&lt;$C$13),0,IF(AND($L$228&gt;0,$C$17&gt;0,A301&gt;=$C$13,A301&lt;($C$13+$C$17)),IF($C$17&lt;=0,0,IF($C$16=0,MAX($L$228*(1-$C$15),0)/$C$17,-PMT($C$16/12,$C$17*12,MAX($L$228*(1-$C$15),0))*12)),0)+X301*($C$19+$C$20+$C$21)+$C$22+$C$23)</f>
        <v>0</v>
      </c>
      <c r="I301" s="171">
        <f>IF(B301="Working",MIN(MAX(D301-E301-F301-G301-H301,0),'Tax Assumptions'!$B$20),0)</f>
        <v>7500</v>
      </c>
      <c r="J301" s="171">
        <f t="shared" ref="J301:J340" si="115">IF(B301="Working",D301-E301-F301-I301-G301-H301,-L301)</f>
        <v>177165.46999999997</v>
      </c>
      <c r="K301" s="170">
        <f t="shared" ref="K301:K340" si="116">IF(B301="Retired",$N$228+G301+H301,0)</f>
        <v>0</v>
      </c>
      <c r="L301" s="170">
        <f t="shared" ref="L301:L340" si="117">M301+N301+O301+P301</f>
        <v>0</v>
      </c>
      <c r="M301" s="170">
        <f>IF(B301="Retired",MIN((('Savings Projection'!$B$7)*(1+$C$10)+IF(B301="Working",J301,0)),K301),0)</f>
        <v>0</v>
      </c>
      <c r="N301" s="170">
        <f>IF(B301="Retired",MIN(MAX(K301-M301,0),(('Savings Projection'!$B$8)*(1+$C$10)+IF(B301="Working",E80,0))),0)</f>
        <v>0</v>
      </c>
      <c r="O301" s="170">
        <f>IF(B301="Retired",MIN(MAX(K301-M301-N301,0),(('Savings Projection'!$B$9)*(1+$C$10)+IF(B301="Working",I301,0))),0)</f>
        <v>0</v>
      </c>
      <c r="P301" s="170">
        <f>IF(B301="Retired",MIN(MAX(K301-M301-N301-O301,0),(('Savings Projection'!$B$10)*(1+$C$10)+IF(B301="Working",F80,0))),0)</f>
        <v>0</v>
      </c>
      <c r="Q301" s="171">
        <f>MAX((('Savings Projection'!$B$7)*(1+$C$10)+IF(B301="Working",J301,0))-M301,0)</f>
        <v>336165.47</v>
      </c>
      <c r="R301" s="171">
        <f>MAX((('Savings Projection'!$B$8)*(1+$C$10)+IF(B301="Working",E80,0))-N301,0)</f>
        <v>24500</v>
      </c>
      <c r="S301" s="171">
        <f>MAX((('Savings Projection'!$B$9)*(1+$C$10)+IF(B301="Working",I301,0))-O301,0)</f>
        <v>7500</v>
      </c>
      <c r="T301" s="171">
        <f>MAX((('Savings Projection'!$B$10)*(1+$C$10)+IF(B301="Working",F80,0))-P301,0)</f>
        <v>0</v>
      </c>
      <c r="U301" s="171">
        <f t="shared" ref="U301:U340" si="118">Q301+R301+S301+T301</f>
        <v>368165.47</v>
      </c>
      <c r="V301" s="171">
        <f>IF(B301="Working",MAX(-((('Savings Projection'!$B$7)*(1+$C$10)+IF(B301="Working",J301,0))),0),MAX(K301-L301,0))</f>
        <v>0</v>
      </c>
      <c r="W301" s="171" t="str">
        <f>IF(OR(A301&gt;=$C$13,B301="Retired"),IF(V301&gt;0,-V301,U301-'Model Inputs'!$B$18),"")</f>
        <v/>
      </c>
      <c r="X301" s="171">
        <f t="shared" ref="X301:X340" si="119">IF(AND($L$228&gt;0,A301&gt;=$C$13),$L$228*(1+$C$25)^(A301-$C$13),0)</f>
        <v>0</v>
      </c>
      <c r="Y301" s="171">
        <f t="shared" ref="Y301:Y340" si="120">IF(OR($L$228&lt;=0,$C$17&lt;=0,A301&lt;$C$13,MIN(MAX((A301-$C$13+1)*12,0),$C$17*12)&gt;=$C$17*12),0,IF($C$16=0,MAX(MAX($L$228*(1-$C$15),0)-(IF($C$17&lt;=0,0,IF($C$16=0,MAX($L$228*(1-$C$15),0)/$C$17,-PMT($C$16/12,$C$17*12,MAX($L$228*(1-$C$15),0))*12))/12)*MIN(MAX((A301-$C$13+1)*12,0),$C$17*12),0),MAX(MAX($L$228*(1-$C$15),0)*(1+$C$16/12)^MIN(MAX((A301-$C$13+1)*12,0),$C$17*12)-(IF($C$17&lt;=0,0,IF($C$16=0,MAX($L$228*(1-$C$15),0)/$C$17,-PMT($C$16/12,$C$17*12,MAX($L$228*(1-$C$15),0))*12))/12)*(((1+$C$16/12)^MIN(MAX((A301-$C$13+1)*12,0),$C$17*12)-1)/($C$16/12)),0)))</f>
        <v>0</v>
      </c>
      <c r="Z301" s="171">
        <f t="shared" ref="Z301:Z340" si="121">MAX(X301-Y301,0)</f>
        <v>0</v>
      </c>
      <c r="AA301" s="172">
        <f t="shared" ref="AA301:AA340" si="122">U301+Z301</f>
        <v>368165.47</v>
      </c>
      <c r="AB301" s="5"/>
      <c r="AC301" s="5"/>
      <c r="AD301" s="5"/>
      <c r="AE301" s="5"/>
      <c r="AF301" s="5"/>
      <c r="AG301" s="5"/>
    </row>
    <row r="302" spans="1:33" x14ac:dyDescent="0.2">
      <c r="A302" s="173">
        <v>2</v>
      </c>
      <c r="B302" s="65" t="str">
        <f t="shared" si="108"/>
        <v>Working</v>
      </c>
      <c r="C302" s="174">
        <f t="shared" si="109"/>
        <v>412500</v>
      </c>
      <c r="D302" s="174">
        <f t="shared" si="110"/>
        <v>231269.97</v>
      </c>
      <c r="E302" s="174">
        <f t="shared" si="111"/>
        <v>80340</v>
      </c>
      <c r="F302" s="174">
        <f t="shared" si="112"/>
        <v>41200</v>
      </c>
      <c r="G302" s="171">
        <f t="shared" si="113"/>
        <v>0</v>
      </c>
      <c r="H302" s="171">
        <f t="shared" si="114"/>
        <v>0</v>
      </c>
      <c r="I302" s="171">
        <f>IF(B302="Working",MIN(MAX(D302-E302-F302-G302-H302,0),'Tax Assumptions'!$B$20),0)</f>
        <v>7500</v>
      </c>
      <c r="J302" s="171">
        <f t="shared" si="115"/>
        <v>102229.97</v>
      </c>
      <c r="K302" s="174">
        <f t="shared" si="116"/>
        <v>0</v>
      </c>
      <c r="L302" s="174">
        <f t="shared" si="117"/>
        <v>0</v>
      </c>
      <c r="M302" s="174">
        <f t="shared" ref="M302:M340" si="123">IF(B302="Retired",MIN(((Q301)*(1+$C$10)+IF(B302="Working",J302,0)),K302),0)</f>
        <v>0</v>
      </c>
      <c r="N302" s="174">
        <f t="shared" ref="N302:N340" si="124">IF(B302="Retired",MIN(MAX(K302-M302,0),((R301)*(1+$C$10)+IF(B302="Working",E81,0))),0)</f>
        <v>0</v>
      </c>
      <c r="O302" s="174">
        <f t="shared" ref="O302:O340" si="125">IF(B302="Retired",MIN(MAX(K302-M302-N302,0),((S301)*(1+$C$10)+IF(B302="Working",I302,0))),0)</f>
        <v>0</v>
      </c>
      <c r="P302" s="174">
        <f t="shared" ref="P302:P340" si="126">IF(B302="Retired",MIN(MAX(K302-M302-N302-O302,0),((T301)*(1+$C$10)+IF(B302="Working",F81,0))),0)</f>
        <v>0</v>
      </c>
      <c r="Q302" s="171">
        <f t="shared" ref="Q302:Q340" si="127">MAX(((Q301)*(1+$C$10)+IF(B302="Working",J302,0))-M302,0)</f>
        <v>458565.36820000003</v>
      </c>
      <c r="R302" s="171">
        <f t="shared" ref="R302:R340" si="128">MAX(((R301)*(1+$C$10)+IF(B302="Working",E81,0))-N302,0)</f>
        <v>50470</v>
      </c>
      <c r="S302" s="171">
        <f t="shared" ref="S302:S340" si="129">MAX(((S301)*(1+$C$10)+IF(B302="Working",I302,0))-O302,0)</f>
        <v>15450</v>
      </c>
      <c r="T302" s="171">
        <f t="shared" ref="T302:T340" si="130">MAX(((T301)*(1+$C$10)+IF(B302="Working",F81,0))-P302,0)</f>
        <v>0</v>
      </c>
      <c r="U302" s="171">
        <f t="shared" si="118"/>
        <v>524485.36820000003</v>
      </c>
      <c r="V302" s="171">
        <f t="shared" ref="V302:V340" si="131">IF(B302="Working",MAX(-(((Q301)*(1+$C$10)+IF(B302="Working",J302,0))),0),MAX(K302-L302,0))</f>
        <v>0</v>
      </c>
      <c r="W302" s="171" t="str">
        <f>IF(OR(A302&gt;=$C$13,B302="Retired"),IF(V302&gt;0,-V302,U302-'Model Inputs'!$B$18),"")</f>
        <v/>
      </c>
      <c r="X302" s="171">
        <f t="shared" si="119"/>
        <v>0</v>
      </c>
      <c r="Y302" s="171">
        <f t="shared" si="120"/>
        <v>0</v>
      </c>
      <c r="Z302" s="171">
        <f t="shared" si="121"/>
        <v>0</v>
      </c>
      <c r="AA302" s="175">
        <f t="shared" si="122"/>
        <v>524485.36820000003</v>
      </c>
      <c r="AB302" s="5"/>
      <c r="AC302" s="5"/>
      <c r="AD302" s="5"/>
      <c r="AE302" s="5"/>
      <c r="AF302" s="5"/>
      <c r="AG302" s="5"/>
    </row>
    <row r="303" spans="1:33" x14ac:dyDescent="0.2">
      <c r="A303" s="169">
        <v>3</v>
      </c>
      <c r="B303" s="100" t="str">
        <f t="shared" si="108"/>
        <v>Working</v>
      </c>
      <c r="C303" s="170">
        <f t="shared" si="109"/>
        <v>675000</v>
      </c>
      <c r="D303" s="170">
        <f t="shared" si="110"/>
        <v>367570.47</v>
      </c>
      <c r="E303" s="170">
        <f t="shared" si="111"/>
        <v>82750.2</v>
      </c>
      <c r="F303" s="170">
        <f t="shared" si="112"/>
        <v>53045</v>
      </c>
      <c r="G303" s="171">
        <f t="shared" si="113"/>
        <v>0</v>
      </c>
      <c r="H303" s="171">
        <f t="shared" si="114"/>
        <v>0</v>
      </c>
      <c r="I303" s="171">
        <f>IF(B303="Working",MIN(MAX(D303-E303-F303-G303-H303,0),'Tax Assumptions'!$B$20),0)</f>
        <v>7500</v>
      </c>
      <c r="J303" s="171">
        <f t="shared" si="115"/>
        <v>224275.26999999996</v>
      </c>
      <c r="K303" s="170">
        <f t="shared" si="116"/>
        <v>0</v>
      </c>
      <c r="L303" s="170">
        <f t="shared" si="117"/>
        <v>0</v>
      </c>
      <c r="M303" s="170">
        <f t="shared" si="123"/>
        <v>0</v>
      </c>
      <c r="N303" s="170">
        <f t="shared" si="124"/>
        <v>0</v>
      </c>
      <c r="O303" s="170">
        <f t="shared" si="125"/>
        <v>0</v>
      </c>
      <c r="P303" s="170">
        <f t="shared" si="126"/>
        <v>0</v>
      </c>
      <c r="Q303" s="171">
        <f t="shared" si="127"/>
        <v>710354.56029199995</v>
      </c>
      <c r="R303" s="171">
        <f t="shared" si="128"/>
        <v>77998.200000000012</v>
      </c>
      <c r="S303" s="171">
        <f t="shared" si="129"/>
        <v>23877</v>
      </c>
      <c r="T303" s="171">
        <f t="shared" si="130"/>
        <v>0</v>
      </c>
      <c r="U303" s="171">
        <f t="shared" si="118"/>
        <v>812229.7602919999</v>
      </c>
      <c r="V303" s="171">
        <f t="shared" si="131"/>
        <v>0</v>
      </c>
      <c r="W303" s="171" t="str">
        <f>IF(OR(A303&gt;=$C$13,B303="Retired"),IF(V303&gt;0,-V303,U303-'Model Inputs'!$B$18),"")</f>
        <v/>
      </c>
      <c r="X303" s="171">
        <f t="shared" si="119"/>
        <v>0</v>
      </c>
      <c r="Y303" s="171">
        <f t="shared" si="120"/>
        <v>0</v>
      </c>
      <c r="Z303" s="171">
        <f t="shared" si="121"/>
        <v>0</v>
      </c>
      <c r="AA303" s="172">
        <f t="shared" si="122"/>
        <v>812229.7602919999</v>
      </c>
      <c r="AB303" s="5"/>
      <c r="AC303" s="5"/>
      <c r="AD303" s="5"/>
      <c r="AE303" s="5"/>
      <c r="AF303" s="5"/>
      <c r="AG303" s="5"/>
    </row>
    <row r="304" spans="1:33" x14ac:dyDescent="0.2">
      <c r="A304" s="173">
        <v>4</v>
      </c>
      <c r="B304" s="65" t="str">
        <f t="shared" si="108"/>
        <v>Working</v>
      </c>
      <c r="C304" s="174">
        <f t="shared" si="109"/>
        <v>750000</v>
      </c>
      <c r="D304" s="174">
        <f t="shared" si="110"/>
        <v>405137.47</v>
      </c>
      <c r="E304" s="174">
        <f t="shared" si="111"/>
        <v>85232.706000000006</v>
      </c>
      <c r="F304" s="174">
        <f t="shared" si="112"/>
        <v>54636.35</v>
      </c>
      <c r="G304" s="171">
        <f t="shared" si="113"/>
        <v>0</v>
      </c>
      <c r="H304" s="171">
        <f t="shared" si="114"/>
        <v>0</v>
      </c>
      <c r="I304" s="171">
        <f>IF(B304="Working",MIN(MAX(D304-E304-F304-G304-H304,0),'Tax Assumptions'!$B$20),0)</f>
        <v>7500</v>
      </c>
      <c r="J304" s="171">
        <f t="shared" si="115"/>
        <v>257768.41399999999</v>
      </c>
      <c r="K304" s="174">
        <f t="shared" si="116"/>
        <v>0</v>
      </c>
      <c r="L304" s="174">
        <f t="shared" si="117"/>
        <v>0</v>
      </c>
      <c r="M304" s="174">
        <f t="shared" si="123"/>
        <v>0</v>
      </c>
      <c r="N304" s="174">
        <f t="shared" si="124"/>
        <v>0</v>
      </c>
      <c r="O304" s="174">
        <f t="shared" si="125"/>
        <v>0</v>
      </c>
      <c r="P304" s="174">
        <f t="shared" si="126"/>
        <v>0</v>
      </c>
      <c r="Q304" s="171">
        <f t="shared" si="127"/>
        <v>1010744.2479095199</v>
      </c>
      <c r="R304" s="171">
        <f t="shared" si="128"/>
        <v>107178.09200000002</v>
      </c>
      <c r="S304" s="171">
        <f t="shared" si="129"/>
        <v>32809.620000000003</v>
      </c>
      <c r="T304" s="171">
        <f t="shared" si="130"/>
        <v>0</v>
      </c>
      <c r="U304" s="171">
        <f t="shared" si="118"/>
        <v>1150731.9599095201</v>
      </c>
      <c r="V304" s="171">
        <f t="shared" si="131"/>
        <v>0</v>
      </c>
      <c r="W304" s="171" t="str">
        <f>IF(OR(A304&gt;=$C$13,B304="Retired"),IF(V304&gt;0,-V304,U304-'Model Inputs'!$B$18),"")</f>
        <v/>
      </c>
      <c r="X304" s="171">
        <f t="shared" si="119"/>
        <v>0</v>
      </c>
      <c r="Y304" s="171">
        <f t="shared" si="120"/>
        <v>0</v>
      </c>
      <c r="Z304" s="171">
        <f t="shared" si="121"/>
        <v>0</v>
      </c>
      <c r="AA304" s="175">
        <f t="shared" si="122"/>
        <v>1150731.9599095201</v>
      </c>
      <c r="AB304" s="5"/>
      <c r="AC304" s="5"/>
      <c r="AD304" s="5"/>
      <c r="AE304" s="5"/>
      <c r="AF304" s="5"/>
      <c r="AG304" s="5"/>
    </row>
    <row r="305" spans="1:33" x14ac:dyDescent="0.2">
      <c r="A305" s="169">
        <v>5</v>
      </c>
      <c r="B305" s="100" t="str">
        <f t="shared" si="108"/>
        <v>Working</v>
      </c>
      <c r="C305" s="170">
        <f t="shared" si="109"/>
        <v>953837.51358640334</v>
      </c>
      <c r="D305" s="170">
        <f t="shared" si="110"/>
        <v>506901.31028287602</v>
      </c>
      <c r="E305" s="170">
        <f t="shared" si="111"/>
        <v>87789.687179999994</v>
      </c>
      <c r="F305" s="170">
        <f t="shared" si="112"/>
        <v>56275.440499999997</v>
      </c>
      <c r="G305" s="171">
        <f t="shared" si="113"/>
        <v>0</v>
      </c>
      <c r="H305" s="171">
        <f t="shared" si="114"/>
        <v>0</v>
      </c>
      <c r="I305" s="171">
        <f>IF(B305="Working",MIN(MAX(D305-E305-F305-G305-H305,0),'Tax Assumptions'!$B$20),0)</f>
        <v>7500</v>
      </c>
      <c r="J305" s="171">
        <f t="shared" si="115"/>
        <v>355336.18260287598</v>
      </c>
      <c r="K305" s="170">
        <f t="shared" si="116"/>
        <v>0</v>
      </c>
      <c r="L305" s="170">
        <f t="shared" si="117"/>
        <v>0</v>
      </c>
      <c r="M305" s="170">
        <f t="shared" si="123"/>
        <v>0</v>
      </c>
      <c r="N305" s="170">
        <f t="shared" si="124"/>
        <v>0</v>
      </c>
      <c r="O305" s="170">
        <f t="shared" si="125"/>
        <v>0</v>
      </c>
      <c r="P305" s="170">
        <f t="shared" si="126"/>
        <v>0</v>
      </c>
      <c r="Q305" s="171">
        <f t="shared" si="127"/>
        <v>1426725.0853869673</v>
      </c>
      <c r="R305" s="171">
        <f t="shared" si="128"/>
        <v>138108.77752000003</v>
      </c>
      <c r="S305" s="171">
        <f t="shared" si="129"/>
        <v>42278.197200000002</v>
      </c>
      <c r="T305" s="171">
        <f t="shared" si="130"/>
        <v>0</v>
      </c>
      <c r="U305" s="171">
        <f t="shared" si="118"/>
        <v>1607112.0601069673</v>
      </c>
      <c r="V305" s="171">
        <f t="shared" si="131"/>
        <v>0</v>
      </c>
      <c r="W305" s="171" t="str">
        <f>IF(OR(A305&gt;=$C$13,B305="Retired"),IF(V305&gt;0,-V305,U305-'Model Inputs'!$B$18),"")</f>
        <v/>
      </c>
      <c r="X305" s="171">
        <f t="shared" si="119"/>
        <v>0</v>
      </c>
      <c r="Y305" s="171">
        <f t="shared" si="120"/>
        <v>0</v>
      </c>
      <c r="Z305" s="171">
        <f t="shared" si="121"/>
        <v>0</v>
      </c>
      <c r="AA305" s="172">
        <f t="shared" si="122"/>
        <v>1607112.0601069673</v>
      </c>
      <c r="AB305" s="5"/>
      <c r="AC305" s="5"/>
      <c r="AD305" s="5"/>
      <c r="AE305" s="5"/>
      <c r="AF305" s="5"/>
      <c r="AG305" s="5"/>
    </row>
    <row r="306" spans="1:33" x14ac:dyDescent="0.2">
      <c r="A306" s="173">
        <v>6</v>
      </c>
      <c r="B306" s="65" t="str">
        <f t="shared" si="108"/>
        <v>Working</v>
      </c>
      <c r="C306" s="174">
        <f t="shared" si="109"/>
        <v>1118900.665838565</v>
      </c>
      <c r="D306" s="174">
        <f t="shared" si="110"/>
        <v>589060.11476976541</v>
      </c>
      <c r="E306" s="174">
        <f t="shared" si="111"/>
        <v>92741.925943999988</v>
      </c>
      <c r="F306" s="174">
        <f t="shared" si="112"/>
        <v>57963.703714999989</v>
      </c>
      <c r="G306" s="171">
        <f t="shared" si="113"/>
        <v>0</v>
      </c>
      <c r="H306" s="171">
        <f t="shared" si="114"/>
        <v>0</v>
      </c>
      <c r="I306" s="171">
        <f>IF(B306="Working",MIN(MAX(D306-E306-F306-G306-H306,0),'Tax Assumptions'!$B$20),0)</f>
        <v>7500</v>
      </c>
      <c r="J306" s="171">
        <f t="shared" si="115"/>
        <v>430854.48511076538</v>
      </c>
      <c r="K306" s="174">
        <f t="shared" si="116"/>
        <v>0</v>
      </c>
      <c r="L306" s="174">
        <f t="shared" si="117"/>
        <v>0</v>
      </c>
      <c r="M306" s="174">
        <f t="shared" si="123"/>
        <v>0</v>
      </c>
      <c r="N306" s="174">
        <f t="shared" si="124"/>
        <v>0</v>
      </c>
      <c r="O306" s="174">
        <f t="shared" si="125"/>
        <v>0</v>
      </c>
      <c r="P306" s="174">
        <f t="shared" si="126"/>
        <v>0</v>
      </c>
      <c r="Q306" s="171">
        <f t="shared" si="127"/>
        <v>1943183.0756209507</v>
      </c>
      <c r="R306" s="171">
        <f t="shared" si="128"/>
        <v>170895.30417120006</v>
      </c>
      <c r="S306" s="171">
        <f t="shared" si="129"/>
        <v>52314.889032000006</v>
      </c>
      <c r="T306" s="171">
        <f t="shared" si="130"/>
        <v>0</v>
      </c>
      <c r="U306" s="171">
        <f t="shared" si="118"/>
        <v>2166393.2688241508</v>
      </c>
      <c r="V306" s="171">
        <f t="shared" si="131"/>
        <v>0</v>
      </c>
      <c r="W306" s="171" t="str">
        <f>IF(OR(A306&gt;=$C$13,B306="Retired"),IF(V306&gt;0,-V306,U306-'Model Inputs'!$B$18),"")</f>
        <v/>
      </c>
      <c r="X306" s="171">
        <f t="shared" si="119"/>
        <v>0</v>
      </c>
      <c r="Y306" s="171">
        <f t="shared" si="120"/>
        <v>0</v>
      </c>
      <c r="Z306" s="171">
        <f t="shared" si="121"/>
        <v>0</v>
      </c>
      <c r="AA306" s="175">
        <f t="shared" si="122"/>
        <v>2166393.2688241508</v>
      </c>
      <c r="AB306" s="5"/>
      <c r="AC306" s="5"/>
      <c r="AD306" s="5"/>
      <c r="AE306" s="5"/>
      <c r="AF306" s="5"/>
      <c r="AG306" s="5"/>
    </row>
    <row r="307" spans="1:33" x14ac:dyDescent="0.2">
      <c r="A307" s="169">
        <v>7</v>
      </c>
      <c r="B307" s="100" t="str">
        <f t="shared" si="108"/>
        <v>Working</v>
      </c>
      <c r="C307" s="170">
        <f t="shared" si="109"/>
        <v>1418318.448466131</v>
      </c>
      <c r="D307" s="170">
        <f t="shared" si="110"/>
        <v>730157.75065517949</v>
      </c>
      <c r="E307" s="170">
        <f t="shared" si="111"/>
        <v>95524.183722319998</v>
      </c>
      <c r="F307" s="170">
        <f t="shared" si="112"/>
        <v>59702.614826449993</v>
      </c>
      <c r="G307" s="171">
        <f t="shared" si="113"/>
        <v>0</v>
      </c>
      <c r="H307" s="171">
        <f t="shared" si="114"/>
        <v>0</v>
      </c>
      <c r="I307" s="171">
        <f>IF(B307="Working",MIN(MAX(D307-E307-F307-G307-H307,0),'Tax Assumptions'!$B$20),0)</f>
        <v>7500</v>
      </c>
      <c r="J307" s="171">
        <f t="shared" si="115"/>
        <v>567430.95210640947</v>
      </c>
      <c r="K307" s="170">
        <f t="shared" si="116"/>
        <v>0</v>
      </c>
      <c r="L307" s="170">
        <f t="shared" si="117"/>
        <v>0</v>
      </c>
      <c r="M307" s="170">
        <f t="shared" si="123"/>
        <v>0</v>
      </c>
      <c r="N307" s="170">
        <f t="shared" si="124"/>
        <v>0</v>
      </c>
      <c r="O307" s="170">
        <f t="shared" si="125"/>
        <v>0</v>
      </c>
      <c r="P307" s="170">
        <f t="shared" si="126"/>
        <v>0</v>
      </c>
      <c r="Q307" s="171">
        <f t="shared" si="127"/>
        <v>2627205.0122646173</v>
      </c>
      <c r="R307" s="171">
        <f t="shared" si="128"/>
        <v>205649.02242147207</v>
      </c>
      <c r="S307" s="171">
        <f t="shared" si="129"/>
        <v>62953.78237392001</v>
      </c>
      <c r="T307" s="171">
        <f t="shared" si="130"/>
        <v>0</v>
      </c>
      <c r="U307" s="171">
        <f t="shared" si="118"/>
        <v>2895807.8170600096</v>
      </c>
      <c r="V307" s="171">
        <f t="shared" si="131"/>
        <v>0</v>
      </c>
      <c r="W307" s="171" t="str">
        <f>IF(OR(A307&gt;=$C$13,B307="Retired"),IF(V307&gt;0,-V307,U307-'Model Inputs'!$B$18),"")</f>
        <v/>
      </c>
      <c r="X307" s="171">
        <f t="shared" si="119"/>
        <v>0</v>
      </c>
      <c r="Y307" s="171">
        <f t="shared" si="120"/>
        <v>0</v>
      </c>
      <c r="Z307" s="171">
        <f t="shared" si="121"/>
        <v>0</v>
      </c>
      <c r="AA307" s="172">
        <f t="shared" si="122"/>
        <v>2895807.8170600096</v>
      </c>
      <c r="AB307" s="5"/>
      <c r="AC307" s="5"/>
      <c r="AD307" s="5"/>
      <c r="AE307" s="5"/>
      <c r="AF307" s="5"/>
      <c r="AG307" s="5"/>
    </row>
    <row r="308" spans="1:33" x14ac:dyDescent="0.2">
      <c r="A308" s="173">
        <v>8</v>
      </c>
      <c r="B308" s="65" t="str">
        <f t="shared" si="108"/>
        <v>Working</v>
      </c>
      <c r="C308" s="174">
        <f t="shared" si="109"/>
        <v>1872205.6657868917</v>
      </c>
      <c r="D308" s="174">
        <f t="shared" si="110"/>
        <v>944047.5629454148</v>
      </c>
      <c r="E308" s="174">
        <f t="shared" si="111"/>
        <v>98389.909233989601</v>
      </c>
      <c r="F308" s="174">
        <f t="shared" si="112"/>
        <v>61493.693271243501</v>
      </c>
      <c r="G308" s="171">
        <f t="shared" si="113"/>
        <v>0</v>
      </c>
      <c r="H308" s="171">
        <f t="shared" si="114"/>
        <v>0</v>
      </c>
      <c r="I308" s="171">
        <f>IF(B308="Working",MIN(MAX(D308-E308-F308-G308-H308,0),'Tax Assumptions'!$B$20),0)</f>
        <v>7500</v>
      </c>
      <c r="J308" s="171">
        <f t="shared" si="115"/>
        <v>776663.96044018166</v>
      </c>
      <c r="K308" s="174">
        <f t="shared" si="116"/>
        <v>0</v>
      </c>
      <c r="L308" s="174">
        <f t="shared" si="117"/>
        <v>0</v>
      </c>
      <c r="M308" s="174">
        <f t="shared" si="123"/>
        <v>0</v>
      </c>
      <c r="N308" s="174">
        <f t="shared" si="124"/>
        <v>0</v>
      </c>
      <c r="O308" s="174">
        <f t="shared" si="125"/>
        <v>0</v>
      </c>
      <c r="P308" s="174">
        <f t="shared" si="126"/>
        <v>0</v>
      </c>
      <c r="Q308" s="171">
        <f t="shared" si="127"/>
        <v>3561501.2734406763</v>
      </c>
      <c r="R308" s="171">
        <f t="shared" si="128"/>
        <v>242487.9637667604</v>
      </c>
      <c r="S308" s="171">
        <f t="shared" si="129"/>
        <v>74231.009316355208</v>
      </c>
      <c r="T308" s="171">
        <f t="shared" si="130"/>
        <v>0</v>
      </c>
      <c r="U308" s="171">
        <f t="shared" si="118"/>
        <v>3878220.2465237915</v>
      </c>
      <c r="V308" s="171">
        <f t="shared" si="131"/>
        <v>0</v>
      </c>
      <c r="W308" s="171" t="str">
        <f>IF(OR(A308&gt;=$C$13,B308="Retired"),IF(V308&gt;0,-V308,U308-'Model Inputs'!$B$18),"")</f>
        <v/>
      </c>
      <c r="X308" s="171">
        <f t="shared" si="119"/>
        <v>0</v>
      </c>
      <c r="Y308" s="171">
        <f t="shared" si="120"/>
        <v>0</v>
      </c>
      <c r="Z308" s="171">
        <f t="shared" si="121"/>
        <v>0</v>
      </c>
      <c r="AA308" s="175">
        <f t="shared" si="122"/>
        <v>3878220.2465237915</v>
      </c>
      <c r="AB308" s="5"/>
      <c r="AC308" s="5"/>
      <c r="AD308" s="5"/>
      <c r="AE308" s="5"/>
      <c r="AF308" s="5"/>
      <c r="AG308" s="5"/>
    </row>
    <row r="309" spans="1:33" x14ac:dyDescent="0.2">
      <c r="A309" s="169">
        <v>9</v>
      </c>
      <c r="B309" s="100" t="str">
        <f t="shared" si="108"/>
        <v>Working</v>
      </c>
      <c r="C309" s="170">
        <f t="shared" si="109"/>
        <v>2033969.9666232408</v>
      </c>
      <c r="D309" s="170">
        <f t="shared" si="110"/>
        <v>1020277.372071536</v>
      </c>
      <c r="E309" s="170">
        <f t="shared" si="111"/>
        <v>101341.60651100927</v>
      </c>
      <c r="F309" s="170">
        <f t="shared" si="112"/>
        <v>63338.504069380797</v>
      </c>
      <c r="G309" s="171">
        <f t="shared" si="113"/>
        <v>0</v>
      </c>
      <c r="H309" s="171">
        <f t="shared" si="114"/>
        <v>0</v>
      </c>
      <c r="I309" s="171">
        <f>IF(B309="Working",MIN(MAX(D309-E309-F309-G309-H309,0),'Tax Assumptions'!$B$20),0)</f>
        <v>7500</v>
      </c>
      <c r="J309" s="171">
        <f t="shared" si="115"/>
        <v>848097.26149114594</v>
      </c>
      <c r="K309" s="170">
        <f t="shared" si="116"/>
        <v>0</v>
      </c>
      <c r="L309" s="170">
        <f t="shared" si="117"/>
        <v>0</v>
      </c>
      <c r="M309" s="170">
        <f t="shared" si="123"/>
        <v>0</v>
      </c>
      <c r="N309" s="170">
        <f t="shared" si="124"/>
        <v>0</v>
      </c>
      <c r="O309" s="170">
        <f t="shared" si="125"/>
        <v>0</v>
      </c>
      <c r="P309" s="170">
        <f t="shared" si="126"/>
        <v>0</v>
      </c>
      <c r="Q309" s="171">
        <f t="shared" si="127"/>
        <v>4623288.6113382634</v>
      </c>
      <c r="R309" s="171">
        <f t="shared" si="128"/>
        <v>281537.24159276602</v>
      </c>
      <c r="S309" s="171">
        <f t="shared" si="129"/>
        <v>86184.869875336532</v>
      </c>
      <c r="T309" s="171">
        <f t="shared" si="130"/>
        <v>0</v>
      </c>
      <c r="U309" s="171">
        <f t="shared" si="118"/>
        <v>4991010.7228063662</v>
      </c>
      <c r="V309" s="171">
        <f t="shared" si="131"/>
        <v>0</v>
      </c>
      <c r="W309" s="171" t="str">
        <f>IF(OR(A309&gt;=$C$13,B309="Retired"),IF(V309&gt;0,-V309,U309-'Model Inputs'!$B$18),"")</f>
        <v/>
      </c>
      <c r="X309" s="171">
        <f t="shared" si="119"/>
        <v>0</v>
      </c>
      <c r="Y309" s="171">
        <f t="shared" si="120"/>
        <v>0</v>
      </c>
      <c r="Z309" s="171">
        <f t="shared" si="121"/>
        <v>0</v>
      </c>
      <c r="AA309" s="172">
        <f t="shared" si="122"/>
        <v>4991010.7228063662</v>
      </c>
      <c r="AB309" s="5"/>
      <c r="AC309" s="5"/>
      <c r="AD309" s="5"/>
      <c r="AE309" s="5"/>
      <c r="AF309" s="5"/>
      <c r="AG309" s="5"/>
    </row>
    <row r="310" spans="1:33" x14ac:dyDescent="0.2">
      <c r="A310" s="173">
        <v>10</v>
      </c>
      <c r="B310" s="65" t="str">
        <f t="shared" si="108"/>
        <v>Working</v>
      </c>
      <c r="C310" s="174">
        <f t="shared" si="109"/>
        <v>2595495.7626410057</v>
      </c>
      <c r="D310" s="174">
        <f t="shared" si="110"/>
        <v>1284890.7881869476</v>
      </c>
      <c r="E310" s="174">
        <f t="shared" si="111"/>
        <v>104381.85470633955</v>
      </c>
      <c r="F310" s="174">
        <f t="shared" si="112"/>
        <v>65238.659191462226</v>
      </c>
      <c r="G310" s="171">
        <f t="shared" si="113"/>
        <v>481701.17200139578</v>
      </c>
      <c r="H310" s="171">
        <f t="shared" si="114"/>
        <v>64615.384615384617</v>
      </c>
      <c r="I310" s="171">
        <f>IF(B310="Working",MIN(MAX(D310-E310-F310-G310-H310,0),'Tax Assumptions'!$B$20),0)</f>
        <v>7500</v>
      </c>
      <c r="J310" s="171">
        <f t="shared" si="115"/>
        <v>561453.71767236537</v>
      </c>
      <c r="K310" s="174">
        <f t="shared" si="116"/>
        <v>0</v>
      </c>
      <c r="L310" s="174">
        <f t="shared" si="117"/>
        <v>0</v>
      </c>
      <c r="M310" s="174">
        <f t="shared" si="123"/>
        <v>0</v>
      </c>
      <c r="N310" s="174">
        <f t="shared" si="124"/>
        <v>0</v>
      </c>
      <c r="O310" s="174">
        <f t="shared" si="125"/>
        <v>0</v>
      </c>
      <c r="P310" s="174">
        <f t="shared" si="126"/>
        <v>0</v>
      </c>
      <c r="Q310" s="171">
        <f t="shared" si="127"/>
        <v>5462139.6456909254</v>
      </c>
      <c r="R310" s="171">
        <f t="shared" si="128"/>
        <v>322929.47608833201</v>
      </c>
      <c r="S310" s="171">
        <f t="shared" si="129"/>
        <v>98855.96206785673</v>
      </c>
      <c r="T310" s="171">
        <f t="shared" si="130"/>
        <v>0</v>
      </c>
      <c r="U310" s="171">
        <f t="shared" si="118"/>
        <v>5883925.0838471139</v>
      </c>
      <c r="V310" s="171">
        <f t="shared" si="131"/>
        <v>0</v>
      </c>
      <c r="W310" s="171">
        <f>IF(OR(A310&gt;=$C$13,B310="Retired"),IF(V310&gt;0,-V310,U310-'Model Inputs'!$B$18),"")</f>
        <v>4883925.0838471139</v>
      </c>
      <c r="X310" s="171">
        <f t="shared" si="119"/>
        <v>1014107.7305292542</v>
      </c>
      <c r="Y310" s="171">
        <f t="shared" si="120"/>
        <v>551525.03457834024</v>
      </c>
      <c r="Z310" s="171">
        <f t="shared" si="121"/>
        <v>462582.69595091394</v>
      </c>
      <c r="AA310" s="175">
        <f t="shared" si="122"/>
        <v>6346507.7797980281</v>
      </c>
      <c r="AB310" s="5"/>
      <c r="AC310" s="5"/>
      <c r="AD310" s="5"/>
      <c r="AE310" s="5"/>
      <c r="AF310" s="5"/>
      <c r="AG310" s="5"/>
    </row>
    <row r="311" spans="1:33" x14ac:dyDescent="0.2">
      <c r="A311" s="169">
        <v>11</v>
      </c>
      <c r="B311" s="100" t="str">
        <f t="shared" si="108"/>
        <v>Retired</v>
      </c>
      <c r="C311" s="170">
        <f t="shared" si="109"/>
        <v>0</v>
      </c>
      <c r="D311" s="170">
        <f t="shared" si="110"/>
        <v>0</v>
      </c>
      <c r="E311" s="170">
        <f t="shared" si="111"/>
        <v>0</v>
      </c>
      <c r="F311" s="170">
        <f t="shared" si="112"/>
        <v>0</v>
      </c>
      <c r="G311" s="171">
        <f t="shared" si="113"/>
        <v>0</v>
      </c>
      <c r="H311" s="171">
        <f t="shared" si="114"/>
        <v>65284.695717533919</v>
      </c>
      <c r="I311" s="171">
        <f>IF(B311="Working",MIN(MAX(D311-E311-F311-G311-H311,0),'Tax Assumptions'!$B$20),0)</f>
        <v>0</v>
      </c>
      <c r="J311" s="171">
        <f t="shared" si="115"/>
        <v>-235284.69571753393</v>
      </c>
      <c r="K311" s="170">
        <f t="shared" si="116"/>
        <v>235284.69571753393</v>
      </c>
      <c r="L311" s="170">
        <f t="shared" si="117"/>
        <v>235284.69571753393</v>
      </c>
      <c r="M311" s="170">
        <f t="shared" si="123"/>
        <v>235284.69571753393</v>
      </c>
      <c r="N311" s="170">
        <f t="shared" si="124"/>
        <v>0</v>
      </c>
      <c r="O311" s="170">
        <f t="shared" si="125"/>
        <v>0</v>
      </c>
      <c r="P311" s="170">
        <f t="shared" si="126"/>
        <v>0</v>
      </c>
      <c r="Q311" s="171">
        <f t="shared" si="127"/>
        <v>5554583.3287148476</v>
      </c>
      <c r="R311" s="171">
        <f t="shared" si="128"/>
        <v>342305.24465363193</v>
      </c>
      <c r="S311" s="171">
        <f t="shared" si="129"/>
        <v>104787.31979192814</v>
      </c>
      <c r="T311" s="171">
        <f t="shared" si="130"/>
        <v>0</v>
      </c>
      <c r="U311" s="171">
        <f t="shared" si="118"/>
        <v>6001675.8931604074</v>
      </c>
      <c r="V311" s="171">
        <f t="shared" si="131"/>
        <v>0</v>
      </c>
      <c r="W311" s="171">
        <f>IF(OR(A311&gt;=$C$13,B311="Retired"),IF(V311&gt;0,-V311,U311-'Model Inputs'!$B$18),"")</f>
        <v>5001675.8931604074</v>
      </c>
      <c r="X311" s="171">
        <f t="shared" si="119"/>
        <v>1044530.9624451319</v>
      </c>
      <c r="Y311" s="171">
        <f t="shared" si="120"/>
        <v>544873.30029306666</v>
      </c>
      <c r="Z311" s="171">
        <f t="shared" si="121"/>
        <v>499657.6621520652</v>
      </c>
      <c r="AA311" s="172">
        <f t="shared" si="122"/>
        <v>6501333.5553124724</v>
      </c>
      <c r="AB311" s="5"/>
      <c r="AC311" s="5"/>
      <c r="AD311" s="5"/>
      <c r="AE311" s="5"/>
      <c r="AF311" s="5"/>
      <c r="AG311" s="5"/>
    </row>
    <row r="312" spans="1:33" x14ac:dyDescent="0.2">
      <c r="A312" s="173">
        <v>12</v>
      </c>
      <c r="B312" s="65" t="str">
        <f t="shared" si="108"/>
        <v>Retired</v>
      </c>
      <c r="C312" s="174">
        <f t="shared" si="109"/>
        <v>0</v>
      </c>
      <c r="D312" s="174">
        <f t="shared" si="110"/>
        <v>0</v>
      </c>
      <c r="E312" s="174">
        <f t="shared" si="111"/>
        <v>0</v>
      </c>
      <c r="F312" s="174">
        <f t="shared" si="112"/>
        <v>0</v>
      </c>
      <c r="G312" s="171">
        <f t="shared" si="113"/>
        <v>0</v>
      </c>
      <c r="H312" s="171">
        <f t="shared" si="114"/>
        <v>65974.08615274771</v>
      </c>
      <c r="I312" s="171">
        <f>IF(B312="Working",MIN(MAX(D312-E312-F312-G312-H312,0),'Tax Assumptions'!$B$20),0)</f>
        <v>0</v>
      </c>
      <c r="J312" s="171">
        <f t="shared" si="115"/>
        <v>-235974.08615274771</v>
      </c>
      <c r="K312" s="174">
        <f t="shared" si="116"/>
        <v>235974.08615274771</v>
      </c>
      <c r="L312" s="174">
        <f t="shared" si="117"/>
        <v>235974.08615274771</v>
      </c>
      <c r="M312" s="174">
        <f t="shared" si="123"/>
        <v>235974.08615274771</v>
      </c>
      <c r="N312" s="174">
        <f t="shared" si="124"/>
        <v>0</v>
      </c>
      <c r="O312" s="174">
        <f t="shared" si="125"/>
        <v>0</v>
      </c>
      <c r="P312" s="174">
        <f t="shared" si="126"/>
        <v>0</v>
      </c>
      <c r="Q312" s="171">
        <f t="shared" si="127"/>
        <v>5651884.2422849918</v>
      </c>
      <c r="R312" s="171">
        <f t="shared" si="128"/>
        <v>362843.55933284987</v>
      </c>
      <c r="S312" s="171">
        <f t="shared" si="129"/>
        <v>111074.55897944383</v>
      </c>
      <c r="T312" s="171">
        <f t="shared" si="130"/>
        <v>0</v>
      </c>
      <c r="U312" s="171">
        <f t="shared" si="118"/>
        <v>6125802.3605972854</v>
      </c>
      <c r="V312" s="171">
        <f t="shared" si="131"/>
        <v>0</v>
      </c>
      <c r="W312" s="171">
        <f>IF(OR(A312&gt;=$C$13,B312="Retired"),IF(V312&gt;0,-V312,U312-'Model Inputs'!$B$18),"")</f>
        <v>5125802.3605972854</v>
      </c>
      <c r="X312" s="171">
        <f t="shared" si="119"/>
        <v>1075866.8913184856</v>
      </c>
      <c r="Y312" s="171">
        <f t="shared" si="120"/>
        <v>537776.08704367955</v>
      </c>
      <c r="Z312" s="171">
        <f t="shared" si="121"/>
        <v>538090.80427480605</v>
      </c>
      <c r="AA312" s="175">
        <f t="shared" si="122"/>
        <v>6663893.1648720913</v>
      </c>
      <c r="AB312" s="5"/>
      <c r="AC312" s="5"/>
      <c r="AD312" s="5"/>
      <c r="AE312" s="5"/>
      <c r="AF312" s="5"/>
      <c r="AG312" s="5"/>
    </row>
    <row r="313" spans="1:33" x14ac:dyDescent="0.2">
      <c r="A313" s="169">
        <v>13</v>
      </c>
      <c r="B313" s="100" t="str">
        <f t="shared" si="108"/>
        <v>Retired</v>
      </c>
      <c r="C313" s="170">
        <f t="shared" si="109"/>
        <v>0</v>
      </c>
      <c r="D313" s="170">
        <f t="shared" si="110"/>
        <v>0</v>
      </c>
      <c r="E313" s="170">
        <f t="shared" si="111"/>
        <v>0</v>
      </c>
      <c r="F313" s="170">
        <f t="shared" si="112"/>
        <v>0</v>
      </c>
      <c r="G313" s="171">
        <f t="shared" si="113"/>
        <v>0</v>
      </c>
      <c r="H313" s="171">
        <f t="shared" si="114"/>
        <v>66684.158301017917</v>
      </c>
      <c r="I313" s="171">
        <f>IF(B313="Working",MIN(MAX(D313-E313-F313-G313-H313,0),'Tax Assumptions'!$B$20),0)</f>
        <v>0</v>
      </c>
      <c r="J313" s="171">
        <f t="shared" si="115"/>
        <v>-236684.15830101792</v>
      </c>
      <c r="K313" s="170">
        <f t="shared" si="116"/>
        <v>236684.15830101792</v>
      </c>
      <c r="L313" s="170">
        <f t="shared" si="117"/>
        <v>236684.15830101792</v>
      </c>
      <c r="M313" s="170">
        <f t="shared" si="123"/>
        <v>236684.15830101792</v>
      </c>
      <c r="N313" s="170">
        <f t="shared" si="124"/>
        <v>0</v>
      </c>
      <c r="O313" s="170">
        <f t="shared" si="125"/>
        <v>0</v>
      </c>
      <c r="P313" s="170">
        <f t="shared" si="126"/>
        <v>0</v>
      </c>
      <c r="Q313" s="171">
        <f t="shared" si="127"/>
        <v>5754313.1385210734</v>
      </c>
      <c r="R313" s="171">
        <f t="shared" si="128"/>
        <v>384614.1728928209</v>
      </c>
      <c r="S313" s="171">
        <f t="shared" si="129"/>
        <v>117739.03251821046</v>
      </c>
      <c r="T313" s="171">
        <f t="shared" si="130"/>
        <v>0</v>
      </c>
      <c r="U313" s="171">
        <f t="shared" si="118"/>
        <v>6256666.3439321052</v>
      </c>
      <c r="V313" s="171">
        <f t="shared" si="131"/>
        <v>0</v>
      </c>
      <c r="W313" s="171">
        <f>IF(OR(A313&gt;=$C$13,B313="Retired"),IF(V313&gt;0,-V313,U313-'Model Inputs'!$B$18),"")</f>
        <v>5256666.3439321052</v>
      </c>
      <c r="X313" s="171">
        <f t="shared" si="119"/>
        <v>1108142.8980580403</v>
      </c>
      <c r="Y313" s="171">
        <f t="shared" si="120"/>
        <v>530203.56027892395</v>
      </c>
      <c r="Z313" s="171">
        <f t="shared" si="121"/>
        <v>577939.33777911635</v>
      </c>
      <c r="AA313" s="172">
        <f t="shared" si="122"/>
        <v>6834605.6817112211</v>
      </c>
      <c r="AB313" s="5"/>
      <c r="AC313" s="5"/>
      <c r="AD313" s="5"/>
      <c r="AE313" s="5"/>
      <c r="AF313" s="5"/>
      <c r="AG313" s="5"/>
    </row>
    <row r="314" spans="1:33" x14ac:dyDescent="0.2">
      <c r="A314" s="173">
        <v>14</v>
      </c>
      <c r="B314" s="65" t="str">
        <f t="shared" si="108"/>
        <v>Retired</v>
      </c>
      <c r="C314" s="174">
        <f t="shared" si="109"/>
        <v>0</v>
      </c>
      <c r="D314" s="174">
        <f t="shared" si="110"/>
        <v>0</v>
      </c>
      <c r="E314" s="174">
        <f t="shared" si="111"/>
        <v>0</v>
      </c>
      <c r="F314" s="174">
        <f t="shared" si="112"/>
        <v>0</v>
      </c>
      <c r="G314" s="171">
        <f t="shared" si="113"/>
        <v>0</v>
      </c>
      <c r="H314" s="171">
        <f t="shared" si="114"/>
        <v>67415.532613736214</v>
      </c>
      <c r="I314" s="171">
        <f>IF(B314="Working",MIN(MAX(D314-E314-F314-G314-H314,0),'Tax Assumptions'!$B$20),0)</f>
        <v>0</v>
      </c>
      <c r="J314" s="171">
        <f t="shared" si="115"/>
        <v>-237415.53261373623</v>
      </c>
      <c r="K314" s="174">
        <f t="shared" si="116"/>
        <v>237415.53261373623</v>
      </c>
      <c r="L314" s="174">
        <f t="shared" si="117"/>
        <v>237415.53261373623</v>
      </c>
      <c r="M314" s="174">
        <f t="shared" si="123"/>
        <v>237415.53261373623</v>
      </c>
      <c r="N314" s="174">
        <f t="shared" si="124"/>
        <v>0</v>
      </c>
      <c r="O314" s="174">
        <f t="shared" si="125"/>
        <v>0</v>
      </c>
      <c r="P314" s="174">
        <f t="shared" si="126"/>
        <v>0</v>
      </c>
      <c r="Q314" s="171">
        <f t="shared" si="127"/>
        <v>5862156.3942186013</v>
      </c>
      <c r="R314" s="171">
        <f t="shared" si="128"/>
        <v>407691.0232663902</v>
      </c>
      <c r="S314" s="171">
        <f t="shared" si="129"/>
        <v>124803.37446930309</v>
      </c>
      <c r="T314" s="171">
        <f t="shared" si="130"/>
        <v>0</v>
      </c>
      <c r="U314" s="171">
        <f t="shared" si="118"/>
        <v>6394650.7919542948</v>
      </c>
      <c r="V314" s="171">
        <f t="shared" si="131"/>
        <v>0</v>
      </c>
      <c r="W314" s="171">
        <f>IF(OR(A314&gt;=$C$13,B314="Retired"),IF(V314&gt;0,-V314,U314-'Model Inputs'!$B$18),"")</f>
        <v>5394650.7919542948</v>
      </c>
      <c r="X314" s="171">
        <f t="shared" si="119"/>
        <v>1141387.1849997814</v>
      </c>
      <c r="Y314" s="171">
        <f t="shared" si="120"/>
        <v>522123.88737239386</v>
      </c>
      <c r="Z314" s="171">
        <f t="shared" si="121"/>
        <v>619263.29762738757</v>
      </c>
      <c r="AA314" s="175">
        <f t="shared" si="122"/>
        <v>7013914.0895816823</v>
      </c>
      <c r="AB314" s="5"/>
      <c r="AC314" s="5"/>
      <c r="AD314" s="5"/>
      <c r="AE314" s="5"/>
      <c r="AF314" s="5"/>
      <c r="AG314" s="5"/>
    </row>
    <row r="315" spans="1:33" x14ac:dyDescent="0.2">
      <c r="A315" s="169">
        <v>15</v>
      </c>
      <c r="B315" s="100" t="str">
        <f t="shared" si="108"/>
        <v>Retired</v>
      </c>
      <c r="C315" s="170">
        <f t="shared" si="109"/>
        <v>0</v>
      </c>
      <c r="D315" s="170">
        <f t="shared" si="110"/>
        <v>0</v>
      </c>
      <c r="E315" s="170">
        <f t="shared" si="111"/>
        <v>0</v>
      </c>
      <c r="F315" s="170">
        <f t="shared" si="112"/>
        <v>0</v>
      </c>
      <c r="G315" s="171">
        <f t="shared" si="113"/>
        <v>0</v>
      </c>
      <c r="H315" s="171">
        <f t="shared" si="114"/>
        <v>68168.84815583608</v>
      </c>
      <c r="I315" s="171">
        <f>IF(B315="Working",MIN(MAX(D315-E315-F315-G315-H315,0),'Tax Assumptions'!$B$20),0)</f>
        <v>0</v>
      </c>
      <c r="J315" s="171">
        <f t="shared" si="115"/>
        <v>-238168.84815583608</v>
      </c>
      <c r="K315" s="170">
        <f t="shared" si="116"/>
        <v>238168.84815583608</v>
      </c>
      <c r="L315" s="170">
        <f t="shared" si="117"/>
        <v>238168.84815583608</v>
      </c>
      <c r="M315" s="170">
        <f t="shared" si="123"/>
        <v>238168.84815583608</v>
      </c>
      <c r="N315" s="170">
        <f t="shared" si="124"/>
        <v>0</v>
      </c>
      <c r="O315" s="170">
        <f t="shared" si="125"/>
        <v>0</v>
      </c>
      <c r="P315" s="170">
        <f t="shared" si="126"/>
        <v>0</v>
      </c>
      <c r="Q315" s="171">
        <f t="shared" si="127"/>
        <v>5975716.9297158821</v>
      </c>
      <c r="R315" s="171">
        <f t="shared" si="128"/>
        <v>432152.48466237361</v>
      </c>
      <c r="S315" s="171">
        <f t="shared" si="129"/>
        <v>132291.57693746127</v>
      </c>
      <c r="T315" s="171">
        <f t="shared" si="130"/>
        <v>0</v>
      </c>
      <c r="U315" s="171">
        <f t="shared" si="118"/>
        <v>6540160.9913157169</v>
      </c>
      <c r="V315" s="171">
        <f t="shared" si="131"/>
        <v>0</v>
      </c>
      <c r="W315" s="171">
        <f>IF(OR(A315&gt;=$C$13,B315="Retired"),IF(V315&gt;0,-V315,U315-'Model Inputs'!$B$18),"")</f>
        <v>5540160.9913157169</v>
      </c>
      <c r="X315" s="171">
        <f t="shared" si="119"/>
        <v>1175628.8005497749</v>
      </c>
      <c r="Y315" s="171">
        <f t="shared" si="120"/>
        <v>513503.10380773869</v>
      </c>
      <c r="Z315" s="171">
        <f t="shared" si="121"/>
        <v>662125.69674203615</v>
      </c>
      <c r="AA315" s="172">
        <f t="shared" si="122"/>
        <v>7202286.6880577533</v>
      </c>
      <c r="AB315" s="5"/>
      <c r="AC315" s="5"/>
      <c r="AD315" s="5"/>
      <c r="AE315" s="5"/>
      <c r="AF315" s="5"/>
      <c r="AG315" s="5"/>
    </row>
    <row r="316" spans="1:33" x14ac:dyDescent="0.2">
      <c r="A316" s="173">
        <v>16</v>
      </c>
      <c r="B316" s="65" t="str">
        <f t="shared" si="108"/>
        <v>Retired</v>
      </c>
      <c r="C316" s="174">
        <f t="shared" si="109"/>
        <v>0</v>
      </c>
      <c r="D316" s="174">
        <f t="shared" si="110"/>
        <v>0</v>
      </c>
      <c r="E316" s="174">
        <f t="shared" si="111"/>
        <v>0</v>
      </c>
      <c r="F316" s="174">
        <f t="shared" si="112"/>
        <v>0</v>
      </c>
      <c r="G316" s="171">
        <f t="shared" si="113"/>
        <v>0</v>
      </c>
      <c r="H316" s="171">
        <f t="shared" si="114"/>
        <v>68944.763164198928</v>
      </c>
      <c r="I316" s="171">
        <f>IF(B316="Working",MIN(MAX(D316-E316-F316-G316-H316,0),'Tax Assumptions'!$B$20),0)</f>
        <v>0</v>
      </c>
      <c r="J316" s="171">
        <f t="shared" si="115"/>
        <v>-238944.76316419893</v>
      </c>
      <c r="K316" s="174">
        <f t="shared" si="116"/>
        <v>238944.76316419893</v>
      </c>
      <c r="L316" s="174">
        <f t="shared" si="117"/>
        <v>238944.76316419893</v>
      </c>
      <c r="M316" s="174">
        <f t="shared" si="123"/>
        <v>238944.76316419893</v>
      </c>
      <c r="N316" s="174">
        <f t="shared" si="124"/>
        <v>0</v>
      </c>
      <c r="O316" s="174">
        <f t="shared" si="125"/>
        <v>0</v>
      </c>
      <c r="P316" s="174">
        <f t="shared" si="126"/>
        <v>0</v>
      </c>
      <c r="Q316" s="171">
        <f t="shared" si="127"/>
        <v>6095315.1823346363</v>
      </c>
      <c r="R316" s="171">
        <f t="shared" si="128"/>
        <v>458081.63374211604</v>
      </c>
      <c r="S316" s="171">
        <f t="shared" si="129"/>
        <v>140229.07155370896</v>
      </c>
      <c r="T316" s="171">
        <f t="shared" si="130"/>
        <v>0</v>
      </c>
      <c r="U316" s="171">
        <f t="shared" si="118"/>
        <v>6693625.8876304617</v>
      </c>
      <c r="V316" s="171">
        <f t="shared" si="131"/>
        <v>0</v>
      </c>
      <c r="W316" s="171">
        <f>IF(OR(A316&gt;=$C$13,B316="Retired"),IF(V316&gt;0,-V316,U316-'Model Inputs'!$B$18),"")</f>
        <v>5693625.8876304617</v>
      </c>
      <c r="X316" s="171">
        <f t="shared" si="119"/>
        <v>1210897.6645662682</v>
      </c>
      <c r="Y316" s="171">
        <f t="shared" si="120"/>
        <v>504304.97040204541</v>
      </c>
      <c r="Z316" s="171">
        <f t="shared" si="121"/>
        <v>706592.6941642228</v>
      </c>
      <c r="AA316" s="175">
        <f t="shared" si="122"/>
        <v>7400218.5817946848</v>
      </c>
      <c r="AB316" s="5"/>
      <c r="AC316" s="5"/>
      <c r="AD316" s="5"/>
      <c r="AE316" s="5"/>
      <c r="AF316" s="5"/>
      <c r="AG316" s="5"/>
    </row>
    <row r="317" spans="1:33" x14ac:dyDescent="0.2">
      <c r="A317" s="169">
        <v>17</v>
      </c>
      <c r="B317" s="100" t="str">
        <f t="shared" si="108"/>
        <v>Retired</v>
      </c>
      <c r="C317" s="170">
        <f t="shared" si="109"/>
        <v>0</v>
      </c>
      <c r="D317" s="170">
        <f t="shared" si="110"/>
        <v>0</v>
      </c>
      <c r="E317" s="170">
        <f t="shared" si="111"/>
        <v>0</v>
      </c>
      <c r="F317" s="170">
        <f t="shared" si="112"/>
        <v>0</v>
      </c>
      <c r="G317" s="171">
        <f t="shared" si="113"/>
        <v>0</v>
      </c>
      <c r="H317" s="171">
        <f t="shared" si="114"/>
        <v>69743.95562281266</v>
      </c>
      <c r="I317" s="171">
        <f>IF(B317="Working",MIN(MAX(D317-E317-F317-G317-H317,0),'Tax Assumptions'!$B$20),0)</f>
        <v>0</v>
      </c>
      <c r="J317" s="171">
        <f t="shared" si="115"/>
        <v>-239743.95562281267</v>
      </c>
      <c r="K317" s="170">
        <f t="shared" si="116"/>
        <v>239743.95562281267</v>
      </c>
      <c r="L317" s="170">
        <f t="shared" si="117"/>
        <v>239743.95562281267</v>
      </c>
      <c r="M317" s="170">
        <f t="shared" si="123"/>
        <v>239743.95562281267</v>
      </c>
      <c r="N317" s="170">
        <f t="shared" si="124"/>
        <v>0</v>
      </c>
      <c r="O317" s="170">
        <f t="shared" si="125"/>
        <v>0</v>
      </c>
      <c r="P317" s="170">
        <f t="shared" si="126"/>
        <v>0</v>
      </c>
      <c r="Q317" s="171">
        <f t="shared" si="127"/>
        <v>6221290.1376519017</v>
      </c>
      <c r="R317" s="171">
        <f t="shared" si="128"/>
        <v>485566.53176664305</v>
      </c>
      <c r="S317" s="171">
        <f t="shared" si="129"/>
        <v>148642.81584693151</v>
      </c>
      <c r="T317" s="171">
        <f t="shared" si="130"/>
        <v>0</v>
      </c>
      <c r="U317" s="171">
        <f t="shared" si="118"/>
        <v>6855499.4852654757</v>
      </c>
      <c r="V317" s="171">
        <f t="shared" si="131"/>
        <v>0</v>
      </c>
      <c r="W317" s="171">
        <f>IF(OR(A317&gt;=$C$13,B317="Retired"),IF(V317&gt;0,-V317,U317-'Model Inputs'!$B$18),"")</f>
        <v>5855499.4852654757</v>
      </c>
      <c r="X317" s="171">
        <f t="shared" si="119"/>
        <v>1247224.5945032563</v>
      </c>
      <c r="Y317" s="171">
        <f t="shared" si="120"/>
        <v>494490.8209672065</v>
      </c>
      <c r="Z317" s="171">
        <f t="shared" si="121"/>
        <v>752733.77353604976</v>
      </c>
      <c r="AA317" s="172">
        <f t="shared" si="122"/>
        <v>7608233.2588015255</v>
      </c>
      <c r="AB317" s="5"/>
      <c r="AC317" s="5"/>
      <c r="AD317" s="5"/>
      <c r="AE317" s="5"/>
      <c r="AF317" s="5"/>
      <c r="AG317" s="5"/>
    </row>
    <row r="318" spans="1:33" x14ac:dyDescent="0.2">
      <c r="A318" s="173">
        <v>18</v>
      </c>
      <c r="B318" s="65" t="str">
        <f t="shared" si="108"/>
        <v>Retired</v>
      </c>
      <c r="C318" s="174">
        <f t="shared" si="109"/>
        <v>0</v>
      </c>
      <c r="D318" s="174">
        <f t="shared" si="110"/>
        <v>0</v>
      </c>
      <c r="E318" s="174">
        <f t="shared" si="111"/>
        <v>0</v>
      </c>
      <c r="F318" s="174">
        <f t="shared" si="112"/>
        <v>0</v>
      </c>
      <c r="G318" s="171">
        <f t="shared" si="113"/>
        <v>0</v>
      </c>
      <c r="H318" s="171">
        <f t="shared" si="114"/>
        <v>70567.123855184807</v>
      </c>
      <c r="I318" s="171">
        <f>IF(B318="Working",MIN(MAX(D318-E318-F318-G318-H318,0),'Tax Assumptions'!$B$20),0)</f>
        <v>0</v>
      </c>
      <c r="J318" s="171">
        <f t="shared" si="115"/>
        <v>-240567.12385518482</v>
      </c>
      <c r="K318" s="174">
        <f t="shared" si="116"/>
        <v>240567.12385518482</v>
      </c>
      <c r="L318" s="174">
        <f t="shared" si="117"/>
        <v>240567.12385518482</v>
      </c>
      <c r="M318" s="174">
        <f t="shared" si="123"/>
        <v>240567.12385518482</v>
      </c>
      <c r="N318" s="174">
        <f t="shared" si="124"/>
        <v>0</v>
      </c>
      <c r="O318" s="174">
        <f t="shared" si="125"/>
        <v>0</v>
      </c>
      <c r="P318" s="174">
        <f t="shared" si="126"/>
        <v>0</v>
      </c>
      <c r="Q318" s="171">
        <f t="shared" si="127"/>
        <v>6354000.4220558312</v>
      </c>
      <c r="R318" s="171">
        <f t="shared" si="128"/>
        <v>514700.52367264166</v>
      </c>
      <c r="S318" s="171">
        <f t="shared" si="129"/>
        <v>157561.38479774742</v>
      </c>
      <c r="T318" s="171">
        <f t="shared" si="130"/>
        <v>0</v>
      </c>
      <c r="U318" s="171">
        <f t="shared" si="118"/>
        <v>7026262.3305262197</v>
      </c>
      <c r="V318" s="171">
        <f t="shared" si="131"/>
        <v>0</v>
      </c>
      <c r="W318" s="171">
        <f>IF(OR(A318&gt;=$C$13,B318="Retired"),IF(V318&gt;0,-V318,U318-'Model Inputs'!$B$18),"")</f>
        <v>6026262.3305262197</v>
      </c>
      <c r="X318" s="171">
        <f t="shared" si="119"/>
        <v>1284641.3323383539</v>
      </c>
      <c r="Y318" s="171">
        <f t="shared" si="120"/>
        <v>484019.39976888656</v>
      </c>
      <c r="Z318" s="171">
        <f t="shared" si="121"/>
        <v>800621.93256946723</v>
      </c>
      <c r="AA318" s="175">
        <f t="shared" si="122"/>
        <v>7826884.2630956871</v>
      </c>
      <c r="AB318" s="5"/>
      <c r="AC318" s="5"/>
      <c r="AD318" s="5"/>
      <c r="AE318" s="5"/>
      <c r="AF318" s="5"/>
      <c r="AG318" s="5"/>
    </row>
    <row r="319" spans="1:33" x14ac:dyDescent="0.2">
      <c r="A319" s="169">
        <v>19</v>
      </c>
      <c r="B319" s="100" t="str">
        <f t="shared" si="108"/>
        <v>Retired</v>
      </c>
      <c r="C319" s="170">
        <f t="shared" si="109"/>
        <v>0</v>
      </c>
      <c r="D319" s="170">
        <f t="shared" si="110"/>
        <v>0</v>
      </c>
      <c r="E319" s="170">
        <f t="shared" si="111"/>
        <v>0</v>
      </c>
      <c r="F319" s="170">
        <f t="shared" si="112"/>
        <v>0</v>
      </c>
      <c r="G319" s="171">
        <f t="shared" si="113"/>
        <v>0</v>
      </c>
      <c r="H319" s="171">
        <f t="shared" si="114"/>
        <v>71414.987134528114</v>
      </c>
      <c r="I319" s="171">
        <f>IF(B319="Working",MIN(MAX(D319-E319-F319-G319-H319,0),'Tax Assumptions'!$B$20),0)</f>
        <v>0</v>
      </c>
      <c r="J319" s="171">
        <f t="shared" si="115"/>
        <v>-241414.98713452811</v>
      </c>
      <c r="K319" s="170">
        <f t="shared" si="116"/>
        <v>241414.98713452811</v>
      </c>
      <c r="L319" s="170">
        <f t="shared" si="117"/>
        <v>241414.98713452811</v>
      </c>
      <c r="M319" s="170">
        <f t="shared" si="123"/>
        <v>241414.98713452811</v>
      </c>
      <c r="N319" s="170">
        <f t="shared" si="124"/>
        <v>0</v>
      </c>
      <c r="O319" s="170">
        <f t="shared" si="125"/>
        <v>0</v>
      </c>
      <c r="P319" s="170">
        <f t="shared" si="126"/>
        <v>0</v>
      </c>
      <c r="Q319" s="171">
        <f t="shared" si="127"/>
        <v>6493825.4602446528</v>
      </c>
      <c r="R319" s="171">
        <f t="shared" si="128"/>
        <v>545582.55509300018</v>
      </c>
      <c r="S319" s="171">
        <f t="shared" si="129"/>
        <v>167015.06788561228</v>
      </c>
      <c r="T319" s="171">
        <f t="shared" si="130"/>
        <v>0</v>
      </c>
      <c r="U319" s="171">
        <f t="shared" si="118"/>
        <v>7206423.0832232656</v>
      </c>
      <c r="V319" s="171">
        <f t="shared" si="131"/>
        <v>0</v>
      </c>
      <c r="W319" s="171">
        <f>IF(OR(A319&gt;=$C$13,B319="Retired"),IF(V319&gt;0,-V319,U319-'Model Inputs'!$B$18),"")</f>
        <v>6206423.0832232656</v>
      </c>
      <c r="X319" s="171">
        <f t="shared" si="119"/>
        <v>1323180.5723085045</v>
      </c>
      <c r="Y319" s="171">
        <f t="shared" si="120"/>
        <v>472846.68809981644</v>
      </c>
      <c r="Z319" s="171">
        <f t="shared" si="121"/>
        <v>850333.88420868805</v>
      </c>
      <c r="AA319" s="172">
        <f t="shared" si="122"/>
        <v>8056756.9674319532</v>
      </c>
      <c r="AB319" s="5"/>
      <c r="AC319" s="5"/>
      <c r="AD319" s="5"/>
      <c r="AE319" s="5"/>
      <c r="AF319" s="5"/>
      <c r="AG319" s="5"/>
    </row>
    <row r="320" spans="1:33" x14ac:dyDescent="0.2">
      <c r="A320" s="173">
        <v>20</v>
      </c>
      <c r="B320" s="65" t="str">
        <f t="shared" si="108"/>
        <v>Retired</v>
      </c>
      <c r="C320" s="174">
        <f t="shared" si="109"/>
        <v>0</v>
      </c>
      <c r="D320" s="174">
        <f t="shared" si="110"/>
        <v>0</v>
      </c>
      <c r="E320" s="174">
        <f t="shared" si="111"/>
        <v>0</v>
      </c>
      <c r="F320" s="174">
        <f t="shared" si="112"/>
        <v>0</v>
      </c>
      <c r="G320" s="171">
        <f t="shared" si="113"/>
        <v>0</v>
      </c>
      <c r="H320" s="171">
        <f t="shared" si="114"/>
        <v>72288.28631225173</v>
      </c>
      <c r="I320" s="171">
        <f>IF(B320="Working",MIN(MAX(D320-E320-F320-G320-H320,0),'Tax Assumptions'!$B$20),0)</f>
        <v>0</v>
      </c>
      <c r="J320" s="171">
        <f t="shared" si="115"/>
        <v>-242288.28631225173</v>
      </c>
      <c r="K320" s="174">
        <f t="shared" si="116"/>
        <v>242288.28631225173</v>
      </c>
      <c r="L320" s="174">
        <f t="shared" si="117"/>
        <v>242288.28631225173</v>
      </c>
      <c r="M320" s="174">
        <f t="shared" si="123"/>
        <v>242288.28631225173</v>
      </c>
      <c r="N320" s="174">
        <f t="shared" si="124"/>
        <v>0</v>
      </c>
      <c r="O320" s="174">
        <f t="shared" si="125"/>
        <v>0</v>
      </c>
      <c r="P320" s="174">
        <f t="shared" si="126"/>
        <v>0</v>
      </c>
      <c r="Q320" s="171">
        <f t="shared" si="127"/>
        <v>6641166.7015470807</v>
      </c>
      <c r="R320" s="171">
        <f t="shared" si="128"/>
        <v>578317.50839858025</v>
      </c>
      <c r="S320" s="171">
        <f t="shared" si="129"/>
        <v>177035.97195874903</v>
      </c>
      <c r="T320" s="171">
        <f t="shared" si="130"/>
        <v>0</v>
      </c>
      <c r="U320" s="171">
        <f t="shared" si="118"/>
        <v>7396520.18190441</v>
      </c>
      <c r="V320" s="171">
        <f t="shared" si="131"/>
        <v>0</v>
      </c>
      <c r="W320" s="171">
        <f>IF(OR(A320&gt;=$C$13,B320="Retired"),IF(V320&gt;0,-V320,U320-'Model Inputs'!$B$18),"")</f>
        <v>6396520.18190441</v>
      </c>
      <c r="X320" s="171">
        <f t="shared" si="119"/>
        <v>1362875.9894777597</v>
      </c>
      <c r="Y320" s="171">
        <f t="shared" si="120"/>
        <v>460925.71923837857</v>
      </c>
      <c r="Z320" s="171">
        <f t="shared" si="121"/>
        <v>901950.27023938112</v>
      </c>
      <c r="AA320" s="175">
        <f t="shared" si="122"/>
        <v>8298470.4521437911</v>
      </c>
      <c r="AB320" s="5"/>
      <c r="AC320" s="5"/>
      <c r="AD320" s="5"/>
      <c r="AE320" s="5"/>
      <c r="AF320" s="5"/>
      <c r="AG320" s="5"/>
    </row>
    <row r="321" spans="1:33" x14ac:dyDescent="0.2">
      <c r="A321" s="169">
        <v>21</v>
      </c>
      <c r="B321" s="100" t="str">
        <f t="shared" si="108"/>
        <v>Retired</v>
      </c>
      <c r="C321" s="170">
        <f t="shared" si="109"/>
        <v>0</v>
      </c>
      <c r="D321" s="170">
        <f t="shared" si="110"/>
        <v>0</v>
      </c>
      <c r="E321" s="170">
        <f t="shared" si="111"/>
        <v>0</v>
      </c>
      <c r="F321" s="170">
        <f t="shared" si="112"/>
        <v>0</v>
      </c>
      <c r="G321" s="171">
        <f t="shared" si="113"/>
        <v>0</v>
      </c>
      <c r="H321" s="171">
        <f t="shared" si="114"/>
        <v>73187.78446530705</v>
      </c>
      <c r="I321" s="171">
        <f>IF(B321="Working",MIN(MAX(D321-E321-F321-G321-H321,0),'Tax Assumptions'!$B$20),0)</f>
        <v>0</v>
      </c>
      <c r="J321" s="171">
        <f t="shared" si="115"/>
        <v>-243187.78446530705</v>
      </c>
      <c r="K321" s="170">
        <f t="shared" si="116"/>
        <v>243187.78446530705</v>
      </c>
      <c r="L321" s="170">
        <f t="shared" si="117"/>
        <v>243187.78446530705</v>
      </c>
      <c r="M321" s="170">
        <f t="shared" si="123"/>
        <v>243187.78446530705</v>
      </c>
      <c r="N321" s="170">
        <f t="shared" si="124"/>
        <v>0</v>
      </c>
      <c r="O321" s="170">
        <f t="shared" si="125"/>
        <v>0</v>
      </c>
      <c r="P321" s="170">
        <f t="shared" si="126"/>
        <v>0</v>
      </c>
      <c r="Q321" s="171">
        <f t="shared" si="127"/>
        <v>6796448.9191745985</v>
      </c>
      <c r="R321" s="171">
        <f t="shared" si="128"/>
        <v>613016.55890249508</v>
      </c>
      <c r="S321" s="171">
        <f t="shared" si="129"/>
        <v>187658.13027627397</v>
      </c>
      <c r="T321" s="171">
        <f t="shared" si="130"/>
        <v>0</v>
      </c>
      <c r="U321" s="171">
        <f t="shared" si="118"/>
        <v>7597123.6083533671</v>
      </c>
      <c r="V321" s="171">
        <f t="shared" si="131"/>
        <v>0</v>
      </c>
      <c r="W321" s="171">
        <f>IF(OR(A321&gt;=$C$13,B321="Retired"),IF(V321&gt;0,-V321,U321-'Model Inputs'!$B$18),"")</f>
        <v>6597123.6083533671</v>
      </c>
      <c r="X321" s="171">
        <f t="shared" si="119"/>
        <v>1403762.2691620924</v>
      </c>
      <c r="Y321" s="171">
        <f t="shared" si="120"/>
        <v>448206.38101462531</v>
      </c>
      <c r="Z321" s="171">
        <f t="shared" si="121"/>
        <v>955555.88814746705</v>
      </c>
      <c r="AA321" s="172">
        <f t="shared" si="122"/>
        <v>8552679.4965008348</v>
      </c>
      <c r="AB321" s="5"/>
      <c r="AC321" s="5"/>
      <c r="AD321" s="5"/>
      <c r="AE321" s="5"/>
      <c r="AF321" s="5"/>
      <c r="AG321" s="5"/>
    </row>
    <row r="322" spans="1:33" x14ac:dyDescent="0.2">
      <c r="A322" s="173">
        <v>22</v>
      </c>
      <c r="B322" s="65" t="str">
        <f t="shared" si="108"/>
        <v>Retired</v>
      </c>
      <c r="C322" s="174">
        <f t="shared" si="109"/>
        <v>0</v>
      </c>
      <c r="D322" s="174">
        <f t="shared" si="110"/>
        <v>0</v>
      </c>
      <c r="E322" s="174">
        <f t="shared" si="111"/>
        <v>0</v>
      </c>
      <c r="F322" s="174">
        <f t="shared" si="112"/>
        <v>0</v>
      </c>
      <c r="G322" s="171">
        <f t="shared" si="113"/>
        <v>0</v>
      </c>
      <c r="H322" s="171">
        <f t="shared" si="114"/>
        <v>74114.267562954032</v>
      </c>
      <c r="I322" s="171">
        <f>IF(B322="Working",MIN(MAX(D322-E322-F322-G322-H322,0),'Tax Assumptions'!$B$20),0)</f>
        <v>0</v>
      </c>
      <c r="J322" s="171">
        <f t="shared" si="115"/>
        <v>-244114.26756295405</v>
      </c>
      <c r="K322" s="174">
        <f t="shared" si="116"/>
        <v>244114.26756295405</v>
      </c>
      <c r="L322" s="174">
        <f t="shared" si="117"/>
        <v>244114.26756295405</v>
      </c>
      <c r="M322" s="174">
        <f t="shared" si="123"/>
        <v>244114.26756295405</v>
      </c>
      <c r="N322" s="174">
        <f t="shared" si="124"/>
        <v>0</v>
      </c>
      <c r="O322" s="174">
        <f t="shared" si="125"/>
        <v>0</v>
      </c>
      <c r="P322" s="174">
        <f t="shared" si="126"/>
        <v>0</v>
      </c>
      <c r="Q322" s="171">
        <f t="shared" si="127"/>
        <v>6960121.5867621209</v>
      </c>
      <c r="R322" s="171">
        <f t="shared" si="128"/>
        <v>649797.55243664479</v>
      </c>
      <c r="S322" s="171">
        <f t="shared" si="129"/>
        <v>198917.6180928504</v>
      </c>
      <c r="T322" s="171">
        <f t="shared" si="130"/>
        <v>0</v>
      </c>
      <c r="U322" s="171">
        <f t="shared" si="118"/>
        <v>7808836.7572916169</v>
      </c>
      <c r="V322" s="171">
        <f t="shared" si="131"/>
        <v>0</v>
      </c>
      <c r="W322" s="171">
        <f>IF(OR(A322&gt;=$C$13,B322="Retired"),IF(V322&gt;0,-V322,U322-'Model Inputs'!$B$18),"")</f>
        <v>6808836.7572916169</v>
      </c>
      <c r="X322" s="171">
        <f t="shared" si="119"/>
        <v>1445875.1372369549</v>
      </c>
      <c r="Y322" s="171">
        <f t="shared" si="120"/>
        <v>434635.20515378064</v>
      </c>
      <c r="Z322" s="171">
        <f t="shared" si="121"/>
        <v>1011239.9320831742</v>
      </c>
      <c r="AA322" s="175">
        <f t="shared" si="122"/>
        <v>8820076.6893747915</v>
      </c>
      <c r="AB322" s="5"/>
      <c r="AC322" s="5"/>
      <c r="AD322" s="5"/>
      <c r="AE322" s="5"/>
      <c r="AF322" s="5"/>
      <c r="AG322" s="5"/>
    </row>
    <row r="323" spans="1:33" x14ac:dyDescent="0.2">
      <c r="A323" s="169">
        <v>23</v>
      </c>
      <c r="B323" s="100" t="str">
        <f t="shared" si="108"/>
        <v>Retired</v>
      </c>
      <c r="C323" s="170">
        <f t="shared" si="109"/>
        <v>0</v>
      </c>
      <c r="D323" s="170">
        <f t="shared" si="110"/>
        <v>0</v>
      </c>
      <c r="E323" s="170">
        <f t="shared" si="111"/>
        <v>0</v>
      </c>
      <c r="F323" s="170">
        <f t="shared" si="112"/>
        <v>0</v>
      </c>
      <c r="G323" s="171">
        <f t="shared" si="113"/>
        <v>0</v>
      </c>
      <c r="H323" s="171">
        <f t="shared" si="114"/>
        <v>75068.545153530416</v>
      </c>
      <c r="I323" s="171">
        <f>IF(B323="Working",MIN(MAX(D323-E323-F323-G323-H323,0),'Tax Assumptions'!$B$20),0)</f>
        <v>0</v>
      </c>
      <c r="J323" s="171">
        <f t="shared" si="115"/>
        <v>-245068.54515353043</v>
      </c>
      <c r="K323" s="170">
        <f t="shared" si="116"/>
        <v>245068.54515353043</v>
      </c>
      <c r="L323" s="170">
        <f t="shared" si="117"/>
        <v>245068.54515353043</v>
      </c>
      <c r="M323" s="170">
        <f t="shared" si="123"/>
        <v>245068.54515353043</v>
      </c>
      <c r="N323" s="170">
        <f t="shared" si="124"/>
        <v>0</v>
      </c>
      <c r="O323" s="170">
        <f t="shared" si="125"/>
        <v>0</v>
      </c>
      <c r="P323" s="170">
        <f t="shared" si="126"/>
        <v>0</v>
      </c>
      <c r="Q323" s="171">
        <f t="shared" si="127"/>
        <v>7132660.3368143179</v>
      </c>
      <c r="R323" s="171">
        <f t="shared" si="128"/>
        <v>688785.40558284346</v>
      </c>
      <c r="S323" s="171">
        <f t="shared" si="129"/>
        <v>210852.67517842143</v>
      </c>
      <c r="T323" s="171">
        <f t="shared" si="130"/>
        <v>0</v>
      </c>
      <c r="U323" s="171">
        <f t="shared" si="118"/>
        <v>8032298.4175755829</v>
      </c>
      <c r="V323" s="171">
        <f t="shared" si="131"/>
        <v>0</v>
      </c>
      <c r="W323" s="171">
        <f>IF(OR(A323&gt;=$C$13,B323="Retired"),IF(V323&gt;0,-V323,U323-'Model Inputs'!$B$18),"")</f>
        <v>7032298.4175755829</v>
      </c>
      <c r="X323" s="171">
        <f t="shared" si="119"/>
        <v>1489251.3913540635</v>
      </c>
      <c r="Y323" s="171">
        <f t="shared" si="120"/>
        <v>420155.14251168293</v>
      </c>
      <c r="Z323" s="171">
        <f t="shared" si="121"/>
        <v>1069096.2488423805</v>
      </c>
      <c r="AA323" s="172">
        <f t="shared" si="122"/>
        <v>9101394.6664179638</v>
      </c>
      <c r="AB323" s="5"/>
      <c r="AC323" s="5"/>
      <c r="AD323" s="5"/>
      <c r="AE323" s="5"/>
      <c r="AF323" s="5"/>
      <c r="AG323" s="5"/>
    </row>
    <row r="324" spans="1:33" x14ac:dyDescent="0.2">
      <c r="A324" s="173">
        <v>24</v>
      </c>
      <c r="B324" s="65" t="str">
        <f t="shared" si="108"/>
        <v>Retired</v>
      </c>
      <c r="C324" s="174">
        <f t="shared" si="109"/>
        <v>0</v>
      </c>
      <c r="D324" s="174">
        <f t="shared" si="110"/>
        <v>0</v>
      </c>
      <c r="E324" s="174">
        <f t="shared" si="111"/>
        <v>0</v>
      </c>
      <c r="F324" s="174">
        <f t="shared" si="112"/>
        <v>0</v>
      </c>
      <c r="G324" s="171">
        <f t="shared" si="113"/>
        <v>0</v>
      </c>
      <c r="H324" s="171">
        <f t="shared" si="114"/>
        <v>76051.451071824107</v>
      </c>
      <c r="I324" s="171">
        <f>IF(B324="Working",MIN(MAX(D324-E324-F324-G324-H324,0),'Tax Assumptions'!$B$20),0)</f>
        <v>0</v>
      </c>
      <c r="J324" s="171">
        <f t="shared" si="115"/>
        <v>-246051.45107182412</v>
      </c>
      <c r="K324" s="174">
        <f t="shared" si="116"/>
        <v>246051.45107182412</v>
      </c>
      <c r="L324" s="174">
        <f t="shared" si="117"/>
        <v>246051.45107182412</v>
      </c>
      <c r="M324" s="174">
        <f t="shared" si="123"/>
        <v>246051.45107182412</v>
      </c>
      <c r="N324" s="174">
        <f t="shared" si="124"/>
        <v>0</v>
      </c>
      <c r="O324" s="174">
        <f t="shared" si="125"/>
        <v>0</v>
      </c>
      <c r="P324" s="174">
        <f t="shared" si="126"/>
        <v>0</v>
      </c>
      <c r="Q324" s="171">
        <f t="shared" si="127"/>
        <v>7314568.5059513533</v>
      </c>
      <c r="R324" s="171">
        <f t="shared" si="128"/>
        <v>730112.52991781407</v>
      </c>
      <c r="S324" s="171">
        <f t="shared" si="129"/>
        <v>223503.83568912672</v>
      </c>
      <c r="T324" s="171">
        <f t="shared" si="130"/>
        <v>0</v>
      </c>
      <c r="U324" s="171">
        <f t="shared" si="118"/>
        <v>8268184.8715582937</v>
      </c>
      <c r="V324" s="171">
        <f t="shared" si="131"/>
        <v>0</v>
      </c>
      <c r="W324" s="171">
        <f>IF(OR(A324&gt;=$C$13,B324="Retired"),IF(V324&gt;0,-V324,U324-'Model Inputs'!$B$18),"")</f>
        <v>7268184.8715582937</v>
      </c>
      <c r="X324" s="171">
        <f t="shared" si="119"/>
        <v>1533928.9330946857</v>
      </c>
      <c r="Y324" s="171">
        <f t="shared" si="120"/>
        <v>404705.32325733127</v>
      </c>
      <c r="Z324" s="171">
        <f t="shared" si="121"/>
        <v>1129223.6098373544</v>
      </c>
      <c r="AA324" s="175">
        <f t="shared" si="122"/>
        <v>9397408.4813956488</v>
      </c>
      <c r="AB324" s="5"/>
      <c r="AC324" s="5"/>
      <c r="AD324" s="5"/>
      <c r="AE324" s="5"/>
      <c r="AF324" s="5"/>
      <c r="AG324" s="5"/>
    </row>
    <row r="325" spans="1:33" x14ac:dyDescent="0.2">
      <c r="A325" s="169">
        <v>25</v>
      </c>
      <c r="B325" s="100" t="str">
        <f t="shared" si="108"/>
        <v>Retired</v>
      </c>
      <c r="C325" s="170">
        <f t="shared" si="109"/>
        <v>0</v>
      </c>
      <c r="D325" s="170">
        <f t="shared" si="110"/>
        <v>0</v>
      </c>
      <c r="E325" s="170">
        <f t="shared" si="111"/>
        <v>0</v>
      </c>
      <c r="F325" s="170">
        <f t="shared" si="112"/>
        <v>0</v>
      </c>
      <c r="G325" s="171">
        <f t="shared" si="113"/>
        <v>0</v>
      </c>
      <c r="H325" s="171">
        <f t="shared" si="114"/>
        <v>77063.844167666597</v>
      </c>
      <c r="I325" s="171">
        <f>IF(B325="Working",MIN(MAX(D325-E325-F325-G325-H325,0),'Tax Assumptions'!$B$20),0)</f>
        <v>0</v>
      </c>
      <c r="J325" s="171">
        <f t="shared" si="115"/>
        <v>-247063.8441676666</v>
      </c>
      <c r="K325" s="170">
        <f t="shared" si="116"/>
        <v>247063.8441676666</v>
      </c>
      <c r="L325" s="170">
        <f t="shared" si="117"/>
        <v>247063.8441676666</v>
      </c>
      <c r="M325" s="170">
        <f t="shared" si="123"/>
        <v>247063.8441676666</v>
      </c>
      <c r="N325" s="170">
        <f t="shared" si="124"/>
        <v>0</v>
      </c>
      <c r="O325" s="170">
        <f t="shared" si="125"/>
        <v>0</v>
      </c>
      <c r="P325" s="170">
        <f t="shared" si="126"/>
        <v>0</v>
      </c>
      <c r="Q325" s="171">
        <f t="shared" si="127"/>
        <v>7506378.7721407684</v>
      </c>
      <c r="R325" s="171">
        <f t="shared" si="128"/>
        <v>773919.28171288292</v>
      </c>
      <c r="S325" s="171">
        <f t="shared" si="129"/>
        <v>236914.06583047434</v>
      </c>
      <c r="T325" s="171">
        <f t="shared" si="130"/>
        <v>0</v>
      </c>
      <c r="U325" s="171">
        <f t="shared" si="118"/>
        <v>8517212.1196841262</v>
      </c>
      <c r="V325" s="171">
        <f t="shared" si="131"/>
        <v>0</v>
      </c>
      <c r="W325" s="171">
        <f>IF(OR(A325&gt;=$C$13,B325="Retired"),IF(V325&gt;0,-V325,U325-'Model Inputs'!$B$18),"")</f>
        <v>7517212.1196841262</v>
      </c>
      <c r="X325" s="171">
        <f t="shared" si="119"/>
        <v>1579946.8010875264</v>
      </c>
      <c r="Y325" s="171">
        <f t="shared" si="120"/>
        <v>388220.80099441088</v>
      </c>
      <c r="Z325" s="171">
        <f t="shared" si="121"/>
        <v>1191726.0000931155</v>
      </c>
      <c r="AA325" s="172">
        <f t="shared" si="122"/>
        <v>9708938.1197772417</v>
      </c>
      <c r="AB325" s="5"/>
      <c r="AC325" s="5"/>
      <c r="AD325" s="5"/>
      <c r="AE325" s="5"/>
      <c r="AF325" s="5"/>
      <c r="AG325" s="5"/>
    </row>
    <row r="326" spans="1:33" x14ac:dyDescent="0.2">
      <c r="A326" s="173">
        <v>26</v>
      </c>
      <c r="B326" s="65" t="str">
        <f t="shared" si="108"/>
        <v>Retired</v>
      </c>
      <c r="C326" s="174">
        <f t="shared" si="109"/>
        <v>0</v>
      </c>
      <c r="D326" s="174">
        <f t="shared" si="110"/>
        <v>0</v>
      </c>
      <c r="E326" s="174">
        <f t="shared" si="111"/>
        <v>0</v>
      </c>
      <c r="F326" s="174">
        <f t="shared" si="112"/>
        <v>0</v>
      </c>
      <c r="G326" s="171">
        <f t="shared" si="113"/>
        <v>0</v>
      </c>
      <c r="H326" s="171">
        <f t="shared" si="114"/>
        <v>78106.609056384361</v>
      </c>
      <c r="I326" s="171">
        <f>IF(B326="Working",MIN(MAX(D326-E326-F326-G326-H326,0),'Tax Assumptions'!$B$20),0)</f>
        <v>0</v>
      </c>
      <c r="J326" s="171">
        <f t="shared" si="115"/>
        <v>-248106.60905638436</v>
      </c>
      <c r="K326" s="174">
        <f t="shared" si="116"/>
        <v>248106.60905638436</v>
      </c>
      <c r="L326" s="174">
        <f t="shared" si="117"/>
        <v>248106.60905638436</v>
      </c>
      <c r="M326" s="174">
        <f t="shared" si="123"/>
        <v>248106.60905638436</v>
      </c>
      <c r="N326" s="174">
        <f t="shared" si="124"/>
        <v>0</v>
      </c>
      <c r="O326" s="174">
        <f t="shared" si="125"/>
        <v>0</v>
      </c>
      <c r="P326" s="174">
        <f t="shared" si="126"/>
        <v>0</v>
      </c>
      <c r="Q326" s="171">
        <f t="shared" si="127"/>
        <v>7708654.8894128306</v>
      </c>
      <c r="R326" s="171">
        <f t="shared" si="128"/>
        <v>820354.43861565599</v>
      </c>
      <c r="S326" s="171">
        <f t="shared" si="129"/>
        <v>251128.90978030281</v>
      </c>
      <c r="T326" s="171">
        <f t="shared" si="130"/>
        <v>0</v>
      </c>
      <c r="U326" s="171">
        <f t="shared" si="118"/>
        <v>8780138.2378087901</v>
      </c>
      <c r="V326" s="171">
        <f t="shared" si="131"/>
        <v>0</v>
      </c>
      <c r="W326" s="171">
        <f>IF(OR(A326&gt;=$C$13,B326="Retired"),IF(V326&gt;0,-V326,U326-'Model Inputs'!$B$18),"")</f>
        <v>7780138.2378087901</v>
      </c>
      <c r="X326" s="171">
        <f t="shared" si="119"/>
        <v>1627345.2051201519</v>
      </c>
      <c r="Y326" s="171">
        <f t="shared" si="120"/>
        <v>370632.2797461655</v>
      </c>
      <c r="Z326" s="171">
        <f t="shared" si="121"/>
        <v>1256712.9253739864</v>
      </c>
      <c r="AA326" s="175">
        <f t="shared" si="122"/>
        <v>10036851.163182776</v>
      </c>
      <c r="AB326" s="5"/>
      <c r="AC326" s="5"/>
      <c r="AD326" s="5"/>
      <c r="AE326" s="5"/>
      <c r="AF326" s="5"/>
      <c r="AG326" s="5"/>
    </row>
    <row r="327" spans="1:33" x14ac:dyDescent="0.2">
      <c r="A327" s="169">
        <v>27</v>
      </c>
      <c r="B327" s="100" t="str">
        <f t="shared" si="108"/>
        <v>Retired</v>
      </c>
      <c r="C327" s="170">
        <f t="shared" si="109"/>
        <v>0</v>
      </c>
      <c r="D327" s="170">
        <f t="shared" si="110"/>
        <v>0</v>
      </c>
      <c r="E327" s="170">
        <f t="shared" si="111"/>
        <v>0</v>
      </c>
      <c r="F327" s="170">
        <f t="shared" si="112"/>
        <v>0</v>
      </c>
      <c r="G327" s="171">
        <f t="shared" si="113"/>
        <v>0</v>
      </c>
      <c r="H327" s="171">
        <f t="shared" si="114"/>
        <v>79180.656891763661</v>
      </c>
      <c r="I327" s="171">
        <f>IF(B327="Working",MIN(MAX(D327-E327-F327-G327-H327,0),'Tax Assumptions'!$B$20),0)</f>
        <v>0</v>
      </c>
      <c r="J327" s="171">
        <f t="shared" si="115"/>
        <v>-249180.65689176368</v>
      </c>
      <c r="K327" s="170">
        <f t="shared" si="116"/>
        <v>249180.65689176368</v>
      </c>
      <c r="L327" s="170">
        <f t="shared" si="117"/>
        <v>249180.65689176368</v>
      </c>
      <c r="M327" s="170">
        <f t="shared" si="123"/>
        <v>249180.65689176368</v>
      </c>
      <c r="N327" s="170">
        <f t="shared" si="124"/>
        <v>0</v>
      </c>
      <c r="O327" s="170">
        <f t="shared" si="125"/>
        <v>0</v>
      </c>
      <c r="P327" s="170">
        <f t="shared" si="126"/>
        <v>0</v>
      </c>
      <c r="Q327" s="171">
        <f t="shared" si="127"/>
        <v>7921993.5258858372</v>
      </c>
      <c r="R327" s="171">
        <f t="shared" si="128"/>
        <v>869575.70493259537</v>
      </c>
      <c r="S327" s="171">
        <f t="shared" si="129"/>
        <v>266196.64436712099</v>
      </c>
      <c r="T327" s="171">
        <f t="shared" si="130"/>
        <v>0</v>
      </c>
      <c r="U327" s="171">
        <f t="shared" si="118"/>
        <v>9057765.875185553</v>
      </c>
      <c r="V327" s="171">
        <f t="shared" si="131"/>
        <v>0</v>
      </c>
      <c r="W327" s="171">
        <f>IF(OR(A327&gt;=$C$13,B327="Retired"),IF(V327&gt;0,-V327,U327-'Model Inputs'!$B$18),"")</f>
        <v>8057765.875185553</v>
      </c>
      <c r="X327" s="171">
        <f t="shared" si="119"/>
        <v>1676165.5612737564</v>
      </c>
      <c r="Y327" s="171">
        <f t="shared" si="120"/>
        <v>351865.8226559395</v>
      </c>
      <c r="Z327" s="171">
        <f t="shared" si="121"/>
        <v>1324299.7386178169</v>
      </c>
      <c r="AA327" s="172">
        <f t="shared" si="122"/>
        <v>10382065.61380337</v>
      </c>
      <c r="AB327" s="5"/>
      <c r="AC327" s="5"/>
      <c r="AD327" s="5"/>
      <c r="AE327" s="5"/>
      <c r="AF327" s="5"/>
      <c r="AG327" s="5"/>
    </row>
    <row r="328" spans="1:33" x14ac:dyDescent="0.2">
      <c r="A328" s="173">
        <v>28</v>
      </c>
      <c r="B328" s="65" t="str">
        <f t="shared" si="108"/>
        <v>Retired</v>
      </c>
      <c r="C328" s="174">
        <f t="shared" si="109"/>
        <v>0</v>
      </c>
      <c r="D328" s="174">
        <f t="shared" si="110"/>
        <v>0</v>
      </c>
      <c r="E328" s="174">
        <f t="shared" si="111"/>
        <v>0</v>
      </c>
      <c r="F328" s="174">
        <f t="shared" si="112"/>
        <v>0</v>
      </c>
      <c r="G328" s="171">
        <f t="shared" si="113"/>
        <v>0</v>
      </c>
      <c r="H328" s="171">
        <f t="shared" si="114"/>
        <v>80286.926162204341</v>
      </c>
      <c r="I328" s="171">
        <f>IF(B328="Working",MIN(MAX(D328-E328-F328-G328-H328,0),'Tax Assumptions'!$B$20),0)</f>
        <v>0</v>
      </c>
      <c r="J328" s="171">
        <f t="shared" si="115"/>
        <v>-250286.92616220436</v>
      </c>
      <c r="K328" s="174">
        <f t="shared" si="116"/>
        <v>250286.92616220436</v>
      </c>
      <c r="L328" s="174">
        <f t="shared" si="117"/>
        <v>250286.92616220436</v>
      </c>
      <c r="M328" s="174">
        <f t="shared" si="123"/>
        <v>250286.92616220436</v>
      </c>
      <c r="N328" s="174">
        <f t="shared" si="124"/>
        <v>0</v>
      </c>
      <c r="O328" s="174">
        <f t="shared" si="125"/>
        <v>0</v>
      </c>
      <c r="P328" s="174">
        <f t="shared" si="126"/>
        <v>0</v>
      </c>
      <c r="Q328" s="171">
        <f t="shared" si="127"/>
        <v>8147026.2112767836</v>
      </c>
      <c r="R328" s="171">
        <f t="shared" si="128"/>
        <v>921750.24722855119</v>
      </c>
      <c r="S328" s="171">
        <f t="shared" si="129"/>
        <v>282168.44302914827</v>
      </c>
      <c r="T328" s="171">
        <f t="shared" si="130"/>
        <v>0</v>
      </c>
      <c r="U328" s="171">
        <f t="shared" si="118"/>
        <v>9350944.9015344828</v>
      </c>
      <c r="V328" s="171">
        <f t="shared" si="131"/>
        <v>0</v>
      </c>
      <c r="W328" s="171">
        <f>IF(OR(A328&gt;=$C$13,B328="Retired"),IF(V328&gt;0,-V328,U328-'Model Inputs'!$B$18),"")</f>
        <v>8350944.9015344828</v>
      </c>
      <c r="X328" s="171">
        <f t="shared" si="119"/>
        <v>1726450.5281119691</v>
      </c>
      <c r="Y328" s="171">
        <f t="shared" si="120"/>
        <v>331842.54117885442</v>
      </c>
      <c r="Z328" s="171">
        <f t="shared" si="121"/>
        <v>1394607.9869331147</v>
      </c>
      <c r="AA328" s="175">
        <f t="shared" si="122"/>
        <v>10745552.888467597</v>
      </c>
      <c r="AB328" s="5"/>
      <c r="AC328" s="5"/>
      <c r="AD328" s="5"/>
      <c r="AE328" s="5"/>
      <c r="AF328" s="5"/>
      <c r="AG328" s="5"/>
    </row>
    <row r="329" spans="1:33" x14ac:dyDescent="0.2">
      <c r="A329" s="169">
        <v>29</v>
      </c>
      <c r="B329" s="100" t="str">
        <f t="shared" si="108"/>
        <v>Retired</v>
      </c>
      <c r="C329" s="170">
        <f t="shared" si="109"/>
        <v>0</v>
      </c>
      <c r="D329" s="170">
        <f t="shared" si="110"/>
        <v>0</v>
      </c>
      <c r="E329" s="170">
        <f t="shared" si="111"/>
        <v>0</v>
      </c>
      <c r="F329" s="170">
        <f t="shared" si="112"/>
        <v>0</v>
      </c>
      <c r="G329" s="171">
        <f t="shared" si="113"/>
        <v>0</v>
      </c>
      <c r="H329" s="171">
        <f t="shared" si="114"/>
        <v>81426.383510758242</v>
      </c>
      <c r="I329" s="171">
        <f>IF(B329="Working",MIN(MAX(D329-E329-F329-G329-H329,0),'Tax Assumptions'!$B$20),0)</f>
        <v>0</v>
      </c>
      <c r="J329" s="171">
        <f t="shared" si="115"/>
        <v>-251426.38351075823</v>
      </c>
      <c r="K329" s="170">
        <f t="shared" si="116"/>
        <v>251426.38351075823</v>
      </c>
      <c r="L329" s="170">
        <f t="shared" si="117"/>
        <v>251426.38351075823</v>
      </c>
      <c r="M329" s="170">
        <f t="shared" si="123"/>
        <v>251426.38351075823</v>
      </c>
      <c r="N329" s="170">
        <f t="shared" si="124"/>
        <v>0</v>
      </c>
      <c r="O329" s="170">
        <f t="shared" si="125"/>
        <v>0</v>
      </c>
      <c r="P329" s="170">
        <f t="shared" si="126"/>
        <v>0</v>
      </c>
      <c r="Q329" s="171">
        <f t="shared" si="127"/>
        <v>8384421.4004426328</v>
      </c>
      <c r="R329" s="171">
        <f t="shared" si="128"/>
        <v>977055.26206226426</v>
      </c>
      <c r="S329" s="171">
        <f t="shared" si="129"/>
        <v>299098.5496108972</v>
      </c>
      <c r="T329" s="171">
        <f t="shared" si="130"/>
        <v>0</v>
      </c>
      <c r="U329" s="171">
        <f t="shared" si="118"/>
        <v>9660575.2121157944</v>
      </c>
      <c r="V329" s="171">
        <f t="shared" si="131"/>
        <v>0</v>
      </c>
      <c r="W329" s="171">
        <f>IF(OR(A329&gt;=$C$13,B329="Retired"),IF(V329&gt;0,-V329,U329-'Model Inputs'!$B$18),"")</f>
        <v>8660575.2121157944</v>
      </c>
      <c r="X329" s="171">
        <f t="shared" si="119"/>
        <v>1778244.0439553282</v>
      </c>
      <c r="Y329" s="171">
        <f t="shared" si="120"/>
        <v>310478.26345808059</v>
      </c>
      <c r="Z329" s="171">
        <f t="shared" si="121"/>
        <v>1467765.7804972476</v>
      </c>
      <c r="AA329" s="172">
        <f t="shared" si="122"/>
        <v>11128340.992613042</v>
      </c>
      <c r="AB329" s="5"/>
      <c r="AC329" s="5"/>
      <c r="AD329" s="5"/>
      <c r="AE329" s="5"/>
      <c r="AF329" s="5"/>
      <c r="AG329" s="5"/>
    </row>
    <row r="330" spans="1:33" x14ac:dyDescent="0.2">
      <c r="A330" s="173">
        <v>30</v>
      </c>
      <c r="B330" s="65" t="str">
        <f t="shared" si="108"/>
        <v>Retired</v>
      </c>
      <c r="C330" s="174">
        <f t="shared" si="109"/>
        <v>0</v>
      </c>
      <c r="D330" s="174">
        <f t="shared" si="110"/>
        <v>0</v>
      </c>
      <c r="E330" s="174">
        <f t="shared" si="111"/>
        <v>0</v>
      </c>
      <c r="F330" s="174">
        <f t="shared" si="112"/>
        <v>0</v>
      </c>
      <c r="G330" s="171">
        <f t="shared" si="113"/>
        <v>0</v>
      </c>
      <c r="H330" s="171">
        <f t="shared" si="114"/>
        <v>82600.024579768753</v>
      </c>
      <c r="I330" s="171">
        <f>IF(B330="Working",MIN(MAX(D330-E330-F330-G330-H330,0),'Tax Assumptions'!$B$20),0)</f>
        <v>0</v>
      </c>
      <c r="J330" s="171">
        <f t="shared" si="115"/>
        <v>-252600.02457976877</v>
      </c>
      <c r="K330" s="174">
        <f t="shared" si="116"/>
        <v>252600.02457976877</v>
      </c>
      <c r="L330" s="174">
        <f t="shared" si="117"/>
        <v>252600.02457976877</v>
      </c>
      <c r="M330" s="174">
        <f t="shared" si="123"/>
        <v>252600.02457976877</v>
      </c>
      <c r="N330" s="174">
        <f t="shared" si="124"/>
        <v>0</v>
      </c>
      <c r="O330" s="174">
        <f t="shared" si="125"/>
        <v>0</v>
      </c>
      <c r="P330" s="174">
        <f t="shared" si="126"/>
        <v>0</v>
      </c>
      <c r="Q330" s="171">
        <f t="shared" si="127"/>
        <v>8634886.6598894224</v>
      </c>
      <c r="R330" s="171">
        <f t="shared" si="128"/>
        <v>1035678.5777860002</v>
      </c>
      <c r="S330" s="171">
        <f t="shared" si="129"/>
        <v>317044.46258755104</v>
      </c>
      <c r="T330" s="171">
        <f t="shared" si="130"/>
        <v>0</v>
      </c>
      <c r="U330" s="171">
        <f t="shared" si="118"/>
        <v>9987609.7002629731</v>
      </c>
      <c r="V330" s="171">
        <f t="shared" si="131"/>
        <v>0</v>
      </c>
      <c r="W330" s="171">
        <f>IF(OR(A330&gt;=$C$13,B330="Retired"),IF(V330&gt;0,-V330,U330-'Model Inputs'!$B$18),"")</f>
        <v>8987609.7002629731</v>
      </c>
      <c r="X330" s="171">
        <f t="shared" si="119"/>
        <v>1831591.3652739879</v>
      </c>
      <c r="Y330" s="171">
        <f t="shared" si="120"/>
        <v>287683.18049165024</v>
      </c>
      <c r="Z330" s="171">
        <f t="shared" si="121"/>
        <v>1543908.1847823376</v>
      </c>
      <c r="AA330" s="175">
        <f t="shared" si="122"/>
        <v>11531517.88504531</v>
      </c>
      <c r="AB330" s="5"/>
      <c r="AC330" s="5"/>
      <c r="AD330" s="5"/>
      <c r="AE330" s="5"/>
      <c r="AF330" s="5"/>
      <c r="AG330" s="5"/>
    </row>
    <row r="331" spans="1:33" x14ac:dyDescent="0.2">
      <c r="A331" s="169">
        <v>31</v>
      </c>
      <c r="B331" s="100" t="str">
        <f t="shared" si="108"/>
        <v>Retired</v>
      </c>
      <c r="C331" s="170">
        <f t="shared" si="109"/>
        <v>0</v>
      </c>
      <c r="D331" s="170">
        <f t="shared" si="110"/>
        <v>0</v>
      </c>
      <c r="E331" s="170">
        <f t="shared" si="111"/>
        <v>0</v>
      </c>
      <c r="F331" s="170">
        <f t="shared" si="112"/>
        <v>0</v>
      </c>
      <c r="G331" s="171">
        <f t="shared" si="113"/>
        <v>0</v>
      </c>
      <c r="H331" s="171">
        <f t="shared" si="114"/>
        <v>83808.874880849587</v>
      </c>
      <c r="I331" s="171">
        <f>IF(B331="Working",MIN(MAX(D331-E331-F331-G331-H331,0),'Tax Assumptions'!$B$20),0)</f>
        <v>0</v>
      </c>
      <c r="J331" s="171">
        <f t="shared" si="115"/>
        <v>-253808.87488084959</v>
      </c>
      <c r="K331" s="170">
        <f t="shared" si="116"/>
        <v>253808.87488084959</v>
      </c>
      <c r="L331" s="170">
        <f t="shared" si="117"/>
        <v>253808.87488084959</v>
      </c>
      <c r="M331" s="170">
        <f t="shared" si="123"/>
        <v>253808.87488084959</v>
      </c>
      <c r="N331" s="170">
        <f t="shared" si="124"/>
        <v>0</v>
      </c>
      <c r="O331" s="170">
        <f t="shared" si="125"/>
        <v>0</v>
      </c>
      <c r="P331" s="170">
        <f t="shared" si="126"/>
        <v>0</v>
      </c>
      <c r="Q331" s="171">
        <f t="shared" si="127"/>
        <v>8899170.9846019372</v>
      </c>
      <c r="R331" s="171">
        <f t="shared" si="128"/>
        <v>1097819.2924531603</v>
      </c>
      <c r="S331" s="171">
        <f t="shared" si="129"/>
        <v>336067.13034280413</v>
      </c>
      <c r="T331" s="171">
        <f t="shared" si="130"/>
        <v>0</v>
      </c>
      <c r="U331" s="171">
        <f t="shared" si="118"/>
        <v>10333057.407397902</v>
      </c>
      <c r="V331" s="171">
        <f t="shared" si="131"/>
        <v>0</v>
      </c>
      <c r="W331" s="171">
        <f>IF(OR(A331&gt;=$C$13,B331="Retired"),IF(V331&gt;0,-V331,U331-'Model Inputs'!$B$18),"")</f>
        <v>9333057.4073979016</v>
      </c>
      <c r="X331" s="171">
        <f t="shared" si="119"/>
        <v>1886539.1062322073</v>
      </c>
      <c r="Y331" s="171">
        <f t="shared" si="120"/>
        <v>263361.46860240656</v>
      </c>
      <c r="Z331" s="171">
        <f t="shared" si="121"/>
        <v>1623177.6376298007</v>
      </c>
      <c r="AA331" s="172">
        <f t="shared" si="122"/>
        <v>11956235.045027703</v>
      </c>
      <c r="AB331" s="5"/>
      <c r="AC331" s="5"/>
      <c r="AD331" s="5"/>
      <c r="AE331" s="5"/>
      <c r="AF331" s="5"/>
      <c r="AG331" s="5"/>
    </row>
    <row r="332" spans="1:33" x14ac:dyDescent="0.2">
      <c r="A332" s="173">
        <v>32</v>
      </c>
      <c r="B332" s="65" t="str">
        <f t="shared" si="108"/>
        <v>Retired</v>
      </c>
      <c r="C332" s="174">
        <f t="shared" si="109"/>
        <v>0</v>
      </c>
      <c r="D332" s="174">
        <f t="shared" si="110"/>
        <v>0</v>
      </c>
      <c r="E332" s="174">
        <f t="shared" si="111"/>
        <v>0</v>
      </c>
      <c r="F332" s="174">
        <f t="shared" si="112"/>
        <v>0</v>
      </c>
      <c r="G332" s="171">
        <f t="shared" si="113"/>
        <v>0</v>
      </c>
      <c r="H332" s="171">
        <f t="shared" si="114"/>
        <v>85053.990690962848</v>
      </c>
      <c r="I332" s="171">
        <f>IF(B332="Working",MIN(MAX(D332-E332-F332-G332-H332,0),'Tax Assumptions'!$B$20),0)</f>
        <v>0</v>
      </c>
      <c r="J332" s="171">
        <f t="shared" si="115"/>
        <v>-255053.99069096285</v>
      </c>
      <c r="K332" s="174">
        <f t="shared" si="116"/>
        <v>255053.99069096285</v>
      </c>
      <c r="L332" s="174">
        <f t="shared" si="117"/>
        <v>255053.99069096285</v>
      </c>
      <c r="M332" s="174">
        <f t="shared" si="123"/>
        <v>255053.99069096285</v>
      </c>
      <c r="N332" s="174">
        <f t="shared" si="124"/>
        <v>0</v>
      </c>
      <c r="O332" s="174">
        <f t="shared" si="125"/>
        <v>0</v>
      </c>
      <c r="P332" s="174">
        <f t="shared" si="126"/>
        <v>0</v>
      </c>
      <c r="Q332" s="171">
        <f t="shared" si="127"/>
        <v>9178067.2529870905</v>
      </c>
      <c r="R332" s="171">
        <f t="shared" si="128"/>
        <v>1163688.4500003499</v>
      </c>
      <c r="S332" s="171">
        <f t="shared" si="129"/>
        <v>356231.15816337237</v>
      </c>
      <c r="T332" s="171">
        <f t="shared" si="130"/>
        <v>0</v>
      </c>
      <c r="U332" s="171">
        <f t="shared" si="118"/>
        <v>10697986.861150812</v>
      </c>
      <c r="V332" s="171">
        <f t="shared" si="131"/>
        <v>0</v>
      </c>
      <c r="W332" s="171">
        <f>IF(OR(A332&gt;=$C$13,B332="Retired"),IF(V332&gt;0,-V332,U332-'Model Inputs'!$B$18),"")</f>
        <v>9697986.8611508124</v>
      </c>
      <c r="X332" s="171">
        <f t="shared" si="119"/>
        <v>1943135.2794191737</v>
      </c>
      <c r="Y332" s="171">
        <f t="shared" si="120"/>
        <v>237410.88662406756</v>
      </c>
      <c r="Z332" s="171">
        <f t="shared" si="121"/>
        <v>1705724.3927951062</v>
      </c>
      <c r="AA332" s="175">
        <f t="shared" si="122"/>
        <v>12403711.253945919</v>
      </c>
      <c r="AB332" s="5"/>
      <c r="AC332" s="5"/>
      <c r="AD332" s="5"/>
      <c r="AE332" s="5"/>
      <c r="AF332" s="5"/>
      <c r="AG332" s="5"/>
    </row>
    <row r="333" spans="1:33" x14ac:dyDescent="0.2">
      <c r="A333" s="169">
        <v>33</v>
      </c>
      <c r="B333" s="100" t="str">
        <f t="shared" si="108"/>
        <v>Retired</v>
      </c>
      <c r="C333" s="170">
        <f t="shared" si="109"/>
        <v>0</v>
      </c>
      <c r="D333" s="170">
        <f t="shared" si="110"/>
        <v>0</v>
      </c>
      <c r="E333" s="170">
        <f t="shared" si="111"/>
        <v>0</v>
      </c>
      <c r="F333" s="170">
        <f t="shared" si="112"/>
        <v>0</v>
      </c>
      <c r="G333" s="171">
        <f t="shared" si="113"/>
        <v>0</v>
      </c>
      <c r="H333" s="171">
        <f t="shared" si="114"/>
        <v>86336.459975379505</v>
      </c>
      <c r="I333" s="171">
        <f>IF(B333="Working",MIN(MAX(D333-E333-F333-G333-H333,0),'Tax Assumptions'!$B$20),0)</f>
        <v>0</v>
      </c>
      <c r="J333" s="171">
        <f t="shared" si="115"/>
        <v>-256336.45997537952</v>
      </c>
      <c r="K333" s="170">
        <f t="shared" si="116"/>
        <v>256336.45997537952</v>
      </c>
      <c r="L333" s="170">
        <f t="shared" si="117"/>
        <v>256336.45997537952</v>
      </c>
      <c r="M333" s="170">
        <f t="shared" si="123"/>
        <v>256336.45997537952</v>
      </c>
      <c r="N333" s="170">
        <f t="shared" si="124"/>
        <v>0</v>
      </c>
      <c r="O333" s="170">
        <f t="shared" si="125"/>
        <v>0</v>
      </c>
      <c r="P333" s="170">
        <f t="shared" si="126"/>
        <v>0</v>
      </c>
      <c r="Q333" s="171">
        <f t="shared" si="127"/>
        <v>9472414.8281909376</v>
      </c>
      <c r="R333" s="171">
        <f t="shared" si="128"/>
        <v>1233509.7570003709</v>
      </c>
      <c r="S333" s="171">
        <f t="shared" si="129"/>
        <v>377605.02765317471</v>
      </c>
      <c r="T333" s="171">
        <f t="shared" si="130"/>
        <v>0</v>
      </c>
      <c r="U333" s="171">
        <f t="shared" si="118"/>
        <v>11083529.612844484</v>
      </c>
      <c r="V333" s="171">
        <f t="shared" si="131"/>
        <v>0</v>
      </c>
      <c r="W333" s="171">
        <f>IF(OR(A333&gt;=$C$13,B333="Retired"),IF(V333&gt;0,-V333,U333-'Model Inputs'!$B$18),"")</f>
        <v>10083529.612844484</v>
      </c>
      <c r="X333" s="171">
        <f t="shared" si="119"/>
        <v>2001429.3378017491</v>
      </c>
      <c r="Y333" s="171">
        <f t="shared" si="120"/>
        <v>209722.34611009574</v>
      </c>
      <c r="Z333" s="171">
        <f t="shared" si="121"/>
        <v>1791706.9916916534</v>
      </c>
      <c r="AA333" s="172">
        <f t="shared" si="122"/>
        <v>12875236.604536137</v>
      </c>
      <c r="AB333" s="5"/>
      <c r="AC333" s="5"/>
      <c r="AD333" s="5"/>
      <c r="AE333" s="5"/>
      <c r="AF333" s="5"/>
      <c r="AG333" s="5"/>
    </row>
    <row r="334" spans="1:33" x14ac:dyDescent="0.2">
      <c r="A334" s="173">
        <v>34</v>
      </c>
      <c r="B334" s="65" t="str">
        <f t="shared" si="108"/>
        <v>Retired</v>
      </c>
      <c r="C334" s="174">
        <f t="shared" si="109"/>
        <v>0</v>
      </c>
      <c r="D334" s="174">
        <f t="shared" si="110"/>
        <v>0</v>
      </c>
      <c r="E334" s="174">
        <f t="shared" si="111"/>
        <v>0</v>
      </c>
      <c r="F334" s="174">
        <f t="shared" si="112"/>
        <v>0</v>
      </c>
      <c r="G334" s="171">
        <f t="shared" si="113"/>
        <v>0</v>
      </c>
      <c r="H334" s="171">
        <f t="shared" si="114"/>
        <v>87657.403338328644</v>
      </c>
      <c r="I334" s="171">
        <f>IF(B334="Working",MIN(MAX(D334-E334-F334-G334-H334,0),'Tax Assumptions'!$B$20),0)</f>
        <v>0</v>
      </c>
      <c r="J334" s="171">
        <f t="shared" si="115"/>
        <v>-257657.40333832864</v>
      </c>
      <c r="K334" s="174">
        <f t="shared" si="116"/>
        <v>257657.40333832864</v>
      </c>
      <c r="L334" s="174">
        <f t="shared" si="117"/>
        <v>257657.40333832864</v>
      </c>
      <c r="M334" s="174">
        <f t="shared" si="123"/>
        <v>257657.40333832864</v>
      </c>
      <c r="N334" s="174">
        <f t="shared" si="124"/>
        <v>0</v>
      </c>
      <c r="O334" s="174">
        <f t="shared" si="125"/>
        <v>0</v>
      </c>
      <c r="P334" s="174">
        <f t="shared" si="126"/>
        <v>0</v>
      </c>
      <c r="Q334" s="171">
        <f t="shared" si="127"/>
        <v>9783102.3145440668</v>
      </c>
      <c r="R334" s="171">
        <f t="shared" si="128"/>
        <v>1307520.3424203931</v>
      </c>
      <c r="S334" s="171">
        <f t="shared" si="129"/>
        <v>400261.32931236521</v>
      </c>
      <c r="T334" s="171">
        <f t="shared" si="130"/>
        <v>0</v>
      </c>
      <c r="U334" s="171">
        <f t="shared" si="118"/>
        <v>11490883.986276826</v>
      </c>
      <c r="V334" s="171">
        <f t="shared" si="131"/>
        <v>0</v>
      </c>
      <c r="W334" s="171">
        <f>IF(OR(A334&gt;=$C$13,B334="Retired"),IF(V334&gt;0,-V334,U334-'Model Inputs'!$B$18),"")</f>
        <v>10490883.986276826</v>
      </c>
      <c r="X334" s="171">
        <f t="shared" si="119"/>
        <v>2061472.2179358013</v>
      </c>
      <c r="Y334" s="171">
        <f t="shared" si="120"/>
        <v>180179.45275865542</v>
      </c>
      <c r="Z334" s="171">
        <f t="shared" si="121"/>
        <v>1881292.7651771458</v>
      </c>
      <c r="AA334" s="175">
        <f t="shared" si="122"/>
        <v>13372176.751453971</v>
      </c>
      <c r="AB334" s="5"/>
      <c r="AC334" s="5"/>
      <c r="AD334" s="5"/>
      <c r="AE334" s="5"/>
      <c r="AF334" s="5"/>
      <c r="AG334" s="5"/>
    </row>
    <row r="335" spans="1:33" x14ac:dyDescent="0.2">
      <c r="A335" s="169">
        <v>35</v>
      </c>
      <c r="B335" s="100" t="str">
        <f t="shared" si="108"/>
        <v>Retired</v>
      </c>
      <c r="C335" s="170">
        <f t="shared" si="109"/>
        <v>0</v>
      </c>
      <c r="D335" s="170">
        <f t="shared" si="110"/>
        <v>0</v>
      </c>
      <c r="E335" s="170">
        <f t="shared" si="111"/>
        <v>0</v>
      </c>
      <c r="F335" s="170">
        <f t="shared" si="112"/>
        <v>0</v>
      </c>
      <c r="G335" s="171">
        <f t="shared" si="113"/>
        <v>0</v>
      </c>
      <c r="H335" s="171">
        <f t="shared" si="114"/>
        <v>89017.975002166277</v>
      </c>
      <c r="I335" s="171">
        <f>IF(B335="Working",MIN(MAX(D335-E335-F335-G335-H335,0),'Tax Assumptions'!$B$20),0)</f>
        <v>0</v>
      </c>
      <c r="J335" s="171">
        <f t="shared" si="115"/>
        <v>-259017.97500216629</v>
      </c>
      <c r="K335" s="170">
        <f t="shared" si="116"/>
        <v>259017.97500216629</v>
      </c>
      <c r="L335" s="170">
        <f t="shared" si="117"/>
        <v>259017.97500216629</v>
      </c>
      <c r="M335" s="170">
        <f t="shared" si="123"/>
        <v>259017.97500216629</v>
      </c>
      <c r="N335" s="170">
        <f t="shared" si="124"/>
        <v>0</v>
      </c>
      <c r="O335" s="170">
        <f t="shared" si="125"/>
        <v>0</v>
      </c>
      <c r="P335" s="170">
        <f t="shared" si="126"/>
        <v>0</v>
      </c>
      <c r="Q335" s="171">
        <f t="shared" si="127"/>
        <v>10111070.478414545</v>
      </c>
      <c r="R335" s="171">
        <f t="shared" si="128"/>
        <v>1385971.5629656168</v>
      </c>
      <c r="S335" s="171">
        <f t="shared" si="129"/>
        <v>424277.00907110714</v>
      </c>
      <c r="T335" s="171">
        <f t="shared" si="130"/>
        <v>0</v>
      </c>
      <c r="U335" s="171">
        <f t="shared" si="118"/>
        <v>11921319.050451269</v>
      </c>
      <c r="V335" s="171">
        <f t="shared" si="131"/>
        <v>0</v>
      </c>
      <c r="W335" s="171">
        <f>IF(OR(A335&gt;=$C$13,B335="Retired"),IF(V335&gt;0,-V335,U335-'Model Inputs'!$B$18),"")</f>
        <v>10921319.050451269</v>
      </c>
      <c r="X335" s="171">
        <f t="shared" si="119"/>
        <v>2123316.3844738752</v>
      </c>
      <c r="Y335" s="171">
        <f t="shared" si="120"/>
        <v>148658.01712595532</v>
      </c>
      <c r="Z335" s="171">
        <f t="shared" si="121"/>
        <v>1974658.3673479198</v>
      </c>
      <c r="AA335" s="172">
        <f t="shared" si="122"/>
        <v>13895977.41779919</v>
      </c>
      <c r="AB335" s="5"/>
      <c r="AC335" s="5"/>
      <c r="AD335" s="5"/>
      <c r="AE335" s="5"/>
      <c r="AF335" s="5"/>
      <c r="AG335" s="5"/>
    </row>
    <row r="336" spans="1:33" x14ac:dyDescent="0.2">
      <c r="A336" s="173">
        <v>36</v>
      </c>
      <c r="B336" s="65" t="str">
        <f t="shared" si="108"/>
        <v>Retired</v>
      </c>
      <c r="C336" s="174">
        <f t="shared" si="109"/>
        <v>0</v>
      </c>
      <c r="D336" s="174">
        <f t="shared" si="110"/>
        <v>0</v>
      </c>
      <c r="E336" s="174">
        <f t="shared" si="111"/>
        <v>0</v>
      </c>
      <c r="F336" s="174">
        <f t="shared" si="112"/>
        <v>0</v>
      </c>
      <c r="G336" s="171">
        <f t="shared" si="113"/>
        <v>0</v>
      </c>
      <c r="H336" s="171">
        <f t="shared" si="114"/>
        <v>90419.363815919045</v>
      </c>
      <c r="I336" s="171">
        <f>IF(B336="Working",MIN(MAX(D336-E336-F336-G336-H336,0),'Tax Assumptions'!$B$20),0)</f>
        <v>0</v>
      </c>
      <c r="J336" s="171">
        <f t="shared" si="115"/>
        <v>-260419.36381591903</v>
      </c>
      <c r="K336" s="174">
        <f t="shared" si="116"/>
        <v>260419.36381591903</v>
      </c>
      <c r="L336" s="174">
        <f t="shared" si="117"/>
        <v>260419.36381591903</v>
      </c>
      <c r="M336" s="174">
        <f t="shared" si="123"/>
        <v>260419.36381591903</v>
      </c>
      <c r="N336" s="174">
        <f t="shared" si="124"/>
        <v>0</v>
      </c>
      <c r="O336" s="174">
        <f t="shared" si="125"/>
        <v>0</v>
      </c>
      <c r="P336" s="174">
        <f t="shared" si="126"/>
        <v>0</v>
      </c>
      <c r="Q336" s="171">
        <f t="shared" si="127"/>
        <v>10457315.3433035</v>
      </c>
      <c r="R336" s="171">
        <f t="shared" si="128"/>
        <v>1469129.8567435539</v>
      </c>
      <c r="S336" s="171">
        <f t="shared" si="129"/>
        <v>449733.62961537362</v>
      </c>
      <c r="T336" s="171">
        <f t="shared" si="130"/>
        <v>0</v>
      </c>
      <c r="U336" s="171">
        <f t="shared" si="118"/>
        <v>12376178.829662427</v>
      </c>
      <c r="V336" s="171">
        <f t="shared" si="131"/>
        <v>0</v>
      </c>
      <c r="W336" s="171">
        <f>IF(OR(A336&gt;=$C$13,B336="Retired"),IF(V336&gt;0,-V336,U336-'Model Inputs'!$B$18),"")</f>
        <v>11376178.829662427</v>
      </c>
      <c r="X336" s="171">
        <f t="shared" si="119"/>
        <v>2187015.876008092</v>
      </c>
      <c r="Y336" s="171">
        <f t="shared" si="120"/>
        <v>115025.53257115465</v>
      </c>
      <c r="Z336" s="171">
        <f t="shared" si="121"/>
        <v>2071990.3434369373</v>
      </c>
      <c r="AA336" s="175">
        <f t="shared" si="122"/>
        <v>14448169.173099365</v>
      </c>
      <c r="AB336" s="5"/>
      <c r="AC336" s="5"/>
      <c r="AD336" s="5"/>
      <c r="AE336" s="5"/>
      <c r="AF336" s="5"/>
      <c r="AG336" s="5"/>
    </row>
    <row r="337" spans="1:33" x14ac:dyDescent="0.2">
      <c r="A337" s="169">
        <v>37</v>
      </c>
      <c r="B337" s="100" t="str">
        <f t="shared" si="108"/>
        <v>Retired</v>
      </c>
      <c r="C337" s="170">
        <f t="shared" si="109"/>
        <v>0</v>
      </c>
      <c r="D337" s="170">
        <f t="shared" si="110"/>
        <v>0</v>
      </c>
      <c r="E337" s="170">
        <f t="shared" si="111"/>
        <v>0</v>
      </c>
      <c r="F337" s="170">
        <f t="shared" si="112"/>
        <v>0</v>
      </c>
      <c r="G337" s="171">
        <f t="shared" si="113"/>
        <v>0</v>
      </c>
      <c r="H337" s="171">
        <f t="shared" si="114"/>
        <v>91862.794294084364</v>
      </c>
      <c r="I337" s="171">
        <f>IF(B337="Working",MIN(MAX(D337-E337-F337-G337-H337,0),'Tax Assumptions'!$B$20),0)</f>
        <v>0</v>
      </c>
      <c r="J337" s="171">
        <f t="shared" si="115"/>
        <v>-261862.79429408436</v>
      </c>
      <c r="K337" s="170">
        <f t="shared" si="116"/>
        <v>261862.79429408436</v>
      </c>
      <c r="L337" s="170">
        <f t="shared" si="117"/>
        <v>261862.79429408436</v>
      </c>
      <c r="M337" s="170">
        <f t="shared" si="123"/>
        <v>261862.79429408436</v>
      </c>
      <c r="N337" s="170">
        <f t="shared" si="124"/>
        <v>0</v>
      </c>
      <c r="O337" s="170">
        <f t="shared" si="125"/>
        <v>0</v>
      </c>
      <c r="P337" s="170">
        <f t="shared" si="126"/>
        <v>0</v>
      </c>
      <c r="Q337" s="171">
        <f t="shared" si="127"/>
        <v>10822891.469607627</v>
      </c>
      <c r="R337" s="171">
        <f t="shared" si="128"/>
        <v>1557277.6481481672</v>
      </c>
      <c r="S337" s="171">
        <f t="shared" si="129"/>
        <v>476717.64739229606</v>
      </c>
      <c r="T337" s="171">
        <f t="shared" si="130"/>
        <v>0</v>
      </c>
      <c r="U337" s="171">
        <f t="shared" si="118"/>
        <v>12856886.76514809</v>
      </c>
      <c r="V337" s="171">
        <f t="shared" si="131"/>
        <v>0</v>
      </c>
      <c r="W337" s="171">
        <f>IF(OR(A337&gt;=$C$13,B337="Retired"),IF(V337&gt;0,-V337,U337-'Model Inputs'!$B$18),"")</f>
        <v>11856886.76514809</v>
      </c>
      <c r="X337" s="171">
        <f t="shared" si="119"/>
        <v>2252626.3522883342</v>
      </c>
      <c r="Y337" s="171">
        <f t="shared" si="120"/>
        <v>79140.618238272611</v>
      </c>
      <c r="Z337" s="171">
        <f t="shared" si="121"/>
        <v>2173485.7340500616</v>
      </c>
      <c r="AA337" s="172">
        <f t="shared" si="122"/>
        <v>15030372.499198152</v>
      </c>
      <c r="AB337" s="5"/>
      <c r="AC337" s="5"/>
      <c r="AD337" s="5"/>
      <c r="AE337" s="5"/>
      <c r="AF337" s="5"/>
      <c r="AG337" s="5"/>
    </row>
    <row r="338" spans="1:33" x14ac:dyDescent="0.2">
      <c r="A338" s="173">
        <v>38</v>
      </c>
      <c r="B338" s="65" t="str">
        <f t="shared" si="108"/>
        <v>Retired</v>
      </c>
      <c r="C338" s="174">
        <f t="shared" si="109"/>
        <v>0</v>
      </c>
      <c r="D338" s="174">
        <f t="shared" si="110"/>
        <v>0</v>
      </c>
      <c r="E338" s="174">
        <f t="shared" si="111"/>
        <v>0</v>
      </c>
      <c r="F338" s="174">
        <f t="shared" si="112"/>
        <v>0</v>
      </c>
      <c r="G338" s="171">
        <f t="shared" si="113"/>
        <v>0</v>
      </c>
      <c r="H338" s="171">
        <f t="shared" si="114"/>
        <v>93349.52768659468</v>
      </c>
      <c r="I338" s="171">
        <f>IF(B338="Working",MIN(MAX(D338-E338-F338-G338-H338,0),'Tax Assumptions'!$B$20),0)</f>
        <v>0</v>
      </c>
      <c r="J338" s="171">
        <f t="shared" si="115"/>
        <v>-263349.52768659469</v>
      </c>
      <c r="K338" s="174">
        <f t="shared" si="116"/>
        <v>263349.52768659469</v>
      </c>
      <c r="L338" s="174">
        <f t="shared" si="117"/>
        <v>263349.52768659469</v>
      </c>
      <c r="M338" s="174">
        <f t="shared" si="123"/>
        <v>263349.52768659469</v>
      </c>
      <c r="N338" s="174">
        <f t="shared" si="124"/>
        <v>0</v>
      </c>
      <c r="O338" s="174">
        <f t="shared" si="125"/>
        <v>0</v>
      </c>
      <c r="P338" s="174">
        <f t="shared" si="126"/>
        <v>0</v>
      </c>
      <c r="Q338" s="171">
        <f t="shared" si="127"/>
        <v>11208915.430097491</v>
      </c>
      <c r="R338" s="171">
        <f t="shared" si="128"/>
        <v>1650714.3070370574</v>
      </c>
      <c r="S338" s="171">
        <f t="shared" si="129"/>
        <v>505320.70623583387</v>
      </c>
      <c r="T338" s="171">
        <f t="shared" si="130"/>
        <v>0</v>
      </c>
      <c r="U338" s="171">
        <f t="shared" si="118"/>
        <v>13364950.443370381</v>
      </c>
      <c r="V338" s="171">
        <f t="shared" si="131"/>
        <v>0</v>
      </c>
      <c r="W338" s="171">
        <f>IF(OR(A338&gt;=$C$13,B338="Retired"),IF(V338&gt;0,-V338,U338-'Model Inputs'!$B$18),"")</f>
        <v>12364950.443370381</v>
      </c>
      <c r="X338" s="171">
        <f t="shared" si="119"/>
        <v>2320205.1428569844</v>
      </c>
      <c r="Y338" s="171">
        <f t="shared" si="120"/>
        <v>40852.424733563792</v>
      </c>
      <c r="Z338" s="171">
        <f t="shared" si="121"/>
        <v>2279352.7181234206</v>
      </c>
      <c r="AA338" s="175">
        <f t="shared" si="122"/>
        <v>15644303.161493802</v>
      </c>
      <c r="AB338" s="5"/>
      <c r="AC338" s="5"/>
      <c r="AD338" s="5"/>
      <c r="AE338" s="5"/>
      <c r="AF338" s="5"/>
      <c r="AG338" s="5"/>
    </row>
    <row r="339" spans="1:33" x14ac:dyDescent="0.2">
      <c r="A339" s="169">
        <v>39</v>
      </c>
      <c r="B339" s="100" t="str">
        <f t="shared" si="108"/>
        <v>Retired</v>
      </c>
      <c r="C339" s="170">
        <f t="shared" si="109"/>
        <v>0</v>
      </c>
      <c r="D339" s="170">
        <f t="shared" si="110"/>
        <v>0</v>
      </c>
      <c r="E339" s="170">
        <f t="shared" si="111"/>
        <v>0</v>
      </c>
      <c r="F339" s="170">
        <f t="shared" si="112"/>
        <v>0</v>
      </c>
      <c r="G339" s="171">
        <f t="shared" si="113"/>
        <v>0</v>
      </c>
      <c r="H339" s="171">
        <f t="shared" si="114"/>
        <v>94880.863080880285</v>
      </c>
      <c r="I339" s="171">
        <f>IF(B339="Working",MIN(MAX(D339-E339-F339-G339-H339,0),'Tax Assumptions'!$B$20),0)</f>
        <v>0</v>
      </c>
      <c r="J339" s="171">
        <f t="shared" si="115"/>
        <v>-264880.86308088026</v>
      </c>
      <c r="K339" s="170">
        <f t="shared" si="116"/>
        <v>264880.86308088026</v>
      </c>
      <c r="L339" s="170">
        <f t="shared" si="117"/>
        <v>264880.86308088026</v>
      </c>
      <c r="M339" s="170">
        <f t="shared" si="123"/>
        <v>264880.86308088026</v>
      </c>
      <c r="N339" s="170">
        <f t="shared" si="124"/>
        <v>0</v>
      </c>
      <c r="O339" s="170">
        <f t="shared" si="125"/>
        <v>0</v>
      </c>
      <c r="P339" s="170">
        <f t="shared" si="126"/>
        <v>0</v>
      </c>
      <c r="Q339" s="171">
        <f t="shared" si="127"/>
        <v>11616569.492822461</v>
      </c>
      <c r="R339" s="171">
        <f t="shared" si="128"/>
        <v>1749757.1654592808</v>
      </c>
      <c r="S339" s="171">
        <f t="shared" si="129"/>
        <v>535639.9486099839</v>
      </c>
      <c r="T339" s="171">
        <f t="shared" si="130"/>
        <v>0</v>
      </c>
      <c r="U339" s="171">
        <f t="shared" si="118"/>
        <v>13901966.606891725</v>
      </c>
      <c r="V339" s="171">
        <f t="shared" si="131"/>
        <v>0</v>
      </c>
      <c r="W339" s="171">
        <f>IF(OR(A339&gt;=$C$13,B339="Retired"),IF(V339&gt;0,-V339,U339-'Model Inputs'!$B$18),"")</f>
        <v>12901966.606891725</v>
      </c>
      <c r="X339" s="171">
        <f t="shared" si="119"/>
        <v>2389811.2971426938</v>
      </c>
      <c r="Y339" s="171">
        <f t="shared" si="120"/>
        <v>0</v>
      </c>
      <c r="Z339" s="171">
        <f t="shared" si="121"/>
        <v>2389811.2971426938</v>
      </c>
      <c r="AA339" s="172">
        <f t="shared" si="122"/>
        <v>16291777.904034419</v>
      </c>
      <c r="AB339" s="5"/>
      <c r="AC339" s="5"/>
      <c r="AD339" s="5"/>
      <c r="AE339" s="5"/>
      <c r="AF339" s="5"/>
      <c r="AG339" s="5"/>
    </row>
    <row r="340" spans="1:33" x14ac:dyDescent="0.2">
      <c r="A340" s="173">
        <v>40</v>
      </c>
      <c r="B340" s="65" t="str">
        <f t="shared" si="108"/>
        <v>Retired</v>
      </c>
      <c r="C340" s="174">
        <f t="shared" si="109"/>
        <v>0</v>
      </c>
      <c r="D340" s="174">
        <f t="shared" si="110"/>
        <v>0</v>
      </c>
      <c r="E340" s="174">
        <f t="shared" si="111"/>
        <v>0</v>
      </c>
      <c r="F340" s="174">
        <f t="shared" si="112"/>
        <v>0</v>
      </c>
      <c r="G340" s="171">
        <f t="shared" si="113"/>
        <v>0</v>
      </c>
      <c r="H340" s="171">
        <f t="shared" si="114"/>
        <v>54153.123993253437</v>
      </c>
      <c r="I340" s="171">
        <f>IF(B340="Working",MIN(MAX(D340-E340-F340-G340-H340,0),'Tax Assumptions'!$B$20),0)</f>
        <v>0</v>
      </c>
      <c r="J340" s="171">
        <f t="shared" si="115"/>
        <v>-224153.12399325345</v>
      </c>
      <c r="K340" s="174">
        <f t="shared" si="116"/>
        <v>224153.12399325345</v>
      </c>
      <c r="L340" s="174">
        <f t="shared" si="117"/>
        <v>224153.12399325345</v>
      </c>
      <c r="M340" s="174">
        <f t="shared" si="123"/>
        <v>224153.12399325345</v>
      </c>
      <c r="N340" s="174">
        <f t="shared" si="124"/>
        <v>0</v>
      </c>
      <c r="O340" s="174">
        <f t="shared" si="125"/>
        <v>0</v>
      </c>
      <c r="P340" s="174">
        <f t="shared" si="126"/>
        <v>0</v>
      </c>
      <c r="Q340" s="171">
        <f t="shared" si="127"/>
        <v>12089410.538398556</v>
      </c>
      <c r="R340" s="171">
        <f t="shared" si="128"/>
        <v>1854742.5953868378</v>
      </c>
      <c r="S340" s="171">
        <f t="shared" si="129"/>
        <v>567778.34552658291</v>
      </c>
      <c r="T340" s="171">
        <f t="shared" si="130"/>
        <v>0</v>
      </c>
      <c r="U340" s="171">
        <f t="shared" si="118"/>
        <v>14511931.479311978</v>
      </c>
      <c r="V340" s="171">
        <f t="shared" si="131"/>
        <v>0</v>
      </c>
      <c r="W340" s="171">
        <f>IF(OR(A340&gt;=$C$13,B340="Retired"),IF(V340&gt;0,-V340,U340-'Model Inputs'!$B$18),"")</f>
        <v>13511931.479311978</v>
      </c>
      <c r="X340" s="171">
        <f t="shared" si="119"/>
        <v>2461505.6360569745</v>
      </c>
      <c r="Y340" s="171">
        <f t="shared" si="120"/>
        <v>0</v>
      </c>
      <c r="Z340" s="171">
        <f t="shared" si="121"/>
        <v>2461505.6360569745</v>
      </c>
      <c r="AA340" s="175">
        <f t="shared" si="122"/>
        <v>16973437.115368955</v>
      </c>
      <c r="AB340" s="5"/>
      <c r="AC340" s="5"/>
      <c r="AD340" s="5"/>
      <c r="AE340" s="5"/>
      <c r="AF340" s="5"/>
      <c r="AG340" s="5"/>
    </row>
    <row r="341" spans="1:33" x14ac:dyDescent="0.2">
      <c r="A341" s="176" t="s">
        <v>369</v>
      </c>
      <c r="B341" s="177"/>
      <c r="C341" s="177"/>
      <c r="D341" s="177"/>
      <c r="E341" s="177"/>
      <c r="F341" s="177"/>
      <c r="G341" s="178">
        <f t="shared" ref="G341:P341" si="132">SUM(G301:G340)</f>
        <v>481701.17200139578</v>
      </c>
      <c r="H341" s="178">
        <f t="shared" si="132"/>
        <v>2384728.6910258122</v>
      </c>
      <c r="I341" s="178">
        <f t="shared" si="132"/>
        <v>75000</v>
      </c>
      <c r="J341" s="178">
        <f t="shared" si="132"/>
        <v>-3118837.6229866846</v>
      </c>
      <c r="K341" s="178">
        <f t="shared" si="132"/>
        <v>7420113.3064104291</v>
      </c>
      <c r="L341" s="178">
        <f t="shared" si="132"/>
        <v>7420113.3064104291</v>
      </c>
      <c r="M341" s="178">
        <f t="shared" si="132"/>
        <v>7420113.3064104291</v>
      </c>
      <c r="N341" s="178">
        <f t="shared" si="132"/>
        <v>0</v>
      </c>
      <c r="O341" s="178">
        <f t="shared" si="132"/>
        <v>0</v>
      </c>
      <c r="P341" s="178">
        <f t="shared" si="132"/>
        <v>0</v>
      </c>
      <c r="Q341" s="178">
        <f>Q340</f>
        <v>12089410.538398556</v>
      </c>
      <c r="R341" s="178">
        <f>R340</f>
        <v>1854742.5953868378</v>
      </c>
      <c r="S341" s="178">
        <f>S340</f>
        <v>567778.34552658291</v>
      </c>
      <c r="T341" s="178">
        <f>T340</f>
        <v>0</v>
      </c>
      <c r="U341" s="178">
        <f>U340</f>
        <v>14511931.479311978</v>
      </c>
      <c r="V341" s="178">
        <f>SUM(V301:V340)</f>
        <v>0</v>
      </c>
      <c r="W341" s="178">
        <f>MIN(W301:W340)</f>
        <v>4883925.0838471139</v>
      </c>
      <c r="X341" s="178">
        <f>X340</f>
        <v>2461505.6360569745</v>
      </c>
      <c r="Y341" s="178">
        <f>Y340</f>
        <v>0</v>
      </c>
      <c r="Z341" s="178">
        <f>Z340</f>
        <v>2461505.6360569745</v>
      </c>
      <c r="AA341" s="179">
        <f>AA340</f>
        <v>16973437.115368955</v>
      </c>
      <c r="AB341" s="5"/>
      <c r="AC341" s="5"/>
      <c r="AD341" s="5"/>
      <c r="AE341" s="5"/>
      <c r="AF341" s="5"/>
      <c r="AG341" s="5"/>
    </row>
    <row r="342" spans="1:33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">
      <c r="A343" s="319" t="str">
        <f>J229&amp;" | House "&amp;TEXT($L$229,"$#,##0")&amp;" | Spend "&amp;TEXT($N$229,"$#,##0")</f>
        <v>Case 03 | House $1,014,108 | Spend $200,000</v>
      </c>
      <c r="B343" s="288"/>
      <c r="C343" s="288"/>
      <c r="D343" s="288"/>
      <c r="E343" s="288"/>
      <c r="F343" s="288"/>
      <c r="G343" s="288"/>
      <c r="H343" s="288"/>
      <c r="I343" s="288"/>
      <c r="J343" s="288"/>
      <c r="K343" s="288"/>
      <c r="L343" s="288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  <c r="AA343" s="289"/>
      <c r="AB343" s="5"/>
      <c r="AC343" s="5"/>
      <c r="AD343" s="5"/>
      <c r="AE343" s="5"/>
      <c r="AF343" s="5"/>
      <c r="AG343" s="5"/>
    </row>
    <row r="344" spans="1:33" ht="34" customHeight="1" x14ac:dyDescent="0.2">
      <c r="A344" s="167" t="s">
        <v>224</v>
      </c>
      <c r="B344" s="112" t="s">
        <v>106</v>
      </c>
      <c r="C344" s="112" t="s">
        <v>357</v>
      </c>
      <c r="D344" s="112" t="s">
        <v>66</v>
      </c>
      <c r="E344" s="112" t="s">
        <v>300</v>
      </c>
      <c r="F344" s="112" t="s">
        <v>301</v>
      </c>
      <c r="G344" s="112" t="s">
        <v>358</v>
      </c>
      <c r="H344" s="112" t="s">
        <v>359</v>
      </c>
      <c r="I344" s="112" t="s">
        <v>69</v>
      </c>
      <c r="J344" s="112" t="s">
        <v>360</v>
      </c>
      <c r="K344" s="112" t="s">
        <v>361</v>
      </c>
      <c r="L344" s="112" t="s">
        <v>362</v>
      </c>
      <c r="M344" s="112" t="s">
        <v>304</v>
      </c>
      <c r="N344" s="112" t="s">
        <v>305</v>
      </c>
      <c r="O344" s="112" t="s">
        <v>306</v>
      </c>
      <c r="P344" s="112" t="s">
        <v>307</v>
      </c>
      <c r="Q344" s="112" t="s">
        <v>363</v>
      </c>
      <c r="R344" s="112" t="s">
        <v>364</v>
      </c>
      <c r="S344" s="112" t="s">
        <v>365</v>
      </c>
      <c r="T344" s="112" t="s">
        <v>366</v>
      </c>
      <c r="U344" s="112" t="s">
        <v>308</v>
      </c>
      <c r="V344" s="112" t="s">
        <v>309</v>
      </c>
      <c r="W344" s="112" t="s">
        <v>367</v>
      </c>
      <c r="X344" s="112" t="s">
        <v>311</v>
      </c>
      <c r="Y344" s="112" t="s">
        <v>312</v>
      </c>
      <c r="Z344" s="112" t="s">
        <v>313</v>
      </c>
      <c r="AA344" s="168" t="s">
        <v>368</v>
      </c>
      <c r="AB344" s="5"/>
      <c r="AC344" s="5"/>
      <c r="AD344" s="5"/>
      <c r="AE344" s="5"/>
      <c r="AF344" s="5"/>
      <c r="AG344" s="5"/>
    </row>
    <row r="345" spans="1:33" x14ac:dyDescent="0.2">
      <c r="A345" s="169">
        <v>1</v>
      </c>
      <c r="B345" s="100" t="str">
        <f t="shared" ref="B345:B384" si="133">B80</f>
        <v>Working</v>
      </c>
      <c r="C345" s="170">
        <f t="shared" ref="C345:C384" si="134">D80</f>
        <v>550000</v>
      </c>
      <c r="D345" s="170">
        <f t="shared" ref="D345:D384" si="135">I80</f>
        <v>302665.46999999997</v>
      </c>
      <c r="E345" s="170">
        <f t="shared" ref="E345:E384" si="136">J80</f>
        <v>78000</v>
      </c>
      <c r="F345" s="170">
        <f t="shared" ref="F345:F384" si="137">K80</f>
        <v>40000</v>
      </c>
      <c r="G345" s="171">
        <f t="shared" ref="G345:G384" si="138">IF(AND($L$229&gt;0,A345=$C$13),$L$229*($C$15+$C$18),0)+IF(AND($L$229&gt;0,A345=$C$13),$C$24,0)</f>
        <v>0</v>
      </c>
      <c r="H345" s="171">
        <f t="shared" ref="H345:H384" si="139">IF(OR($L$229&lt;=0,A345&lt;$C$13),0,IF(AND($L$229&gt;0,$C$17&gt;0,A345&gt;=$C$13,A345&lt;($C$13+$C$17)),IF($C$17&lt;=0,0,IF($C$16=0,MAX($L$229*(1-$C$15),0)/$C$17,-PMT($C$16/12,$C$17*12,MAX($L$229*(1-$C$15),0))*12)),0)+X345*($C$19+$C$20+$C$21)+$C$22+$C$23)</f>
        <v>0</v>
      </c>
      <c r="I345" s="171">
        <f>IF(B345="Working",MIN(MAX(D345-E345-F345-G345-H345,0),'Tax Assumptions'!$B$20),0)</f>
        <v>7500</v>
      </c>
      <c r="J345" s="171">
        <f t="shared" ref="J345:J384" si="140">IF(B345="Working",D345-E345-F345-I345-G345-H345,-L345)</f>
        <v>177165.46999999997</v>
      </c>
      <c r="K345" s="170">
        <f t="shared" ref="K345:K384" si="141">IF(B345="Retired",$N$229+G345+H345,0)</f>
        <v>0</v>
      </c>
      <c r="L345" s="170">
        <f t="shared" ref="L345:L384" si="142">M345+N345+O345+P345</f>
        <v>0</v>
      </c>
      <c r="M345" s="170">
        <f>IF(B345="Retired",MIN((('Savings Projection'!$B$7)*(1+$C$10)+IF(B345="Working",J345,0)),K345),0)</f>
        <v>0</v>
      </c>
      <c r="N345" s="170">
        <f>IF(B345="Retired",MIN(MAX(K345-M345,0),(('Savings Projection'!$B$8)*(1+$C$10)+IF(B345="Working",E80,0))),0)</f>
        <v>0</v>
      </c>
      <c r="O345" s="170">
        <f>IF(B345="Retired",MIN(MAX(K345-M345-N345,0),(('Savings Projection'!$B$9)*(1+$C$10)+IF(B345="Working",I345,0))),0)</f>
        <v>0</v>
      </c>
      <c r="P345" s="170">
        <f>IF(B345="Retired",MIN(MAX(K345-M345-N345-O345,0),(('Savings Projection'!$B$10)*(1+$C$10)+IF(B345="Working",F80,0))),0)</f>
        <v>0</v>
      </c>
      <c r="Q345" s="171">
        <f>MAX((('Savings Projection'!$B$7)*(1+$C$10)+IF(B345="Working",J345,0))-M345,0)</f>
        <v>336165.47</v>
      </c>
      <c r="R345" s="171">
        <f>MAX((('Savings Projection'!$B$8)*(1+$C$10)+IF(B345="Working",E80,0))-N345,0)</f>
        <v>24500</v>
      </c>
      <c r="S345" s="171">
        <f>MAX((('Savings Projection'!$B$9)*(1+$C$10)+IF(B345="Working",I345,0))-O345,0)</f>
        <v>7500</v>
      </c>
      <c r="T345" s="171">
        <f>MAX((('Savings Projection'!$B$10)*(1+$C$10)+IF(B345="Working",F80,0))-P345,0)</f>
        <v>0</v>
      </c>
      <c r="U345" s="171">
        <f t="shared" ref="U345:U384" si="143">Q345+R345+S345+T345</f>
        <v>368165.47</v>
      </c>
      <c r="V345" s="171">
        <f>IF(B345="Working",MAX(-((('Savings Projection'!$B$7)*(1+$C$10)+IF(B345="Working",J345,0))),0),MAX(K345-L345,0))</f>
        <v>0</v>
      </c>
      <c r="W345" s="171" t="str">
        <f>IF(OR(A345&gt;=$C$13,B345="Retired"),IF(V345&gt;0,-V345,U345-'Model Inputs'!$B$18),"")</f>
        <v/>
      </c>
      <c r="X345" s="171">
        <f t="shared" ref="X345:X384" si="144">IF(AND($L$229&gt;0,A345&gt;=$C$13),$L$229*(1+$C$25)^(A345-$C$13),0)</f>
        <v>0</v>
      </c>
      <c r="Y345" s="171">
        <f t="shared" ref="Y345:Y384" si="145">IF(OR($L$229&lt;=0,$C$17&lt;=0,A345&lt;$C$13,MIN(MAX((A345-$C$13+1)*12,0),$C$17*12)&gt;=$C$17*12),0,IF($C$16=0,MAX(MAX($L$229*(1-$C$15),0)-(IF($C$17&lt;=0,0,IF($C$16=0,MAX($L$229*(1-$C$15),0)/$C$17,-PMT($C$16/12,$C$17*12,MAX($L$229*(1-$C$15),0))*12))/12)*MIN(MAX((A345-$C$13+1)*12,0),$C$17*12),0),MAX(MAX($L$229*(1-$C$15),0)*(1+$C$16/12)^MIN(MAX((A345-$C$13+1)*12,0),$C$17*12)-(IF($C$17&lt;=0,0,IF($C$16=0,MAX($L$229*(1-$C$15),0)/$C$17,-PMT($C$16/12,$C$17*12,MAX($L$229*(1-$C$15),0))*12))/12)*(((1+$C$16/12)^MIN(MAX((A345-$C$13+1)*12,0),$C$17*12)-1)/($C$16/12)),0)))</f>
        <v>0</v>
      </c>
      <c r="Z345" s="171">
        <f t="shared" ref="Z345:Z384" si="146">MAX(X345-Y345,0)</f>
        <v>0</v>
      </c>
      <c r="AA345" s="172">
        <f t="shared" ref="AA345:AA384" si="147">U345+Z345</f>
        <v>368165.47</v>
      </c>
      <c r="AB345" s="5"/>
      <c r="AC345" s="5"/>
      <c r="AD345" s="5"/>
      <c r="AE345" s="5"/>
      <c r="AF345" s="5"/>
      <c r="AG345" s="5"/>
    </row>
    <row r="346" spans="1:33" x14ac:dyDescent="0.2">
      <c r="A346" s="173">
        <v>2</v>
      </c>
      <c r="B346" s="65" t="str">
        <f t="shared" si="133"/>
        <v>Working</v>
      </c>
      <c r="C346" s="174">
        <f t="shared" si="134"/>
        <v>412500</v>
      </c>
      <c r="D346" s="174">
        <f t="shared" si="135"/>
        <v>231269.97</v>
      </c>
      <c r="E346" s="174">
        <f t="shared" si="136"/>
        <v>80340</v>
      </c>
      <c r="F346" s="174">
        <f t="shared" si="137"/>
        <v>41200</v>
      </c>
      <c r="G346" s="171">
        <f t="shared" si="138"/>
        <v>0</v>
      </c>
      <c r="H346" s="171">
        <f t="shared" si="139"/>
        <v>0</v>
      </c>
      <c r="I346" s="171">
        <f>IF(B346="Working",MIN(MAX(D346-E346-F346-G346-H346,0),'Tax Assumptions'!$B$20),0)</f>
        <v>7500</v>
      </c>
      <c r="J346" s="171">
        <f t="shared" si="140"/>
        <v>102229.97</v>
      </c>
      <c r="K346" s="174">
        <f t="shared" si="141"/>
        <v>0</v>
      </c>
      <c r="L346" s="174">
        <f t="shared" si="142"/>
        <v>0</v>
      </c>
      <c r="M346" s="174">
        <f t="shared" ref="M346:M384" si="148">IF(B346="Retired",MIN(((Q345)*(1+$C$10)+IF(B346="Working",J346,0)),K346),0)</f>
        <v>0</v>
      </c>
      <c r="N346" s="174">
        <f t="shared" ref="N346:N384" si="149">IF(B346="Retired",MIN(MAX(K346-M346,0),((R345)*(1+$C$10)+IF(B346="Working",E81,0))),0)</f>
        <v>0</v>
      </c>
      <c r="O346" s="174">
        <f t="shared" ref="O346:O384" si="150">IF(B346="Retired",MIN(MAX(K346-M346-N346,0),((S345)*(1+$C$10)+IF(B346="Working",I346,0))),0)</f>
        <v>0</v>
      </c>
      <c r="P346" s="174">
        <f t="shared" ref="P346:P384" si="151">IF(B346="Retired",MIN(MAX(K346-M346-N346-O346,0),((T345)*(1+$C$10)+IF(B346="Working",F81,0))),0)</f>
        <v>0</v>
      </c>
      <c r="Q346" s="171">
        <f t="shared" ref="Q346:Q384" si="152">MAX(((Q345)*(1+$C$10)+IF(B346="Working",J346,0))-M346,0)</f>
        <v>458565.36820000003</v>
      </c>
      <c r="R346" s="171">
        <f t="shared" ref="R346:R384" si="153">MAX(((R345)*(1+$C$10)+IF(B346="Working",E81,0))-N346,0)</f>
        <v>50470</v>
      </c>
      <c r="S346" s="171">
        <f t="shared" ref="S346:S384" si="154">MAX(((S345)*(1+$C$10)+IF(B346="Working",I346,0))-O346,0)</f>
        <v>15450</v>
      </c>
      <c r="T346" s="171">
        <f t="shared" ref="T346:T384" si="155">MAX(((T345)*(1+$C$10)+IF(B346="Working",F81,0))-P346,0)</f>
        <v>0</v>
      </c>
      <c r="U346" s="171">
        <f t="shared" si="143"/>
        <v>524485.36820000003</v>
      </c>
      <c r="V346" s="171">
        <f t="shared" ref="V346:V384" si="156">IF(B346="Working",MAX(-(((Q345)*(1+$C$10)+IF(B346="Working",J346,0))),0),MAX(K346-L346,0))</f>
        <v>0</v>
      </c>
      <c r="W346" s="171" t="str">
        <f>IF(OR(A346&gt;=$C$13,B346="Retired"),IF(V346&gt;0,-V346,U346-'Model Inputs'!$B$18),"")</f>
        <v/>
      </c>
      <c r="X346" s="171">
        <f t="shared" si="144"/>
        <v>0</v>
      </c>
      <c r="Y346" s="171">
        <f t="shared" si="145"/>
        <v>0</v>
      </c>
      <c r="Z346" s="171">
        <f t="shared" si="146"/>
        <v>0</v>
      </c>
      <c r="AA346" s="175">
        <f t="shared" si="147"/>
        <v>524485.36820000003</v>
      </c>
      <c r="AB346" s="5"/>
      <c r="AC346" s="5"/>
      <c r="AD346" s="5"/>
      <c r="AE346" s="5"/>
      <c r="AF346" s="5"/>
      <c r="AG346" s="5"/>
    </row>
    <row r="347" spans="1:33" x14ac:dyDescent="0.2">
      <c r="A347" s="169">
        <v>3</v>
      </c>
      <c r="B347" s="100" t="str">
        <f t="shared" si="133"/>
        <v>Working</v>
      </c>
      <c r="C347" s="170">
        <f t="shared" si="134"/>
        <v>675000</v>
      </c>
      <c r="D347" s="170">
        <f t="shared" si="135"/>
        <v>367570.47</v>
      </c>
      <c r="E347" s="170">
        <f t="shared" si="136"/>
        <v>82750.2</v>
      </c>
      <c r="F347" s="170">
        <f t="shared" si="137"/>
        <v>53045</v>
      </c>
      <c r="G347" s="171">
        <f t="shared" si="138"/>
        <v>0</v>
      </c>
      <c r="H347" s="171">
        <f t="shared" si="139"/>
        <v>0</v>
      </c>
      <c r="I347" s="171">
        <f>IF(B347="Working",MIN(MAX(D347-E347-F347-G347-H347,0),'Tax Assumptions'!$B$20),0)</f>
        <v>7500</v>
      </c>
      <c r="J347" s="171">
        <f t="shared" si="140"/>
        <v>224275.26999999996</v>
      </c>
      <c r="K347" s="170">
        <f t="shared" si="141"/>
        <v>0</v>
      </c>
      <c r="L347" s="170">
        <f t="shared" si="142"/>
        <v>0</v>
      </c>
      <c r="M347" s="170">
        <f t="shared" si="148"/>
        <v>0</v>
      </c>
      <c r="N347" s="170">
        <f t="shared" si="149"/>
        <v>0</v>
      </c>
      <c r="O347" s="170">
        <f t="shared" si="150"/>
        <v>0</v>
      </c>
      <c r="P347" s="170">
        <f t="shared" si="151"/>
        <v>0</v>
      </c>
      <c r="Q347" s="171">
        <f t="shared" si="152"/>
        <v>710354.56029199995</v>
      </c>
      <c r="R347" s="171">
        <f t="shared" si="153"/>
        <v>77998.200000000012</v>
      </c>
      <c r="S347" s="171">
        <f t="shared" si="154"/>
        <v>23877</v>
      </c>
      <c r="T347" s="171">
        <f t="shared" si="155"/>
        <v>0</v>
      </c>
      <c r="U347" s="171">
        <f t="shared" si="143"/>
        <v>812229.7602919999</v>
      </c>
      <c r="V347" s="171">
        <f t="shared" si="156"/>
        <v>0</v>
      </c>
      <c r="W347" s="171" t="str">
        <f>IF(OR(A347&gt;=$C$13,B347="Retired"),IF(V347&gt;0,-V347,U347-'Model Inputs'!$B$18),"")</f>
        <v/>
      </c>
      <c r="X347" s="171">
        <f t="shared" si="144"/>
        <v>0</v>
      </c>
      <c r="Y347" s="171">
        <f t="shared" si="145"/>
        <v>0</v>
      </c>
      <c r="Z347" s="171">
        <f t="shared" si="146"/>
        <v>0</v>
      </c>
      <c r="AA347" s="172">
        <f t="shared" si="147"/>
        <v>812229.7602919999</v>
      </c>
      <c r="AB347" s="5"/>
      <c r="AC347" s="5"/>
      <c r="AD347" s="5"/>
      <c r="AE347" s="5"/>
      <c r="AF347" s="5"/>
      <c r="AG347" s="5"/>
    </row>
    <row r="348" spans="1:33" x14ac:dyDescent="0.2">
      <c r="A348" s="173">
        <v>4</v>
      </c>
      <c r="B348" s="65" t="str">
        <f t="shared" si="133"/>
        <v>Working</v>
      </c>
      <c r="C348" s="174">
        <f t="shared" si="134"/>
        <v>750000</v>
      </c>
      <c r="D348" s="174">
        <f t="shared" si="135"/>
        <v>405137.47</v>
      </c>
      <c r="E348" s="174">
        <f t="shared" si="136"/>
        <v>85232.706000000006</v>
      </c>
      <c r="F348" s="174">
        <f t="shared" si="137"/>
        <v>54636.35</v>
      </c>
      <c r="G348" s="171">
        <f t="shared" si="138"/>
        <v>0</v>
      </c>
      <c r="H348" s="171">
        <f t="shared" si="139"/>
        <v>0</v>
      </c>
      <c r="I348" s="171">
        <f>IF(B348="Working",MIN(MAX(D348-E348-F348-G348-H348,0),'Tax Assumptions'!$B$20),0)</f>
        <v>7500</v>
      </c>
      <c r="J348" s="171">
        <f t="shared" si="140"/>
        <v>257768.41399999999</v>
      </c>
      <c r="K348" s="174">
        <f t="shared" si="141"/>
        <v>0</v>
      </c>
      <c r="L348" s="174">
        <f t="shared" si="142"/>
        <v>0</v>
      </c>
      <c r="M348" s="174">
        <f t="shared" si="148"/>
        <v>0</v>
      </c>
      <c r="N348" s="174">
        <f t="shared" si="149"/>
        <v>0</v>
      </c>
      <c r="O348" s="174">
        <f t="shared" si="150"/>
        <v>0</v>
      </c>
      <c r="P348" s="174">
        <f t="shared" si="151"/>
        <v>0</v>
      </c>
      <c r="Q348" s="171">
        <f t="shared" si="152"/>
        <v>1010744.2479095199</v>
      </c>
      <c r="R348" s="171">
        <f t="shared" si="153"/>
        <v>107178.09200000002</v>
      </c>
      <c r="S348" s="171">
        <f t="shared" si="154"/>
        <v>32809.620000000003</v>
      </c>
      <c r="T348" s="171">
        <f t="shared" si="155"/>
        <v>0</v>
      </c>
      <c r="U348" s="171">
        <f t="shared" si="143"/>
        <v>1150731.9599095201</v>
      </c>
      <c r="V348" s="171">
        <f t="shared" si="156"/>
        <v>0</v>
      </c>
      <c r="W348" s="171" t="str">
        <f>IF(OR(A348&gt;=$C$13,B348="Retired"),IF(V348&gt;0,-V348,U348-'Model Inputs'!$B$18),"")</f>
        <v/>
      </c>
      <c r="X348" s="171">
        <f t="shared" si="144"/>
        <v>0</v>
      </c>
      <c r="Y348" s="171">
        <f t="shared" si="145"/>
        <v>0</v>
      </c>
      <c r="Z348" s="171">
        <f t="shared" si="146"/>
        <v>0</v>
      </c>
      <c r="AA348" s="175">
        <f t="shared" si="147"/>
        <v>1150731.9599095201</v>
      </c>
      <c r="AB348" s="5"/>
      <c r="AC348" s="5"/>
      <c r="AD348" s="5"/>
      <c r="AE348" s="5"/>
      <c r="AF348" s="5"/>
      <c r="AG348" s="5"/>
    </row>
    <row r="349" spans="1:33" x14ac:dyDescent="0.2">
      <c r="A349" s="169">
        <v>5</v>
      </c>
      <c r="B349" s="100" t="str">
        <f t="shared" si="133"/>
        <v>Working</v>
      </c>
      <c r="C349" s="170">
        <f t="shared" si="134"/>
        <v>953837.51358640334</v>
      </c>
      <c r="D349" s="170">
        <f t="shared" si="135"/>
        <v>506901.31028287602</v>
      </c>
      <c r="E349" s="170">
        <f t="shared" si="136"/>
        <v>87789.687179999994</v>
      </c>
      <c r="F349" s="170">
        <f t="shared" si="137"/>
        <v>56275.440499999997</v>
      </c>
      <c r="G349" s="171">
        <f t="shared" si="138"/>
        <v>0</v>
      </c>
      <c r="H349" s="171">
        <f t="shared" si="139"/>
        <v>0</v>
      </c>
      <c r="I349" s="171">
        <f>IF(B349="Working",MIN(MAX(D349-E349-F349-G349-H349,0),'Tax Assumptions'!$B$20),0)</f>
        <v>7500</v>
      </c>
      <c r="J349" s="171">
        <f t="shared" si="140"/>
        <v>355336.18260287598</v>
      </c>
      <c r="K349" s="170">
        <f t="shared" si="141"/>
        <v>0</v>
      </c>
      <c r="L349" s="170">
        <f t="shared" si="142"/>
        <v>0</v>
      </c>
      <c r="M349" s="170">
        <f t="shared" si="148"/>
        <v>0</v>
      </c>
      <c r="N349" s="170">
        <f t="shared" si="149"/>
        <v>0</v>
      </c>
      <c r="O349" s="170">
        <f t="shared" si="150"/>
        <v>0</v>
      </c>
      <c r="P349" s="170">
        <f t="shared" si="151"/>
        <v>0</v>
      </c>
      <c r="Q349" s="171">
        <f t="shared" si="152"/>
        <v>1426725.0853869673</v>
      </c>
      <c r="R349" s="171">
        <f t="shared" si="153"/>
        <v>138108.77752000003</v>
      </c>
      <c r="S349" s="171">
        <f t="shared" si="154"/>
        <v>42278.197200000002</v>
      </c>
      <c r="T349" s="171">
        <f t="shared" si="155"/>
        <v>0</v>
      </c>
      <c r="U349" s="171">
        <f t="shared" si="143"/>
        <v>1607112.0601069673</v>
      </c>
      <c r="V349" s="171">
        <f t="shared" si="156"/>
        <v>0</v>
      </c>
      <c r="W349" s="171" t="str">
        <f>IF(OR(A349&gt;=$C$13,B349="Retired"),IF(V349&gt;0,-V349,U349-'Model Inputs'!$B$18),"")</f>
        <v/>
      </c>
      <c r="X349" s="171">
        <f t="shared" si="144"/>
        <v>0</v>
      </c>
      <c r="Y349" s="171">
        <f t="shared" si="145"/>
        <v>0</v>
      </c>
      <c r="Z349" s="171">
        <f t="shared" si="146"/>
        <v>0</v>
      </c>
      <c r="AA349" s="172">
        <f t="shared" si="147"/>
        <v>1607112.0601069673</v>
      </c>
      <c r="AB349" s="5"/>
      <c r="AC349" s="5"/>
      <c r="AD349" s="5"/>
      <c r="AE349" s="5"/>
      <c r="AF349" s="5"/>
      <c r="AG349" s="5"/>
    </row>
    <row r="350" spans="1:33" x14ac:dyDescent="0.2">
      <c r="A350" s="173">
        <v>6</v>
      </c>
      <c r="B350" s="65" t="str">
        <f t="shared" si="133"/>
        <v>Working</v>
      </c>
      <c r="C350" s="174">
        <f t="shared" si="134"/>
        <v>1118900.665838565</v>
      </c>
      <c r="D350" s="174">
        <f t="shared" si="135"/>
        <v>589060.11476976541</v>
      </c>
      <c r="E350" s="174">
        <f t="shared" si="136"/>
        <v>92741.925943999988</v>
      </c>
      <c r="F350" s="174">
        <f t="shared" si="137"/>
        <v>57963.703714999989</v>
      </c>
      <c r="G350" s="171">
        <f t="shared" si="138"/>
        <v>0</v>
      </c>
      <c r="H350" s="171">
        <f t="shared" si="139"/>
        <v>0</v>
      </c>
      <c r="I350" s="171">
        <f>IF(B350="Working",MIN(MAX(D350-E350-F350-G350-H350,0),'Tax Assumptions'!$B$20),0)</f>
        <v>7500</v>
      </c>
      <c r="J350" s="171">
        <f t="shared" si="140"/>
        <v>430854.48511076538</v>
      </c>
      <c r="K350" s="174">
        <f t="shared" si="141"/>
        <v>0</v>
      </c>
      <c r="L350" s="174">
        <f t="shared" si="142"/>
        <v>0</v>
      </c>
      <c r="M350" s="174">
        <f t="shared" si="148"/>
        <v>0</v>
      </c>
      <c r="N350" s="174">
        <f t="shared" si="149"/>
        <v>0</v>
      </c>
      <c r="O350" s="174">
        <f t="shared" si="150"/>
        <v>0</v>
      </c>
      <c r="P350" s="174">
        <f t="shared" si="151"/>
        <v>0</v>
      </c>
      <c r="Q350" s="171">
        <f t="shared" si="152"/>
        <v>1943183.0756209507</v>
      </c>
      <c r="R350" s="171">
        <f t="shared" si="153"/>
        <v>170895.30417120006</v>
      </c>
      <c r="S350" s="171">
        <f t="shared" si="154"/>
        <v>52314.889032000006</v>
      </c>
      <c r="T350" s="171">
        <f t="shared" si="155"/>
        <v>0</v>
      </c>
      <c r="U350" s="171">
        <f t="shared" si="143"/>
        <v>2166393.2688241508</v>
      </c>
      <c r="V350" s="171">
        <f t="shared" si="156"/>
        <v>0</v>
      </c>
      <c r="W350" s="171" t="str">
        <f>IF(OR(A350&gt;=$C$13,B350="Retired"),IF(V350&gt;0,-V350,U350-'Model Inputs'!$B$18),"")</f>
        <v/>
      </c>
      <c r="X350" s="171">
        <f t="shared" si="144"/>
        <v>0</v>
      </c>
      <c r="Y350" s="171">
        <f t="shared" si="145"/>
        <v>0</v>
      </c>
      <c r="Z350" s="171">
        <f t="shared" si="146"/>
        <v>0</v>
      </c>
      <c r="AA350" s="175">
        <f t="shared" si="147"/>
        <v>2166393.2688241508</v>
      </c>
      <c r="AB350" s="5"/>
      <c r="AC350" s="5"/>
      <c r="AD350" s="5"/>
      <c r="AE350" s="5"/>
      <c r="AF350" s="5"/>
      <c r="AG350" s="5"/>
    </row>
    <row r="351" spans="1:33" x14ac:dyDescent="0.2">
      <c r="A351" s="169">
        <v>7</v>
      </c>
      <c r="B351" s="100" t="str">
        <f t="shared" si="133"/>
        <v>Working</v>
      </c>
      <c r="C351" s="170">
        <f t="shared" si="134"/>
        <v>1418318.448466131</v>
      </c>
      <c r="D351" s="170">
        <f t="shared" si="135"/>
        <v>730157.75065517949</v>
      </c>
      <c r="E351" s="170">
        <f t="shared" si="136"/>
        <v>95524.183722319998</v>
      </c>
      <c r="F351" s="170">
        <f t="shared" si="137"/>
        <v>59702.614826449993</v>
      </c>
      <c r="G351" s="171">
        <f t="shared" si="138"/>
        <v>0</v>
      </c>
      <c r="H351" s="171">
        <f t="shared" si="139"/>
        <v>0</v>
      </c>
      <c r="I351" s="171">
        <f>IF(B351="Working",MIN(MAX(D351-E351-F351-G351-H351,0),'Tax Assumptions'!$B$20),0)</f>
        <v>7500</v>
      </c>
      <c r="J351" s="171">
        <f t="shared" si="140"/>
        <v>567430.95210640947</v>
      </c>
      <c r="K351" s="170">
        <f t="shared" si="141"/>
        <v>0</v>
      </c>
      <c r="L351" s="170">
        <f t="shared" si="142"/>
        <v>0</v>
      </c>
      <c r="M351" s="170">
        <f t="shared" si="148"/>
        <v>0</v>
      </c>
      <c r="N351" s="170">
        <f t="shared" si="149"/>
        <v>0</v>
      </c>
      <c r="O351" s="170">
        <f t="shared" si="150"/>
        <v>0</v>
      </c>
      <c r="P351" s="170">
        <f t="shared" si="151"/>
        <v>0</v>
      </c>
      <c r="Q351" s="171">
        <f t="shared" si="152"/>
        <v>2627205.0122646173</v>
      </c>
      <c r="R351" s="171">
        <f t="shared" si="153"/>
        <v>205649.02242147207</v>
      </c>
      <c r="S351" s="171">
        <f t="shared" si="154"/>
        <v>62953.78237392001</v>
      </c>
      <c r="T351" s="171">
        <f t="shared" si="155"/>
        <v>0</v>
      </c>
      <c r="U351" s="171">
        <f t="shared" si="143"/>
        <v>2895807.8170600096</v>
      </c>
      <c r="V351" s="171">
        <f t="shared" si="156"/>
        <v>0</v>
      </c>
      <c r="W351" s="171" t="str">
        <f>IF(OR(A351&gt;=$C$13,B351="Retired"),IF(V351&gt;0,-V351,U351-'Model Inputs'!$B$18),"")</f>
        <v/>
      </c>
      <c r="X351" s="171">
        <f t="shared" si="144"/>
        <v>0</v>
      </c>
      <c r="Y351" s="171">
        <f t="shared" si="145"/>
        <v>0</v>
      </c>
      <c r="Z351" s="171">
        <f t="shared" si="146"/>
        <v>0</v>
      </c>
      <c r="AA351" s="172">
        <f t="shared" si="147"/>
        <v>2895807.8170600096</v>
      </c>
      <c r="AB351" s="5"/>
      <c r="AC351" s="5"/>
      <c r="AD351" s="5"/>
      <c r="AE351" s="5"/>
      <c r="AF351" s="5"/>
      <c r="AG351" s="5"/>
    </row>
    <row r="352" spans="1:33" x14ac:dyDescent="0.2">
      <c r="A352" s="173">
        <v>8</v>
      </c>
      <c r="B352" s="65" t="str">
        <f t="shared" si="133"/>
        <v>Working</v>
      </c>
      <c r="C352" s="174">
        <f t="shared" si="134"/>
        <v>1872205.6657868917</v>
      </c>
      <c r="D352" s="174">
        <f t="shared" si="135"/>
        <v>944047.5629454148</v>
      </c>
      <c r="E352" s="174">
        <f t="shared" si="136"/>
        <v>98389.909233989601</v>
      </c>
      <c r="F352" s="174">
        <f t="shared" si="137"/>
        <v>61493.693271243501</v>
      </c>
      <c r="G352" s="171">
        <f t="shared" si="138"/>
        <v>0</v>
      </c>
      <c r="H352" s="171">
        <f t="shared" si="139"/>
        <v>0</v>
      </c>
      <c r="I352" s="171">
        <f>IF(B352="Working",MIN(MAX(D352-E352-F352-G352-H352,0),'Tax Assumptions'!$B$20),0)</f>
        <v>7500</v>
      </c>
      <c r="J352" s="171">
        <f t="shared" si="140"/>
        <v>776663.96044018166</v>
      </c>
      <c r="K352" s="174">
        <f t="shared" si="141"/>
        <v>0</v>
      </c>
      <c r="L352" s="174">
        <f t="shared" si="142"/>
        <v>0</v>
      </c>
      <c r="M352" s="174">
        <f t="shared" si="148"/>
        <v>0</v>
      </c>
      <c r="N352" s="174">
        <f t="shared" si="149"/>
        <v>0</v>
      </c>
      <c r="O352" s="174">
        <f t="shared" si="150"/>
        <v>0</v>
      </c>
      <c r="P352" s="174">
        <f t="shared" si="151"/>
        <v>0</v>
      </c>
      <c r="Q352" s="171">
        <f t="shared" si="152"/>
        <v>3561501.2734406763</v>
      </c>
      <c r="R352" s="171">
        <f t="shared" si="153"/>
        <v>242487.9637667604</v>
      </c>
      <c r="S352" s="171">
        <f t="shared" si="154"/>
        <v>74231.009316355208</v>
      </c>
      <c r="T352" s="171">
        <f t="shared" si="155"/>
        <v>0</v>
      </c>
      <c r="U352" s="171">
        <f t="shared" si="143"/>
        <v>3878220.2465237915</v>
      </c>
      <c r="V352" s="171">
        <f t="shared" si="156"/>
        <v>0</v>
      </c>
      <c r="W352" s="171" t="str">
        <f>IF(OR(A352&gt;=$C$13,B352="Retired"),IF(V352&gt;0,-V352,U352-'Model Inputs'!$B$18),"")</f>
        <v/>
      </c>
      <c r="X352" s="171">
        <f t="shared" si="144"/>
        <v>0</v>
      </c>
      <c r="Y352" s="171">
        <f t="shared" si="145"/>
        <v>0</v>
      </c>
      <c r="Z352" s="171">
        <f t="shared" si="146"/>
        <v>0</v>
      </c>
      <c r="AA352" s="175">
        <f t="shared" si="147"/>
        <v>3878220.2465237915</v>
      </c>
      <c r="AB352" s="5"/>
      <c r="AC352" s="5"/>
      <c r="AD352" s="5"/>
      <c r="AE352" s="5"/>
      <c r="AF352" s="5"/>
      <c r="AG352" s="5"/>
    </row>
    <row r="353" spans="1:33" x14ac:dyDescent="0.2">
      <c r="A353" s="169">
        <v>9</v>
      </c>
      <c r="B353" s="100" t="str">
        <f t="shared" si="133"/>
        <v>Working</v>
      </c>
      <c r="C353" s="170">
        <f t="shared" si="134"/>
        <v>2033969.9666232408</v>
      </c>
      <c r="D353" s="170">
        <f t="shared" si="135"/>
        <v>1020277.372071536</v>
      </c>
      <c r="E353" s="170">
        <f t="shared" si="136"/>
        <v>101341.60651100927</v>
      </c>
      <c r="F353" s="170">
        <f t="shared" si="137"/>
        <v>63338.504069380797</v>
      </c>
      <c r="G353" s="171">
        <f t="shared" si="138"/>
        <v>0</v>
      </c>
      <c r="H353" s="171">
        <f t="shared" si="139"/>
        <v>0</v>
      </c>
      <c r="I353" s="171">
        <f>IF(B353="Working",MIN(MAX(D353-E353-F353-G353-H353,0),'Tax Assumptions'!$B$20),0)</f>
        <v>7500</v>
      </c>
      <c r="J353" s="171">
        <f t="shared" si="140"/>
        <v>848097.26149114594</v>
      </c>
      <c r="K353" s="170">
        <f t="shared" si="141"/>
        <v>0</v>
      </c>
      <c r="L353" s="170">
        <f t="shared" si="142"/>
        <v>0</v>
      </c>
      <c r="M353" s="170">
        <f t="shared" si="148"/>
        <v>0</v>
      </c>
      <c r="N353" s="170">
        <f t="shared" si="149"/>
        <v>0</v>
      </c>
      <c r="O353" s="170">
        <f t="shared" si="150"/>
        <v>0</v>
      </c>
      <c r="P353" s="170">
        <f t="shared" si="151"/>
        <v>0</v>
      </c>
      <c r="Q353" s="171">
        <f t="shared" si="152"/>
        <v>4623288.6113382634</v>
      </c>
      <c r="R353" s="171">
        <f t="shared" si="153"/>
        <v>281537.24159276602</v>
      </c>
      <c r="S353" s="171">
        <f t="shared" si="154"/>
        <v>86184.869875336532</v>
      </c>
      <c r="T353" s="171">
        <f t="shared" si="155"/>
        <v>0</v>
      </c>
      <c r="U353" s="171">
        <f t="shared" si="143"/>
        <v>4991010.7228063662</v>
      </c>
      <c r="V353" s="171">
        <f t="shared" si="156"/>
        <v>0</v>
      </c>
      <c r="W353" s="171" t="str">
        <f>IF(OR(A353&gt;=$C$13,B353="Retired"),IF(V353&gt;0,-V353,U353-'Model Inputs'!$B$18),"")</f>
        <v/>
      </c>
      <c r="X353" s="171">
        <f t="shared" si="144"/>
        <v>0</v>
      </c>
      <c r="Y353" s="171">
        <f t="shared" si="145"/>
        <v>0</v>
      </c>
      <c r="Z353" s="171">
        <f t="shared" si="146"/>
        <v>0</v>
      </c>
      <c r="AA353" s="172">
        <f t="shared" si="147"/>
        <v>4991010.7228063662</v>
      </c>
      <c r="AB353" s="5"/>
      <c r="AC353" s="5"/>
      <c r="AD353" s="5"/>
      <c r="AE353" s="5"/>
      <c r="AF353" s="5"/>
      <c r="AG353" s="5"/>
    </row>
    <row r="354" spans="1:33" x14ac:dyDescent="0.2">
      <c r="A354" s="173">
        <v>10</v>
      </c>
      <c r="B354" s="65" t="str">
        <f t="shared" si="133"/>
        <v>Working</v>
      </c>
      <c r="C354" s="174">
        <f t="shared" si="134"/>
        <v>2595495.7626410057</v>
      </c>
      <c r="D354" s="174">
        <f t="shared" si="135"/>
        <v>1284890.7881869476</v>
      </c>
      <c r="E354" s="174">
        <f t="shared" si="136"/>
        <v>104381.85470633955</v>
      </c>
      <c r="F354" s="174">
        <f t="shared" si="137"/>
        <v>65238.659191462226</v>
      </c>
      <c r="G354" s="171">
        <f t="shared" si="138"/>
        <v>481701.17200139578</v>
      </c>
      <c r="H354" s="171">
        <f t="shared" si="139"/>
        <v>64615.384615384617</v>
      </c>
      <c r="I354" s="171">
        <f>IF(B354="Working",MIN(MAX(D354-E354-F354-G354-H354,0),'Tax Assumptions'!$B$20),0)</f>
        <v>7500</v>
      </c>
      <c r="J354" s="171">
        <f t="shared" si="140"/>
        <v>561453.71767236537</v>
      </c>
      <c r="K354" s="174">
        <f t="shared" si="141"/>
        <v>0</v>
      </c>
      <c r="L354" s="174">
        <f t="shared" si="142"/>
        <v>0</v>
      </c>
      <c r="M354" s="174">
        <f t="shared" si="148"/>
        <v>0</v>
      </c>
      <c r="N354" s="174">
        <f t="shared" si="149"/>
        <v>0</v>
      </c>
      <c r="O354" s="174">
        <f t="shared" si="150"/>
        <v>0</v>
      </c>
      <c r="P354" s="174">
        <f t="shared" si="151"/>
        <v>0</v>
      </c>
      <c r="Q354" s="171">
        <f t="shared" si="152"/>
        <v>5462139.6456909254</v>
      </c>
      <c r="R354" s="171">
        <f t="shared" si="153"/>
        <v>322929.47608833201</v>
      </c>
      <c r="S354" s="171">
        <f t="shared" si="154"/>
        <v>98855.96206785673</v>
      </c>
      <c r="T354" s="171">
        <f t="shared" si="155"/>
        <v>0</v>
      </c>
      <c r="U354" s="171">
        <f t="shared" si="143"/>
        <v>5883925.0838471139</v>
      </c>
      <c r="V354" s="171">
        <f t="shared" si="156"/>
        <v>0</v>
      </c>
      <c r="W354" s="171">
        <f>IF(OR(A354&gt;=$C$13,B354="Retired"),IF(V354&gt;0,-V354,U354-'Model Inputs'!$B$18),"")</f>
        <v>4883925.0838471139</v>
      </c>
      <c r="X354" s="171">
        <f t="shared" si="144"/>
        <v>1014107.7305292542</v>
      </c>
      <c r="Y354" s="171">
        <f t="shared" si="145"/>
        <v>551525.03457834024</v>
      </c>
      <c r="Z354" s="171">
        <f t="shared" si="146"/>
        <v>462582.69595091394</v>
      </c>
      <c r="AA354" s="175">
        <f t="shared" si="147"/>
        <v>6346507.7797980281</v>
      </c>
      <c r="AB354" s="5"/>
      <c r="AC354" s="5"/>
      <c r="AD354" s="5"/>
      <c r="AE354" s="5"/>
      <c r="AF354" s="5"/>
      <c r="AG354" s="5"/>
    </row>
    <row r="355" spans="1:33" x14ac:dyDescent="0.2">
      <c r="A355" s="169">
        <v>11</v>
      </c>
      <c r="B355" s="100" t="str">
        <f t="shared" si="133"/>
        <v>Retired</v>
      </c>
      <c r="C355" s="170">
        <f t="shared" si="134"/>
        <v>0</v>
      </c>
      <c r="D355" s="170">
        <f t="shared" si="135"/>
        <v>0</v>
      </c>
      <c r="E355" s="170">
        <f t="shared" si="136"/>
        <v>0</v>
      </c>
      <c r="F355" s="170">
        <f t="shared" si="137"/>
        <v>0</v>
      </c>
      <c r="G355" s="171">
        <f t="shared" si="138"/>
        <v>0</v>
      </c>
      <c r="H355" s="171">
        <f t="shared" si="139"/>
        <v>65284.695717533919</v>
      </c>
      <c r="I355" s="171">
        <f>IF(B355="Working",MIN(MAX(D355-E355-F355-G355-H355,0),'Tax Assumptions'!$B$20),0)</f>
        <v>0</v>
      </c>
      <c r="J355" s="171">
        <f t="shared" si="140"/>
        <v>-265284.69571753393</v>
      </c>
      <c r="K355" s="170">
        <f t="shared" si="141"/>
        <v>265284.69571753393</v>
      </c>
      <c r="L355" s="170">
        <f t="shared" si="142"/>
        <v>265284.69571753393</v>
      </c>
      <c r="M355" s="170">
        <f t="shared" si="148"/>
        <v>265284.69571753393</v>
      </c>
      <c r="N355" s="170">
        <f t="shared" si="149"/>
        <v>0</v>
      </c>
      <c r="O355" s="170">
        <f t="shared" si="150"/>
        <v>0</v>
      </c>
      <c r="P355" s="170">
        <f t="shared" si="151"/>
        <v>0</v>
      </c>
      <c r="Q355" s="171">
        <f t="shared" si="152"/>
        <v>5524583.3287148476</v>
      </c>
      <c r="R355" s="171">
        <f t="shared" si="153"/>
        <v>342305.24465363193</v>
      </c>
      <c r="S355" s="171">
        <f t="shared" si="154"/>
        <v>104787.31979192814</v>
      </c>
      <c r="T355" s="171">
        <f t="shared" si="155"/>
        <v>0</v>
      </c>
      <c r="U355" s="171">
        <f t="shared" si="143"/>
        <v>5971675.8931604074</v>
      </c>
      <c r="V355" s="171">
        <f t="shared" si="156"/>
        <v>0</v>
      </c>
      <c r="W355" s="171">
        <f>IF(OR(A355&gt;=$C$13,B355="Retired"),IF(V355&gt;0,-V355,U355-'Model Inputs'!$B$18),"")</f>
        <v>4971675.8931604074</v>
      </c>
      <c r="X355" s="171">
        <f t="shared" si="144"/>
        <v>1044530.9624451319</v>
      </c>
      <c r="Y355" s="171">
        <f t="shared" si="145"/>
        <v>544873.30029306666</v>
      </c>
      <c r="Z355" s="171">
        <f t="shared" si="146"/>
        <v>499657.6621520652</v>
      </c>
      <c r="AA355" s="172">
        <f t="shared" si="147"/>
        <v>6471333.5553124724</v>
      </c>
      <c r="AB355" s="5"/>
      <c r="AC355" s="5"/>
      <c r="AD355" s="5"/>
      <c r="AE355" s="5"/>
      <c r="AF355" s="5"/>
      <c r="AG355" s="5"/>
    </row>
    <row r="356" spans="1:33" x14ac:dyDescent="0.2">
      <c r="A356" s="173">
        <v>12</v>
      </c>
      <c r="B356" s="65" t="str">
        <f t="shared" si="133"/>
        <v>Retired</v>
      </c>
      <c r="C356" s="174">
        <f t="shared" si="134"/>
        <v>0</v>
      </c>
      <c r="D356" s="174">
        <f t="shared" si="135"/>
        <v>0</v>
      </c>
      <c r="E356" s="174">
        <f t="shared" si="136"/>
        <v>0</v>
      </c>
      <c r="F356" s="174">
        <f t="shared" si="137"/>
        <v>0</v>
      </c>
      <c r="G356" s="171">
        <f t="shared" si="138"/>
        <v>0</v>
      </c>
      <c r="H356" s="171">
        <f t="shared" si="139"/>
        <v>65974.08615274771</v>
      </c>
      <c r="I356" s="171">
        <f>IF(B356="Working",MIN(MAX(D356-E356-F356-G356-H356,0),'Tax Assumptions'!$B$20),0)</f>
        <v>0</v>
      </c>
      <c r="J356" s="171">
        <f t="shared" si="140"/>
        <v>-265974.08615274774</v>
      </c>
      <c r="K356" s="174">
        <f t="shared" si="141"/>
        <v>265974.08615274774</v>
      </c>
      <c r="L356" s="174">
        <f t="shared" si="142"/>
        <v>265974.08615274774</v>
      </c>
      <c r="M356" s="174">
        <f t="shared" si="148"/>
        <v>265974.08615274774</v>
      </c>
      <c r="N356" s="174">
        <f t="shared" si="149"/>
        <v>0</v>
      </c>
      <c r="O356" s="174">
        <f t="shared" si="150"/>
        <v>0</v>
      </c>
      <c r="P356" s="174">
        <f t="shared" si="151"/>
        <v>0</v>
      </c>
      <c r="Q356" s="171">
        <f t="shared" si="152"/>
        <v>5590084.2422849908</v>
      </c>
      <c r="R356" s="171">
        <f t="shared" si="153"/>
        <v>362843.55933284987</v>
      </c>
      <c r="S356" s="171">
        <f t="shared" si="154"/>
        <v>111074.55897944383</v>
      </c>
      <c r="T356" s="171">
        <f t="shared" si="155"/>
        <v>0</v>
      </c>
      <c r="U356" s="171">
        <f t="shared" si="143"/>
        <v>6064002.3605972845</v>
      </c>
      <c r="V356" s="171">
        <f t="shared" si="156"/>
        <v>0</v>
      </c>
      <c r="W356" s="171">
        <f>IF(OR(A356&gt;=$C$13,B356="Retired"),IF(V356&gt;0,-V356,U356-'Model Inputs'!$B$18),"")</f>
        <v>5064002.3605972845</v>
      </c>
      <c r="X356" s="171">
        <f t="shared" si="144"/>
        <v>1075866.8913184856</v>
      </c>
      <c r="Y356" s="171">
        <f t="shared" si="145"/>
        <v>537776.08704367955</v>
      </c>
      <c r="Z356" s="171">
        <f t="shared" si="146"/>
        <v>538090.80427480605</v>
      </c>
      <c r="AA356" s="175">
        <f t="shared" si="147"/>
        <v>6602093.1648720903</v>
      </c>
      <c r="AB356" s="5"/>
      <c r="AC356" s="5"/>
      <c r="AD356" s="5"/>
      <c r="AE356" s="5"/>
      <c r="AF356" s="5"/>
      <c r="AG356" s="5"/>
    </row>
    <row r="357" spans="1:33" x14ac:dyDescent="0.2">
      <c r="A357" s="169">
        <v>13</v>
      </c>
      <c r="B357" s="100" t="str">
        <f t="shared" si="133"/>
        <v>Retired</v>
      </c>
      <c r="C357" s="170">
        <f t="shared" si="134"/>
        <v>0</v>
      </c>
      <c r="D357" s="170">
        <f t="shared" si="135"/>
        <v>0</v>
      </c>
      <c r="E357" s="170">
        <f t="shared" si="136"/>
        <v>0</v>
      </c>
      <c r="F357" s="170">
        <f t="shared" si="137"/>
        <v>0</v>
      </c>
      <c r="G357" s="171">
        <f t="shared" si="138"/>
        <v>0</v>
      </c>
      <c r="H357" s="171">
        <f t="shared" si="139"/>
        <v>66684.158301017917</v>
      </c>
      <c r="I357" s="171">
        <f>IF(B357="Working",MIN(MAX(D357-E357-F357-G357-H357,0),'Tax Assumptions'!$B$20),0)</f>
        <v>0</v>
      </c>
      <c r="J357" s="171">
        <f t="shared" si="140"/>
        <v>-266684.15830101795</v>
      </c>
      <c r="K357" s="170">
        <f t="shared" si="141"/>
        <v>266684.15830101795</v>
      </c>
      <c r="L357" s="170">
        <f t="shared" si="142"/>
        <v>266684.15830101795</v>
      </c>
      <c r="M357" s="170">
        <f t="shared" si="148"/>
        <v>266684.15830101795</v>
      </c>
      <c r="N357" s="170">
        <f t="shared" si="149"/>
        <v>0</v>
      </c>
      <c r="O357" s="170">
        <f t="shared" si="150"/>
        <v>0</v>
      </c>
      <c r="P357" s="170">
        <f t="shared" si="151"/>
        <v>0</v>
      </c>
      <c r="Q357" s="171">
        <f t="shared" si="152"/>
        <v>5658805.1385210725</v>
      </c>
      <c r="R357" s="171">
        <f t="shared" si="153"/>
        <v>384614.1728928209</v>
      </c>
      <c r="S357" s="171">
        <f t="shared" si="154"/>
        <v>117739.03251821046</v>
      </c>
      <c r="T357" s="171">
        <f t="shared" si="155"/>
        <v>0</v>
      </c>
      <c r="U357" s="171">
        <f t="shared" si="143"/>
        <v>6161158.3439321043</v>
      </c>
      <c r="V357" s="171">
        <f t="shared" si="156"/>
        <v>0</v>
      </c>
      <c r="W357" s="171">
        <f>IF(OR(A357&gt;=$C$13,B357="Retired"),IF(V357&gt;0,-V357,U357-'Model Inputs'!$B$18),"")</f>
        <v>5161158.3439321043</v>
      </c>
      <c r="X357" s="171">
        <f t="shared" si="144"/>
        <v>1108142.8980580403</v>
      </c>
      <c r="Y357" s="171">
        <f t="shared" si="145"/>
        <v>530203.56027892395</v>
      </c>
      <c r="Z357" s="171">
        <f t="shared" si="146"/>
        <v>577939.33777911635</v>
      </c>
      <c r="AA357" s="172">
        <f t="shared" si="147"/>
        <v>6739097.6817112211</v>
      </c>
      <c r="AB357" s="5"/>
      <c r="AC357" s="5"/>
      <c r="AD357" s="5"/>
      <c r="AE357" s="5"/>
      <c r="AF357" s="5"/>
      <c r="AG357" s="5"/>
    </row>
    <row r="358" spans="1:33" x14ac:dyDescent="0.2">
      <c r="A358" s="173">
        <v>14</v>
      </c>
      <c r="B358" s="65" t="str">
        <f t="shared" si="133"/>
        <v>Retired</v>
      </c>
      <c r="C358" s="174">
        <f t="shared" si="134"/>
        <v>0</v>
      </c>
      <c r="D358" s="174">
        <f t="shared" si="135"/>
        <v>0</v>
      </c>
      <c r="E358" s="174">
        <f t="shared" si="136"/>
        <v>0</v>
      </c>
      <c r="F358" s="174">
        <f t="shared" si="137"/>
        <v>0</v>
      </c>
      <c r="G358" s="171">
        <f t="shared" si="138"/>
        <v>0</v>
      </c>
      <c r="H358" s="171">
        <f t="shared" si="139"/>
        <v>67415.532613736214</v>
      </c>
      <c r="I358" s="171">
        <f>IF(B358="Working",MIN(MAX(D358-E358-F358-G358-H358,0),'Tax Assumptions'!$B$20),0)</f>
        <v>0</v>
      </c>
      <c r="J358" s="171">
        <f t="shared" si="140"/>
        <v>-267415.53261373623</v>
      </c>
      <c r="K358" s="174">
        <f t="shared" si="141"/>
        <v>267415.53261373623</v>
      </c>
      <c r="L358" s="174">
        <f t="shared" si="142"/>
        <v>267415.53261373623</v>
      </c>
      <c r="M358" s="174">
        <f t="shared" si="148"/>
        <v>267415.53261373623</v>
      </c>
      <c r="N358" s="174">
        <f t="shared" si="149"/>
        <v>0</v>
      </c>
      <c r="O358" s="174">
        <f t="shared" si="150"/>
        <v>0</v>
      </c>
      <c r="P358" s="174">
        <f t="shared" si="151"/>
        <v>0</v>
      </c>
      <c r="Q358" s="171">
        <f t="shared" si="152"/>
        <v>5730917.9142186008</v>
      </c>
      <c r="R358" s="171">
        <f t="shared" si="153"/>
        <v>407691.0232663902</v>
      </c>
      <c r="S358" s="171">
        <f t="shared" si="154"/>
        <v>124803.37446930309</v>
      </c>
      <c r="T358" s="171">
        <f t="shared" si="155"/>
        <v>0</v>
      </c>
      <c r="U358" s="171">
        <f t="shared" si="143"/>
        <v>6263412.3119542943</v>
      </c>
      <c r="V358" s="171">
        <f t="shared" si="156"/>
        <v>0</v>
      </c>
      <c r="W358" s="171">
        <f>IF(OR(A358&gt;=$C$13,B358="Retired"),IF(V358&gt;0,-V358,U358-'Model Inputs'!$B$18),"")</f>
        <v>5263412.3119542943</v>
      </c>
      <c r="X358" s="171">
        <f t="shared" si="144"/>
        <v>1141387.1849997814</v>
      </c>
      <c r="Y358" s="171">
        <f t="shared" si="145"/>
        <v>522123.88737239386</v>
      </c>
      <c r="Z358" s="171">
        <f t="shared" si="146"/>
        <v>619263.29762738757</v>
      </c>
      <c r="AA358" s="175">
        <f t="shared" si="147"/>
        <v>6882675.6095816819</v>
      </c>
      <c r="AB358" s="5"/>
      <c r="AC358" s="5"/>
      <c r="AD358" s="5"/>
      <c r="AE358" s="5"/>
      <c r="AF358" s="5"/>
      <c r="AG358" s="5"/>
    </row>
    <row r="359" spans="1:33" x14ac:dyDescent="0.2">
      <c r="A359" s="169">
        <v>15</v>
      </c>
      <c r="B359" s="100" t="str">
        <f t="shared" si="133"/>
        <v>Retired</v>
      </c>
      <c r="C359" s="170">
        <f t="shared" si="134"/>
        <v>0</v>
      </c>
      <c r="D359" s="170">
        <f t="shared" si="135"/>
        <v>0</v>
      </c>
      <c r="E359" s="170">
        <f t="shared" si="136"/>
        <v>0</v>
      </c>
      <c r="F359" s="170">
        <f t="shared" si="137"/>
        <v>0</v>
      </c>
      <c r="G359" s="171">
        <f t="shared" si="138"/>
        <v>0</v>
      </c>
      <c r="H359" s="171">
        <f t="shared" si="139"/>
        <v>68168.84815583608</v>
      </c>
      <c r="I359" s="171">
        <f>IF(B359="Working",MIN(MAX(D359-E359-F359-G359-H359,0),'Tax Assumptions'!$B$20),0)</f>
        <v>0</v>
      </c>
      <c r="J359" s="171">
        <f t="shared" si="140"/>
        <v>-268168.84815583611</v>
      </c>
      <c r="K359" s="170">
        <f t="shared" si="141"/>
        <v>268168.84815583611</v>
      </c>
      <c r="L359" s="170">
        <f t="shared" si="142"/>
        <v>268168.84815583611</v>
      </c>
      <c r="M359" s="170">
        <f t="shared" si="148"/>
        <v>268168.84815583611</v>
      </c>
      <c r="N359" s="170">
        <f t="shared" si="149"/>
        <v>0</v>
      </c>
      <c r="O359" s="170">
        <f t="shared" si="150"/>
        <v>0</v>
      </c>
      <c r="P359" s="170">
        <f t="shared" si="151"/>
        <v>0</v>
      </c>
      <c r="Q359" s="171">
        <f t="shared" si="152"/>
        <v>5806604.1409158818</v>
      </c>
      <c r="R359" s="171">
        <f t="shared" si="153"/>
        <v>432152.48466237361</v>
      </c>
      <c r="S359" s="171">
        <f t="shared" si="154"/>
        <v>132291.57693746127</v>
      </c>
      <c r="T359" s="171">
        <f t="shared" si="155"/>
        <v>0</v>
      </c>
      <c r="U359" s="171">
        <f t="shared" si="143"/>
        <v>6371048.2025157167</v>
      </c>
      <c r="V359" s="171">
        <f t="shared" si="156"/>
        <v>0</v>
      </c>
      <c r="W359" s="171">
        <f>IF(OR(A359&gt;=$C$13,B359="Retired"),IF(V359&gt;0,-V359,U359-'Model Inputs'!$B$18),"")</f>
        <v>5371048.2025157167</v>
      </c>
      <c r="X359" s="171">
        <f t="shared" si="144"/>
        <v>1175628.8005497749</v>
      </c>
      <c r="Y359" s="171">
        <f t="shared" si="145"/>
        <v>513503.10380773869</v>
      </c>
      <c r="Z359" s="171">
        <f t="shared" si="146"/>
        <v>662125.69674203615</v>
      </c>
      <c r="AA359" s="172">
        <f t="shared" si="147"/>
        <v>7033173.899257753</v>
      </c>
      <c r="AB359" s="5"/>
      <c r="AC359" s="5"/>
      <c r="AD359" s="5"/>
      <c r="AE359" s="5"/>
      <c r="AF359" s="5"/>
      <c r="AG359" s="5"/>
    </row>
    <row r="360" spans="1:33" x14ac:dyDescent="0.2">
      <c r="A360" s="173">
        <v>16</v>
      </c>
      <c r="B360" s="65" t="str">
        <f t="shared" si="133"/>
        <v>Retired</v>
      </c>
      <c r="C360" s="174">
        <f t="shared" si="134"/>
        <v>0</v>
      </c>
      <c r="D360" s="174">
        <f t="shared" si="135"/>
        <v>0</v>
      </c>
      <c r="E360" s="174">
        <f t="shared" si="136"/>
        <v>0</v>
      </c>
      <c r="F360" s="174">
        <f t="shared" si="137"/>
        <v>0</v>
      </c>
      <c r="G360" s="171">
        <f t="shared" si="138"/>
        <v>0</v>
      </c>
      <c r="H360" s="171">
        <f t="shared" si="139"/>
        <v>68944.763164198928</v>
      </c>
      <c r="I360" s="171">
        <f>IF(B360="Working",MIN(MAX(D360-E360-F360-G360-H360,0),'Tax Assumptions'!$B$20),0)</f>
        <v>0</v>
      </c>
      <c r="J360" s="171">
        <f t="shared" si="140"/>
        <v>-268944.76316419896</v>
      </c>
      <c r="K360" s="174">
        <f t="shared" si="141"/>
        <v>268944.76316419896</v>
      </c>
      <c r="L360" s="174">
        <f t="shared" si="142"/>
        <v>268944.76316419896</v>
      </c>
      <c r="M360" s="174">
        <f t="shared" si="148"/>
        <v>268944.76316419896</v>
      </c>
      <c r="N360" s="174">
        <f t="shared" si="149"/>
        <v>0</v>
      </c>
      <c r="O360" s="174">
        <f t="shared" si="150"/>
        <v>0</v>
      </c>
      <c r="P360" s="174">
        <f t="shared" si="151"/>
        <v>0</v>
      </c>
      <c r="Q360" s="171">
        <f t="shared" si="152"/>
        <v>5886055.6262066364</v>
      </c>
      <c r="R360" s="171">
        <f t="shared" si="153"/>
        <v>458081.63374211604</v>
      </c>
      <c r="S360" s="171">
        <f t="shared" si="154"/>
        <v>140229.07155370896</v>
      </c>
      <c r="T360" s="171">
        <f t="shared" si="155"/>
        <v>0</v>
      </c>
      <c r="U360" s="171">
        <f t="shared" si="143"/>
        <v>6484366.3315024618</v>
      </c>
      <c r="V360" s="171">
        <f t="shared" si="156"/>
        <v>0</v>
      </c>
      <c r="W360" s="171">
        <f>IF(OR(A360&gt;=$C$13,B360="Retired"),IF(V360&gt;0,-V360,U360-'Model Inputs'!$B$18),"")</f>
        <v>5484366.3315024618</v>
      </c>
      <c r="X360" s="171">
        <f t="shared" si="144"/>
        <v>1210897.6645662682</v>
      </c>
      <c r="Y360" s="171">
        <f t="shared" si="145"/>
        <v>504304.97040204541</v>
      </c>
      <c r="Z360" s="171">
        <f t="shared" si="146"/>
        <v>706592.6941642228</v>
      </c>
      <c r="AA360" s="175">
        <f t="shared" si="147"/>
        <v>7190959.0256666848</v>
      </c>
      <c r="AB360" s="5"/>
      <c r="AC360" s="5"/>
      <c r="AD360" s="5"/>
      <c r="AE360" s="5"/>
      <c r="AF360" s="5"/>
      <c r="AG360" s="5"/>
    </row>
    <row r="361" spans="1:33" x14ac:dyDescent="0.2">
      <c r="A361" s="169">
        <v>17</v>
      </c>
      <c r="B361" s="100" t="str">
        <f t="shared" si="133"/>
        <v>Retired</v>
      </c>
      <c r="C361" s="170">
        <f t="shared" si="134"/>
        <v>0</v>
      </c>
      <c r="D361" s="170">
        <f t="shared" si="135"/>
        <v>0</v>
      </c>
      <c r="E361" s="170">
        <f t="shared" si="136"/>
        <v>0</v>
      </c>
      <c r="F361" s="170">
        <f t="shared" si="137"/>
        <v>0</v>
      </c>
      <c r="G361" s="171">
        <f t="shared" si="138"/>
        <v>0</v>
      </c>
      <c r="H361" s="171">
        <f t="shared" si="139"/>
        <v>69743.95562281266</v>
      </c>
      <c r="I361" s="171">
        <f>IF(B361="Working",MIN(MAX(D361-E361-F361-G361-H361,0),'Tax Assumptions'!$B$20),0)</f>
        <v>0</v>
      </c>
      <c r="J361" s="171">
        <f t="shared" si="140"/>
        <v>-269743.95562281267</v>
      </c>
      <c r="K361" s="170">
        <f t="shared" si="141"/>
        <v>269743.95562281267</v>
      </c>
      <c r="L361" s="170">
        <f t="shared" si="142"/>
        <v>269743.95562281267</v>
      </c>
      <c r="M361" s="170">
        <f t="shared" si="148"/>
        <v>269743.95562281267</v>
      </c>
      <c r="N361" s="170">
        <f t="shared" si="149"/>
        <v>0</v>
      </c>
      <c r="O361" s="170">
        <f t="shared" si="150"/>
        <v>0</v>
      </c>
      <c r="P361" s="170">
        <f t="shared" si="151"/>
        <v>0</v>
      </c>
      <c r="Q361" s="171">
        <f t="shared" si="152"/>
        <v>5969475.0081562223</v>
      </c>
      <c r="R361" s="171">
        <f t="shared" si="153"/>
        <v>485566.53176664305</v>
      </c>
      <c r="S361" s="171">
        <f t="shared" si="154"/>
        <v>148642.81584693151</v>
      </c>
      <c r="T361" s="171">
        <f t="shared" si="155"/>
        <v>0</v>
      </c>
      <c r="U361" s="171">
        <f t="shared" si="143"/>
        <v>6603684.3557697963</v>
      </c>
      <c r="V361" s="171">
        <f t="shared" si="156"/>
        <v>0</v>
      </c>
      <c r="W361" s="171">
        <f>IF(OR(A361&gt;=$C$13,B361="Retired"),IF(V361&gt;0,-V361,U361-'Model Inputs'!$B$18),"")</f>
        <v>5603684.3557697963</v>
      </c>
      <c r="X361" s="171">
        <f t="shared" si="144"/>
        <v>1247224.5945032563</v>
      </c>
      <c r="Y361" s="171">
        <f t="shared" si="145"/>
        <v>494490.8209672065</v>
      </c>
      <c r="Z361" s="171">
        <f t="shared" si="146"/>
        <v>752733.77353604976</v>
      </c>
      <c r="AA361" s="172">
        <f t="shared" si="147"/>
        <v>7356418.1293058461</v>
      </c>
      <c r="AB361" s="5"/>
      <c r="AC361" s="5"/>
      <c r="AD361" s="5"/>
      <c r="AE361" s="5"/>
      <c r="AF361" s="5"/>
      <c r="AG361" s="5"/>
    </row>
    <row r="362" spans="1:33" x14ac:dyDescent="0.2">
      <c r="A362" s="173">
        <v>18</v>
      </c>
      <c r="B362" s="65" t="str">
        <f t="shared" si="133"/>
        <v>Retired</v>
      </c>
      <c r="C362" s="174">
        <f t="shared" si="134"/>
        <v>0</v>
      </c>
      <c r="D362" s="174">
        <f t="shared" si="135"/>
        <v>0</v>
      </c>
      <c r="E362" s="174">
        <f t="shared" si="136"/>
        <v>0</v>
      </c>
      <c r="F362" s="174">
        <f t="shared" si="137"/>
        <v>0</v>
      </c>
      <c r="G362" s="171">
        <f t="shared" si="138"/>
        <v>0</v>
      </c>
      <c r="H362" s="171">
        <f t="shared" si="139"/>
        <v>70567.123855184807</v>
      </c>
      <c r="I362" s="171">
        <f>IF(B362="Working",MIN(MAX(D362-E362-F362-G362-H362,0),'Tax Assumptions'!$B$20),0)</f>
        <v>0</v>
      </c>
      <c r="J362" s="171">
        <f t="shared" si="140"/>
        <v>-270567.12385518482</v>
      </c>
      <c r="K362" s="174">
        <f t="shared" si="141"/>
        <v>270567.12385518482</v>
      </c>
      <c r="L362" s="174">
        <f t="shared" si="142"/>
        <v>270567.12385518482</v>
      </c>
      <c r="M362" s="174">
        <f t="shared" si="148"/>
        <v>270567.12385518482</v>
      </c>
      <c r="N362" s="174">
        <f t="shared" si="149"/>
        <v>0</v>
      </c>
      <c r="O362" s="174">
        <f t="shared" si="150"/>
        <v>0</v>
      </c>
      <c r="P362" s="174">
        <f t="shared" si="151"/>
        <v>0</v>
      </c>
      <c r="Q362" s="171">
        <f t="shared" si="152"/>
        <v>6057076.3847904112</v>
      </c>
      <c r="R362" s="171">
        <f t="shared" si="153"/>
        <v>514700.52367264166</v>
      </c>
      <c r="S362" s="171">
        <f t="shared" si="154"/>
        <v>157561.38479774742</v>
      </c>
      <c r="T362" s="171">
        <f t="shared" si="155"/>
        <v>0</v>
      </c>
      <c r="U362" s="171">
        <f t="shared" si="143"/>
        <v>6729338.2932607997</v>
      </c>
      <c r="V362" s="171">
        <f t="shared" si="156"/>
        <v>0</v>
      </c>
      <c r="W362" s="171">
        <f>IF(OR(A362&gt;=$C$13,B362="Retired"),IF(V362&gt;0,-V362,U362-'Model Inputs'!$B$18),"")</f>
        <v>5729338.2932607997</v>
      </c>
      <c r="X362" s="171">
        <f t="shared" si="144"/>
        <v>1284641.3323383539</v>
      </c>
      <c r="Y362" s="171">
        <f t="shared" si="145"/>
        <v>484019.39976888656</v>
      </c>
      <c r="Z362" s="171">
        <f t="shared" si="146"/>
        <v>800621.93256946723</v>
      </c>
      <c r="AA362" s="175">
        <f t="shared" si="147"/>
        <v>7529960.2258302672</v>
      </c>
      <c r="AB362" s="5"/>
      <c r="AC362" s="5"/>
      <c r="AD362" s="5"/>
      <c r="AE362" s="5"/>
      <c r="AF362" s="5"/>
      <c r="AG362" s="5"/>
    </row>
    <row r="363" spans="1:33" x14ac:dyDescent="0.2">
      <c r="A363" s="169">
        <v>19</v>
      </c>
      <c r="B363" s="100" t="str">
        <f t="shared" si="133"/>
        <v>Retired</v>
      </c>
      <c r="C363" s="170">
        <f t="shared" si="134"/>
        <v>0</v>
      </c>
      <c r="D363" s="170">
        <f t="shared" si="135"/>
        <v>0</v>
      </c>
      <c r="E363" s="170">
        <f t="shared" si="136"/>
        <v>0</v>
      </c>
      <c r="F363" s="170">
        <f t="shared" si="137"/>
        <v>0</v>
      </c>
      <c r="G363" s="171">
        <f t="shared" si="138"/>
        <v>0</v>
      </c>
      <c r="H363" s="171">
        <f t="shared" si="139"/>
        <v>71414.987134528114</v>
      </c>
      <c r="I363" s="171">
        <f>IF(B363="Working",MIN(MAX(D363-E363-F363-G363-H363,0),'Tax Assumptions'!$B$20),0)</f>
        <v>0</v>
      </c>
      <c r="J363" s="171">
        <f t="shared" si="140"/>
        <v>-271414.98713452811</v>
      </c>
      <c r="K363" s="170">
        <f t="shared" si="141"/>
        <v>271414.98713452811</v>
      </c>
      <c r="L363" s="170">
        <f t="shared" si="142"/>
        <v>271414.98713452811</v>
      </c>
      <c r="M363" s="170">
        <f t="shared" si="148"/>
        <v>271414.98713452811</v>
      </c>
      <c r="N363" s="170">
        <f t="shared" si="149"/>
        <v>0</v>
      </c>
      <c r="O363" s="170">
        <f t="shared" si="150"/>
        <v>0</v>
      </c>
      <c r="P363" s="170">
        <f t="shared" si="151"/>
        <v>0</v>
      </c>
      <c r="Q363" s="171">
        <f t="shared" si="152"/>
        <v>6149085.9807433076</v>
      </c>
      <c r="R363" s="171">
        <f t="shared" si="153"/>
        <v>545582.55509300018</v>
      </c>
      <c r="S363" s="171">
        <f t="shared" si="154"/>
        <v>167015.06788561228</v>
      </c>
      <c r="T363" s="171">
        <f t="shared" si="155"/>
        <v>0</v>
      </c>
      <c r="U363" s="171">
        <f t="shared" si="143"/>
        <v>6861683.6037219195</v>
      </c>
      <c r="V363" s="171">
        <f t="shared" si="156"/>
        <v>0</v>
      </c>
      <c r="W363" s="171">
        <f>IF(OR(A363&gt;=$C$13,B363="Retired"),IF(V363&gt;0,-V363,U363-'Model Inputs'!$B$18),"")</f>
        <v>5861683.6037219195</v>
      </c>
      <c r="X363" s="171">
        <f t="shared" si="144"/>
        <v>1323180.5723085045</v>
      </c>
      <c r="Y363" s="171">
        <f t="shared" si="145"/>
        <v>472846.68809981644</v>
      </c>
      <c r="Z363" s="171">
        <f t="shared" si="146"/>
        <v>850333.88420868805</v>
      </c>
      <c r="AA363" s="172">
        <f t="shared" si="147"/>
        <v>7712017.4879306071</v>
      </c>
      <c r="AB363" s="5"/>
      <c r="AC363" s="5"/>
      <c r="AD363" s="5"/>
      <c r="AE363" s="5"/>
      <c r="AF363" s="5"/>
      <c r="AG363" s="5"/>
    </row>
    <row r="364" spans="1:33" x14ac:dyDescent="0.2">
      <c r="A364" s="173">
        <v>20</v>
      </c>
      <c r="B364" s="65" t="str">
        <f t="shared" si="133"/>
        <v>Retired</v>
      </c>
      <c r="C364" s="174">
        <f t="shared" si="134"/>
        <v>0</v>
      </c>
      <c r="D364" s="174">
        <f t="shared" si="135"/>
        <v>0</v>
      </c>
      <c r="E364" s="174">
        <f t="shared" si="136"/>
        <v>0</v>
      </c>
      <c r="F364" s="174">
        <f t="shared" si="137"/>
        <v>0</v>
      </c>
      <c r="G364" s="171">
        <f t="shared" si="138"/>
        <v>0</v>
      </c>
      <c r="H364" s="171">
        <f t="shared" si="139"/>
        <v>72288.28631225173</v>
      </c>
      <c r="I364" s="171">
        <f>IF(B364="Working",MIN(MAX(D364-E364-F364-G364-H364,0),'Tax Assumptions'!$B$20),0)</f>
        <v>0</v>
      </c>
      <c r="J364" s="171">
        <f t="shared" si="140"/>
        <v>-272288.2863122517</v>
      </c>
      <c r="K364" s="174">
        <f t="shared" si="141"/>
        <v>272288.2863122517</v>
      </c>
      <c r="L364" s="174">
        <f t="shared" si="142"/>
        <v>272288.2863122517</v>
      </c>
      <c r="M364" s="174">
        <f t="shared" si="148"/>
        <v>272288.2863122517</v>
      </c>
      <c r="N364" s="174">
        <f t="shared" si="149"/>
        <v>0</v>
      </c>
      <c r="O364" s="174">
        <f t="shared" si="150"/>
        <v>0</v>
      </c>
      <c r="P364" s="174">
        <f t="shared" si="151"/>
        <v>0</v>
      </c>
      <c r="Q364" s="171">
        <f t="shared" si="152"/>
        <v>6245742.8532756548</v>
      </c>
      <c r="R364" s="171">
        <f t="shared" si="153"/>
        <v>578317.50839858025</v>
      </c>
      <c r="S364" s="171">
        <f t="shared" si="154"/>
        <v>177035.97195874903</v>
      </c>
      <c r="T364" s="171">
        <f t="shared" si="155"/>
        <v>0</v>
      </c>
      <c r="U364" s="171">
        <f t="shared" si="143"/>
        <v>7001096.3336329842</v>
      </c>
      <c r="V364" s="171">
        <f t="shared" si="156"/>
        <v>0</v>
      </c>
      <c r="W364" s="171">
        <f>IF(OR(A364&gt;=$C$13,B364="Retired"),IF(V364&gt;0,-V364,U364-'Model Inputs'!$B$18),"")</f>
        <v>6001096.3336329842</v>
      </c>
      <c r="X364" s="171">
        <f t="shared" si="144"/>
        <v>1362875.9894777597</v>
      </c>
      <c r="Y364" s="171">
        <f t="shared" si="145"/>
        <v>460925.71923837857</v>
      </c>
      <c r="Z364" s="171">
        <f t="shared" si="146"/>
        <v>901950.27023938112</v>
      </c>
      <c r="AA364" s="175">
        <f t="shared" si="147"/>
        <v>7903046.6038723653</v>
      </c>
      <c r="AB364" s="5"/>
      <c r="AC364" s="5"/>
      <c r="AD364" s="5"/>
      <c r="AE364" s="5"/>
      <c r="AF364" s="5"/>
      <c r="AG364" s="5"/>
    </row>
    <row r="365" spans="1:33" x14ac:dyDescent="0.2">
      <c r="A365" s="169">
        <v>21</v>
      </c>
      <c r="B365" s="100" t="str">
        <f t="shared" si="133"/>
        <v>Retired</v>
      </c>
      <c r="C365" s="170">
        <f t="shared" si="134"/>
        <v>0</v>
      </c>
      <c r="D365" s="170">
        <f t="shared" si="135"/>
        <v>0</v>
      </c>
      <c r="E365" s="170">
        <f t="shared" si="136"/>
        <v>0</v>
      </c>
      <c r="F365" s="170">
        <f t="shared" si="137"/>
        <v>0</v>
      </c>
      <c r="G365" s="171">
        <f t="shared" si="138"/>
        <v>0</v>
      </c>
      <c r="H365" s="171">
        <f t="shared" si="139"/>
        <v>73187.78446530705</v>
      </c>
      <c r="I365" s="171">
        <f>IF(B365="Working",MIN(MAX(D365-E365-F365-G365-H365,0),'Tax Assumptions'!$B$20),0)</f>
        <v>0</v>
      </c>
      <c r="J365" s="171">
        <f t="shared" si="140"/>
        <v>-273187.78446530702</v>
      </c>
      <c r="K365" s="170">
        <f t="shared" si="141"/>
        <v>273187.78446530702</v>
      </c>
      <c r="L365" s="170">
        <f t="shared" si="142"/>
        <v>273187.78446530702</v>
      </c>
      <c r="M365" s="170">
        <f t="shared" si="148"/>
        <v>273187.78446530702</v>
      </c>
      <c r="N365" s="170">
        <f t="shared" si="149"/>
        <v>0</v>
      </c>
      <c r="O365" s="170">
        <f t="shared" si="150"/>
        <v>0</v>
      </c>
      <c r="P365" s="170">
        <f t="shared" si="151"/>
        <v>0</v>
      </c>
      <c r="Q365" s="171">
        <f t="shared" si="152"/>
        <v>6347299.6400068868</v>
      </c>
      <c r="R365" s="171">
        <f t="shared" si="153"/>
        <v>613016.55890249508</v>
      </c>
      <c r="S365" s="171">
        <f t="shared" si="154"/>
        <v>187658.13027627397</v>
      </c>
      <c r="T365" s="171">
        <f t="shared" si="155"/>
        <v>0</v>
      </c>
      <c r="U365" s="171">
        <f t="shared" si="143"/>
        <v>7147974.3291856553</v>
      </c>
      <c r="V365" s="171">
        <f t="shared" si="156"/>
        <v>0</v>
      </c>
      <c r="W365" s="171">
        <f>IF(OR(A365&gt;=$C$13,B365="Retired"),IF(V365&gt;0,-V365,U365-'Model Inputs'!$B$18),"")</f>
        <v>6147974.3291856553</v>
      </c>
      <c r="X365" s="171">
        <f t="shared" si="144"/>
        <v>1403762.2691620924</v>
      </c>
      <c r="Y365" s="171">
        <f t="shared" si="145"/>
        <v>448206.38101462531</v>
      </c>
      <c r="Z365" s="171">
        <f t="shared" si="146"/>
        <v>955555.88814746705</v>
      </c>
      <c r="AA365" s="172">
        <f t="shared" si="147"/>
        <v>8103530.2173331222</v>
      </c>
      <c r="AB365" s="5"/>
      <c r="AC365" s="5"/>
      <c r="AD365" s="5"/>
      <c r="AE365" s="5"/>
      <c r="AF365" s="5"/>
      <c r="AG365" s="5"/>
    </row>
    <row r="366" spans="1:33" x14ac:dyDescent="0.2">
      <c r="A366" s="173">
        <v>22</v>
      </c>
      <c r="B366" s="65" t="str">
        <f t="shared" si="133"/>
        <v>Retired</v>
      </c>
      <c r="C366" s="174">
        <f t="shared" si="134"/>
        <v>0</v>
      </c>
      <c r="D366" s="174">
        <f t="shared" si="135"/>
        <v>0</v>
      </c>
      <c r="E366" s="174">
        <f t="shared" si="136"/>
        <v>0</v>
      </c>
      <c r="F366" s="174">
        <f t="shared" si="137"/>
        <v>0</v>
      </c>
      <c r="G366" s="171">
        <f t="shared" si="138"/>
        <v>0</v>
      </c>
      <c r="H366" s="171">
        <f t="shared" si="139"/>
        <v>74114.267562954032</v>
      </c>
      <c r="I366" s="171">
        <f>IF(B366="Working",MIN(MAX(D366-E366-F366-G366-H366,0),'Tax Assumptions'!$B$20),0)</f>
        <v>0</v>
      </c>
      <c r="J366" s="171">
        <f t="shared" si="140"/>
        <v>-274114.26756295405</v>
      </c>
      <c r="K366" s="174">
        <f t="shared" si="141"/>
        <v>274114.26756295405</v>
      </c>
      <c r="L366" s="174">
        <f t="shared" si="142"/>
        <v>274114.26756295405</v>
      </c>
      <c r="M366" s="174">
        <f t="shared" si="148"/>
        <v>274114.26756295405</v>
      </c>
      <c r="N366" s="174">
        <f t="shared" si="149"/>
        <v>0</v>
      </c>
      <c r="O366" s="174">
        <f t="shared" si="150"/>
        <v>0</v>
      </c>
      <c r="P366" s="174">
        <f t="shared" si="151"/>
        <v>0</v>
      </c>
      <c r="Q366" s="171">
        <f t="shared" si="152"/>
        <v>6454023.3508443469</v>
      </c>
      <c r="R366" s="171">
        <f t="shared" si="153"/>
        <v>649797.55243664479</v>
      </c>
      <c r="S366" s="171">
        <f t="shared" si="154"/>
        <v>198917.6180928504</v>
      </c>
      <c r="T366" s="171">
        <f t="shared" si="155"/>
        <v>0</v>
      </c>
      <c r="U366" s="171">
        <f t="shared" si="143"/>
        <v>7302738.5213738428</v>
      </c>
      <c r="V366" s="171">
        <f t="shared" si="156"/>
        <v>0</v>
      </c>
      <c r="W366" s="171">
        <f>IF(OR(A366&gt;=$C$13,B366="Retired"),IF(V366&gt;0,-V366,U366-'Model Inputs'!$B$18),"")</f>
        <v>6302738.5213738428</v>
      </c>
      <c r="X366" s="171">
        <f t="shared" si="144"/>
        <v>1445875.1372369549</v>
      </c>
      <c r="Y366" s="171">
        <f t="shared" si="145"/>
        <v>434635.20515378064</v>
      </c>
      <c r="Z366" s="171">
        <f t="shared" si="146"/>
        <v>1011239.9320831742</v>
      </c>
      <c r="AA366" s="175">
        <f t="shared" si="147"/>
        <v>8313978.4534570174</v>
      </c>
      <c r="AB366" s="5"/>
      <c r="AC366" s="5"/>
      <c r="AD366" s="5"/>
      <c r="AE366" s="5"/>
      <c r="AF366" s="5"/>
      <c r="AG366" s="5"/>
    </row>
    <row r="367" spans="1:33" x14ac:dyDescent="0.2">
      <c r="A367" s="169">
        <v>23</v>
      </c>
      <c r="B367" s="100" t="str">
        <f t="shared" si="133"/>
        <v>Retired</v>
      </c>
      <c r="C367" s="170">
        <f t="shared" si="134"/>
        <v>0</v>
      </c>
      <c r="D367" s="170">
        <f t="shared" si="135"/>
        <v>0</v>
      </c>
      <c r="E367" s="170">
        <f t="shared" si="136"/>
        <v>0</v>
      </c>
      <c r="F367" s="170">
        <f t="shared" si="137"/>
        <v>0</v>
      </c>
      <c r="G367" s="171">
        <f t="shared" si="138"/>
        <v>0</v>
      </c>
      <c r="H367" s="171">
        <f t="shared" si="139"/>
        <v>75068.545153530416</v>
      </c>
      <c r="I367" s="171">
        <f>IF(B367="Working",MIN(MAX(D367-E367-F367-G367-H367,0),'Tax Assumptions'!$B$20),0)</f>
        <v>0</v>
      </c>
      <c r="J367" s="171">
        <f t="shared" si="140"/>
        <v>-275068.54515353043</v>
      </c>
      <c r="K367" s="170">
        <f t="shared" si="141"/>
        <v>275068.54515353043</v>
      </c>
      <c r="L367" s="170">
        <f t="shared" si="142"/>
        <v>275068.54515353043</v>
      </c>
      <c r="M367" s="170">
        <f t="shared" si="148"/>
        <v>275068.54515353043</v>
      </c>
      <c r="N367" s="170">
        <f t="shared" si="149"/>
        <v>0</v>
      </c>
      <c r="O367" s="170">
        <f t="shared" si="150"/>
        <v>0</v>
      </c>
      <c r="P367" s="170">
        <f t="shared" si="151"/>
        <v>0</v>
      </c>
      <c r="Q367" s="171">
        <f t="shared" si="152"/>
        <v>6566196.2067414774</v>
      </c>
      <c r="R367" s="171">
        <f t="shared" si="153"/>
        <v>688785.40558284346</v>
      </c>
      <c r="S367" s="171">
        <f t="shared" si="154"/>
        <v>210852.67517842143</v>
      </c>
      <c r="T367" s="171">
        <f t="shared" si="155"/>
        <v>0</v>
      </c>
      <c r="U367" s="171">
        <f t="shared" si="143"/>
        <v>7465834.2875027424</v>
      </c>
      <c r="V367" s="171">
        <f t="shared" si="156"/>
        <v>0</v>
      </c>
      <c r="W367" s="171">
        <f>IF(OR(A367&gt;=$C$13,B367="Retired"),IF(V367&gt;0,-V367,U367-'Model Inputs'!$B$18),"")</f>
        <v>6465834.2875027424</v>
      </c>
      <c r="X367" s="171">
        <f t="shared" si="144"/>
        <v>1489251.3913540635</v>
      </c>
      <c r="Y367" s="171">
        <f t="shared" si="145"/>
        <v>420155.14251168293</v>
      </c>
      <c r="Z367" s="171">
        <f t="shared" si="146"/>
        <v>1069096.2488423805</v>
      </c>
      <c r="AA367" s="172">
        <f t="shared" si="147"/>
        <v>8534930.5363451224</v>
      </c>
      <c r="AB367" s="5"/>
      <c r="AC367" s="5"/>
      <c r="AD367" s="5"/>
      <c r="AE367" s="5"/>
      <c r="AF367" s="5"/>
      <c r="AG367" s="5"/>
    </row>
    <row r="368" spans="1:33" x14ac:dyDescent="0.2">
      <c r="A368" s="173">
        <v>24</v>
      </c>
      <c r="B368" s="65" t="str">
        <f t="shared" si="133"/>
        <v>Retired</v>
      </c>
      <c r="C368" s="174">
        <f t="shared" si="134"/>
        <v>0</v>
      </c>
      <c r="D368" s="174">
        <f t="shared" si="135"/>
        <v>0</v>
      </c>
      <c r="E368" s="174">
        <f t="shared" si="136"/>
        <v>0</v>
      </c>
      <c r="F368" s="174">
        <f t="shared" si="137"/>
        <v>0</v>
      </c>
      <c r="G368" s="171">
        <f t="shared" si="138"/>
        <v>0</v>
      </c>
      <c r="H368" s="171">
        <f t="shared" si="139"/>
        <v>76051.451071824107</v>
      </c>
      <c r="I368" s="171">
        <f>IF(B368="Working",MIN(MAX(D368-E368-F368-G368-H368,0),'Tax Assumptions'!$B$20),0)</f>
        <v>0</v>
      </c>
      <c r="J368" s="171">
        <f t="shared" si="140"/>
        <v>-276051.45107182412</v>
      </c>
      <c r="K368" s="174">
        <f t="shared" si="141"/>
        <v>276051.45107182412</v>
      </c>
      <c r="L368" s="174">
        <f t="shared" si="142"/>
        <v>276051.45107182412</v>
      </c>
      <c r="M368" s="174">
        <f t="shared" si="148"/>
        <v>276051.45107182412</v>
      </c>
      <c r="N368" s="174">
        <f t="shared" si="149"/>
        <v>0</v>
      </c>
      <c r="O368" s="174">
        <f t="shared" si="150"/>
        <v>0</v>
      </c>
      <c r="P368" s="174">
        <f t="shared" si="151"/>
        <v>0</v>
      </c>
      <c r="Q368" s="171">
        <f t="shared" si="152"/>
        <v>6684116.5280741425</v>
      </c>
      <c r="R368" s="171">
        <f t="shared" si="153"/>
        <v>730112.52991781407</v>
      </c>
      <c r="S368" s="171">
        <f t="shared" si="154"/>
        <v>223503.83568912672</v>
      </c>
      <c r="T368" s="171">
        <f t="shared" si="155"/>
        <v>0</v>
      </c>
      <c r="U368" s="171">
        <f t="shared" si="143"/>
        <v>7637732.8936810829</v>
      </c>
      <c r="V368" s="171">
        <f t="shared" si="156"/>
        <v>0</v>
      </c>
      <c r="W368" s="171">
        <f>IF(OR(A368&gt;=$C$13,B368="Retired"),IF(V368&gt;0,-V368,U368-'Model Inputs'!$B$18),"")</f>
        <v>6637732.8936810829</v>
      </c>
      <c r="X368" s="171">
        <f t="shared" si="144"/>
        <v>1533928.9330946857</v>
      </c>
      <c r="Y368" s="171">
        <f t="shared" si="145"/>
        <v>404705.32325733127</v>
      </c>
      <c r="Z368" s="171">
        <f t="shared" si="146"/>
        <v>1129223.6098373544</v>
      </c>
      <c r="AA368" s="175">
        <f t="shared" si="147"/>
        <v>8766956.503518438</v>
      </c>
      <c r="AB368" s="5"/>
      <c r="AC368" s="5"/>
      <c r="AD368" s="5"/>
      <c r="AE368" s="5"/>
      <c r="AF368" s="5"/>
      <c r="AG368" s="5"/>
    </row>
    <row r="369" spans="1:33" x14ac:dyDescent="0.2">
      <c r="A369" s="169">
        <v>25</v>
      </c>
      <c r="B369" s="100" t="str">
        <f t="shared" si="133"/>
        <v>Retired</v>
      </c>
      <c r="C369" s="170">
        <f t="shared" si="134"/>
        <v>0</v>
      </c>
      <c r="D369" s="170">
        <f t="shared" si="135"/>
        <v>0</v>
      </c>
      <c r="E369" s="170">
        <f t="shared" si="136"/>
        <v>0</v>
      </c>
      <c r="F369" s="170">
        <f t="shared" si="137"/>
        <v>0</v>
      </c>
      <c r="G369" s="171">
        <f t="shared" si="138"/>
        <v>0</v>
      </c>
      <c r="H369" s="171">
        <f t="shared" si="139"/>
        <v>77063.844167666597</v>
      </c>
      <c r="I369" s="171">
        <f>IF(B369="Working",MIN(MAX(D369-E369-F369-G369-H369,0),'Tax Assumptions'!$B$20),0)</f>
        <v>0</v>
      </c>
      <c r="J369" s="171">
        <f t="shared" si="140"/>
        <v>-277063.84416766663</v>
      </c>
      <c r="K369" s="170">
        <f t="shared" si="141"/>
        <v>277063.84416766663</v>
      </c>
      <c r="L369" s="170">
        <f t="shared" si="142"/>
        <v>277063.84416766663</v>
      </c>
      <c r="M369" s="170">
        <f t="shared" si="148"/>
        <v>277063.84416766663</v>
      </c>
      <c r="N369" s="170">
        <f t="shared" si="149"/>
        <v>0</v>
      </c>
      <c r="O369" s="170">
        <f t="shared" si="150"/>
        <v>0</v>
      </c>
      <c r="P369" s="170">
        <f t="shared" si="151"/>
        <v>0</v>
      </c>
      <c r="Q369" s="171">
        <f t="shared" si="152"/>
        <v>6808099.6755909249</v>
      </c>
      <c r="R369" s="171">
        <f t="shared" si="153"/>
        <v>773919.28171288292</v>
      </c>
      <c r="S369" s="171">
        <f t="shared" si="154"/>
        <v>236914.06583047434</v>
      </c>
      <c r="T369" s="171">
        <f t="shared" si="155"/>
        <v>0</v>
      </c>
      <c r="U369" s="171">
        <f t="shared" si="143"/>
        <v>7818933.0231342828</v>
      </c>
      <c r="V369" s="171">
        <f t="shared" si="156"/>
        <v>0</v>
      </c>
      <c r="W369" s="171">
        <f>IF(OR(A369&gt;=$C$13,B369="Retired"),IF(V369&gt;0,-V369,U369-'Model Inputs'!$B$18),"")</f>
        <v>6818933.0231342828</v>
      </c>
      <c r="X369" s="171">
        <f t="shared" si="144"/>
        <v>1579946.8010875264</v>
      </c>
      <c r="Y369" s="171">
        <f t="shared" si="145"/>
        <v>388220.80099441088</v>
      </c>
      <c r="Z369" s="171">
        <f t="shared" si="146"/>
        <v>1191726.0000931155</v>
      </c>
      <c r="AA369" s="172">
        <f t="shared" si="147"/>
        <v>9010659.0232273974</v>
      </c>
      <c r="AB369" s="5"/>
      <c r="AC369" s="5"/>
      <c r="AD369" s="5"/>
      <c r="AE369" s="5"/>
      <c r="AF369" s="5"/>
      <c r="AG369" s="5"/>
    </row>
    <row r="370" spans="1:33" x14ac:dyDescent="0.2">
      <c r="A370" s="173">
        <v>26</v>
      </c>
      <c r="B370" s="65" t="str">
        <f t="shared" si="133"/>
        <v>Retired</v>
      </c>
      <c r="C370" s="174">
        <f t="shared" si="134"/>
        <v>0</v>
      </c>
      <c r="D370" s="174">
        <f t="shared" si="135"/>
        <v>0</v>
      </c>
      <c r="E370" s="174">
        <f t="shared" si="136"/>
        <v>0</v>
      </c>
      <c r="F370" s="174">
        <f t="shared" si="137"/>
        <v>0</v>
      </c>
      <c r="G370" s="171">
        <f t="shared" si="138"/>
        <v>0</v>
      </c>
      <c r="H370" s="171">
        <f t="shared" si="139"/>
        <v>78106.609056384361</v>
      </c>
      <c r="I370" s="171">
        <f>IF(B370="Working",MIN(MAX(D370-E370-F370-G370-H370,0),'Tax Assumptions'!$B$20),0)</f>
        <v>0</v>
      </c>
      <c r="J370" s="171">
        <f t="shared" si="140"/>
        <v>-278106.60905638436</v>
      </c>
      <c r="K370" s="174">
        <f t="shared" si="141"/>
        <v>278106.60905638436</v>
      </c>
      <c r="L370" s="174">
        <f t="shared" si="142"/>
        <v>278106.60905638436</v>
      </c>
      <c r="M370" s="174">
        <f t="shared" si="148"/>
        <v>278106.60905638436</v>
      </c>
      <c r="N370" s="174">
        <f t="shared" si="149"/>
        <v>0</v>
      </c>
      <c r="O370" s="174">
        <f t="shared" si="150"/>
        <v>0</v>
      </c>
      <c r="P370" s="174">
        <f t="shared" si="151"/>
        <v>0</v>
      </c>
      <c r="Q370" s="171">
        <f t="shared" si="152"/>
        <v>6938479.0470699966</v>
      </c>
      <c r="R370" s="171">
        <f t="shared" si="153"/>
        <v>820354.43861565599</v>
      </c>
      <c r="S370" s="171">
        <f t="shared" si="154"/>
        <v>251128.90978030281</v>
      </c>
      <c r="T370" s="171">
        <f t="shared" si="155"/>
        <v>0</v>
      </c>
      <c r="U370" s="171">
        <f t="shared" si="143"/>
        <v>8009962.3954659551</v>
      </c>
      <c r="V370" s="171">
        <f t="shared" si="156"/>
        <v>0</v>
      </c>
      <c r="W370" s="171">
        <f>IF(OR(A370&gt;=$C$13,B370="Retired"),IF(V370&gt;0,-V370,U370-'Model Inputs'!$B$18),"")</f>
        <v>7009962.3954659551</v>
      </c>
      <c r="X370" s="171">
        <f t="shared" si="144"/>
        <v>1627345.2051201519</v>
      </c>
      <c r="Y370" s="171">
        <f t="shared" si="145"/>
        <v>370632.2797461655</v>
      </c>
      <c r="Z370" s="171">
        <f t="shared" si="146"/>
        <v>1256712.9253739864</v>
      </c>
      <c r="AA370" s="175">
        <f t="shared" si="147"/>
        <v>9266675.3208399415</v>
      </c>
      <c r="AB370" s="5"/>
      <c r="AC370" s="5"/>
      <c r="AD370" s="5"/>
      <c r="AE370" s="5"/>
      <c r="AF370" s="5"/>
      <c r="AG370" s="5"/>
    </row>
    <row r="371" spans="1:33" x14ac:dyDescent="0.2">
      <c r="A371" s="169">
        <v>27</v>
      </c>
      <c r="B371" s="100" t="str">
        <f t="shared" si="133"/>
        <v>Retired</v>
      </c>
      <c r="C371" s="170">
        <f t="shared" si="134"/>
        <v>0</v>
      </c>
      <c r="D371" s="170">
        <f t="shared" si="135"/>
        <v>0</v>
      </c>
      <c r="E371" s="170">
        <f t="shared" si="136"/>
        <v>0</v>
      </c>
      <c r="F371" s="170">
        <f t="shared" si="137"/>
        <v>0</v>
      </c>
      <c r="G371" s="171">
        <f t="shared" si="138"/>
        <v>0</v>
      </c>
      <c r="H371" s="171">
        <f t="shared" si="139"/>
        <v>79180.656891763661</v>
      </c>
      <c r="I371" s="171">
        <f>IF(B371="Working",MIN(MAX(D371-E371-F371-G371-H371,0),'Tax Assumptions'!$B$20),0)</f>
        <v>0</v>
      </c>
      <c r="J371" s="171">
        <f t="shared" si="140"/>
        <v>-279180.65689176368</v>
      </c>
      <c r="K371" s="170">
        <f t="shared" si="141"/>
        <v>279180.65689176368</v>
      </c>
      <c r="L371" s="170">
        <f t="shared" si="142"/>
        <v>279180.65689176368</v>
      </c>
      <c r="M371" s="170">
        <f t="shared" si="148"/>
        <v>279180.65689176368</v>
      </c>
      <c r="N371" s="170">
        <f t="shared" si="149"/>
        <v>0</v>
      </c>
      <c r="O371" s="170">
        <f t="shared" si="150"/>
        <v>0</v>
      </c>
      <c r="P371" s="170">
        <f t="shared" si="151"/>
        <v>0</v>
      </c>
      <c r="Q371" s="171">
        <f t="shared" si="152"/>
        <v>7075607.1330024339</v>
      </c>
      <c r="R371" s="171">
        <f t="shared" si="153"/>
        <v>869575.70493259537</v>
      </c>
      <c r="S371" s="171">
        <f t="shared" si="154"/>
        <v>266196.64436712099</v>
      </c>
      <c r="T371" s="171">
        <f t="shared" si="155"/>
        <v>0</v>
      </c>
      <c r="U371" s="171">
        <f t="shared" si="143"/>
        <v>8211379.4823021507</v>
      </c>
      <c r="V371" s="171">
        <f t="shared" si="156"/>
        <v>0</v>
      </c>
      <c r="W371" s="171">
        <f>IF(OR(A371&gt;=$C$13,B371="Retired"),IF(V371&gt;0,-V371,U371-'Model Inputs'!$B$18),"")</f>
        <v>7211379.4823021507</v>
      </c>
      <c r="X371" s="171">
        <f t="shared" si="144"/>
        <v>1676165.5612737564</v>
      </c>
      <c r="Y371" s="171">
        <f t="shared" si="145"/>
        <v>351865.8226559395</v>
      </c>
      <c r="Z371" s="171">
        <f t="shared" si="146"/>
        <v>1324299.7386178169</v>
      </c>
      <c r="AA371" s="172">
        <f t="shared" si="147"/>
        <v>9535679.2209199667</v>
      </c>
      <c r="AB371" s="5"/>
      <c r="AC371" s="5"/>
      <c r="AD371" s="5"/>
      <c r="AE371" s="5"/>
      <c r="AF371" s="5"/>
      <c r="AG371" s="5"/>
    </row>
    <row r="372" spans="1:33" x14ac:dyDescent="0.2">
      <c r="A372" s="173">
        <v>28</v>
      </c>
      <c r="B372" s="65" t="str">
        <f t="shared" si="133"/>
        <v>Retired</v>
      </c>
      <c r="C372" s="174">
        <f t="shared" si="134"/>
        <v>0</v>
      </c>
      <c r="D372" s="174">
        <f t="shared" si="135"/>
        <v>0</v>
      </c>
      <c r="E372" s="174">
        <f t="shared" si="136"/>
        <v>0</v>
      </c>
      <c r="F372" s="174">
        <f t="shared" si="137"/>
        <v>0</v>
      </c>
      <c r="G372" s="171">
        <f t="shared" si="138"/>
        <v>0</v>
      </c>
      <c r="H372" s="171">
        <f t="shared" si="139"/>
        <v>80286.926162204341</v>
      </c>
      <c r="I372" s="171">
        <f>IF(B372="Working",MIN(MAX(D372-E372-F372-G372-H372,0),'Tax Assumptions'!$B$20),0)</f>
        <v>0</v>
      </c>
      <c r="J372" s="171">
        <f t="shared" si="140"/>
        <v>-280286.92616220436</v>
      </c>
      <c r="K372" s="174">
        <f t="shared" si="141"/>
        <v>280286.92616220436</v>
      </c>
      <c r="L372" s="174">
        <f t="shared" si="142"/>
        <v>280286.92616220436</v>
      </c>
      <c r="M372" s="174">
        <f t="shared" si="148"/>
        <v>280286.92616220436</v>
      </c>
      <c r="N372" s="174">
        <f t="shared" si="149"/>
        <v>0</v>
      </c>
      <c r="O372" s="174">
        <f t="shared" si="150"/>
        <v>0</v>
      </c>
      <c r="P372" s="174">
        <f t="shared" si="151"/>
        <v>0</v>
      </c>
      <c r="Q372" s="171">
        <f t="shared" si="152"/>
        <v>7219856.6348203756</v>
      </c>
      <c r="R372" s="171">
        <f t="shared" si="153"/>
        <v>921750.24722855119</v>
      </c>
      <c r="S372" s="171">
        <f t="shared" si="154"/>
        <v>282168.44302914827</v>
      </c>
      <c r="T372" s="171">
        <f t="shared" si="155"/>
        <v>0</v>
      </c>
      <c r="U372" s="171">
        <f t="shared" si="143"/>
        <v>8423775.3250780758</v>
      </c>
      <c r="V372" s="171">
        <f t="shared" si="156"/>
        <v>0</v>
      </c>
      <c r="W372" s="171">
        <f>IF(OR(A372&gt;=$C$13,B372="Retired"),IF(V372&gt;0,-V372,U372-'Model Inputs'!$B$18),"")</f>
        <v>7423775.3250780758</v>
      </c>
      <c r="X372" s="171">
        <f t="shared" si="144"/>
        <v>1726450.5281119691</v>
      </c>
      <c r="Y372" s="171">
        <f t="shared" si="145"/>
        <v>331842.54117885442</v>
      </c>
      <c r="Z372" s="171">
        <f t="shared" si="146"/>
        <v>1394607.9869331147</v>
      </c>
      <c r="AA372" s="175">
        <f t="shared" si="147"/>
        <v>9818383.3120111898</v>
      </c>
      <c r="AB372" s="5"/>
      <c r="AC372" s="5"/>
      <c r="AD372" s="5"/>
      <c r="AE372" s="5"/>
      <c r="AF372" s="5"/>
      <c r="AG372" s="5"/>
    </row>
    <row r="373" spans="1:33" x14ac:dyDescent="0.2">
      <c r="A373" s="169">
        <v>29</v>
      </c>
      <c r="B373" s="100" t="str">
        <f t="shared" si="133"/>
        <v>Retired</v>
      </c>
      <c r="C373" s="170">
        <f t="shared" si="134"/>
        <v>0</v>
      </c>
      <c r="D373" s="170">
        <f t="shared" si="135"/>
        <v>0</v>
      </c>
      <c r="E373" s="170">
        <f t="shared" si="136"/>
        <v>0</v>
      </c>
      <c r="F373" s="170">
        <f t="shared" si="137"/>
        <v>0</v>
      </c>
      <c r="G373" s="171">
        <f t="shared" si="138"/>
        <v>0</v>
      </c>
      <c r="H373" s="171">
        <f t="shared" si="139"/>
        <v>81426.383510758242</v>
      </c>
      <c r="I373" s="171">
        <f>IF(B373="Working",MIN(MAX(D373-E373-F373-G373-H373,0),'Tax Assumptions'!$B$20),0)</f>
        <v>0</v>
      </c>
      <c r="J373" s="171">
        <f t="shared" si="140"/>
        <v>-281426.38351075823</v>
      </c>
      <c r="K373" s="170">
        <f t="shared" si="141"/>
        <v>281426.38351075823</v>
      </c>
      <c r="L373" s="170">
        <f t="shared" si="142"/>
        <v>281426.38351075823</v>
      </c>
      <c r="M373" s="170">
        <f t="shared" si="148"/>
        <v>281426.38351075823</v>
      </c>
      <c r="N373" s="170">
        <f t="shared" si="149"/>
        <v>0</v>
      </c>
      <c r="O373" s="170">
        <f t="shared" si="150"/>
        <v>0</v>
      </c>
      <c r="P373" s="170">
        <f t="shared" si="151"/>
        <v>0</v>
      </c>
      <c r="Q373" s="171">
        <f t="shared" si="152"/>
        <v>7371621.64939884</v>
      </c>
      <c r="R373" s="171">
        <f t="shared" si="153"/>
        <v>977055.26206226426</v>
      </c>
      <c r="S373" s="171">
        <f t="shared" si="154"/>
        <v>299098.5496108972</v>
      </c>
      <c r="T373" s="171">
        <f t="shared" si="155"/>
        <v>0</v>
      </c>
      <c r="U373" s="171">
        <f t="shared" si="143"/>
        <v>8647775.4610720016</v>
      </c>
      <c r="V373" s="171">
        <f t="shared" si="156"/>
        <v>0</v>
      </c>
      <c r="W373" s="171">
        <f>IF(OR(A373&gt;=$C$13,B373="Retired"),IF(V373&gt;0,-V373,U373-'Model Inputs'!$B$18),"")</f>
        <v>7647775.4610720016</v>
      </c>
      <c r="X373" s="171">
        <f t="shared" si="144"/>
        <v>1778244.0439553282</v>
      </c>
      <c r="Y373" s="171">
        <f t="shared" si="145"/>
        <v>310478.26345808059</v>
      </c>
      <c r="Z373" s="171">
        <f t="shared" si="146"/>
        <v>1467765.7804972476</v>
      </c>
      <c r="AA373" s="172">
        <f t="shared" si="147"/>
        <v>10115541.241569249</v>
      </c>
      <c r="AB373" s="5"/>
      <c r="AC373" s="5"/>
      <c r="AD373" s="5"/>
      <c r="AE373" s="5"/>
      <c r="AF373" s="5"/>
      <c r="AG373" s="5"/>
    </row>
    <row r="374" spans="1:33" x14ac:dyDescent="0.2">
      <c r="A374" s="173">
        <v>30</v>
      </c>
      <c r="B374" s="65" t="str">
        <f t="shared" si="133"/>
        <v>Retired</v>
      </c>
      <c r="C374" s="174">
        <f t="shared" si="134"/>
        <v>0</v>
      </c>
      <c r="D374" s="174">
        <f t="shared" si="135"/>
        <v>0</v>
      </c>
      <c r="E374" s="174">
        <f t="shared" si="136"/>
        <v>0</v>
      </c>
      <c r="F374" s="174">
        <f t="shared" si="137"/>
        <v>0</v>
      </c>
      <c r="G374" s="171">
        <f t="shared" si="138"/>
        <v>0</v>
      </c>
      <c r="H374" s="171">
        <f t="shared" si="139"/>
        <v>82600.024579768753</v>
      </c>
      <c r="I374" s="171">
        <f>IF(B374="Working",MIN(MAX(D374-E374-F374-G374-H374,0),'Tax Assumptions'!$B$20),0)</f>
        <v>0</v>
      </c>
      <c r="J374" s="171">
        <f t="shared" si="140"/>
        <v>-282600.02457976877</v>
      </c>
      <c r="K374" s="174">
        <f t="shared" si="141"/>
        <v>282600.02457976877</v>
      </c>
      <c r="L374" s="174">
        <f t="shared" si="142"/>
        <v>282600.02457976877</v>
      </c>
      <c r="M374" s="174">
        <f t="shared" si="148"/>
        <v>282600.02457976877</v>
      </c>
      <c r="N374" s="174">
        <f t="shared" si="149"/>
        <v>0</v>
      </c>
      <c r="O374" s="174">
        <f t="shared" si="150"/>
        <v>0</v>
      </c>
      <c r="P374" s="174">
        <f t="shared" si="151"/>
        <v>0</v>
      </c>
      <c r="Q374" s="171">
        <f t="shared" si="152"/>
        <v>7531318.9237830015</v>
      </c>
      <c r="R374" s="171">
        <f t="shared" si="153"/>
        <v>1035678.5777860002</v>
      </c>
      <c r="S374" s="171">
        <f t="shared" si="154"/>
        <v>317044.46258755104</v>
      </c>
      <c r="T374" s="171">
        <f t="shared" si="155"/>
        <v>0</v>
      </c>
      <c r="U374" s="171">
        <f t="shared" si="143"/>
        <v>8884041.9641565513</v>
      </c>
      <c r="V374" s="171">
        <f t="shared" si="156"/>
        <v>0</v>
      </c>
      <c r="W374" s="171">
        <f>IF(OR(A374&gt;=$C$13,B374="Retired"),IF(V374&gt;0,-V374,U374-'Model Inputs'!$B$18),"")</f>
        <v>7884041.9641565513</v>
      </c>
      <c r="X374" s="171">
        <f t="shared" si="144"/>
        <v>1831591.3652739879</v>
      </c>
      <c r="Y374" s="171">
        <f t="shared" si="145"/>
        <v>287683.18049165024</v>
      </c>
      <c r="Z374" s="171">
        <f t="shared" si="146"/>
        <v>1543908.1847823376</v>
      </c>
      <c r="AA374" s="175">
        <f t="shared" si="147"/>
        <v>10427950.148938889</v>
      </c>
      <c r="AB374" s="5"/>
      <c r="AC374" s="5"/>
      <c r="AD374" s="5"/>
      <c r="AE374" s="5"/>
      <c r="AF374" s="5"/>
      <c r="AG374" s="5"/>
    </row>
    <row r="375" spans="1:33" x14ac:dyDescent="0.2">
      <c r="A375" s="169">
        <v>31</v>
      </c>
      <c r="B375" s="100" t="str">
        <f t="shared" si="133"/>
        <v>Retired</v>
      </c>
      <c r="C375" s="170">
        <f t="shared" si="134"/>
        <v>0</v>
      </c>
      <c r="D375" s="170">
        <f t="shared" si="135"/>
        <v>0</v>
      </c>
      <c r="E375" s="170">
        <f t="shared" si="136"/>
        <v>0</v>
      </c>
      <c r="F375" s="170">
        <f t="shared" si="137"/>
        <v>0</v>
      </c>
      <c r="G375" s="171">
        <f t="shared" si="138"/>
        <v>0</v>
      </c>
      <c r="H375" s="171">
        <f t="shared" si="139"/>
        <v>83808.874880849587</v>
      </c>
      <c r="I375" s="171">
        <f>IF(B375="Working",MIN(MAX(D375-E375-F375-G375-H375,0),'Tax Assumptions'!$B$20),0)</f>
        <v>0</v>
      </c>
      <c r="J375" s="171">
        <f t="shared" si="140"/>
        <v>-283808.87488084962</v>
      </c>
      <c r="K375" s="170">
        <f t="shared" si="141"/>
        <v>283808.87488084962</v>
      </c>
      <c r="L375" s="170">
        <f t="shared" si="142"/>
        <v>283808.87488084962</v>
      </c>
      <c r="M375" s="170">
        <f t="shared" si="148"/>
        <v>283808.87488084962</v>
      </c>
      <c r="N375" s="170">
        <f t="shared" si="149"/>
        <v>0</v>
      </c>
      <c r="O375" s="170">
        <f t="shared" si="150"/>
        <v>0</v>
      </c>
      <c r="P375" s="170">
        <f t="shared" si="151"/>
        <v>0</v>
      </c>
      <c r="Q375" s="171">
        <f t="shared" si="152"/>
        <v>7699389.1843291325</v>
      </c>
      <c r="R375" s="171">
        <f t="shared" si="153"/>
        <v>1097819.2924531603</v>
      </c>
      <c r="S375" s="171">
        <f t="shared" si="154"/>
        <v>336067.13034280413</v>
      </c>
      <c r="T375" s="171">
        <f t="shared" si="155"/>
        <v>0</v>
      </c>
      <c r="U375" s="171">
        <f t="shared" si="143"/>
        <v>9133275.607125096</v>
      </c>
      <c r="V375" s="171">
        <f t="shared" si="156"/>
        <v>0</v>
      </c>
      <c r="W375" s="171">
        <f>IF(OR(A375&gt;=$C$13,B375="Retired"),IF(V375&gt;0,-V375,U375-'Model Inputs'!$B$18),"")</f>
        <v>8133275.607125096</v>
      </c>
      <c r="X375" s="171">
        <f t="shared" si="144"/>
        <v>1886539.1062322073</v>
      </c>
      <c r="Y375" s="171">
        <f t="shared" si="145"/>
        <v>263361.46860240656</v>
      </c>
      <c r="Z375" s="171">
        <f t="shared" si="146"/>
        <v>1623177.6376298007</v>
      </c>
      <c r="AA375" s="172">
        <f t="shared" si="147"/>
        <v>10756453.244754897</v>
      </c>
      <c r="AB375" s="5"/>
      <c r="AC375" s="5"/>
      <c r="AD375" s="5"/>
      <c r="AE375" s="5"/>
      <c r="AF375" s="5"/>
      <c r="AG375" s="5"/>
    </row>
    <row r="376" spans="1:33" x14ac:dyDescent="0.2">
      <c r="A376" s="173">
        <v>32</v>
      </c>
      <c r="B376" s="65" t="str">
        <f t="shared" si="133"/>
        <v>Retired</v>
      </c>
      <c r="C376" s="174">
        <f t="shared" si="134"/>
        <v>0</v>
      </c>
      <c r="D376" s="174">
        <f t="shared" si="135"/>
        <v>0</v>
      </c>
      <c r="E376" s="174">
        <f t="shared" si="136"/>
        <v>0</v>
      </c>
      <c r="F376" s="174">
        <f t="shared" si="137"/>
        <v>0</v>
      </c>
      <c r="G376" s="171">
        <f t="shared" si="138"/>
        <v>0</v>
      </c>
      <c r="H376" s="171">
        <f t="shared" si="139"/>
        <v>85053.990690962848</v>
      </c>
      <c r="I376" s="171">
        <f>IF(B376="Working",MIN(MAX(D376-E376-F376-G376-H376,0),'Tax Assumptions'!$B$20),0)</f>
        <v>0</v>
      </c>
      <c r="J376" s="171">
        <f t="shared" si="140"/>
        <v>-285053.99069096288</v>
      </c>
      <c r="K376" s="174">
        <f t="shared" si="141"/>
        <v>285053.99069096288</v>
      </c>
      <c r="L376" s="174">
        <f t="shared" si="142"/>
        <v>285053.99069096288</v>
      </c>
      <c r="M376" s="174">
        <f t="shared" si="148"/>
        <v>285053.99069096288</v>
      </c>
      <c r="N376" s="174">
        <f t="shared" si="149"/>
        <v>0</v>
      </c>
      <c r="O376" s="174">
        <f t="shared" si="150"/>
        <v>0</v>
      </c>
      <c r="P376" s="174">
        <f t="shared" si="151"/>
        <v>0</v>
      </c>
      <c r="Q376" s="171">
        <f t="shared" si="152"/>
        <v>7876298.544697918</v>
      </c>
      <c r="R376" s="171">
        <f t="shared" si="153"/>
        <v>1163688.4500003499</v>
      </c>
      <c r="S376" s="171">
        <f t="shared" si="154"/>
        <v>356231.15816337237</v>
      </c>
      <c r="T376" s="171">
        <f t="shared" si="155"/>
        <v>0</v>
      </c>
      <c r="U376" s="171">
        <f t="shared" si="143"/>
        <v>9396218.1528616399</v>
      </c>
      <c r="V376" s="171">
        <f t="shared" si="156"/>
        <v>0</v>
      </c>
      <c r="W376" s="171">
        <f>IF(OR(A376&gt;=$C$13,B376="Retired"),IF(V376&gt;0,-V376,U376-'Model Inputs'!$B$18),"")</f>
        <v>8396218.1528616399</v>
      </c>
      <c r="X376" s="171">
        <f t="shared" si="144"/>
        <v>1943135.2794191737</v>
      </c>
      <c r="Y376" s="171">
        <f t="shared" si="145"/>
        <v>237410.88662406756</v>
      </c>
      <c r="Z376" s="171">
        <f t="shared" si="146"/>
        <v>1705724.3927951062</v>
      </c>
      <c r="AA376" s="175">
        <f t="shared" si="147"/>
        <v>11101942.545656746</v>
      </c>
      <c r="AB376" s="5"/>
      <c r="AC376" s="5"/>
      <c r="AD376" s="5"/>
      <c r="AE376" s="5"/>
      <c r="AF376" s="5"/>
      <c r="AG376" s="5"/>
    </row>
    <row r="377" spans="1:33" x14ac:dyDescent="0.2">
      <c r="A377" s="169">
        <v>33</v>
      </c>
      <c r="B377" s="100" t="str">
        <f t="shared" si="133"/>
        <v>Retired</v>
      </c>
      <c r="C377" s="170">
        <f t="shared" si="134"/>
        <v>0</v>
      </c>
      <c r="D377" s="170">
        <f t="shared" si="135"/>
        <v>0</v>
      </c>
      <c r="E377" s="170">
        <f t="shared" si="136"/>
        <v>0</v>
      </c>
      <c r="F377" s="170">
        <f t="shared" si="137"/>
        <v>0</v>
      </c>
      <c r="G377" s="171">
        <f t="shared" si="138"/>
        <v>0</v>
      </c>
      <c r="H377" s="171">
        <f t="shared" si="139"/>
        <v>86336.459975379505</v>
      </c>
      <c r="I377" s="171">
        <f>IF(B377="Working",MIN(MAX(D377-E377-F377-G377-H377,0),'Tax Assumptions'!$B$20),0)</f>
        <v>0</v>
      </c>
      <c r="J377" s="171">
        <f t="shared" si="140"/>
        <v>-286336.45997537952</v>
      </c>
      <c r="K377" s="170">
        <f t="shared" si="141"/>
        <v>286336.45997537952</v>
      </c>
      <c r="L377" s="170">
        <f t="shared" si="142"/>
        <v>286336.45997537952</v>
      </c>
      <c r="M377" s="170">
        <f t="shared" si="148"/>
        <v>286336.45997537952</v>
      </c>
      <c r="N377" s="170">
        <f t="shared" si="149"/>
        <v>0</v>
      </c>
      <c r="O377" s="170">
        <f t="shared" si="150"/>
        <v>0</v>
      </c>
      <c r="P377" s="170">
        <f t="shared" si="151"/>
        <v>0</v>
      </c>
      <c r="Q377" s="171">
        <f t="shared" si="152"/>
        <v>8062539.9974044142</v>
      </c>
      <c r="R377" s="171">
        <f t="shared" si="153"/>
        <v>1233509.7570003709</v>
      </c>
      <c r="S377" s="171">
        <f t="shared" si="154"/>
        <v>377605.02765317471</v>
      </c>
      <c r="T377" s="171">
        <f t="shared" si="155"/>
        <v>0</v>
      </c>
      <c r="U377" s="171">
        <f t="shared" si="143"/>
        <v>9673654.7820579596</v>
      </c>
      <c r="V377" s="171">
        <f t="shared" si="156"/>
        <v>0</v>
      </c>
      <c r="W377" s="171">
        <f>IF(OR(A377&gt;=$C$13,B377="Retired"),IF(V377&gt;0,-V377,U377-'Model Inputs'!$B$18),"")</f>
        <v>8673654.7820579596</v>
      </c>
      <c r="X377" s="171">
        <f t="shared" si="144"/>
        <v>2001429.3378017491</v>
      </c>
      <c r="Y377" s="171">
        <f t="shared" si="145"/>
        <v>209722.34611009574</v>
      </c>
      <c r="Z377" s="171">
        <f t="shared" si="146"/>
        <v>1791706.9916916534</v>
      </c>
      <c r="AA377" s="172">
        <f t="shared" si="147"/>
        <v>11465361.773749612</v>
      </c>
      <c r="AB377" s="5"/>
      <c r="AC377" s="5"/>
      <c r="AD377" s="5"/>
      <c r="AE377" s="5"/>
      <c r="AF377" s="5"/>
      <c r="AG377" s="5"/>
    </row>
    <row r="378" spans="1:33" x14ac:dyDescent="0.2">
      <c r="A378" s="173">
        <v>34</v>
      </c>
      <c r="B378" s="65" t="str">
        <f t="shared" si="133"/>
        <v>Retired</v>
      </c>
      <c r="C378" s="174">
        <f t="shared" si="134"/>
        <v>0</v>
      </c>
      <c r="D378" s="174">
        <f t="shared" si="135"/>
        <v>0</v>
      </c>
      <c r="E378" s="174">
        <f t="shared" si="136"/>
        <v>0</v>
      </c>
      <c r="F378" s="174">
        <f t="shared" si="137"/>
        <v>0</v>
      </c>
      <c r="G378" s="171">
        <f t="shared" si="138"/>
        <v>0</v>
      </c>
      <c r="H378" s="171">
        <f t="shared" si="139"/>
        <v>87657.403338328644</v>
      </c>
      <c r="I378" s="171">
        <f>IF(B378="Working",MIN(MAX(D378-E378-F378-G378-H378,0),'Tax Assumptions'!$B$20),0)</f>
        <v>0</v>
      </c>
      <c r="J378" s="171">
        <f t="shared" si="140"/>
        <v>-287657.40333832864</v>
      </c>
      <c r="K378" s="174">
        <f t="shared" si="141"/>
        <v>287657.40333832864</v>
      </c>
      <c r="L378" s="174">
        <f t="shared" si="142"/>
        <v>287657.40333832864</v>
      </c>
      <c r="M378" s="174">
        <f t="shared" si="148"/>
        <v>287657.40333832864</v>
      </c>
      <c r="N378" s="174">
        <f t="shared" si="149"/>
        <v>0</v>
      </c>
      <c r="O378" s="174">
        <f t="shared" si="150"/>
        <v>0</v>
      </c>
      <c r="P378" s="174">
        <f t="shared" si="151"/>
        <v>0</v>
      </c>
      <c r="Q378" s="171">
        <f t="shared" si="152"/>
        <v>8258634.9939103508</v>
      </c>
      <c r="R378" s="171">
        <f t="shared" si="153"/>
        <v>1307520.3424203931</v>
      </c>
      <c r="S378" s="171">
        <f t="shared" si="154"/>
        <v>400261.32931236521</v>
      </c>
      <c r="T378" s="171">
        <f t="shared" si="155"/>
        <v>0</v>
      </c>
      <c r="U378" s="171">
        <f t="shared" si="143"/>
        <v>9966416.665643109</v>
      </c>
      <c r="V378" s="171">
        <f t="shared" si="156"/>
        <v>0</v>
      </c>
      <c r="W378" s="171">
        <f>IF(OR(A378&gt;=$C$13,B378="Retired"),IF(V378&gt;0,-V378,U378-'Model Inputs'!$B$18),"")</f>
        <v>8966416.665643109</v>
      </c>
      <c r="X378" s="171">
        <f t="shared" si="144"/>
        <v>2061472.2179358013</v>
      </c>
      <c r="Y378" s="171">
        <f t="shared" si="145"/>
        <v>180179.45275865542</v>
      </c>
      <c r="Z378" s="171">
        <f t="shared" si="146"/>
        <v>1881292.7651771458</v>
      </c>
      <c r="AA378" s="175">
        <f t="shared" si="147"/>
        <v>11847709.430820255</v>
      </c>
      <c r="AB378" s="5"/>
      <c r="AC378" s="5"/>
      <c r="AD378" s="5"/>
      <c r="AE378" s="5"/>
      <c r="AF378" s="5"/>
      <c r="AG378" s="5"/>
    </row>
    <row r="379" spans="1:33" x14ac:dyDescent="0.2">
      <c r="A379" s="169">
        <v>35</v>
      </c>
      <c r="B379" s="100" t="str">
        <f t="shared" si="133"/>
        <v>Retired</v>
      </c>
      <c r="C379" s="170">
        <f t="shared" si="134"/>
        <v>0</v>
      </c>
      <c r="D379" s="170">
        <f t="shared" si="135"/>
        <v>0</v>
      </c>
      <c r="E379" s="170">
        <f t="shared" si="136"/>
        <v>0</v>
      </c>
      <c r="F379" s="170">
        <f t="shared" si="137"/>
        <v>0</v>
      </c>
      <c r="G379" s="171">
        <f t="shared" si="138"/>
        <v>0</v>
      </c>
      <c r="H379" s="171">
        <f t="shared" si="139"/>
        <v>89017.975002166277</v>
      </c>
      <c r="I379" s="171">
        <f>IF(B379="Working",MIN(MAX(D379-E379-F379-G379-H379,0),'Tax Assumptions'!$B$20),0)</f>
        <v>0</v>
      </c>
      <c r="J379" s="171">
        <f t="shared" si="140"/>
        <v>-289017.97500216629</v>
      </c>
      <c r="K379" s="170">
        <f t="shared" si="141"/>
        <v>289017.97500216629</v>
      </c>
      <c r="L379" s="170">
        <f t="shared" si="142"/>
        <v>289017.97500216629</v>
      </c>
      <c r="M379" s="170">
        <f t="shared" si="148"/>
        <v>289017.97500216629</v>
      </c>
      <c r="N379" s="170">
        <f t="shared" si="149"/>
        <v>0</v>
      </c>
      <c r="O379" s="170">
        <f t="shared" si="150"/>
        <v>0</v>
      </c>
      <c r="P379" s="170">
        <f t="shared" si="151"/>
        <v>0</v>
      </c>
      <c r="Q379" s="171">
        <f t="shared" si="152"/>
        <v>8465135.1185428072</v>
      </c>
      <c r="R379" s="171">
        <f t="shared" si="153"/>
        <v>1385971.5629656168</v>
      </c>
      <c r="S379" s="171">
        <f t="shared" si="154"/>
        <v>424277.00907110714</v>
      </c>
      <c r="T379" s="171">
        <f t="shared" si="155"/>
        <v>0</v>
      </c>
      <c r="U379" s="171">
        <f t="shared" si="143"/>
        <v>10275383.690579532</v>
      </c>
      <c r="V379" s="171">
        <f t="shared" si="156"/>
        <v>0</v>
      </c>
      <c r="W379" s="171">
        <f>IF(OR(A379&gt;=$C$13,B379="Retired"),IF(V379&gt;0,-V379,U379-'Model Inputs'!$B$18),"")</f>
        <v>9275383.6905795317</v>
      </c>
      <c r="X379" s="171">
        <f t="shared" si="144"/>
        <v>2123316.3844738752</v>
      </c>
      <c r="Y379" s="171">
        <f t="shared" si="145"/>
        <v>148658.01712595532</v>
      </c>
      <c r="Z379" s="171">
        <f t="shared" si="146"/>
        <v>1974658.3673479198</v>
      </c>
      <c r="AA379" s="172">
        <f t="shared" si="147"/>
        <v>12250042.057927452</v>
      </c>
      <c r="AB379" s="5"/>
      <c r="AC379" s="5"/>
      <c r="AD379" s="5"/>
      <c r="AE379" s="5"/>
      <c r="AF379" s="5"/>
      <c r="AG379" s="5"/>
    </row>
    <row r="380" spans="1:33" x14ac:dyDescent="0.2">
      <c r="A380" s="173">
        <v>36</v>
      </c>
      <c r="B380" s="65" t="str">
        <f t="shared" si="133"/>
        <v>Retired</v>
      </c>
      <c r="C380" s="174">
        <f t="shared" si="134"/>
        <v>0</v>
      </c>
      <c r="D380" s="174">
        <f t="shared" si="135"/>
        <v>0</v>
      </c>
      <c r="E380" s="174">
        <f t="shared" si="136"/>
        <v>0</v>
      </c>
      <c r="F380" s="174">
        <f t="shared" si="137"/>
        <v>0</v>
      </c>
      <c r="G380" s="171">
        <f t="shared" si="138"/>
        <v>0</v>
      </c>
      <c r="H380" s="171">
        <f t="shared" si="139"/>
        <v>90419.363815919045</v>
      </c>
      <c r="I380" s="171">
        <f>IF(B380="Working",MIN(MAX(D380-E380-F380-G380-H380,0),'Tax Assumptions'!$B$20),0)</f>
        <v>0</v>
      </c>
      <c r="J380" s="171">
        <f t="shared" si="140"/>
        <v>-290419.36381591903</v>
      </c>
      <c r="K380" s="174">
        <f t="shared" si="141"/>
        <v>290419.36381591903</v>
      </c>
      <c r="L380" s="174">
        <f t="shared" si="142"/>
        <v>290419.36381591903</v>
      </c>
      <c r="M380" s="174">
        <f t="shared" si="148"/>
        <v>290419.36381591903</v>
      </c>
      <c r="N380" s="174">
        <f t="shared" si="149"/>
        <v>0</v>
      </c>
      <c r="O380" s="174">
        <f t="shared" si="150"/>
        <v>0</v>
      </c>
      <c r="P380" s="174">
        <f t="shared" si="151"/>
        <v>0</v>
      </c>
      <c r="Q380" s="171">
        <f t="shared" si="152"/>
        <v>8682623.8618394583</v>
      </c>
      <c r="R380" s="171">
        <f t="shared" si="153"/>
        <v>1469129.8567435539</v>
      </c>
      <c r="S380" s="171">
        <f t="shared" si="154"/>
        <v>449733.62961537362</v>
      </c>
      <c r="T380" s="171">
        <f t="shared" si="155"/>
        <v>0</v>
      </c>
      <c r="U380" s="171">
        <f t="shared" si="143"/>
        <v>10601487.348198386</v>
      </c>
      <c r="V380" s="171">
        <f t="shared" si="156"/>
        <v>0</v>
      </c>
      <c r="W380" s="171">
        <f>IF(OR(A380&gt;=$C$13,B380="Retired"),IF(V380&gt;0,-V380,U380-'Model Inputs'!$B$18),"")</f>
        <v>9601487.3481983859</v>
      </c>
      <c r="X380" s="171">
        <f t="shared" si="144"/>
        <v>2187015.876008092</v>
      </c>
      <c r="Y380" s="171">
        <f t="shared" si="145"/>
        <v>115025.53257115465</v>
      </c>
      <c r="Z380" s="171">
        <f t="shared" si="146"/>
        <v>2071990.3434369373</v>
      </c>
      <c r="AA380" s="175">
        <f t="shared" si="147"/>
        <v>12673477.691635324</v>
      </c>
      <c r="AB380" s="5"/>
      <c r="AC380" s="5"/>
      <c r="AD380" s="5"/>
      <c r="AE380" s="5"/>
      <c r="AF380" s="5"/>
      <c r="AG380" s="5"/>
    </row>
    <row r="381" spans="1:33" x14ac:dyDescent="0.2">
      <c r="A381" s="169">
        <v>37</v>
      </c>
      <c r="B381" s="100" t="str">
        <f t="shared" si="133"/>
        <v>Retired</v>
      </c>
      <c r="C381" s="170">
        <f t="shared" si="134"/>
        <v>0</v>
      </c>
      <c r="D381" s="170">
        <f t="shared" si="135"/>
        <v>0</v>
      </c>
      <c r="E381" s="170">
        <f t="shared" si="136"/>
        <v>0</v>
      </c>
      <c r="F381" s="170">
        <f t="shared" si="137"/>
        <v>0</v>
      </c>
      <c r="G381" s="171">
        <f t="shared" si="138"/>
        <v>0</v>
      </c>
      <c r="H381" s="171">
        <f t="shared" si="139"/>
        <v>91862.794294084364</v>
      </c>
      <c r="I381" s="171">
        <f>IF(B381="Working",MIN(MAX(D381-E381-F381-G381-H381,0),'Tax Assumptions'!$B$20),0)</f>
        <v>0</v>
      </c>
      <c r="J381" s="171">
        <f t="shared" si="140"/>
        <v>-291862.79429408436</v>
      </c>
      <c r="K381" s="170">
        <f t="shared" si="141"/>
        <v>291862.79429408436</v>
      </c>
      <c r="L381" s="170">
        <f t="shared" si="142"/>
        <v>291862.79429408436</v>
      </c>
      <c r="M381" s="170">
        <f t="shared" si="148"/>
        <v>291862.79429408436</v>
      </c>
      <c r="N381" s="170">
        <f t="shared" si="149"/>
        <v>0</v>
      </c>
      <c r="O381" s="170">
        <f t="shared" si="150"/>
        <v>0</v>
      </c>
      <c r="P381" s="170">
        <f t="shared" si="151"/>
        <v>0</v>
      </c>
      <c r="Q381" s="171">
        <f t="shared" si="152"/>
        <v>8911718.4992557429</v>
      </c>
      <c r="R381" s="171">
        <f t="shared" si="153"/>
        <v>1557277.6481481672</v>
      </c>
      <c r="S381" s="171">
        <f t="shared" si="154"/>
        <v>476717.64739229606</v>
      </c>
      <c r="T381" s="171">
        <f t="shared" si="155"/>
        <v>0</v>
      </c>
      <c r="U381" s="171">
        <f t="shared" si="143"/>
        <v>10945713.794796206</v>
      </c>
      <c r="V381" s="171">
        <f t="shared" si="156"/>
        <v>0</v>
      </c>
      <c r="W381" s="171">
        <f>IF(OR(A381&gt;=$C$13,B381="Retired"),IF(V381&gt;0,-V381,U381-'Model Inputs'!$B$18),"")</f>
        <v>9945713.7947962061</v>
      </c>
      <c r="X381" s="171">
        <f t="shared" si="144"/>
        <v>2252626.3522883342</v>
      </c>
      <c r="Y381" s="171">
        <f t="shared" si="145"/>
        <v>79140.618238272611</v>
      </c>
      <c r="Z381" s="171">
        <f t="shared" si="146"/>
        <v>2173485.7340500616</v>
      </c>
      <c r="AA381" s="172">
        <f t="shared" si="147"/>
        <v>13119199.528846268</v>
      </c>
      <c r="AB381" s="5"/>
      <c r="AC381" s="5"/>
      <c r="AD381" s="5"/>
      <c r="AE381" s="5"/>
      <c r="AF381" s="5"/>
      <c r="AG381" s="5"/>
    </row>
    <row r="382" spans="1:33" x14ac:dyDescent="0.2">
      <c r="A382" s="173">
        <v>38</v>
      </c>
      <c r="B382" s="65" t="str">
        <f t="shared" si="133"/>
        <v>Retired</v>
      </c>
      <c r="C382" s="174">
        <f t="shared" si="134"/>
        <v>0</v>
      </c>
      <c r="D382" s="174">
        <f t="shared" si="135"/>
        <v>0</v>
      </c>
      <c r="E382" s="174">
        <f t="shared" si="136"/>
        <v>0</v>
      </c>
      <c r="F382" s="174">
        <f t="shared" si="137"/>
        <v>0</v>
      </c>
      <c r="G382" s="171">
        <f t="shared" si="138"/>
        <v>0</v>
      </c>
      <c r="H382" s="171">
        <f t="shared" si="139"/>
        <v>93349.52768659468</v>
      </c>
      <c r="I382" s="171">
        <f>IF(B382="Working",MIN(MAX(D382-E382-F382-G382-H382,0),'Tax Assumptions'!$B$20),0)</f>
        <v>0</v>
      </c>
      <c r="J382" s="171">
        <f t="shared" si="140"/>
        <v>-293349.52768659469</v>
      </c>
      <c r="K382" s="174">
        <f t="shared" si="141"/>
        <v>293349.52768659469</v>
      </c>
      <c r="L382" s="174">
        <f t="shared" si="142"/>
        <v>293349.52768659469</v>
      </c>
      <c r="M382" s="174">
        <f t="shared" si="148"/>
        <v>293349.52768659469</v>
      </c>
      <c r="N382" s="174">
        <f t="shared" si="149"/>
        <v>0</v>
      </c>
      <c r="O382" s="174">
        <f t="shared" si="150"/>
        <v>0</v>
      </c>
      <c r="P382" s="174">
        <f t="shared" si="151"/>
        <v>0</v>
      </c>
      <c r="Q382" s="171">
        <f t="shared" si="152"/>
        <v>9153072.0815244932</v>
      </c>
      <c r="R382" s="171">
        <f t="shared" si="153"/>
        <v>1650714.3070370574</v>
      </c>
      <c r="S382" s="171">
        <f t="shared" si="154"/>
        <v>505320.70623583387</v>
      </c>
      <c r="T382" s="171">
        <f t="shared" si="155"/>
        <v>0</v>
      </c>
      <c r="U382" s="171">
        <f t="shared" si="143"/>
        <v>11309107.094797384</v>
      </c>
      <c r="V382" s="171">
        <f t="shared" si="156"/>
        <v>0</v>
      </c>
      <c r="W382" s="171">
        <f>IF(OR(A382&gt;=$C$13,B382="Retired"),IF(V382&gt;0,-V382,U382-'Model Inputs'!$B$18),"")</f>
        <v>10309107.094797384</v>
      </c>
      <c r="X382" s="171">
        <f t="shared" si="144"/>
        <v>2320205.1428569844</v>
      </c>
      <c r="Y382" s="171">
        <f t="shared" si="145"/>
        <v>40852.424733563792</v>
      </c>
      <c r="Z382" s="171">
        <f t="shared" si="146"/>
        <v>2279352.7181234206</v>
      </c>
      <c r="AA382" s="175">
        <f t="shared" si="147"/>
        <v>13588459.812920805</v>
      </c>
      <c r="AB382" s="5"/>
      <c r="AC382" s="5"/>
      <c r="AD382" s="5"/>
      <c r="AE382" s="5"/>
      <c r="AF382" s="5"/>
      <c r="AG382" s="5"/>
    </row>
    <row r="383" spans="1:33" x14ac:dyDescent="0.2">
      <c r="A383" s="169">
        <v>39</v>
      </c>
      <c r="B383" s="100" t="str">
        <f t="shared" si="133"/>
        <v>Retired</v>
      </c>
      <c r="C383" s="170">
        <f t="shared" si="134"/>
        <v>0</v>
      </c>
      <c r="D383" s="170">
        <f t="shared" si="135"/>
        <v>0</v>
      </c>
      <c r="E383" s="170">
        <f t="shared" si="136"/>
        <v>0</v>
      </c>
      <c r="F383" s="170">
        <f t="shared" si="137"/>
        <v>0</v>
      </c>
      <c r="G383" s="171">
        <f t="shared" si="138"/>
        <v>0</v>
      </c>
      <c r="H383" s="171">
        <f t="shared" si="139"/>
        <v>94880.863080880285</v>
      </c>
      <c r="I383" s="171">
        <f>IF(B383="Working",MIN(MAX(D383-E383-F383-G383-H383,0),'Tax Assumptions'!$B$20),0)</f>
        <v>0</v>
      </c>
      <c r="J383" s="171">
        <f t="shared" si="140"/>
        <v>-294880.86308088026</v>
      </c>
      <c r="K383" s="170">
        <f t="shared" si="141"/>
        <v>294880.86308088026</v>
      </c>
      <c r="L383" s="170">
        <f t="shared" si="142"/>
        <v>294880.86308088026</v>
      </c>
      <c r="M383" s="170">
        <f t="shared" si="148"/>
        <v>294880.86308088026</v>
      </c>
      <c r="N383" s="170">
        <f t="shared" si="149"/>
        <v>0</v>
      </c>
      <c r="O383" s="170">
        <f t="shared" si="150"/>
        <v>0</v>
      </c>
      <c r="P383" s="170">
        <f t="shared" si="151"/>
        <v>0</v>
      </c>
      <c r="Q383" s="171">
        <f t="shared" si="152"/>
        <v>9407375.5433350839</v>
      </c>
      <c r="R383" s="171">
        <f t="shared" si="153"/>
        <v>1749757.1654592808</v>
      </c>
      <c r="S383" s="171">
        <f t="shared" si="154"/>
        <v>535639.9486099839</v>
      </c>
      <c r="T383" s="171">
        <f t="shared" si="155"/>
        <v>0</v>
      </c>
      <c r="U383" s="171">
        <f t="shared" si="143"/>
        <v>11692772.657404348</v>
      </c>
      <c r="V383" s="171">
        <f t="shared" si="156"/>
        <v>0</v>
      </c>
      <c r="W383" s="171">
        <f>IF(OR(A383&gt;=$C$13,B383="Retired"),IF(V383&gt;0,-V383,U383-'Model Inputs'!$B$18),"")</f>
        <v>10692772.657404348</v>
      </c>
      <c r="X383" s="171">
        <f t="shared" si="144"/>
        <v>2389811.2971426938</v>
      </c>
      <c r="Y383" s="171">
        <f t="shared" si="145"/>
        <v>0</v>
      </c>
      <c r="Z383" s="171">
        <f t="shared" si="146"/>
        <v>2389811.2971426938</v>
      </c>
      <c r="AA383" s="172">
        <f t="shared" si="147"/>
        <v>14082583.954547042</v>
      </c>
      <c r="AB383" s="5"/>
      <c r="AC383" s="5"/>
      <c r="AD383" s="5"/>
      <c r="AE383" s="5"/>
      <c r="AF383" s="5"/>
      <c r="AG383" s="5"/>
    </row>
    <row r="384" spans="1:33" x14ac:dyDescent="0.2">
      <c r="A384" s="173">
        <v>40</v>
      </c>
      <c r="B384" s="65" t="str">
        <f t="shared" si="133"/>
        <v>Retired</v>
      </c>
      <c r="C384" s="174">
        <f t="shared" si="134"/>
        <v>0</v>
      </c>
      <c r="D384" s="174">
        <f t="shared" si="135"/>
        <v>0</v>
      </c>
      <c r="E384" s="174">
        <f t="shared" si="136"/>
        <v>0</v>
      </c>
      <c r="F384" s="174">
        <f t="shared" si="137"/>
        <v>0</v>
      </c>
      <c r="G384" s="171">
        <f t="shared" si="138"/>
        <v>0</v>
      </c>
      <c r="H384" s="171">
        <f t="shared" si="139"/>
        <v>54153.123993253437</v>
      </c>
      <c r="I384" s="171">
        <f>IF(B384="Working",MIN(MAX(D384-E384-F384-G384-H384,0),'Tax Assumptions'!$B$20),0)</f>
        <v>0</v>
      </c>
      <c r="J384" s="171">
        <f t="shared" si="140"/>
        <v>-254153.12399325345</v>
      </c>
      <c r="K384" s="174">
        <f t="shared" si="141"/>
        <v>254153.12399325345</v>
      </c>
      <c r="L384" s="174">
        <f t="shared" si="142"/>
        <v>254153.12399325345</v>
      </c>
      <c r="M384" s="174">
        <f t="shared" si="148"/>
        <v>254153.12399325345</v>
      </c>
      <c r="N384" s="174">
        <f t="shared" si="149"/>
        <v>0</v>
      </c>
      <c r="O384" s="174">
        <f t="shared" si="150"/>
        <v>0</v>
      </c>
      <c r="P384" s="174">
        <f t="shared" si="151"/>
        <v>0</v>
      </c>
      <c r="Q384" s="171">
        <f t="shared" si="152"/>
        <v>9717664.9519419353</v>
      </c>
      <c r="R384" s="171">
        <f t="shared" si="153"/>
        <v>1854742.5953868378</v>
      </c>
      <c r="S384" s="171">
        <f t="shared" si="154"/>
        <v>567778.34552658291</v>
      </c>
      <c r="T384" s="171">
        <f t="shared" si="155"/>
        <v>0</v>
      </c>
      <c r="U384" s="171">
        <f t="shared" si="143"/>
        <v>12140185.892855357</v>
      </c>
      <c r="V384" s="171">
        <f t="shared" si="156"/>
        <v>0</v>
      </c>
      <c r="W384" s="171">
        <f>IF(OR(A384&gt;=$C$13,B384="Retired"),IF(V384&gt;0,-V384,U384-'Model Inputs'!$B$18),"")</f>
        <v>11140185.892855357</v>
      </c>
      <c r="X384" s="171">
        <f t="shared" si="144"/>
        <v>2461505.6360569745</v>
      </c>
      <c r="Y384" s="171">
        <f t="shared" si="145"/>
        <v>0</v>
      </c>
      <c r="Z384" s="171">
        <f t="shared" si="146"/>
        <v>2461505.6360569745</v>
      </c>
      <c r="AA384" s="175">
        <f t="shared" si="147"/>
        <v>14601691.528912332</v>
      </c>
      <c r="AB384" s="5"/>
      <c r="AC384" s="5"/>
      <c r="AD384" s="5"/>
      <c r="AE384" s="5"/>
      <c r="AF384" s="5"/>
      <c r="AG384" s="5"/>
    </row>
    <row r="385" spans="1:33" x14ac:dyDescent="0.2">
      <c r="A385" s="176" t="s">
        <v>369</v>
      </c>
      <c r="B385" s="177"/>
      <c r="C385" s="177"/>
      <c r="D385" s="177"/>
      <c r="E385" s="177"/>
      <c r="F385" s="177"/>
      <c r="G385" s="178">
        <f t="shared" ref="G385:P385" si="157">SUM(G345:G384)</f>
        <v>481701.17200139578</v>
      </c>
      <c r="H385" s="178">
        <f t="shared" si="157"/>
        <v>2384728.6910258122</v>
      </c>
      <c r="I385" s="178">
        <f t="shared" si="157"/>
        <v>75000</v>
      </c>
      <c r="J385" s="178">
        <f t="shared" si="157"/>
        <v>-4018837.6229866841</v>
      </c>
      <c r="K385" s="178">
        <f t="shared" si="157"/>
        <v>8320113.3064104291</v>
      </c>
      <c r="L385" s="178">
        <f t="shared" si="157"/>
        <v>8320113.3064104291</v>
      </c>
      <c r="M385" s="178">
        <f t="shared" si="157"/>
        <v>8320113.3064104291</v>
      </c>
      <c r="N385" s="178">
        <f t="shared" si="157"/>
        <v>0</v>
      </c>
      <c r="O385" s="178">
        <f t="shared" si="157"/>
        <v>0</v>
      </c>
      <c r="P385" s="178">
        <f t="shared" si="157"/>
        <v>0</v>
      </c>
      <c r="Q385" s="178">
        <f>Q384</f>
        <v>9717664.9519419353</v>
      </c>
      <c r="R385" s="178">
        <f>R384</f>
        <v>1854742.5953868378</v>
      </c>
      <c r="S385" s="178">
        <f>S384</f>
        <v>567778.34552658291</v>
      </c>
      <c r="T385" s="178">
        <f>T384</f>
        <v>0</v>
      </c>
      <c r="U385" s="178">
        <f>U384</f>
        <v>12140185.892855357</v>
      </c>
      <c r="V385" s="178">
        <f>SUM(V345:V384)</f>
        <v>0</v>
      </c>
      <c r="W385" s="178">
        <f>MIN(W345:W384)</f>
        <v>4883925.0838471139</v>
      </c>
      <c r="X385" s="178">
        <f>X384</f>
        <v>2461505.6360569745</v>
      </c>
      <c r="Y385" s="178">
        <f>Y384</f>
        <v>0</v>
      </c>
      <c r="Z385" s="178">
        <f>Z384</f>
        <v>2461505.6360569745</v>
      </c>
      <c r="AA385" s="179">
        <f>AA384</f>
        <v>14601691.528912332</v>
      </c>
      <c r="AB385" s="5"/>
      <c r="AC385" s="5"/>
      <c r="AD385" s="5"/>
      <c r="AE385" s="5"/>
      <c r="AF385" s="5"/>
      <c r="AG385" s="5"/>
    </row>
    <row r="386" spans="1:33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2">
      <c r="A387" s="319" t="str">
        <f>J230&amp;" | House "&amp;TEXT($L$230,"$#,##0")&amp;" | Spend "&amp;TEXT($N$230,"$#,##0")</f>
        <v>Case 04 | House $1,014,108 | Spend $230,000</v>
      </c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  <c r="AA387" s="289"/>
      <c r="AB387" s="5"/>
      <c r="AC387" s="5"/>
      <c r="AD387" s="5"/>
      <c r="AE387" s="5"/>
      <c r="AF387" s="5"/>
      <c r="AG387" s="5"/>
    </row>
    <row r="388" spans="1:33" ht="34" customHeight="1" x14ac:dyDescent="0.2">
      <c r="A388" s="167" t="s">
        <v>224</v>
      </c>
      <c r="B388" s="112" t="s">
        <v>106</v>
      </c>
      <c r="C388" s="112" t="s">
        <v>357</v>
      </c>
      <c r="D388" s="112" t="s">
        <v>66</v>
      </c>
      <c r="E388" s="112" t="s">
        <v>300</v>
      </c>
      <c r="F388" s="112" t="s">
        <v>301</v>
      </c>
      <c r="G388" s="112" t="s">
        <v>358</v>
      </c>
      <c r="H388" s="112" t="s">
        <v>359</v>
      </c>
      <c r="I388" s="112" t="s">
        <v>69</v>
      </c>
      <c r="J388" s="112" t="s">
        <v>360</v>
      </c>
      <c r="K388" s="112" t="s">
        <v>361</v>
      </c>
      <c r="L388" s="112" t="s">
        <v>362</v>
      </c>
      <c r="M388" s="112" t="s">
        <v>304</v>
      </c>
      <c r="N388" s="112" t="s">
        <v>305</v>
      </c>
      <c r="O388" s="112" t="s">
        <v>306</v>
      </c>
      <c r="P388" s="112" t="s">
        <v>307</v>
      </c>
      <c r="Q388" s="112" t="s">
        <v>363</v>
      </c>
      <c r="R388" s="112" t="s">
        <v>364</v>
      </c>
      <c r="S388" s="112" t="s">
        <v>365</v>
      </c>
      <c r="T388" s="112" t="s">
        <v>366</v>
      </c>
      <c r="U388" s="112" t="s">
        <v>308</v>
      </c>
      <c r="V388" s="112" t="s">
        <v>309</v>
      </c>
      <c r="W388" s="112" t="s">
        <v>367</v>
      </c>
      <c r="X388" s="112" t="s">
        <v>311</v>
      </c>
      <c r="Y388" s="112" t="s">
        <v>312</v>
      </c>
      <c r="Z388" s="112" t="s">
        <v>313</v>
      </c>
      <c r="AA388" s="168" t="s">
        <v>368</v>
      </c>
      <c r="AB388" s="5"/>
      <c r="AC388" s="5"/>
      <c r="AD388" s="5"/>
      <c r="AE388" s="5"/>
      <c r="AF388" s="5"/>
      <c r="AG388" s="5"/>
    </row>
    <row r="389" spans="1:33" x14ac:dyDescent="0.2">
      <c r="A389" s="169">
        <v>1</v>
      </c>
      <c r="B389" s="100" t="str">
        <f t="shared" ref="B389:B428" si="158">B80</f>
        <v>Working</v>
      </c>
      <c r="C389" s="170">
        <f t="shared" ref="C389:C428" si="159">D80</f>
        <v>550000</v>
      </c>
      <c r="D389" s="170">
        <f t="shared" ref="D389:D428" si="160">I80</f>
        <v>302665.46999999997</v>
      </c>
      <c r="E389" s="170">
        <f t="shared" ref="E389:E428" si="161">J80</f>
        <v>78000</v>
      </c>
      <c r="F389" s="170">
        <f t="shared" ref="F389:F428" si="162">K80</f>
        <v>40000</v>
      </c>
      <c r="G389" s="171">
        <f t="shared" ref="G389:G428" si="163">IF(AND($L$230&gt;0,A389=$C$13),$L$230*($C$15+$C$18),0)+IF(AND($L$230&gt;0,A389=$C$13),$C$24,0)</f>
        <v>0</v>
      </c>
      <c r="H389" s="171">
        <f t="shared" ref="H389:H428" si="164">IF(OR($L$230&lt;=0,A389&lt;$C$13),0,IF(AND($L$230&gt;0,$C$17&gt;0,A389&gt;=$C$13,A389&lt;($C$13+$C$17)),IF($C$17&lt;=0,0,IF($C$16=0,MAX($L$230*(1-$C$15),0)/$C$17,-PMT($C$16/12,$C$17*12,MAX($L$230*(1-$C$15),0))*12)),0)+X389*($C$19+$C$20+$C$21)+$C$22+$C$23)</f>
        <v>0</v>
      </c>
      <c r="I389" s="171">
        <f>IF(B389="Working",MIN(MAX(D389-E389-F389-G389-H389,0),'Tax Assumptions'!$B$20),0)</f>
        <v>7500</v>
      </c>
      <c r="J389" s="171">
        <f t="shared" ref="J389:J428" si="165">IF(B389="Working",D389-E389-F389-I389-G389-H389,-L389)</f>
        <v>177165.46999999997</v>
      </c>
      <c r="K389" s="170">
        <f t="shared" ref="K389:K428" si="166">IF(B389="Retired",$N$230+G389+H389,0)</f>
        <v>0</v>
      </c>
      <c r="L389" s="170">
        <f t="shared" ref="L389:L428" si="167">M389+N389+O389+P389</f>
        <v>0</v>
      </c>
      <c r="M389" s="170">
        <f>IF(B389="Retired",MIN((('Savings Projection'!$B$7)*(1+$C$10)+IF(B389="Working",J389,0)),K389),0)</f>
        <v>0</v>
      </c>
      <c r="N389" s="170">
        <f>IF(B389="Retired",MIN(MAX(K389-M389,0),(('Savings Projection'!$B$8)*(1+$C$10)+IF(B389="Working",E80,0))),0)</f>
        <v>0</v>
      </c>
      <c r="O389" s="170">
        <f>IF(B389="Retired",MIN(MAX(K389-M389-N389,0),(('Savings Projection'!$B$9)*(1+$C$10)+IF(B389="Working",I389,0))),0)</f>
        <v>0</v>
      </c>
      <c r="P389" s="170">
        <f>IF(B389="Retired",MIN(MAX(K389-M389-N389-O389,0),(('Savings Projection'!$B$10)*(1+$C$10)+IF(B389="Working",F80,0))),0)</f>
        <v>0</v>
      </c>
      <c r="Q389" s="171">
        <f>MAX((('Savings Projection'!$B$7)*(1+$C$10)+IF(B389="Working",J389,0))-M389,0)</f>
        <v>336165.47</v>
      </c>
      <c r="R389" s="171">
        <f>MAX((('Savings Projection'!$B$8)*(1+$C$10)+IF(B389="Working",E80,0))-N389,0)</f>
        <v>24500</v>
      </c>
      <c r="S389" s="171">
        <f>MAX((('Savings Projection'!$B$9)*(1+$C$10)+IF(B389="Working",I389,0))-O389,0)</f>
        <v>7500</v>
      </c>
      <c r="T389" s="171">
        <f>MAX((('Savings Projection'!$B$10)*(1+$C$10)+IF(B389="Working",F80,0))-P389,0)</f>
        <v>0</v>
      </c>
      <c r="U389" s="171">
        <f t="shared" ref="U389:U428" si="168">Q389+R389+S389+T389</f>
        <v>368165.47</v>
      </c>
      <c r="V389" s="171">
        <f>IF(B389="Working",MAX(-((('Savings Projection'!$B$7)*(1+$C$10)+IF(B389="Working",J389,0))),0),MAX(K389-L389,0))</f>
        <v>0</v>
      </c>
      <c r="W389" s="171" t="str">
        <f>IF(OR(A389&gt;=$C$13,B389="Retired"),IF(V389&gt;0,-V389,U389-'Model Inputs'!$B$18),"")</f>
        <v/>
      </c>
      <c r="X389" s="171">
        <f t="shared" ref="X389:X428" si="169">IF(AND($L$230&gt;0,A389&gt;=$C$13),$L$230*(1+$C$25)^(A389-$C$13),0)</f>
        <v>0</v>
      </c>
      <c r="Y389" s="171">
        <f t="shared" ref="Y389:Y428" si="170">IF(OR($L$230&lt;=0,$C$17&lt;=0,A389&lt;$C$13,MIN(MAX((A389-$C$13+1)*12,0),$C$17*12)&gt;=$C$17*12),0,IF($C$16=0,MAX(MAX($L$230*(1-$C$15),0)-(IF($C$17&lt;=0,0,IF($C$16=0,MAX($L$230*(1-$C$15),0)/$C$17,-PMT($C$16/12,$C$17*12,MAX($L$230*(1-$C$15),0))*12))/12)*MIN(MAX((A389-$C$13+1)*12,0),$C$17*12),0),MAX(MAX($L$230*(1-$C$15),0)*(1+$C$16/12)^MIN(MAX((A389-$C$13+1)*12,0),$C$17*12)-(IF($C$17&lt;=0,0,IF($C$16=0,MAX($L$230*(1-$C$15),0)/$C$17,-PMT($C$16/12,$C$17*12,MAX($L$230*(1-$C$15),0))*12))/12)*(((1+$C$16/12)^MIN(MAX((A389-$C$13+1)*12,0),$C$17*12)-1)/($C$16/12)),0)))</f>
        <v>0</v>
      </c>
      <c r="Z389" s="171">
        <f t="shared" ref="Z389:Z428" si="171">MAX(X389-Y389,0)</f>
        <v>0</v>
      </c>
      <c r="AA389" s="172">
        <f t="shared" ref="AA389:AA428" si="172">U389+Z389</f>
        <v>368165.47</v>
      </c>
      <c r="AB389" s="5"/>
      <c r="AC389" s="5"/>
      <c r="AD389" s="5"/>
      <c r="AE389" s="5"/>
      <c r="AF389" s="5"/>
      <c r="AG389" s="5"/>
    </row>
    <row r="390" spans="1:33" x14ac:dyDescent="0.2">
      <c r="A390" s="173">
        <v>2</v>
      </c>
      <c r="B390" s="65" t="str">
        <f t="shared" si="158"/>
        <v>Working</v>
      </c>
      <c r="C390" s="174">
        <f t="shared" si="159"/>
        <v>412500</v>
      </c>
      <c r="D390" s="174">
        <f t="shared" si="160"/>
        <v>231269.97</v>
      </c>
      <c r="E390" s="174">
        <f t="shared" si="161"/>
        <v>80340</v>
      </c>
      <c r="F390" s="174">
        <f t="shared" si="162"/>
        <v>41200</v>
      </c>
      <c r="G390" s="171">
        <f t="shared" si="163"/>
        <v>0</v>
      </c>
      <c r="H390" s="171">
        <f t="shared" si="164"/>
        <v>0</v>
      </c>
      <c r="I390" s="171">
        <f>IF(B390="Working",MIN(MAX(D390-E390-F390-G390-H390,0),'Tax Assumptions'!$B$20),0)</f>
        <v>7500</v>
      </c>
      <c r="J390" s="171">
        <f t="shared" si="165"/>
        <v>102229.97</v>
      </c>
      <c r="K390" s="174">
        <f t="shared" si="166"/>
        <v>0</v>
      </c>
      <c r="L390" s="174">
        <f t="shared" si="167"/>
        <v>0</v>
      </c>
      <c r="M390" s="174">
        <f t="shared" ref="M390:M428" si="173">IF(B390="Retired",MIN(((Q389)*(1+$C$10)+IF(B390="Working",J390,0)),K390),0)</f>
        <v>0</v>
      </c>
      <c r="N390" s="174">
        <f t="shared" ref="N390:N428" si="174">IF(B390="Retired",MIN(MAX(K390-M390,0),((R389)*(1+$C$10)+IF(B390="Working",E81,0))),0)</f>
        <v>0</v>
      </c>
      <c r="O390" s="174">
        <f t="shared" ref="O390:O428" si="175">IF(B390="Retired",MIN(MAX(K390-M390-N390,0),((S389)*(1+$C$10)+IF(B390="Working",I390,0))),0)</f>
        <v>0</v>
      </c>
      <c r="P390" s="174">
        <f t="shared" ref="P390:P428" si="176">IF(B390="Retired",MIN(MAX(K390-M390-N390-O390,0),((T389)*(1+$C$10)+IF(B390="Working",F81,0))),0)</f>
        <v>0</v>
      </c>
      <c r="Q390" s="171">
        <f t="shared" ref="Q390:Q428" si="177">MAX(((Q389)*(1+$C$10)+IF(B390="Working",J390,0))-M390,0)</f>
        <v>458565.36820000003</v>
      </c>
      <c r="R390" s="171">
        <f t="shared" ref="R390:R428" si="178">MAX(((R389)*(1+$C$10)+IF(B390="Working",E81,0))-N390,0)</f>
        <v>50470</v>
      </c>
      <c r="S390" s="171">
        <f t="shared" ref="S390:S428" si="179">MAX(((S389)*(1+$C$10)+IF(B390="Working",I390,0))-O390,0)</f>
        <v>15450</v>
      </c>
      <c r="T390" s="171">
        <f t="shared" ref="T390:T428" si="180">MAX(((T389)*(1+$C$10)+IF(B390="Working",F81,0))-P390,0)</f>
        <v>0</v>
      </c>
      <c r="U390" s="171">
        <f t="shared" si="168"/>
        <v>524485.36820000003</v>
      </c>
      <c r="V390" s="171">
        <f t="shared" ref="V390:V428" si="181">IF(B390="Working",MAX(-(((Q389)*(1+$C$10)+IF(B390="Working",J390,0))),0),MAX(K390-L390,0))</f>
        <v>0</v>
      </c>
      <c r="W390" s="171" t="str">
        <f>IF(OR(A390&gt;=$C$13,B390="Retired"),IF(V390&gt;0,-V390,U390-'Model Inputs'!$B$18),"")</f>
        <v/>
      </c>
      <c r="X390" s="171">
        <f t="shared" si="169"/>
        <v>0</v>
      </c>
      <c r="Y390" s="171">
        <f t="shared" si="170"/>
        <v>0</v>
      </c>
      <c r="Z390" s="171">
        <f t="shared" si="171"/>
        <v>0</v>
      </c>
      <c r="AA390" s="175">
        <f t="shared" si="172"/>
        <v>524485.36820000003</v>
      </c>
      <c r="AB390" s="5"/>
      <c r="AC390" s="5"/>
      <c r="AD390" s="5"/>
      <c r="AE390" s="5"/>
      <c r="AF390" s="5"/>
      <c r="AG390" s="5"/>
    </row>
    <row r="391" spans="1:33" x14ac:dyDescent="0.2">
      <c r="A391" s="169">
        <v>3</v>
      </c>
      <c r="B391" s="100" t="str">
        <f t="shared" si="158"/>
        <v>Working</v>
      </c>
      <c r="C391" s="170">
        <f t="shared" si="159"/>
        <v>675000</v>
      </c>
      <c r="D391" s="170">
        <f t="shared" si="160"/>
        <v>367570.47</v>
      </c>
      <c r="E391" s="170">
        <f t="shared" si="161"/>
        <v>82750.2</v>
      </c>
      <c r="F391" s="170">
        <f t="shared" si="162"/>
        <v>53045</v>
      </c>
      <c r="G391" s="171">
        <f t="shared" si="163"/>
        <v>0</v>
      </c>
      <c r="H391" s="171">
        <f t="shared" si="164"/>
        <v>0</v>
      </c>
      <c r="I391" s="171">
        <f>IF(B391="Working",MIN(MAX(D391-E391-F391-G391-H391,0),'Tax Assumptions'!$B$20),0)</f>
        <v>7500</v>
      </c>
      <c r="J391" s="171">
        <f t="shared" si="165"/>
        <v>224275.26999999996</v>
      </c>
      <c r="K391" s="170">
        <f t="shared" si="166"/>
        <v>0</v>
      </c>
      <c r="L391" s="170">
        <f t="shared" si="167"/>
        <v>0</v>
      </c>
      <c r="M391" s="170">
        <f t="shared" si="173"/>
        <v>0</v>
      </c>
      <c r="N391" s="170">
        <f t="shared" si="174"/>
        <v>0</v>
      </c>
      <c r="O391" s="170">
        <f t="shared" si="175"/>
        <v>0</v>
      </c>
      <c r="P391" s="170">
        <f t="shared" si="176"/>
        <v>0</v>
      </c>
      <c r="Q391" s="171">
        <f t="shared" si="177"/>
        <v>710354.56029199995</v>
      </c>
      <c r="R391" s="171">
        <f t="shared" si="178"/>
        <v>77998.200000000012</v>
      </c>
      <c r="S391" s="171">
        <f t="shared" si="179"/>
        <v>23877</v>
      </c>
      <c r="T391" s="171">
        <f t="shared" si="180"/>
        <v>0</v>
      </c>
      <c r="U391" s="171">
        <f t="shared" si="168"/>
        <v>812229.7602919999</v>
      </c>
      <c r="V391" s="171">
        <f t="shared" si="181"/>
        <v>0</v>
      </c>
      <c r="W391" s="171" t="str">
        <f>IF(OR(A391&gt;=$C$13,B391="Retired"),IF(V391&gt;0,-V391,U391-'Model Inputs'!$B$18),"")</f>
        <v/>
      </c>
      <c r="X391" s="171">
        <f t="shared" si="169"/>
        <v>0</v>
      </c>
      <c r="Y391" s="171">
        <f t="shared" si="170"/>
        <v>0</v>
      </c>
      <c r="Z391" s="171">
        <f t="shared" si="171"/>
        <v>0</v>
      </c>
      <c r="AA391" s="172">
        <f t="shared" si="172"/>
        <v>812229.7602919999</v>
      </c>
      <c r="AB391" s="5"/>
      <c r="AC391" s="5"/>
      <c r="AD391" s="5"/>
      <c r="AE391" s="5"/>
      <c r="AF391" s="5"/>
      <c r="AG391" s="5"/>
    </row>
    <row r="392" spans="1:33" x14ac:dyDescent="0.2">
      <c r="A392" s="173">
        <v>4</v>
      </c>
      <c r="B392" s="65" t="str">
        <f t="shared" si="158"/>
        <v>Working</v>
      </c>
      <c r="C392" s="174">
        <f t="shared" si="159"/>
        <v>750000</v>
      </c>
      <c r="D392" s="174">
        <f t="shared" si="160"/>
        <v>405137.47</v>
      </c>
      <c r="E392" s="174">
        <f t="shared" si="161"/>
        <v>85232.706000000006</v>
      </c>
      <c r="F392" s="174">
        <f t="shared" si="162"/>
        <v>54636.35</v>
      </c>
      <c r="G392" s="171">
        <f t="shared" si="163"/>
        <v>0</v>
      </c>
      <c r="H392" s="171">
        <f t="shared" si="164"/>
        <v>0</v>
      </c>
      <c r="I392" s="171">
        <f>IF(B392="Working",MIN(MAX(D392-E392-F392-G392-H392,0),'Tax Assumptions'!$B$20),0)</f>
        <v>7500</v>
      </c>
      <c r="J392" s="171">
        <f t="shared" si="165"/>
        <v>257768.41399999999</v>
      </c>
      <c r="K392" s="174">
        <f t="shared" si="166"/>
        <v>0</v>
      </c>
      <c r="L392" s="174">
        <f t="shared" si="167"/>
        <v>0</v>
      </c>
      <c r="M392" s="174">
        <f t="shared" si="173"/>
        <v>0</v>
      </c>
      <c r="N392" s="174">
        <f t="shared" si="174"/>
        <v>0</v>
      </c>
      <c r="O392" s="174">
        <f t="shared" si="175"/>
        <v>0</v>
      </c>
      <c r="P392" s="174">
        <f t="shared" si="176"/>
        <v>0</v>
      </c>
      <c r="Q392" s="171">
        <f t="shared" si="177"/>
        <v>1010744.2479095199</v>
      </c>
      <c r="R392" s="171">
        <f t="shared" si="178"/>
        <v>107178.09200000002</v>
      </c>
      <c r="S392" s="171">
        <f t="shared" si="179"/>
        <v>32809.620000000003</v>
      </c>
      <c r="T392" s="171">
        <f t="shared" si="180"/>
        <v>0</v>
      </c>
      <c r="U392" s="171">
        <f t="shared" si="168"/>
        <v>1150731.9599095201</v>
      </c>
      <c r="V392" s="171">
        <f t="shared" si="181"/>
        <v>0</v>
      </c>
      <c r="W392" s="171" t="str">
        <f>IF(OR(A392&gt;=$C$13,B392="Retired"),IF(V392&gt;0,-V392,U392-'Model Inputs'!$B$18),"")</f>
        <v/>
      </c>
      <c r="X392" s="171">
        <f t="shared" si="169"/>
        <v>0</v>
      </c>
      <c r="Y392" s="171">
        <f t="shared" si="170"/>
        <v>0</v>
      </c>
      <c r="Z392" s="171">
        <f t="shared" si="171"/>
        <v>0</v>
      </c>
      <c r="AA392" s="175">
        <f t="shared" si="172"/>
        <v>1150731.9599095201</v>
      </c>
      <c r="AB392" s="5"/>
      <c r="AC392" s="5"/>
      <c r="AD392" s="5"/>
      <c r="AE392" s="5"/>
      <c r="AF392" s="5"/>
      <c r="AG392" s="5"/>
    </row>
    <row r="393" spans="1:33" x14ac:dyDescent="0.2">
      <c r="A393" s="169">
        <v>5</v>
      </c>
      <c r="B393" s="100" t="str">
        <f t="shared" si="158"/>
        <v>Working</v>
      </c>
      <c r="C393" s="170">
        <f t="shared" si="159"/>
        <v>953837.51358640334</v>
      </c>
      <c r="D393" s="170">
        <f t="shared" si="160"/>
        <v>506901.31028287602</v>
      </c>
      <c r="E393" s="170">
        <f t="shared" si="161"/>
        <v>87789.687179999994</v>
      </c>
      <c r="F393" s="170">
        <f t="shared" si="162"/>
        <v>56275.440499999997</v>
      </c>
      <c r="G393" s="171">
        <f t="shared" si="163"/>
        <v>0</v>
      </c>
      <c r="H393" s="171">
        <f t="shared" si="164"/>
        <v>0</v>
      </c>
      <c r="I393" s="171">
        <f>IF(B393="Working",MIN(MAX(D393-E393-F393-G393-H393,0),'Tax Assumptions'!$B$20),0)</f>
        <v>7500</v>
      </c>
      <c r="J393" s="171">
        <f t="shared" si="165"/>
        <v>355336.18260287598</v>
      </c>
      <c r="K393" s="170">
        <f t="shared" si="166"/>
        <v>0</v>
      </c>
      <c r="L393" s="170">
        <f t="shared" si="167"/>
        <v>0</v>
      </c>
      <c r="M393" s="170">
        <f t="shared" si="173"/>
        <v>0</v>
      </c>
      <c r="N393" s="170">
        <f t="shared" si="174"/>
        <v>0</v>
      </c>
      <c r="O393" s="170">
        <f t="shared" si="175"/>
        <v>0</v>
      </c>
      <c r="P393" s="170">
        <f t="shared" si="176"/>
        <v>0</v>
      </c>
      <c r="Q393" s="171">
        <f t="shared" si="177"/>
        <v>1426725.0853869673</v>
      </c>
      <c r="R393" s="171">
        <f t="shared" si="178"/>
        <v>138108.77752000003</v>
      </c>
      <c r="S393" s="171">
        <f t="shared" si="179"/>
        <v>42278.197200000002</v>
      </c>
      <c r="T393" s="171">
        <f t="shared" si="180"/>
        <v>0</v>
      </c>
      <c r="U393" s="171">
        <f t="shared" si="168"/>
        <v>1607112.0601069673</v>
      </c>
      <c r="V393" s="171">
        <f t="shared" si="181"/>
        <v>0</v>
      </c>
      <c r="W393" s="171" t="str">
        <f>IF(OR(A393&gt;=$C$13,B393="Retired"),IF(V393&gt;0,-V393,U393-'Model Inputs'!$B$18),"")</f>
        <v/>
      </c>
      <c r="X393" s="171">
        <f t="shared" si="169"/>
        <v>0</v>
      </c>
      <c r="Y393" s="171">
        <f t="shared" si="170"/>
        <v>0</v>
      </c>
      <c r="Z393" s="171">
        <f t="shared" si="171"/>
        <v>0</v>
      </c>
      <c r="AA393" s="172">
        <f t="shared" si="172"/>
        <v>1607112.0601069673</v>
      </c>
      <c r="AB393" s="5"/>
      <c r="AC393" s="5"/>
      <c r="AD393" s="5"/>
      <c r="AE393" s="5"/>
      <c r="AF393" s="5"/>
      <c r="AG393" s="5"/>
    </row>
    <row r="394" spans="1:33" x14ac:dyDescent="0.2">
      <c r="A394" s="173">
        <v>6</v>
      </c>
      <c r="B394" s="65" t="str">
        <f t="shared" si="158"/>
        <v>Working</v>
      </c>
      <c r="C394" s="174">
        <f t="shared" si="159"/>
        <v>1118900.665838565</v>
      </c>
      <c r="D394" s="174">
        <f t="shared" si="160"/>
        <v>589060.11476976541</v>
      </c>
      <c r="E394" s="174">
        <f t="shared" si="161"/>
        <v>92741.925943999988</v>
      </c>
      <c r="F394" s="174">
        <f t="shared" si="162"/>
        <v>57963.703714999989</v>
      </c>
      <c r="G394" s="171">
        <f t="shared" si="163"/>
        <v>0</v>
      </c>
      <c r="H394" s="171">
        <f t="shared" si="164"/>
        <v>0</v>
      </c>
      <c r="I394" s="171">
        <f>IF(B394="Working",MIN(MAX(D394-E394-F394-G394-H394,0),'Tax Assumptions'!$B$20),0)</f>
        <v>7500</v>
      </c>
      <c r="J394" s="171">
        <f t="shared" si="165"/>
        <v>430854.48511076538</v>
      </c>
      <c r="K394" s="174">
        <f t="shared" si="166"/>
        <v>0</v>
      </c>
      <c r="L394" s="174">
        <f t="shared" si="167"/>
        <v>0</v>
      </c>
      <c r="M394" s="174">
        <f t="shared" si="173"/>
        <v>0</v>
      </c>
      <c r="N394" s="174">
        <f t="shared" si="174"/>
        <v>0</v>
      </c>
      <c r="O394" s="174">
        <f t="shared" si="175"/>
        <v>0</v>
      </c>
      <c r="P394" s="174">
        <f t="shared" si="176"/>
        <v>0</v>
      </c>
      <c r="Q394" s="171">
        <f t="shared" si="177"/>
        <v>1943183.0756209507</v>
      </c>
      <c r="R394" s="171">
        <f t="shared" si="178"/>
        <v>170895.30417120006</v>
      </c>
      <c r="S394" s="171">
        <f t="shared" si="179"/>
        <v>52314.889032000006</v>
      </c>
      <c r="T394" s="171">
        <f t="shared" si="180"/>
        <v>0</v>
      </c>
      <c r="U394" s="171">
        <f t="shared" si="168"/>
        <v>2166393.2688241508</v>
      </c>
      <c r="V394" s="171">
        <f t="shared" si="181"/>
        <v>0</v>
      </c>
      <c r="W394" s="171" t="str">
        <f>IF(OR(A394&gt;=$C$13,B394="Retired"),IF(V394&gt;0,-V394,U394-'Model Inputs'!$B$18),"")</f>
        <v/>
      </c>
      <c r="X394" s="171">
        <f t="shared" si="169"/>
        <v>0</v>
      </c>
      <c r="Y394" s="171">
        <f t="shared" si="170"/>
        <v>0</v>
      </c>
      <c r="Z394" s="171">
        <f t="shared" si="171"/>
        <v>0</v>
      </c>
      <c r="AA394" s="175">
        <f t="shared" si="172"/>
        <v>2166393.2688241508</v>
      </c>
      <c r="AB394" s="5"/>
      <c r="AC394" s="5"/>
      <c r="AD394" s="5"/>
      <c r="AE394" s="5"/>
      <c r="AF394" s="5"/>
      <c r="AG394" s="5"/>
    </row>
    <row r="395" spans="1:33" x14ac:dyDescent="0.2">
      <c r="A395" s="169">
        <v>7</v>
      </c>
      <c r="B395" s="100" t="str">
        <f t="shared" si="158"/>
        <v>Working</v>
      </c>
      <c r="C395" s="170">
        <f t="shared" si="159"/>
        <v>1418318.448466131</v>
      </c>
      <c r="D395" s="170">
        <f t="shared" si="160"/>
        <v>730157.75065517949</v>
      </c>
      <c r="E395" s="170">
        <f t="shared" si="161"/>
        <v>95524.183722319998</v>
      </c>
      <c r="F395" s="170">
        <f t="shared" si="162"/>
        <v>59702.614826449993</v>
      </c>
      <c r="G395" s="171">
        <f t="shared" si="163"/>
        <v>0</v>
      </c>
      <c r="H395" s="171">
        <f t="shared" si="164"/>
        <v>0</v>
      </c>
      <c r="I395" s="171">
        <f>IF(B395="Working",MIN(MAX(D395-E395-F395-G395-H395,0),'Tax Assumptions'!$B$20),0)</f>
        <v>7500</v>
      </c>
      <c r="J395" s="171">
        <f t="shared" si="165"/>
        <v>567430.95210640947</v>
      </c>
      <c r="K395" s="170">
        <f t="shared" si="166"/>
        <v>0</v>
      </c>
      <c r="L395" s="170">
        <f t="shared" si="167"/>
        <v>0</v>
      </c>
      <c r="M395" s="170">
        <f t="shared" si="173"/>
        <v>0</v>
      </c>
      <c r="N395" s="170">
        <f t="shared" si="174"/>
        <v>0</v>
      </c>
      <c r="O395" s="170">
        <f t="shared" si="175"/>
        <v>0</v>
      </c>
      <c r="P395" s="170">
        <f t="shared" si="176"/>
        <v>0</v>
      </c>
      <c r="Q395" s="171">
        <f t="shared" si="177"/>
        <v>2627205.0122646173</v>
      </c>
      <c r="R395" s="171">
        <f t="shared" si="178"/>
        <v>205649.02242147207</v>
      </c>
      <c r="S395" s="171">
        <f t="shared" si="179"/>
        <v>62953.78237392001</v>
      </c>
      <c r="T395" s="171">
        <f t="shared" si="180"/>
        <v>0</v>
      </c>
      <c r="U395" s="171">
        <f t="shared" si="168"/>
        <v>2895807.8170600096</v>
      </c>
      <c r="V395" s="171">
        <f t="shared" si="181"/>
        <v>0</v>
      </c>
      <c r="W395" s="171" t="str">
        <f>IF(OR(A395&gt;=$C$13,B395="Retired"),IF(V395&gt;0,-V395,U395-'Model Inputs'!$B$18),"")</f>
        <v/>
      </c>
      <c r="X395" s="171">
        <f t="shared" si="169"/>
        <v>0</v>
      </c>
      <c r="Y395" s="171">
        <f t="shared" si="170"/>
        <v>0</v>
      </c>
      <c r="Z395" s="171">
        <f t="shared" si="171"/>
        <v>0</v>
      </c>
      <c r="AA395" s="172">
        <f t="shared" si="172"/>
        <v>2895807.8170600096</v>
      </c>
      <c r="AB395" s="5"/>
      <c r="AC395" s="5"/>
      <c r="AD395" s="5"/>
      <c r="AE395" s="5"/>
      <c r="AF395" s="5"/>
      <c r="AG395" s="5"/>
    </row>
    <row r="396" spans="1:33" x14ac:dyDescent="0.2">
      <c r="A396" s="173">
        <v>8</v>
      </c>
      <c r="B396" s="65" t="str">
        <f t="shared" si="158"/>
        <v>Working</v>
      </c>
      <c r="C396" s="174">
        <f t="shared" si="159"/>
        <v>1872205.6657868917</v>
      </c>
      <c r="D396" s="174">
        <f t="shared" si="160"/>
        <v>944047.5629454148</v>
      </c>
      <c r="E396" s="174">
        <f t="shared" si="161"/>
        <v>98389.909233989601</v>
      </c>
      <c r="F396" s="174">
        <f t="shared" si="162"/>
        <v>61493.693271243501</v>
      </c>
      <c r="G396" s="171">
        <f t="shared" si="163"/>
        <v>0</v>
      </c>
      <c r="H396" s="171">
        <f t="shared" si="164"/>
        <v>0</v>
      </c>
      <c r="I396" s="171">
        <f>IF(B396="Working",MIN(MAX(D396-E396-F396-G396-H396,0),'Tax Assumptions'!$B$20),0)</f>
        <v>7500</v>
      </c>
      <c r="J396" s="171">
        <f t="shared" si="165"/>
        <v>776663.96044018166</v>
      </c>
      <c r="K396" s="174">
        <f t="shared" si="166"/>
        <v>0</v>
      </c>
      <c r="L396" s="174">
        <f t="shared" si="167"/>
        <v>0</v>
      </c>
      <c r="M396" s="174">
        <f t="shared" si="173"/>
        <v>0</v>
      </c>
      <c r="N396" s="174">
        <f t="shared" si="174"/>
        <v>0</v>
      </c>
      <c r="O396" s="174">
        <f t="shared" si="175"/>
        <v>0</v>
      </c>
      <c r="P396" s="174">
        <f t="shared" si="176"/>
        <v>0</v>
      </c>
      <c r="Q396" s="171">
        <f t="shared" si="177"/>
        <v>3561501.2734406763</v>
      </c>
      <c r="R396" s="171">
        <f t="shared" si="178"/>
        <v>242487.9637667604</v>
      </c>
      <c r="S396" s="171">
        <f t="shared" si="179"/>
        <v>74231.009316355208</v>
      </c>
      <c r="T396" s="171">
        <f t="shared" si="180"/>
        <v>0</v>
      </c>
      <c r="U396" s="171">
        <f t="shared" si="168"/>
        <v>3878220.2465237915</v>
      </c>
      <c r="V396" s="171">
        <f t="shared" si="181"/>
        <v>0</v>
      </c>
      <c r="W396" s="171" t="str">
        <f>IF(OR(A396&gt;=$C$13,B396="Retired"),IF(V396&gt;0,-V396,U396-'Model Inputs'!$B$18),"")</f>
        <v/>
      </c>
      <c r="X396" s="171">
        <f t="shared" si="169"/>
        <v>0</v>
      </c>
      <c r="Y396" s="171">
        <f t="shared" si="170"/>
        <v>0</v>
      </c>
      <c r="Z396" s="171">
        <f t="shared" si="171"/>
        <v>0</v>
      </c>
      <c r="AA396" s="175">
        <f t="shared" si="172"/>
        <v>3878220.2465237915</v>
      </c>
      <c r="AB396" s="5"/>
      <c r="AC396" s="5"/>
      <c r="AD396" s="5"/>
      <c r="AE396" s="5"/>
      <c r="AF396" s="5"/>
      <c r="AG396" s="5"/>
    </row>
    <row r="397" spans="1:33" x14ac:dyDescent="0.2">
      <c r="A397" s="169">
        <v>9</v>
      </c>
      <c r="B397" s="100" t="str">
        <f t="shared" si="158"/>
        <v>Working</v>
      </c>
      <c r="C397" s="170">
        <f t="shared" si="159"/>
        <v>2033969.9666232408</v>
      </c>
      <c r="D397" s="170">
        <f t="shared" si="160"/>
        <v>1020277.372071536</v>
      </c>
      <c r="E397" s="170">
        <f t="shared" si="161"/>
        <v>101341.60651100927</v>
      </c>
      <c r="F397" s="170">
        <f t="shared" si="162"/>
        <v>63338.504069380797</v>
      </c>
      <c r="G397" s="171">
        <f t="shared" si="163"/>
        <v>0</v>
      </c>
      <c r="H397" s="171">
        <f t="shared" si="164"/>
        <v>0</v>
      </c>
      <c r="I397" s="171">
        <f>IF(B397="Working",MIN(MAX(D397-E397-F397-G397-H397,0),'Tax Assumptions'!$B$20),0)</f>
        <v>7500</v>
      </c>
      <c r="J397" s="171">
        <f t="shared" si="165"/>
        <v>848097.26149114594</v>
      </c>
      <c r="K397" s="170">
        <f t="shared" si="166"/>
        <v>0</v>
      </c>
      <c r="L397" s="170">
        <f t="shared" si="167"/>
        <v>0</v>
      </c>
      <c r="M397" s="170">
        <f t="shared" si="173"/>
        <v>0</v>
      </c>
      <c r="N397" s="170">
        <f t="shared" si="174"/>
        <v>0</v>
      </c>
      <c r="O397" s="170">
        <f t="shared" si="175"/>
        <v>0</v>
      </c>
      <c r="P397" s="170">
        <f t="shared" si="176"/>
        <v>0</v>
      </c>
      <c r="Q397" s="171">
        <f t="shared" si="177"/>
        <v>4623288.6113382634</v>
      </c>
      <c r="R397" s="171">
        <f t="shared" si="178"/>
        <v>281537.24159276602</v>
      </c>
      <c r="S397" s="171">
        <f t="shared" si="179"/>
        <v>86184.869875336532</v>
      </c>
      <c r="T397" s="171">
        <f t="shared" si="180"/>
        <v>0</v>
      </c>
      <c r="U397" s="171">
        <f t="shared" si="168"/>
        <v>4991010.7228063662</v>
      </c>
      <c r="V397" s="171">
        <f t="shared" si="181"/>
        <v>0</v>
      </c>
      <c r="W397" s="171" t="str">
        <f>IF(OR(A397&gt;=$C$13,B397="Retired"),IF(V397&gt;0,-V397,U397-'Model Inputs'!$B$18),"")</f>
        <v/>
      </c>
      <c r="X397" s="171">
        <f t="shared" si="169"/>
        <v>0</v>
      </c>
      <c r="Y397" s="171">
        <f t="shared" si="170"/>
        <v>0</v>
      </c>
      <c r="Z397" s="171">
        <f t="shared" si="171"/>
        <v>0</v>
      </c>
      <c r="AA397" s="172">
        <f t="shared" si="172"/>
        <v>4991010.7228063662</v>
      </c>
      <c r="AB397" s="5"/>
      <c r="AC397" s="5"/>
      <c r="AD397" s="5"/>
      <c r="AE397" s="5"/>
      <c r="AF397" s="5"/>
      <c r="AG397" s="5"/>
    </row>
    <row r="398" spans="1:33" x14ac:dyDescent="0.2">
      <c r="A398" s="173">
        <v>10</v>
      </c>
      <c r="B398" s="65" t="str">
        <f t="shared" si="158"/>
        <v>Working</v>
      </c>
      <c r="C398" s="174">
        <f t="shared" si="159"/>
        <v>2595495.7626410057</v>
      </c>
      <c r="D398" s="174">
        <f t="shared" si="160"/>
        <v>1284890.7881869476</v>
      </c>
      <c r="E398" s="174">
        <f t="shared" si="161"/>
        <v>104381.85470633955</v>
      </c>
      <c r="F398" s="174">
        <f t="shared" si="162"/>
        <v>65238.659191462226</v>
      </c>
      <c r="G398" s="171">
        <f t="shared" si="163"/>
        <v>481701.17200139578</v>
      </c>
      <c r="H398" s="171">
        <f t="shared" si="164"/>
        <v>64615.384615384617</v>
      </c>
      <c r="I398" s="171">
        <f>IF(B398="Working",MIN(MAX(D398-E398-F398-G398-H398,0),'Tax Assumptions'!$B$20),0)</f>
        <v>7500</v>
      </c>
      <c r="J398" s="171">
        <f t="shared" si="165"/>
        <v>561453.71767236537</v>
      </c>
      <c r="K398" s="174">
        <f t="shared" si="166"/>
        <v>0</v>
      </c>
      <c r="L398" s="174">
        <f t="shared" si="167"/>
        <v>0</v>
      </c>
      <c r="M398" s="174">
        <f t="shared" si="173"/>
        <v>0</v>
      </c>
      <c r="N398" s="174">
        <f t="shared" si="174"/>
        <v>0</v>
      </c>
      <c r="O398" s="174">
        <f t="shared" si="175"/>
        <v>0</v>
      </c>
      <c r="P398" s="174">
        <f t="shared" si="176"/>
        <v>0</v>
      </c>
      <c r="Q398" s="171">
        <f t="shared" si="177"/>
        <v>5462139.6456909254</v>
      </c>
      <c r="R398" s="171">
        <f t="shared" si="178"/>
        <v>322929.47608833201</v>
      </c>
      <c r="S398" s="171">
        <f t="shared" si="179"/>
        <v>98855.96206785673</v>
      </c>
      <c r="T398" s="171">
        <f t="shared" si="180"/>
        <v>0</v>
      </c>
      <c r="U398" s="171">
        <f t="shared" si="168"/>
        <v>5883925.0838471139</v>
      </c>
      <c r="V398" s="171">
        <f t="shared" si="181"/>
        <v>0</v>
      </c>
      <c r="W398" s="171">
        <f>IF(OR(A398&gt;=$C$13,B398="Retired"),IF(V398&gt;0,-V398,U398-'Model Inputs'!$B$18),"")</f>
        <v>4883925.0838471139</v>
      </c>
      <c r="X398" s="171">
        <f t="shared" si="169"/>
        <v>1014107.7305292542</v>
      </c>
      <c r="Y398" s="171">
        <f t="shared" si="170"/>
        <v>551525.03457834024</v>
      </c>
      <c r="Z398" s="171">
        <f t="shared" si="171"/>
        <v>462582.69595091394</v>
      </c>
      <c r="AA398" s="175">
        <f t="shared" si="172"/>
        <v>6346507.7797980281</v>
      </c>
      <c r="AB398" s="5"/>
      <c r="AC398" s="5"/>
      <c r="AD398" s="5"/>
      <c r="AE398" s="5"/>
      <c r="AF398" s="5"/>
      <c r="AG398" s="5"/>
    </row>
    <row r="399" spans="1:33" x14ac:dyDescent="0.2">
      <c r="A399" s="169">
        <v>11</v>
      </c>
      <c r="B399" s="100" t="str">
        <f t="shared" si="158"/>
        <v>Retired</v>
      </c>
      <c r="C399" s="170">
        <f t="shared" si="159"/>
        <v>0</v>
      </c>
      <c r="D399" s="170">
        <f t="shared" si="160"/>
        <v>0</v>
      </c>
      <c r="E399" s="170">
        <f t="shared" si="161"/>
        <v>0</v>
      </c>
      <c r="F399" s="170">
        <f t="shared" si="162"/>
        <v>0</v>
      </c>
      <c r="G399" s="171">
        <f t="shared" si="163"/>
        <v>0</v>
      </c>
      <c r="H399" s="171">
        <f t="shared" si="164"/>
        <v>65284.695717533919</v>
      </c>
      <c r="I399" s="171">
        <f>IF(B399="Working",MIN(MAX(D399-E399-F399-G399-H399,0),'Tax Assumptions'!$B$20),0)</f>
        <v>0</v>
      </c>
      <c r="J399" s="171">
        <f t="shared" si="165"/>
        <v>-295284.69571753388</v>
      </c>
      <c r="K399" s="170">
        <f t="shared" si="166"/>
        <v>295284.69571753388</v>
      </c>
      <c r="L399" s="170">
        <f t="shared" si="167"/>
        <v>295284.69571753388</v>
      </c>
      <c r="M399" s="170">
        <f t="shared" si="173"/>
        <v>295284.69571753388</v>
      </c>
      <c r="N399" s="170">
        <f t="shared" si="174"/>
        <v>0</v>
      </c>
      <c r="O399" s="170">
        <f t="shared" si="175"/>
        <v>0</v>
      </c>
      <c r="P399" s="170">
        <f t="shared" si="176"/>
        <v>0</v>
      </c>
      <c r="Q399" s="171">
        <f t="shared" si="177"/>
        <v>5494583.3287148476</v>
      </c>
      <c r="R399" s="171">
        <f t="shared" si="178"/>
        <v>342305.24465363193</v>
      </c>
      <c r="S399" s="171">
        <f t="shared" si="179"/>
        <v>104787.31979192814</v>
      </c>
      <c r="T399" s="171">
        <f t="shared" si="180"/>
        <v>0</v>
      </c>
      <c r="U399" s="171">
        <f t="shared" si="168"/>
        <v>5941675.8931604074</v>
      </c>
      <c r="V399" s="171">
        <f t="shared" si="181"/>
        <v>0</v>
      </c>
      <c r="W399" s="171">
        <f>IF(OR(A399&gt;=$C$13,B399="Retired"),IF(V399&gt;0,-V399,U399-'Model Inputs'!$B$18),"")</f>
        <v>4941675.8931604074</v>
      </c>
      <c r="X399" s="171">
        <f t="shared" si="169"/>
        <v>1044530.9624451319</v>
      </c>
      <c r="Y399" s="171">
        <f t="shared" si="170"/>
        <v>544873.30029306666</v>
      </c>
      <c r="Z399" s="171">
        <f t="shared" si="171"/>
        <v>499657.6621520652</v>
      </c>
      <c r="AA399" s="172">
        <f t="shared" si="172"/>
        <v>6441333.5553124724</v>
      </c>
      <c r="AB399" s="5"/>
      <c r="AC399" s="5"/>
      <c r="AD399" s="5"/>
      <c r="AE399" s="5"/>
      <c r="AF399" s="5"/>
      <c r="AG399" s="5"/>
    </row>
    <row r="400" spans="1:33" x14ac:dyDescent="0.2">
      <c r="A400" s="173">
        <v>12</v>
      </c>
      <c r="B400" s="65" t="str">
        <f t="shared" si="158"/>
        <v>Retired</v>
      </c>
      <c r="C400" s="174">
        <f t="shared" si="159"/>
        <v>0</v>
      </c>
      <c r="D400" s="174">
        <f t="shared" si="160"/>
        <v>0</v>
      </c>
      <c r="E400" s="174">
        <f t="shared" si="161"/>
        <v>0</v>
      </c>
      <c r="F400" s="174">
        <f t="shared" si="162"/>
        <v>0</v>
      </c>
      <c r="G400" s="171">
        <f t="shared" si="163"/>
        <v>0</v>
      </c>
      <c r="H400" s="171">
        <f t="shared" si="164"/>
        <v>65974.08615274771</v>
      </c>
      <c r="I400" s="171">
        <f>IF(B400="Working",MIN(MAX(D400-E400-F400-G400-H400,0),'Tax Assumptions'!$B$20),0)</f>
        <v>0</v>
      </c>
      <c r="J400" s="171">
        <f t="shared" si="165"/>
        <v>-295974.08615274768</v>
      </c>
      <c r="K400" s="174">
        <f t="shared" si="166"/>
        <v>295974.08615274768</v>
      </c>
      <c r="L400" s="174">
        <f t="shared" si="167"/>
        <v>295974.08615274768</v>
      </c>
      <c r="M400" s="174">
        <f t="shared" si="173"/>
        <v>295974.08615274768</v>
      </c>
      <c r="N400" s="174">
        <f t="shared" si="174"/>
        <v>0</v>
      </c>
      <c r="O400" s="174">
        <f t="shared" si="175"/>
        <v>0</v>
      </c>
      <c r="P400" s="174">
        <f t="shared" si="176"/>
        <v>0</v>
      </c>
      <c r="Q400" s="171">
        <f t="shared" si="177"/>
        <v>5528284.2422849918</v>
      </c>
      <c r="R400" s="171">
        <f t="shared" si="178"/>
        <v>362843.55933284987</v>
      </c>
      <c r="S400" s="171">
        <f t="shared" si="179"/>
        <v>111074.55897944383</v>
      </c>
      <c r="T400" s="171">
        <f t="shared" si="180"/>
        <v>0</v>
      </c>
      <c r="U400" s="171">
        <f t="shared" si="168"/>
        <v>6002202.3605972854</v>
      </c>
      <c r="V400" s="171">
        <f t="shared" si="181"/>
        <v>0</v>
      </c>
      <c r="W400" s="171">
        <f>IF(OR(A400&gt;=$C$13,B400="Retired"),IF(V400&gt;0,-V400,U400-'Model Inputs'!$B$18),"")</f>
        <v>5002202.3605972854</v>
      </c>
      <c r="X400" s="171">
        <f t="shared" si="169"/>
        <v>1075866.8913184856</v>
      </c>
      <c r="Y400" s="171">
        <f t="shared" si="170"/>
        <v>537776.08704367955</v>
      </c>
      <c r="Z400" s="171">
        <f t="shared" si="171"/>
        <v>538090.80427480605</v>
      </c>
      <c r="AA400" s="175">
        <f t="shared" si="172"/>
        <v>6540293.1648720913</v>
      </c>
      <c r="AB400" s="5"/>
      <c r="AC400" s="5"/>
      <c r="AD400" s="5"/>
      <c r="AE400" s="5"/>
      <c r="AF400" s="5"/>
      <c r="AG400" s="5"/>
    </row>
    <row r="401" spans="1:33" x14ac:dyDescent="0.2">
      <c r="A401" s="169">
        <v>13</v>
      </c>
      <c r="B401" s="100" t="str">
        <f t="shared" si="158"/>
        <v>Retired</v>
      </c>
      <c r="C401" s="170">
        <f t="shared" si="159"/>
        <v>0</v>
      </c>
      <c r="D401" s="170">
        <f t="shared" si="160"/>
        <v>0</v>
      </c>
      <c r="E401" s="170">
        <f t="shared" si="161"/>
        <v>0</v>
      </c>
      <c r="F401" s="170">
        <f t="shared" si="162"/>
        <v>0</v>
      </c>
      <c r="G401" s="171">
        <f t="shared" si="163"/>
        <v>0</v>
      </c>
      <c r="H401" s="171">
        <f t="shared" si="164"/>
        <v>66684.158301017917</v>
      </c>
      <c r="I401" s="171">
        <f>IF(B401="Working",MIN(MAX(D401-E401-F401-G401-H401,0),'Tax Assumptions'!$B$20),0)</f>
        <v>0</v>
      </c>
      <c r="J401" s="171">
        <f t="shared" si="165"/>
        <v>-296684.15830101789</v>
      </c>
      <c r="K401" s="170">
        <f t="shared" si="166"/>
        <v>296684.15830101789</v>
      </c>
      <c r="L401" s="170">
        <f t="shared" si="167"/>
        <v>296684.15830101789</v>
      </c>
      <c r="M401" s="170">
        <f t="shared" si="173"/>
        <v>296684.15830101789</v>
      </c>
      <c r="N401" s="170">
        <f t="shared" si="174"/>
        <v>0</v>
      </c>
      <c r="O401" s="170">
        <f t="shared" si="175"/>
        <v>0</v>
      </c>
      <c r="P401" s="170">
        <f t="shared" si="176"/>
        <v>0</v>
      </c>
      <c r="Q401" s="171">
        <f t="shared" si="177"/>
        <v>5563297.1385210734</v>
      </c>
      <c r="R401" s="171">
        <f t="shared" si="178"/>
        <v>384614.1728928209</v>
      </c>
      <c r="S401" s="171">
        <f t="shared" si="179"/>
        <v>117739.03251821046</v>
      </c>
      <c r="T401" s="171">
        <f t="shared" si="180"/>
        <v>0</v>
      </c>
      <c r="U401" s="171">
        <f t="shared" si="168"/>
        <v>6065650.3439321052</v>
      </c>
      <c r="V401" s="171">
        <f t="shared" si="181"/>
        <v>0</v>
      </c>
      <c r="W401" s="171">
        <f>IF(OR(A401&gt;=$C$13,B401="Retired"),IF(V401&gt;0,-V401,U401-'Model Inputs'!$B$18),"")</f>
        <v>5065650.3439321052</v>
      </c>
      <c r="X401" s="171">
        <f t="shared" si="169"/>
        <v>1108142.8980580403</v>
      </c>
      <c r="Y401" s="171">
        <f t="shared" si="170"/>
        <v>530203.56027892395</v>
      </c>
      <c r="Z401" s="171">
        <f t="shared" si="171"/>
        <v>577939.33777911635</v>
      </c>
      <c r="AA401" s="172">
        <f t="shared" si="172"/>
        <v>6643589.6817112211</v>
      </c>
      <c r="AB401" s="5"/>
      <c r="AC401" s="5"/>
      <c r="AD401" s="5"/>
      <c r="AE401" s="5"/>
      <c r="AF401" s="5"/>
      <c r="AG401" s="5"/>
    </row>
    <row r="402" spans="1:33" x14ac:dyDescent="0.2">
      <c r="A402" s="173">
        <v>14</v>
      </c>
      <c r="B402" s="65" t="str">
        <f t="shared" si="158"/>
        <v>Retired</v>
      </c>
      <c r="C402" s="174">
        <f t="shared" si="159"/>
        <v>0</v>
      </c>
      <c r="D402" s="174">
        <f t="shared" si="160"/>
        <v>0</v>
      </c>
      <c r="E402" s="174">
        <f t="shared" si="161"/>
        <v>0</v>
      </c>
      <c r="F402" s="174">
        <f t="shared" si="162"/>
        <v>0</v>
      </c>
      <c r="G402" s="171">
        <f t="shared" si="163"/>
        <v>0</v>
      </c>
      <c r="H402" s="171">
        <f t="shared" si="164"/>
        <v>67415.532613736214</v>
      </c>
      <c r="I402" s="171">
        <f>IF(B402="Working",MIN(MAX(D402-E402-F402-G402-H402,0),'Tax Assumptions'!$B$20),0)</f>
        <v>0</v>
      </c>
      <c r="J402" s="171">
        <f t="shared" si="165"/>
        <v>-297415.53261373617</v>
      </c>
      <c r="K402" s="174">
        <f t="shared" si="166"/>
        <v>297415.53261373617</v>
      </c>
      <c r="L402" s="174">
        <f t="shared" si="167"/>
        <v>297415.53261373617</v>
      </c>
      <c r="M402" s="174">
        <f t="shared" si="173"/>
        <v>297415.53261373617</v>
      </c>
      <c r="N402" s="174">
        <f t="shared" si="174"/>
        <v>0</v>
      </c>
      <c r="O402" s="174">
        <f t="shared" si="175"/>
        <v>0</v>
      </c>
      <c r="P402" s="174">
        <f t="shared" si="176"/>
        <v>0</v>
      </c>
      <c r="Q402" s="171">
        <f t="shared" si="177"/>
        <v>5599679.4342186013</v>
      </c>
      <c r="R402" s="171">
        <f t="shared" si="178"/>
        <v>407691.0232663902</v>
      </c>
      <c r="S402" s="171">
        <f t="shared" si="179"/>
        <v>124803.37446930309</v>
      </c>
      <c r="T402" s="171">
        <f t="shared" si="180"/>
        <v>0</v>
      </c>
      <c r="U402" s="171">
        <f t="shared" si="168"/>
        <v>6132173.8319542948</v>
      </c>
      <c r="V402" s="171">
        <f t="shared" si="181"/>
        <v>0</v>
      </c>
      <c r="W402" s="171">
        <f>IF(OR(A402&gt;=$C$13,B402="Retired"),IF(V402&gt;0,-V402,U402-'Model Inputs'!$B$18),"")</f>
        <v>5132173.8319542948</v>
      </c>
      <c r="X402" s="171">
        <f t="shared" si="169"/>
        <v>1141387.1849997814</v>
      </c>
      <c r="Y402" s="171">
        <f t="shared" si="170"/>
        <v>522123.88737239386</v>
      </c>
      <c r="Z402" s="171">
        <f t="shared" si="171"/>
        <v>619263.29762738757</v>
      </c>
      <c r="AA402" s="175">
        <f t="shared" si="172"/>
        <v>6751437.1295816824</v>
      </c>
      <c r="AB402" s="5"/>
      <c r="AC402" s="5"/>
      <c r="AD402" s="5"/>
      <c r="AE402" s="5"/>
      <c r="AF402" s="5"/>
      <c r="AG402" s="5"/>
    </row>
    <row r="403" spans="1:33" x14ac:dyDescent="0.2">
      <c r="A403" s="169">
        <v>15</v>
      </c>
      <c r="B403" s="100" t="str">
        <f t="shared" si="158"/>
        <v>Retired</v>
      </c>
      <c r="C403" s="170">
        <f t="shared" si="159"/>
        <v>0</v>
      </c>
      <c r="D403" s="170">
        <f t="shared" si="160"/>
        <v>0</v>
      </c>
      <c r="E403" s="170">
        <f t="shared" si="161"/>
        <v>0</v>
      </c>
      <c r="F403" s="170">
        <f t="shared" si="162"/>
        <v>0</v>
      </c>
      <c r="G403" s="171">
        <f t="shared" si="163"/>
        <v>0</v>
      </c>
      <c r="H403" s="171">
        <f t="shared" si="164"/>
        <v>68168.84815583608</v>
      </c>
      <c r="I403" s="171">
        <f>IF(B403="Working",MIN(MAX(D403-E403-F403-G403-H403,0),'Tax Assumptions'!$B$20),0)</f>
        <v>0</v>
      </c>
      <c r="J403" s="171">
        <f t="shared" si="165"/>
        <v>-298168.84815583605</v>
      </c>
      <c r="K403" s="170">
        <f t="shared" si="166"/>
        <v>298168.84815583605</v>
      </c>
      <c r="L403" s="170">
        <f t="shared" si="167"/>
        <v>298168.84815583605</v>
      </c>
      <c r="M403" s="170">
        <f t="shared" si="173"/>
        <v>298168.84815583605</v>
      </c>
      <c r="N403" s="170">
        <f t="shared" si="174"/>
        <v>0</v>
      </c>
      <c r="O403" s="170">
        <f t="shared" si="175"/>
        <v>0</v>
      </c>
      <c r="P403" s="170">
        <f t="shared" si="176"/>
        <v>0</v>
      </c>
      <c r="Q403" s="171">
        <f t="shared" si="177"/>
        <v>5637491.3521158816</v>
      </c>
      <c r="R403" s="171">
        <f t="shared" si="178"/>
        <v>432152.48466237361</v>
      </c>
      <c r="S403" s="171">
        <f t="shared" si="179"/>
        <v>132291.57693746127</v>
      </c>
      <c r="T403" s="171">
        <f t="shared" si="180"/>
        <v>0</v>
      </c>
      <c r="U403" s="171">
        <f t="shared" si="168"/>
        <v>6201935.4137157165</v>
      </c>
      <c r="V403" s="171">
        <f t="shared" si="181"/>
        <v>0</v>
      </c>
      <c r="W403" s="171">
        <f>IF(OR(A403&gt;=$C$13,B403="Retired"),IF(V403&gt;0,-V403,U403-'Model Inputs'!$B$18),"")</f>
        <v>5201935.4137157165</v>
      </c>
      <c r="X403" s="171">
        <f t="shared" si="169"/>
        <v>1175628.8005497749</v>
      </c>
      <c r="Y403" s="171">
        <f t="shared" si="170"/>
        <v>513503.10380773869</v>
      </c>
      <c r="Z403" s="171">
        <f t="shared" si="171"/>
        <v>662125.69674203615</v>
      </c>
      <c r="AA403" s="172">
        <f t="shared" si="172"/>
        <v>6864061.1104577528</v>
      </c>
      <c r="AB403" s="5"/>
      <c r="AC403" s="5"/>
      <c r="AD403" s="5"/>
      <c r="AE403" s="5"/>
      <c r="AF403" s="5"/>
      <c r="AG403" s="5"/>
    </row>
    <row r="404" spans="1:33" x14ac:dyDescent="0.2">
      <c r="A404" s="173">
        <v>16</v>
      </c>
      <c r="B404" s="65" t="str">
        <f t="shared" si="158"/>
        <v>Retired</v>
      </c>
      <c r="C404" s="174">
        <f t="shared" si="159"/>
        <v>0</v>
      </c>
      <c r="D404" s="174">
        <f t="shared" si="160"/>
        <v>0</v>
      </c>
      <c r="E404" s="174">
        <f t="shared" si="161"/>
        <v>0</v>
      </c>
      <c r="F404" s="174">
        <f t="shared" si="162"/>
        <v>0</v>
      </c>
      <c r="G404" s="171">
        <f t="shared" si="163"/>
        <v>0</v>
      </c>
      <c r="H404" s="171">
        <f t="shared" si="164"/>
        <v>68944.763164198928</v>
      </c>
      <c r="I404" s="171">
        <f>IF(B404="Working",MIN(MAX(D404-E404-F404-G404-H404,0),'Tax Assumptions'!$B$20),0)</f>
        <v>0</v>
      </c>
      <c r="J404" s="171">
        <f t="shared" si="165"/>
        <v>-298944.7631641989</v>
      </c>
      <c r="K404" s="174">
        <f t="shared" si="166"/>
        <v>298944.7631641989</v>
      </c>
      <c r="L404" s="174">
        <f t="shared" si="167"/>
        <v>298944.7631641989</v>
      </c>
      <c r="M404" s="174">
        <f t="shared" si="173"/>
        <v>298944.7631641989</v>
      </c>
      <c r="N404" s="174">
        <f t="shared" si="174"/>
        <v>0</v>
      </c>
      <c r="O404" s="174">
        <f t="shared" si="175"/>
        <v>0</v>
      </c>
      <c r="P404" s="174">
        <f t="shared" si="176"/>
        <v>0</v>
      </c>
      <c r="Q404" s="171">
        <f t="shared" si="177"/>
        <v>5676796.0700786356</v>
      </c>
      <c r="R404" s="171">
        <f t="shared" si="178"/>
        <v>458081.63374211604</v>
      </c>
      <c r="S404" s="171">
        <f t="shared" si="179"/>
        <v>140229.07155370896</v>
      </c>
      <c r="T404" s="171">
        <f t="shared" si="180"/>
        <v>0</v>
      </c>
      <c r="U404" s="171">
        <f t="shared" si="168"/>
        <v>6275106.775374461</v>
      </c>
      <c r="V404" s="171">
        <f t="shared" si="181"/>
        <v>0</v>
      </c>
      <c r="W404" s="171">
        <f>IF(OR(A404&gt;=$C$13,B404="Retired"),IF(V404&gt;0,-V404,U404-'Model Inputs'!$B$18),"")</f>
        <v>5275106.775374461</v>
      </c>
      <c r="X404" s="171">
        <f t="shared" si="169"/>
        <v>1210897.6645662682</v>
      </c>
      <c r="Y404" s="171">
        <f t="shared" si="170"/>
        <v>504304.97040204541</v>
      </c>
      <c r="Z404" s="171">
        <f t="shared" si="171"/>
        <v>706592.6941642228</v>
      </c>
      <c r="AA404" s="175">
        <f t="shared" si="172"/>
        <v>6981699.469538684</v>
      </c>
      <c r="AB404" s="5"/>
      <c r="AC404" s="5"/>
      <c r="AD404" s="5"/>
      <c r="AE404" s="5"/>
      <c r="AF404" s="5"/>
      <c r="AG404" s="5"/>
    </row>
    <row r="405" spans="1:33" x14ac:dyDescent="0.2">
      <c r="A405" s="169">
        <v>17</v>
      </c>
      <c r="B405" s="100" t="str">
        <f t="shared" si="158"/>
        <v>Retired</v>
      </c>
      <c r="C405" s="170">
        <f t="shared" si="159"/>
        <v>0</v>
      </c>
      <c r="D405" s="170">
        <f t="shared" si="160"/>
        <v>0</v>
      </c>
      <c r="E405" s="170">
        <f t="shared" si="161"/>
        <v>0</v>
      </c>
      <c r="F405" s="170">
        <f t="shared" si="162"/>
        <v>0</v>
      </c>
      <c r="G405" s="171">
        <f t="shared" si="163"/>
        <v>0</v>
      </c>
      <c r="H405" s="171">
        <f t="shared" si="164"/>
        <v>69743.95562281266</v>
      </c>
      <c r="I405" s="171">
        <f>IF(B405="Working",MIN(MAX(D405-E405-F405-G405-H405,0),'Tax Assumptions'!$B$20),0)</f>
        <v>0</v>
      </c>
      <c r="J405" s="171">
        <f t="shared" si="165"/>
        <v>-299743.95562281262</v>
      </c>
      <c r="K405" s="170">
        <f t="shared" si="166"/>
        <v>299743.95562281262</v>
      </c>
      <c r="L405" s="170">
        <f t="shared" si="167"/>
        <v>299743.95562281262</v>
      </c>
      <c r="M405" s="170">
        <f t="shared" si="173"/>
        <v>299743.95562281262</v>
      </c>
      <c r="N405" s="170">
        <f t="shared" si="174"/>
        <v>0</v>
      </c>
      <c r="O405" s="170">
        <f t="shared" si="175"/>
        <v>0</v>
      </c>
      <c r="P405" s="170">
        <f t="shared" si="176"/>
        <v>0</v>
      </c>
      <c r="Q405" s="171">
        <f t="shared" si="177"/>
        <v>5717659.878660541</v>
      </c>
      <c r="R405" s="171">
        <f t="shared" si="178"/>
        <v>485566.53176664305</v>
      </c>
      <c r="S405" s="171">
        <f t="shared" si="179"/>
        <v>148642.81584693151</v>
      </c>
      <c r="T405" s="171">
        <f t="shared" si="180"/>
        <v>0</v>
      </c>
      <c r="U405" s="171">
        <f t="shared" si="168"/>
        <v>6351869.226274115</v>
      </c>
      <c r="V405" s="171">
        <f t="shared" si="181"/>
        <v>0</v>
      </c>
      <c r="W405" s="171">
        <f>IF(OR(A405&gt;=$C$13,B405="Retired"),IF(V405&gt;0,-V405,U405-'Model Inputs'!$B$18),"")</f>
        <v>5351869.226274115</v>
      </c>
      <c r="X405" s="171">
        <f t="shared" si="169"/>
        <v>1247224.5945032563</v>
      </c>
      <c r="Y405" s="171">
        <f t="shared" si="170"/>
        <v>494490.8209672065</v>
      </c>
      <c r="Z405" s="171">
        <f t="shared" si="171"/>
        <v>752733.77353604976</v>
      </c>
      <c r="AA405" s="172">
        <f t="shared" si="172"/>
        <v>7104602.9998101648</v>
      </c>
      <c r="AB405" s="5"/>
      <c r="AC405" s="5"/>
      <c r="AD405" s="5"/>
      <c r="AE405" s="5"/>
      <c r="AF405" s="5"/>
      <c r="AG405" s="5"/>
    </row>
    <row r="406" spans="1:33" x14ac:dyDescent="0.2">
      <c r="A406" s="173">
        <v>18</v>
      </c>
      <c r="B406" s="65" t="str">
        <f t="shared" si="158"/>
        <v>Retired</v>
      </c>
      <c r="C406" s="174">
        <f t="shared" si="159"/>
        <v>0</v>
      </c>
      <c r="D406" s="174">
        <f t="shared" si="160"/>
        <v>0</v>
      </c>
      <c r="E406" s="174">
        <f t="shared" si="161"/>
        <v>0</v>
      </c>
      <c r="F406" s="174">
        <f t="shared" si="162"/>
        <v>0</v>
      </c>
      <c r="G406" s="171">
        <f t="shared" si="163"/>
        <v>0</v>
      </c>
      <c r="H406" s="171">
        <f t="shared" si="164"/>
        <v>70567.123855184807</v>
      </c>
      <c r="I406" s="171">
        <f>IF(B406="Working",MIN(MAX(D406-E406-F406-G406-H406,0),'Tax Assumptions'!$B$20),0)</f>
        <v>0</v>
      </c>
      <c r="J406" s="171">
        <f t="shared" si="165"/>
        <v>-300567.12385518476</v>
      </c>
      <c r="K406" s="174">
        <f t="shared" si="166"/>
        <v>300567.12385518476</v>
      </c>
      <c r="L406" s="174">
        <f t="shared" si="167"/>
        <v>300567.12385518476</v>
      </c>
      <c r="M406" s="174">
        <f t="shared" si="173"/>
        <v>300567.12385518476</v>
      </c>
      <c r="N406" s="174">
        <f t="shared" si="174"/>
        <v>0</v>
      </c>
      <c r="O406" s="174">
        <f t="shared" si="175"/>
        <v>0</v>
      </c>
      <c r="P406" s="174">
        <f t="shared" si="176"/>
        <v>0</v>
      </c>
      <c r="Q406" s="171">
        <f t="shared" si="177"/>
        <v>5760152.3475249894</v>
      </c>
      <c r="R406" s="171">
        <f t="shared" si="178"/>
        <v>514700.52367264166</v>
      </c>
      <c r="S406" s="171">
        <f t="shared" si="179"/>
        <v>157561.38479774742</v>
      </c>
      <c r="T406" s="171">
        <f t="shared" si="180"/>
        <v>0</v>
      </c>
      <c r="U406" s="171">
        <f t="shared" si="168"/>
        <v>6432414.2559953779</v>
      </c>
      <c r="V406" s="171">
        <f t="shared" si="181"/>
        <v>0</v>
      </c>
      <c r="W406" s="171">
        <f>IF(OR(A406&gt;=$C$13,B406="Retired"),IF(V406&gt;0,-V406,U406-'Model Inputs'!$B$18),"")</f>
        <v>5432414.2559953779</v>
      </c>
      <c r="X406" s="171">
        <f t="shared" si="169"/>
        <v>1284641.3323383539</v>
      </c>
      <c r="Y406" s="171">
        <f t="shared" si="170"/>
        <v>484019.39976888656</v>
      </c>
      <c r="Z406" s="171">
        <f t="shared" si="171"/>
        <v>800621.93256946723</v>
      </c>
      <c r="AA406" s="175">
        <f t="shared" si="172"/>
        <v>7233036.1885648454</v>
      </c>
      <c r="AB406" s="5"/>
      <c r="AC406" s="5"/>
      <c r="AD406" s="5"/>
      <c r="AE406" s="5"/>
      <c r="AF406" s="5"/>
      <c r="AG406" s="5"/>
    </row>
    <row r="407" spans="1:33" x14ac:dyDescent="0.2">
      <c r="A407" s="169">
        <v>19</v>
      </c>
      <c r="B407" s="100" t="str">
        <f t="shared" si="158"/>
        <v>Retired</v>
      </c>
      <c r="C407" s="170">
        <f t="shared" si="159"/>
        <v>0</v>
      </c>
      <c r="D407" s="170">
        <f t="shared" si="160"/>
        <v>0</v>
      </c>
      <c r="E407" s="170">
        <f t="shared" si="161"/>
        <v>0</v>
      </c>
      <c r="F407" s="170">
        <f t="shared" si="162"/>
        <v>0</v>
      </c>
      <c r="G407" s="171">
        <f t="shared" si="163"/>
        <v>0</v>
      </c>
      <c r="H407" s="171">
        <f t="shared" si="164"/>
        <v>71414.987134528114</v>
      </c>
      <c r="I407" s="171">
        <f>IF(B407="Working",MIN(MAX(D407-E407-F407-G407-H407,0),'Tax Assumptions'!$B$20),0)</f>
        <v>0</v>
      </c>
      <c r="J407" s="171">
        <f t="shared" si="165"/>
        <v>-301414.98713452811</v>
      </c>
      <c r="K407" s="170">
        <f t="shared" si="166"/>
        <v>301414.98713452811</v>
      </c>
      <c r="L407" s="170">
        <f t="shared" si="167"/>
        <v>301414.98713452811</v>
      </c>
      <c r="M407" s="170">
        <f t="shared" si="173"/>
        <v>301414.98713452811</v>
      </c>
      <c r="N407" s="170">
        <f t="shared" si="174"/>
        <v>0</v>
      </c>
      <c r="O407" s="170">
        <f t="shared" si="175"/>
        <v>0</v>
      </c>
      <c r="P407" s="170">
        <f t="shared" si="176"/>
        <v>0</v>
      </c>
      <c r="Q407" s="171">
        <f t="shared" si="177"/>
        <v>5804346.5012419606</v>
      </c>
      <c r="R407" s="171">
        <f t="shared" si="178"/>
        <v>545582.55509300018</v>
      </c>
      <c r="S407" s="171">
        <f t="shared" si="179"/>
        <v>167015.06788561228</v>
      </c>
      <c r="T407" s="171">
        <f t="shared" si="180"/>
        <v>0</v>
      </c>
      <c r="U407" s="171">
        <f t="shared" si="168"/>
        <v>6516944.1242205733</v>
      </c>
      <c r="V407" s="171">
        <f t="shared" si="181"/>
        <v>0</v>
      </c>
      <c r="W407" s="171">
        <f>IF(OR(A407&gt;=$C$13,B407="Retired"),IF(V407&gt;0,-V407,U407-'Model Inputs'!$B$18),"")</f>
        <v>5516944.1242205733</v>
      </c>
      <c r="X407" s="171">
        <f t="shared" si="169"/>
        <v>1323180.5723085045</v>
      </c>
      <c r="Y407" s="171">
        <f t="shared" si="170"/>
        <v>472846.68809981644</v>
      </c>
      <c r="Z407" s="171">
        <f t="shared" si="171"/>
        <v>850333.88420868805</v>
      </c>
      <c r="AA407" s="172">
        <f t="shared" si="172"/>
        <v>7367278.0084292609</v>
      </c>
      <c r="AB407" s="5"/>
      <c r="AC407" s="5"/>
      <c r="AD407" s="5"/>
      <c r="AE407" s="5"/>
      <c r="AF407" s="5"/>
      <c r="AG407" s="5"/>
    </row>
    <row r="408" spans="1:33" x14ac:dyDescent="0.2">
      <c r="A408" s="173">
        <v>20</v>
      </c>
      <c r="B408" s="65" t="str">
        <f t="shared" si="158"/>
        <v>Retired</v>
      </c>
      <c r="C408" s="174">
        <f t="shared" si="159"/>
        <v>0</v>
      </c>
      <c r="D408" s="174">
        <f t="shared" si="160"/>
        <v>0</v>
      </c>
      <c r="E408" s="174">
        <f t="shared" si="161"/>
        <v>0</v>
      </c>
      <c r="F408" s="174">
        <f t="shared" si="162"/>
        <v>0</v>
      </c>
      <c r="G408" s="171">
        <f t="shared" si="163"/>
        <v>0</v>
      </c>
      <c r="H408" s="171">
        <f t="shared" si="164"/>
        <v>72288.28631225173</v>
      </c>
      <c r="I408" s="171">
        <f>IF(B408="Working",MIN(MAX(D408-E408-F408-G408-H408,0),'Tax Assumptions'!$B$20),0)</f>
        <v>0</v>
      </c>
      <c r="J408" s="171">
        <f t="shared" si="165"/>
        <v>-302288.2863122517</v>
      </c>
      <c r="K408" s="174">
        <f t="shared" si="166"/>
        <v>302288.2863122517</v>
      </c>
      <c r="L408" s="174">
        <f t="shared" si="167"/>
        <v>302288.2863122517</v>
      </c>
      <c r="M408" s="174">
        <f t="shared" si="173"/>
        <v>302288.2863122517</v>
      </c>
      <c r="N408" s="174">
        <f t="shared" si="174"/>
        <v>0</v>
      </c>
      <c r="O408" s="174">
        <f t="shared" si="175"/>
        <v>0</v>
      </c>
      <c r="P408" s="174">
        <f t="shared" si="176"/>
        <v>0</v>
      </c>
      <c r="Q408" s="171">
        <f t="shared" si="177"/>
        <v>5850319.0050042272</v>
      </c>
      <c r="R408" s="171">
        <f t="shared" si="178"/>
        <v>578317.50839858025</v>
      </c>
      <c r="S408" s="171">
        <f t="shared" si="179"/>
        <v>177035.97195874903</v>
      </c>
      <c r="T408" s="171">
        <f t="shared" si="180"/>
        <v>0</v>
      </c>
      <c r="U408" s="171">
        <f t="shared" si="168"/>
        <v>6605672.4853615565</v>
      </c>
      <c r="V408" s="171">
        <f t="shared" si="181"/>
        <v>0</v>
      </c>
      <c r="W408" s="171">
        <f>IF(OR(A408&gt;=$C$13,B408="Retired"),IF(V408&gt;0,-V408,U408-'Model Inputs'!$B$18),"")</f>
        <v>5605672.4853615565</v>
      </c>
      <c r="X408" s="171">
        <f t="shared" si="169"/>
        <v>1362875.9894777597</v>
      </c>
      <c r="Y408" s="171">
        <f t="shared" si="170"/>
        <v>460925.71923837857</v>
      </c>
      <c r="Z408" s="171">
        <f t="shared" si="171"/>
        <v>901950.27023938112</v>
      </c>
      <c r="AA408" s="175">
        <f t="shared" si="172"/>
        <v>7507622.7556009376</v>
      </c>
      <c r="AB408" s="5"/>
      <c r="AC408" s="5"/>
      <c r="AD408" s="5"/>
      <c r="AE408" s="5"/>
      <c r="AF408" s="5"/>
      <c r="AG408" s="5"/>
    </row>
    <row r="409" spans="1:33" x14ac:dyDescent="0.2">
      <c r="A409" s="169">
        <v>21</v>
      </c>
      <c r="B409" s="100" t="str">
        <f t="shared" si="158"/>
        <v>Retired</v>
      </c>
      <c r="C409" s="170">
        <f t="shared" si="159"/>
        <v>0</v>
      </c>
      <c r="D409" s="170">
        <f t="shared" si="160"/>
        <v>0</v>
      </c>
      <c r="E409" s="170">
        <f t="shared" si="161"/>
        <v>0</v>
      </c>
      <c r="F409" s="170">
        <f t="shared" si="162"/>
        <v>0</v>
      </c>
      <c r="G409" s="171">
        <f t="shared" si="163"/>
        <v>0</v>
      </c>
      <c r="H409" s="171">
        <f t="shared" si="164"/>
        <v>73187.78446530705</v>
      </c>
      <c r="I409" s="171">
        <f>IF(B409="Working",MIN(MAX(D409-E409-F409-G409-H409,0),'Tax Assumptions'!$B$20),0)</f>
        <v>0</v>
      </c>
      <c r="J409" s="171">
        <f t="shared" si="165"/>
        <v>-303187.78446530702</v>
      </c>
      <c r="K409" s="170">
        <f t="shared" si="166"/>
        <v>303187.78446530702</v>
      </c>
      <c r="L409" s="170">
        <f t="shared" si="167"/>
        <v>303187.78446530702</v>
      </c>
      <c r="M409" s="170">
        <f t="shared" si="173"/>
        <v>303187.78446530702</v>
      </c>
      <c r="N409" s="170">
        <f t="shared" si="174"/>
        <v>0</v>
      </c>
      <c r="O409" s="170">
        <f t="shared" si="175"/>
        <v>0</v>
      </c>
      <c r="P409" s="170">
        <f t="shared" si="176"/>
        <v>0</v>
      </c>
      <c r="Q409" s="171">
        <f t="shared" si="177"/>
        <v>5898150.3608391741</v>
      </c>
      <c r="R409" s="171">
        <f t="shared" si="178"/>
        <v>613016.55890249508</v>
      </c>
      <c r="S409" s="171">
        <f t="shared" si="179"/>
        <v>187658.13027627397</v>
      </c>
      <c r="T409" s="171">
        <f t="shared" si="180"/>
        <v>0</v>
      </c>
      <c r="U409" s="171">
        <f t="shared" si="168"/>
        <v>6698825.0500179436</v>
      </c>
      <c r="V409" s="171">
        <f t="shared" si="181"/>
        <v>0</v>
      </c>
      <c r="W409" s="171">
        <f>IF(OR(A409&gt;=$C$13,B409="Retired"),IF(V409&gt;0,-V409,U409-'Model Inputs'!$B$18),"")</f>
        <v>5698825.0500179436</v>
      </c>
      <c r="X409" s="171">
        <f t="shared" si="169"/>
        <v>1403762.2691620924</v>
      </c>
      <c r="Y409" s="171">
        <f t="shared" si="170"/>
        <v>448206.38101462531</v>
      </c>
      <c r="Z409" s="171">
        <f t="shared" si="171"/>
        <v>955555.88814746705</v>
      </c>
      <c r="AA409" s="172">
        <f t="shared" si="172"/>
        <v>7654380.9381654104</v>
      </c>
      <c r="AB409" s="5"/>
      <c r="AC409" s="5"/>
      <c r="AD409" s="5"/>
      <c r="AE409" s="5"/>
      <c r="AF409" s="5"/>
      <c r="AG409" s="5"/>
    </row>
    <row r="410" spans="1:33" x14ac:dyDescent="0.2">
      <c r="A410" s="173">
        <v>22</v>
      </c>
      <c r="B410" s="65" t="str">
        <f t="shared" si="158"/>
        <v>Retired</v>
      </c>
      <c r="C410" s="174">
        <f t="shared" si="159"/>
        <v>0</v>
      </c>
      <c r="D410" s="174">
        <f t="shared" si="160"/>
        <v>0</v>
      </c>
      <c r="E410" s="174">
        <f t="shared" si="161"/>
        <v>0</v>
      </c>
      <c r="F410" s="174">
        <f t="shared" si="162"/>
        <v>0</v>
      </c>
      <c r="G410" s="171">
        <f t="shared" si="163"/>
        <v>0</v>
      </c>
      <c r="H410" s="171">
        <f t="shared" si="164"/>
        <v>74114.267562954032</v>
      </c>
      <c r="I410" s="171">
        <f>IF(B410="Working",MIN(MAX(D410-E410-F410-G410-H410,0),'Tax Assumptions'!$B$20),0)</f>
        <v>0</v>
      </c>
      <c r="J410" s="171">
        <f t="shared" si="165"/>
        <v>-304114.26756295399</v>
      </c>
      <c r="K410" s="174">
        <f t="shared" si="166"/>
        <v>304114.26756295399</v>
      </c>
      <c r="L410" s="174">
        <f t="shared" si="167"/>
        <v>304114.26756295399</v>
      </c>
      <c r="M410" s="174">
        <f t="shared" si="173"/>
        <v>304114.26756295399</v>
      </c>
      <c r="N410" s="174">
        <f t="shared" si="174"/>
        <v>0</v>
      </c>
      <c r="O410" s="174">
        <f t="shared" si="175"/>
        <v>0</v>
      </c>
      <c r="P410" s="174">
        <f t="shared" si="176"/>
        <v>0</v>
      </c>
      <c r="Q410" s="171">
        <f t="shared" si="177"/>
        <v>5947925.114926571</v>
      </c>
      <c r="R410" s="171">
        <f t="shared" si="178"/>
        <v>649797.55243664479</v>
      </c>
      <c r="S410" s="171">
        <f t="shared" si="179"/>
        <v>198917.6180928504</v>
      </c>
      <c r="T410" s="171">
        <f t="shared" si="180"/>
        <v>0</v>
      </c>
      <c r="U410" s="171">
        <f t="shared" si="168"/>
        <v>6796640.285456067</v>
      </c>
      <c r="V410" s="171">
        <f t="shared" si="181"/>
        <v>0</v>
      </c>
      <c r="W410" s="171">
        <f>IF(OR(A410&gt;=$C$13,B410="Retired"),IF(V410&gt;0,-V410,U410-'Model Inputs'!$B$18),"")</f>
        <v>5796640.285456067</v>
      </c>
      <c r="X410" s="171">
        <f t="shared" si="169"/>
        <v>1445875.1372369549</v>
      </c>
      <c r="Y410" s="171">
        <f t="shared" si="170"/>
        <v>434635.20515378064</v>
      </c>
      <c r="Z410" s="171">
        <f t="shared" si="171"/>
        <v>1011239.9320831742</v>
      </c>
      <c r="AA410" s="175">
        <f t="shared" si="172"/>
        <v>7807880.2175392415</v>
      </c>
      <c r="AB410" s="5"/>
      <c r="AC410" s="5"/>
      <c r="AD410" s="5"/>
      <c r="AE410" s="5"/>
      <c r="AF410" s="5"/>
      <c r="AG410" s="5"/>
    </row>
    <row r="411" spans="1:33" x14ac:dyDescent="0.2">
      <c r="A411" s="169">
        <v>23</v>
      </c>
      <c r="B411" s="100" t="str">
        <f t="shared" si="158"/>
        <v>Retired</v>
      </c>
      <c r="C411" s="170">
        <f t="shared" si="159"/>
        <v>0</v>
      </c>
      <c r="D411" s="170">
        <f t="shared" si="160"/>
        <v>0</v>
      </c>
      <c r="E411" s="170">
        <f t="shared" si="161"/>
        <v>0</v>
      </c>
      <c r="F411" s="170">
        <f t="shared" si="162"/>
        <v>0</v>
      </c>
      <c r="G411" s="171">
        <f t="shared" si="163"/>
        <v>0</v>
      </c>
      <c r="H411" s="171">
        <f t="shared" si="164"/>
        <v>75068.545153530416</v>
      </c>
      <c r="I411" s="171">
        <f>IF(B411="Working",MIN(MAX(D411-E411-F411-G411-H411,0),'Tax Assumptions'!$B$20),0)</f>
        <v>0</v>
      </c>
      <c r="J411" s="171">
        <f t="shared" si="165"/>
        <v>-305068.54515353037</v>
      </c>
      <c r="K411" s="170">
        <f t="shared" si="166"/>
        <v>305068.54515353037</v>
      </c>
      <c r="L411" s="170">
        <f t="shared" si="167"/>
        <v>305068.54515353037</v>
      </c>
      <c r="M411" s="170">
        <f t="shared" si="173"/>
        <v>305068.54515353037</v>
      </c>
      <c r="N411" s="170">
        <f t="shared" si="174"/>
        <v>0</v>
      </c>
      <c r="O411" s="170">
        <f t="shared" si="175"/>
        <v>0</v>
      </c>
      <c r="P411" s="170">
        <f t="shared" si="176"/>
        <v>0</v>
      </c>
      <c r="Q411" s="171">
        <f t="shared" si="177"/>
        <v>5999732.076668635</v>
      </c>
      <c r="R411" s="171">
        <f t="shared" si="178"/>
        <v>688785.40558284346</v>
      </c>
      <c r="S411" s="171">
        <f t="shared" si="179"/>
        <v>210852.67517842143</v>
      </c>
      <c r="T411" s="171">
        <f t="shared" si="180"/>
        <v>0</v>
      </c>
      <c r="U411" s="171">
        <f t="shared" si="168"/>
        <v>6899370.1574299</v>
      </c>
      <c r="V411" s="171">
        <f t="shared" si="181"/>
        <v>0</v>
      </c>
      <c r="W411" s="171">
        <f>IF(OR(A411&gt;=$C$13,B411="Retired"),IF(V411&gt;0,-V411,U411-'Model Inputs'!$B$18),"")</f>
        <v>5899370.1574299</v>
      </c>
      <c r="X411" s="171">
        <f t="shared" si="169"/>
        <v>1489251.3913540635</v>
      </c>
      <c r="Y411" s="171">
        <f t="shared" si="170"/>
        <v>420155.14251168293</v>
      </c>
      <c r="Z411" s="171">
        <f t="shared" si="171"/>
        <v>1069096.2488423805</v>
      </c>
      <c r="AA411" s="172">
        <f t="shared" si="172"/>
        <v>7968466.406272281</v>
      </c>
      <c r="AB411" s="5"/>
      <c r="AC411" s="5"/>
      <c r="AD411" s="5"/>
      <c r="AE411" s="5"/>
      <c r="AF411" s="5"/>
      <c r="AG411" s="5"/>
    </row>
    <row r="412" spans="1:33" x14ac:dyDescent="0.2">
      <c r="A412" s="173">
        <v>24</v>
      </c>
      <c r="B412" s="65" t="str">
        <f t="shared" si="158"/>
        <v>Retired</v>
      </c>
      <c r="C412" s="174">
        <f t="shared" si="159"/>
        <v>0</v>
      </c>
      <c r="D412" s="174">
        <f t="shared" si="160"/>
        <v>0</v>
      </c>
      <c r="E412" s="174">
        <f t="shared" si="161"/>
        <v>0</v>
      </c>
      <c r="F412" s="174">
        <f t="shared" si="162"/>
        <v>0</v>
      </c>
      <c r="G412" s="171">
        <f t="shared" si="163"/>
        <v>0</v>
      </c>
      <c r="H412" s="171">
        <f t="shared" si="164"/>
        <v>76051.451071824107</v>
      </c>
      <c r="I412" s="171">
        <f>IF(B412="Working",MIN(MAX(D412-E412-F412-G412-H412,0),'Tax Assumptions'!$B$20),0)</f>
        <v>0</v>
      </c>
      <c r="J412" s="171">
        <f t="shared" si="165"/>
        <v>-306051.45107182406</v>
      </c>
      <c r="K412" s="174">
        <f t="shared" si="166"/>
        <v>306051.45107182406</v>
      </c>
      <c r="L412" s="174">
        <f t="shared" si="167"/>
        <v>306051.45107182406</v>
      </c>
      <c r="M412" s="174">
        <f t="shared" si="173"/>
        <v>306051.45107182406</v>
      </c>
      <c r="N412" s="174">
        <f t="shared" si="174"/>
        <v>0</v>
      </c>
      <c r="O412" s="174">
        <f t="shared" si="175"/>
        <v>0</v>
      </c>
      <c r="P412" s="174">
        <f t="shared" si="176"/>
        <v>0</v>
      </c>
      <c r="Q412" s="171">
        <f t="shared" si="177"/>
        <v>6053664.5501969298</v>
      </c>
      <c r="R412" s="171">
        <f t="shared" si="178"/>
        <v>730112.52991781407</v>
      </c>
      <c r="S412" s="171">
        <f t="shared" si="179"/>
        <v>223503.83568912672</v>
      </c>
      <c r="T412" s="171">
        <f t="shared" si="180"/>
        <v>0</v>
      </c>
      <c r="U412" s="171">
        <f t="shared" si="168"/>
        <v>7007280.9158038702</v>
      </c>
      <c r="V412" s="171">
        <f t="shared" si="181"/>
        <v>0</v>
      </c>
      <c r="W412" s="171">
        <f>IF(OR(A412&gt;=$C$13,B412="Retired"),IF(V412&gt;0,-V412,U412-'Model Inputs'!$B$18),"")</f>
        <v>6007280.9158038702</v>
      </c>
      <c r="X412" s="171">
        <f t="shared" si="169"/>
        <v>1533928.9330946857</v>
      </c>
      <c r="Y412" s="171">
        <f t="shared" si="170"/>
        <v>404705.32325733127</v>
      </c>
      <c r="Z412" s="171">
        <f t="shared" si="171"/>
        <v>1129223.6098373544</v>
      </c>
      <c r="AA412" s="175">
        <f t="shared" si="172"/>
        <v>8136504.5256412243</v>
      </c>
      <c r="AB412" s="5"/>
      <c r="AC412" s="5"/>
      <c r="AD412" s="5"/>
      <c r="AE412" s="5"/>
      <c r="AF412" s="5"/>
      <c r="AG412" s="5"/>
    </row>
    <row r="413" spans="1:33" x14ac:dyDescent="0.2">
      <c r="A413" s="169">
        <v>25</v>
      </c>
      <c r="B413" s="100" t="str">
        <f t="shared" si="158"/>
        <v>Retired</v>
      </c>
      <c r="C413" s="170">
        <f t="shared" si="159"/>
        <v>0</v>
      </c>
      <c r="D413" s="170">
        <f t="shared" si="160"/>
        <v>0</v>
      </c>
      <c r="E413" s="170">
        <f t="shared" si="161"/>
        <v>0</v>
      </c>
      <c r="F413" s="170">
        <f t="shared" si="162"/>
        <v>0</v>
      </c>
      <c r="G413" s="171">
        <f t="shared" si="163"/>
        <v>0</v>
      </c>
      <c r="H413" s="171">
        <f t="shared" si="164"/>
        <v>77063.844167666597</v>
      </c>
      <c r="I413" s="171">
        <f>IF(B413="Working",MIN(MAX(D413-E413-F413-G413-H413,0),'Tax Assumptions'!$B$20),0)</f>
        <v>0</v>
      </c>
      <c r="J413" s="171">
        <f t="shared" si="165"/>
        <v>-307063.84416766657</v>
      </c>
      <c r="K413" s="170">
        <f t="shared" si="166"/>
        <v>307063.84416766657</v>
      </c>
      <c r="L413" s="170">
        <f t="shared" si="167"/>
        <v>307063.84416766657</v>
      </c>
      <c r="M413" s="170">
        <f t="shared" si="173"/>
        <v>307063.84416766657</v>
      </c>
      <c r="N413" s="170">
        <f t="shared" si="174"/>
        <v>0</v>
      </c>
      <c r="O413" s="170">
        <f t="shared" si="175"/>
        <v>0</v>
      </c>
      <c r="P413" s="170">
        <f t="shared" si="176"/>
        <v>0</v>
      </c>
      <c r="Q413" s="171">
        <f t="shared" si="177"/>
        <v>6109820.5790410796</v>
      </c>
      <c r="R413" s="171">
        <f t="shared" si="178"/>
        <v>773919.28171288292</v>
      </c>
      <c r="S413" s="171">
        <f t="shared" si="179"/>
        <v>236914.06583047434</v>
      </c>
      <c r="T413" s="171">
        <f t="shared" si="180"/>
        <v>0</v>
      </c>
      <c r="U413" s="171">
        <f t="shared" si="168"/>
        <v>7120653.9265844375</v>
      </c>
      <c r="V413" s="171">
        <f t="shared" si="181"/>
        <v>0</v>
      </c>
      <c r="W413" s="171">
        <f>IF(OR(A413&gt;=$C$13,B413="Retired"),IF(V413&gt;0,-V413,U413-'Model Inputs'!$B$18),"")</f>
        <v>6120653.9265844375</v>
      </c>
      <c r="X413" s="171">
        <f t="shared" si="169"/>
        <v>1579946.8010875264</v>
      </c>
      <c r="Y413" s="171">
        <f t="shared" si="170"/>
        <v>388220.80099441088</v>
      </c>
      <c r="Z413" s="171">
        <f t="shared" si="171"/>
        <v>1191726.0000931155</v>
      </c>
      <c r="AA413" s="172">
        <f t="shared" si="172"/>
        <v>8312379.926677553</v>
      </c>
      <c r="AB413" s="5"/>
      <c r="AC413" s="5"/>
      <c r="AD413" s="5"/>
      <c r="AE413" s="5"/>
      <c r="AF413" s="5"/>
      <c r="AG413" s="5"/>
    </row>
    <row r="414" spans="1:33" x14ac:dyDescent="0.2">
      <c r="A414" s="173">
        <v>26</v>
      </c>
      <c r="B414" s="65" t="str">
        <f t="shared" si="158"/>
        <v>Retired</v>
      </c>
      <c r="C414" s="174">
        <f t="shared" si="159"/>
        <v>0</v>
      </c>
      <c r="D414" s="174">
        <f t="shared" si="160"/>
        <v>0</v>
      </c>
      <c r="E414" s="174">
        <f t="shared" si="161"/>
        <v>0</v>
      </c>
      <c r="F414" s="174">
        <f t="shared" si="162"/>
        <v>0</v>
      </c>
      <c r="G414" s="171">
        <f t="shared" si="163"/>
        <v>0</v>
      </c>
      <c r="H414" s="171">
        <f t="shared" si="164"/>
        <v>78106.609056384361</v>
      </c>
      <c r="I414" s="171">
        <f>IF(B414="Working",MIN(MAX(D414-E414-F414-G414-H414,0),'Tax Assumptions'!$B$20),0)</f>
        <v>0</v>
      </c>
      <c r="J414" s="171">
        <f t="shared" si="165"/>
        <v>-308106.6090563843</v>
      </c>
      <c r="K414" s="174">
        <f t="shared" si="166"/>
        <v>308106.6090563843</v>
      </c>
      <c r="L414" s="174">
        <f t="shared" si="167"/>
        <v>308106.6090563843</v>
      </c>
      <c r="M414" s="174">
        <f t="shared" si="173"/>
        <v>308106.6090563843</v>
      </c>
      <c r="N414" s="174">
        <f t="shared" si="174"/>
        <v>0</v>
      </c>
      <c r="O414" s="174">
        <f t="shared" si="175"/>
        <v>0</v>
      </c>
      <c r="P414" s="174">
        <f t="shared" si="176"/>
        <v>0</v>
      </c>
      <c r="Q414" s="171">
        <f t="shared" si="177"/>
        <v>6168303.2047271607</v>
      </c>
      <c r="R414" s="171">
        <f t="shared" si="178"/>
        <v>820354.43861565599</v>
      </c>
      <c r="S414" s="171">
        <f t="shared" si="179"/>
        <v>251128.90978030281</v>
      </c>
      <c r="T414" s="171">
        <f t="shared" si="180"/>
        <v>0</v>
      </c>
      <c r="U414" s="171">
        <f t="shared" si="168"/>
        <v>7239786.5531231202</v>
      </c>
      <c r="V414" s="171">
        <f t="shared" si="181"/>
        <v>0</v>
      </c>
      <c r="W414" s="171">
        <f>IF(OR(A414&gt;=$C$13,B414="Retired"),IF(V414&gt;0,-V414,U414-'Model Inputs'!$B$18),"")</f>
        <v>6239786.5531231202</v>
      </c>
      <c r="X414" s="171">
        <f t="shared" si="169"/>
        <v>1627345.2051201519</v>
      </c>
      <c r="Y414" s="171">
        <f t="shared" si="170"/>
        <v>370632.2797461655</v>
      </c>
      <c r="Z414" s="171">
        <f t="shared" si="171"/>
        <v>1256712.9253739864</v>
      </c>
      <c r="AA414" s="175">
        <f t="shared" si="172"/>
        <v>8496499.4784971066</v>
      </c>
      <c r="AB414" s="5"/>
      <c r="AC414" s="5"/>
      <c r="AD414" s="5"/>
      <c r="AE414" s="5"/>
      <c r="AF414" s="5"/>
      <c r="AG414" s="5"/>
    </row>
    <row r="415" spans="1:33" x14ac:dyDescent="0.2">
      <c r="A415" s="169">
        <v>27</v>
      </c>
      <c r="B415" s="100" t="str">
        <f t="shared" si="158"/>
        <v>Retired</v>
      </c>
      <c r="C415" s="170">
        <f t="shared" si="159"/>
        <v>0</v>
      </c>
      <c r="D415" s="170">
        <f t="shared" si="160"/>
        <v>0</v>
      </c>
      <c r="E415" s="170">
        <f t="shared" si="161"/>
        <v>0</v>
      </c>
      <c r="F415" s="170">
        <f t="shared" si="162"/>
        <v>0</v>
      </c>
      <c r="G415" s="171">
        <f t="shared" si="163"/>
        <v>0</v>
      </c>
      <c r="H415" s="171">
        <f t="shared" si="164"/>
        <v>79180.656891763661</v>
      </c>
      <c r="I415" s="171">
        <f>IF(B415="Working",MIN(MAX(D415-E415-F415-G415-H415,0),'Tax Assumptions'!$B$20),0)</f>
        <v>0</v>
      </c>
      <c r="J415" s="171">
        <f t="shared" si="165"/>
        <v>-309180.65689176362</v>
      </c>
      <c r="K415" s="170">
        <f t="shared" si="166"/>
        <v>309180.65689176362</v>
      </c>
      <c r="L415" s="170">
        <f t="shared" si="167"/>
        <v>309180.65689176362</v>
      </c>
      <c r="M415" s="170">
        <f t="shared" si="173"/>
        <v>309180.65689176362</v>
      </c>
      <c r="N415" s="170">
        <f t="shared" si="174"/>
        <v>0</v>
      </c>
      <c r="O415" s="170">
        <f t="shared" si="175"/>
        <v>0</v>
      </c>
      <c r="P415" s="170">
        <f t="shared" si="176"/>
        <v>0</v>
      </c>
      <c r="Q415" s="171">
        <f t="shared" si="177"/>
        <v>6229220.7401190279</v>
      </c>
      <c r="R415" s="171">
        <f t="shared" si="178"/>
        <v>869575.70493259537</v>
      </c>
      <c r="S415" s="171">
        <f t="shared" si="179"/>
        <v>266196.64436712099</v>
      </c>
      <c r="T415" s="171">
        <f t="shared" si="180"/>
        <v>0</v>
      </c>
      <c r="U415" s="171">
        <f t="shared" si="168"/>
        <v>7364993.0894187447</v>
      </c>
      <c r="V415" s="171">
        <f t="shared" si="181"/>
        <v>0</v>
      </c>
      <c r="W415" s="171">
        <f>IF(OR(A415&gt;=$C$13,B415="Retired"),IF(V415&gt;0,-V415,U415-'Model Inputs'!$B$18),"")</f>
        <v>6364993.0894187447</v>
      </c>
      <c r="X415" s="171">
        <f t="shared" si="169"/>
        <v>1676165.5612737564</v>
      </c>
      <c r="Y415" s="171">
        <f t="shared" si="170"/>
        <v>351865.8226559395</v>
      </c>
      <c r="Z415" s="171">
        <f t="shared" si="171"/>
        <v>1324299.7386178169</v>
      </c>
      <c r="AA415" s="172">
        <f t="shared" si="172"/>
        <v>8689292.8280365616</v>
      </c>
      <c r="AB415" s="5"/>
      <c r="AC415" s="5"/>
      <c r="AD415" s="5"/>
      <c r="AE415" s="5"/>
      <c r="AF415" s="5"/>
      <c r="AG415" s="5"/>
    </row>
    <row r="416" spans="1:33" x14ac:dyDescent="0.2">
      <c r="A416" s="173">
        <v>28</v>
      </c>
      <c r="B416" s="65" t="str">
        <f t="shared" si="158"/>
        <v>Retired</v>
      </c>
      <c r="C416" s="174">
        <f t="shared" si="159"/>
        <v>0</v>
      </c>
      <c r="D416" s="174">
        <f t="shared" si="160"/>
        <v>0</v>
      </c>
      <c r="E416" s="174">
        <f t="shared" si="161"/>
        <v>0</v>
      </c>
      <c r="F416" s="174">
        <f t="shared" si="162"/>
        <v>0</v>
      </c>
      <c r="G416" s="171">
        <f t="shared" si="163"/>
        <v>0</v>
      </c>
      <c r="H416" s="171">
        <f t="shared" si="164"/>
        <v>80286.926162204341</v>
      </c>
      <c r="I416" s="171">
        <f>IF(B416="Working",MIN(MAX(D416-E416-F416-G416-H416,0),'Tax Assumptions'!$B$20),0)</f>
        <v>0</v>
      </c>
      <c r="J416" s="171">
        <f t="shared" si="165"/>
        <v>-310286.9261622043</v>
      </c>
      <c r="K416" s="174">
        <f t="shared" si="166"/>
        <v>310286.9261622043</v>
      </c>
      <c r="L416" s="174">
        <f t="shared" si="167"/>
        <v>310286.9261622043</v>
      </c>
      <c r="M416" s="174">
        <f t="shared" si="173"/>
        <v>310286.9261622043</v>
      </c>
      <c r="N416" s="174">
        <f t="shared" si="174"/>
        <v>0</v>
      </c>
      <c r="O416" s="174">
        <f t="shared" si="175"/>
        <v>0</v>
      </c>
      <c r="P416" s="174">
        <f t="shared" si="176"/>
        <v>0</v>
      </c>
      <c r="Q416" s="171">
        <f t="shared" si="177"/>
        <v>6292687.0583639648</v>
      </c>
      <c r="R416" s="171">
        <f t="shared" si="178"/>
        <v>921750.24722855119</v>
      </c>
      <c r="S416" s="171">
        <f t="shared" si="179"/>
        <v>282168.44302914827</v>
      </c>
      <c r="T416" s="171">
        <f t="shared" si="180"/>
        <v>0</v>
      </c>
      <c r="U416" s="171">
        <f t="shared" si="168"/>
        <v>7496605.7486216649</v>
      </c>
      <c r="V416" s="171">
        <f t="shared" si="181"/>
        <v>0</v>
      </c>
      <c r="W416" s="171">
        <f>IF(OR(A416&gt;=$C$13,B416="Retired"),IF(V416&gt;0,-V416,U416-'Model Inputs'!$B$18),"")</f>
        <v>6496605.7486216649</v>
      </c>
      <c r="X416" s="171">
        <f t="shared" si="169"/>
        <v>1726450.5281119691</v>
      </c>
      <c r="Y416" s="171">
        <f t="shared" si="170"/>
        <v>331842.54117885442</v>
      </c>
      <c r="Z416" s="171">
        <f t="shared" si="171"/>
        <v>1394607.9869331147</v>
      </c>
      <c r="AA416" s="175">
        <f t="shared" si="172"/>
        <v>8891213.7355547789</v>
      </c>
      <c r="AB416" s="5"/>
      <c r="AC416" s="5"/>
      <c r="AD416" s="5"/>
      <c r="AE416" s="5"/>
      <c r="AF416" s="5"/>
      <c r="AG416" s="5"/>
    </row>
    <row r="417" spans="1:33" x14ac:dyDescent="0.2">
      <c r="A417" s="169">
        <v>29</v>
      </c>
      <c r="B417" s="100" t="str">
        <f t="shared" si="158"/>
        <v>Retired</v>
      </c>
      <c r="C417" s="170">
        <f t="shared" si="159"/>
        <v>0</v>
      </c>
      <c r="D417" s="170">
        <f t="shared" si="160"/>
        <v>0</v>
      </c>
      <c r="E417" s="170">
        <f t="shared" si="161"/>
        <v>0</v>
      </c>
      <c r="F417" s="170">
        <f t="shared" si="162"/>
        <v>0</v>
      </c>
      <c r="G417" s="171">
        <f t="shared" si="163"/>
        <v>0</v>
      </c>
      <c r="H417" s="171">
        <f t="shared" si="164"/>
        <v>81426.383510758242</v>
      </c>
      <c r="I417" s="171">
        <f>IF(B417="Working",MIN(MAX(D417-E417-F417-G417-H417,0),'Tax Assumptions'!$B$20),0)</f>
        <v>0</v>
      </c>
      <c r="J417" s="171">
        <f t="shared" si="165"/>
        <v>-311426.38351075823</v>
      </c>
      <c r="K417" s="170">
        <f t="shared" si="166"/>
        <v>311426.38351075823</v>
      </c>
      <c r="L417" s="170">
        <f t="shared" si="167"/>
        <v>311426.38351075823</v>
      </c>
      <c r="M417" s="170">
        <f t="shared" si="173"/>
        <v>311426.38351075823</v>
      </c>
      <c r="N417" s="170">
        <f t="shared" si="174"/>
        <v>0</v>
      </c>
      <c r="O417" s="170">
        <f t="shared" si="175"/>
        <v>0</v>
      </c>
      <c r="P417" s="170">
        <f t="shared" si="176"/>
        <v>0</v>
      </c>
      <c r="Q417" s="171">
        <f t="shared" si="177"/>
        <v>6358821.8983550444</v>
      </c>
      <c r="R417" s="171">
        <f t="shared" si="178"/>
        <v>977055.26206226426</v>
      </c>
      <c r="S417" s="171">
        <f t="shared" si="179"/>
        <v>299098.5496108972</v>
      </c>
      <c r="T417" s="171">
        <f t="shared" si="180"/>
        <v>0</v>
      </c>
      <c r="U417" s="171">
        <f t="shared" si="168"/>
        <v>7634975.710028206</v>
      </c>
      <c r="V417" s="171">
        <f t="shared" si="181"/>
        <v>0</v>
      </c>
      <c r="W417" s="171">
        <f>IF(OR(A417&gt;=$C$13,B417="Retired"),IF(V417&gt;0,-V417,U417-'Model Inputs'!$B$18),"")</f>
        <v>6634975.710028206</v>
      </c>
      <c r="X417" s="171">
        <f t="shared" si="169"/>
        <v>1778244.0439553282</v>
      </c>
      <c r="Y417" s="171">
        <f t="shared" si="170"/>
        <v>310478.26345808059</v>
      </c>
      <c r="Z417" s="171">
        <f t="shared" si="171"/>
        <v>1467765.7804972476</v>
      </c>
      <c r="AA417" s="172">
        <f t="shared" si="172"/>
        <v>9102741.4905254543</v>
      </c>
      <c r="AB417" s="5"/>
      <c r="AC417" s="5"/>
      <c r="AD417" s="5"/>
      <c r="AE417" s="5"/>
      <c r="AF417" s="5"/>
      <c r="AG417" s="5"/>
    </row>
    <row r="418" spans="1:33" x14ac:dyDescent="0.2">
      <c r="A418" s="173">
        <v>30</v>
      </c>
      <c r="B418" s="65" t="str">
        <f t="shared" si="158"/>
        <v>Retired</v>
      </c>
      <c r="C418" s="174">
        <f t="shared" si="159"/>
        <v>0</v>
      </c>
      <c r="D418" s="174">
        <f t="shared" si="160"/>
        <v>0</v>
      </c>
      <c r="E418" s="174">
        <f t="shared" si="161"/>
        <v>0</v>
      </c>
      <c r="F418" s="174">
        <f t="shared" si="162"/>
        <v>0</v>
      </c>
      <c r="G418" s="171">
        <f t="shared" si="163"/>
        <v>0</v>
      </c>
      <c r="H418" s="171">
        <f t="shared" si="164"/>
        <v>82600.024579768753</v>
      </c>
      <c r="I418" s="171">
        <f>IF(B418="Working",MIN(MAX(D418-E418-F418-G418-H418,0),'Tax Assumptions'!$B$20),0)</f>
        <v>0</v>
      </c>
      <c r="J418" s="171">
        <f t="shared" si="165"/>
        <v>-312600.02457976871</v>
      </c>
      <c r="K418" s="174">
        <f t="shared" si="166"/>
        <v>312600.02457976871</v>
      </c>
      <c r="L418" s="174">
        <f t="shared" si="167"/>
        <v>312600.02457976871</v>
      </c>
      <c r="M418" s="174">
        <f t="shared" si="173"/>
        <v>312600.02457976871</v>
      </c>
      <c r="N418" s="174">
        <f t="shared" si="174"/>
        <v>0</v>
      </c>
      <c r="O418" s="174">
        <f t="shared" si="175"/>
        <v>0</v>
      </c>
      <c r="P418" s="174">
        <f t="shared" si="176"/>
        <v>0</v>
      </c>
      <c r="Q418" s="171">
        <f t="shared" si="177"/>
        <v>6427751.1876765788</v>
      </c>
      <c r="R418" s="171">
        <f t="shared" si="178"/>
        <v>1035678.5777860002</v>
      </c>
      <c r="S418" s="171">
        <f t="shared" si="179"/>
        <v>317044.46258755104</v>
      </c>
      <c r="T418" s="171">
        <f t="shared" si="180"/>
        <v>0</v>
      </c>
      <c r="U418" s="171">
        <f t="shared" si="168"/>
        <v>7780474.2280501304</v>
      </c>
      <c r="V418" s="171">
        <f t="shared" si="181"/>
        <v>0</v>
      </c>
      <c r="W418" s="171">
        <f>IF(OR(A418&gt;=$C$13,B418="Retired"),IF(V418&gt;0,-V418,U418-'Model Inputs'!$B$18),"")</f>
        <v>6780474.2280501304</v>
      </c>
      <c r="X418" s="171">
        <f t="shared" si="169"/>
        <v>1831591.3652739879</v>
      </c>
      <c r="Y418" s="171">
        <f t="shared" si="170"/>
        <v>287683.18049165024</v>
      </c>
      <c r="Z418" s="171">
        <f t="shared" si="171"/>
        <v>1543908.1847823376</v>
      </c>
      <c r="AA418" s="175">
        <f t="shared" si="172"/>
        <v>9324382.4128324687</v>
      </c>
      <c r="AB418" s="5"/>
      <c r="AC418" s="5"/>
      <c r="AD418" s="5"/>
      <c r="AE418" s="5"/>
      <c r="AF418" s="5"/>
      <c r="AG418" s="5"/>
    </row>
    <row r="419" spans="1:33" x14ac:dyDescent="0.2">
      <c r="A419" s="169">
        <v>31</v>
      </c>
      <c r="B419" s="100" t="str">
        <f t="shared" si="158"/>
        <v>Retired</v>
      </c>
      <c r="C419" s="170">
        <f t="shared" si="159"/>
        <v>0</v>
      </c>
      <c r="D419" s="170">
        <f t="shared" si="160"/>
        <v>0</v>
      </c>
      <c r="E419" s="170">
        <f t="shared" si="161"/>
        <v>0</v>
      </c>
      <c r="F419" s="170">
        <f t="shared" si="162"/>
        <v>0</v>
      </c>
      <c r="G419" s="171">
        <f t="shared" si="163"/>
        <v>0</v>
      </c>
      <c r="H419" s="171">
        <f t="shared" si="164"/>
        <v>83808.874880849587</v>
      </c>
      <c r="I419" s="171">
        <f>IF(B419="Working",MIN(MAX(D419-E419-F419-G419-H419,0),'Tax Assumptions'!$B$20),0)</f>
        <v>0</v>
      </c>
      <c r="J419" s="171">
        <f t="shared" si="165"/>
        <v>-313808.87488084956</v>
      </c>
      <c r="K419" s="170">
        <f t="shared" si="166"/>
        <v>313808.87488084956</v>
      </c>
      <c r="L419" s="170">
        <f t="shared" si="167"/>
        <v>313808.87488084956</v>
      </c>
      <c r="M419" s="170">
        <f t="shared" si="173"/>
        <v>313808.87488084956</v>
      </c>
      <c r="N419" s="170">
        <f t="shared" si="174"/>
        <v>0</v>
      </c>
      <c r="O419" s="170">
        <f t="shared" si="175"/>
        <v>0</v>
      </c>
      <c r="P419" s="170">
        <f t="shared" si="176"/>
        <v>0</v>
      </c>
      <c r="Q419" s="171">
        <f t="shared" si="177"/>
        <v>6499607.3840563241</v>
      </c>
      <c r="R419" s="171">
        <f t="shared" si="178"/>
        <v>1097819.2924531603</v>
      </c>
      <c r="S419" s="171">
        <f t="shared" si="179"/>
        <v>336067.13034280413</v>
      </c>
      <c r="T419" s="171">
        <f t="shared" si="180"/>
        <v>0</v>
      </c>
      <c r="U419" s="171">
        <f t="shared" si="168"/>
        <v>7933493.8068522885</v>
      </c>
      <c r="V419" s="171">
        <f t="shared" si="181"/>
        <v>0</v>
      </c>
      <c r="W419" s="171">
        <f>IF(OR(A419&gt;=$C$13,B419="Retired"),IF(V419&gt;0,-V419,U419-'Model Inputs'!$B$18),"")</f>
        <v>6933493.8068522885</v>
      </c>
      <c r="X419" s="171">
        <f t="shared" si="169"/>
        <v>1886539.1062322073</v>
      </c>
      <c r="Y419" s="171">
        <f t="shared" si="170"/>
        <v>263361.46860240656</v>
      </c>
      <c r="Z419" s="171">
        <f t="shared" si="171"/>
        <v>1623177.6376298007</v>
      </c>
      <c r="AA419" s="172">
        <f t="shared" si="172"/>
        <v>9556671.44448209</v>
      </c>
      <c r="AB419" s="5"/>
      <c r="AC419" s="5"/>
      <c r="AD419" s="5"/>
      <c r="AE419" s="5"/>
      <c r="AF419" s="5"/>
      <c r="AG419" s="5"/>
    </row>
    <row r="420" spans="1:33" x14ac:dyDescent="0.2">
      <c r="A420" s="173">
        <v>32</v>
      </c>
      <c r="B420" s="65" t="str">
        <f t="shared" si="158"/>
        <v>Retired</v>
      </c>
      <c r="C420" s="174">
        <f t="shared" si="159"/>
        <v>0</v>
      </c>
      <c r="D420" s="174">
        <f t="shared" si="160"/>
        <v>0</v>
      </c>
      <c r="E420" s="174">
        <f t="shared" si="161"/>
        <v>0</v>
      </c>
      <c r="F420" s="174">
        <f t="shared" si="162"/>
        <v>0</v>
      </c>
      <c r="G420" s="171">
        <f t="shared" si="163"/>
        <v>0</v>
      </c>
      <c r="H420" s="171">
        <f t="shared" si="164"/>
        <v>85053.990690962848</v>
      </c>
      <c r="I420" s="171">
        <f>IF(B420="Working",MIN(MAX(D420-E420-F420-G420-H420,0),'Tax Assumptions'!$B$20),0)</f>
        <v>0</v>
      </c>
      <c r="J420" s="171">
        <f t="shared" si="165"/>
        <v>-315053.99069096282</v>
      </c>
      <c r="K420" s="174">
        <f t="shared" si="166"/>
        <v>315053.99069096282</v>
      </c>
      <c r="L420" s="174">
        <f t="shared" si="167"/>
        <v>315053.99069096282</v>
      </c>
      <c r="M420" s="174">
        <f t="shared" si="173"/>
        <v>315053.99069096282</v>
      </c>
      <c r="N420" s="174">
        <f t="shared" si="174"/>
        <v>0</v>
      </c>
      <c r="O420" s="174">
        <f t="shared" si="175"/>
        <v>0</v>
      </c>
      <c r="P420" s="174">
        <f t="shared" si="176"/>
        <v>0</v>
      </c>
      <c r="Q420" s="171">
        <f t="shared" si="177"/>
        <v>6574529.8364087418</v>
      </c>
      <c r="R420" s="171">
        <f t="shared" si="178"/>
        <v>1163688.4500003499</v>
      </c>
      <c r="S420" s="171">
        <f t="shared" si="179"/>
        <v>356231.15816337237</v>
      </c>
      <c r="T420" s="171">
        <f t="shared" si="180"/>
        <v>0</v>
      </c>
      <c r="U420" s="171">
        <f t="shared" si="168"/>
        <v>8094449.4445724636</v>
      </c>
      <c r="V420" s="171">
        <f t="shared" si="181"/>
        <v>0</v>
      </c>
      <c r="W420" s="171">
        <f>IF(OR(A420&gt;=$C$13,B420="Retired"),IF(V420&gt;0,-V420,U420-'Model Inputs'!$B$18),"")</f>
        <v>7094449.4445724636</v>
      </c>
      <c r="X420" s="171">
        <f t="shared" si="169"/>
        <v>1943135.2794191737</v>
      </c>
      <c r="Y420" s="171">
        <f t="shared" si="170"/>
        <v>237410.88662406756</v>
      </c>
      <c r="Z420" s="171">
        <f t="shared" si="171"/>
        <v>1705724.3927951062</v>
      </c>
      <c r="AA420" s="175">
        <f t="shared" si="172"/>
        <v>9800173.83736757</v>
      </c>
      <c r="AB420" s="5"/>
      <c r="AC420" s="5"/>
      <c r="AD420" s="5"/>
      <c r="AE420" s="5"/>
      <c r="AF420" s="5"/>
      <c r="AG420" s="5"/>
    </row>
    <row r="421" spans="1:33" x14ac:dyDescent="0.2">
      <c r="A421" s="169">
        <v>33</v>
      </c>
      <c r="B421" s="100" t="str">
        <f t="shared" si="158"/>
        <v>Retired</v>
      </c>
      <c r="C421" s="170">
        <f t="shared" si="159"/>
        <v>0</v>
      </c>
      <c r="D421" s="170">
        <f t="shared" si="160"/>
        <v>0</v>
      </c>
      <c r="E421" s="170">
        <f t="shared" si="161"/>
        <v>0</v>
      </c>
      <c r="F421" s="170">
        <f t="shared" si="162"/>
        <v>0</v>
      </c>
      <c r="G421" s="171">
        <f t="shared" si="163"/>
        <v>0</v>
      </c>
      <c r="H421" s="171">
        <f t="shared" si="164"/>
        <v>86336.459975379505</v>
      </c>
      <c r="I421" s="171">
        <f>IF(B421="Working",MIN(MAX(D421-E421-F421-G421-H421,0),'Tax Assumptions'!$B$20),0)</f>
        <v>0</v>
      </c>
      <c r="J421" s="171">
        <f t="shared" si="165"/>
        <v>-316336.45997537946</v>
      </c>
      <c r="K421" s="170">
        <f t="shared" si="166"/>
        <v>316336.45997537946</v>
      </c>
      <c r="L421" s="170">
        <f t="shared" si="167"/>
        <v>316336.45997537946</v>
      </c>
      <c r="M421" s="170">
        <f t="shared" si="173"/>
        <v>316336.45997537946</v>
      </c>
      <c r="N421" s="170">
        <f t="shared" si="174"/>
        <v>0</v>
      </c>
      <c r="O421" s="170">
        <f t="shared" si="175"/>
        <v>0</v>
      </c>
      <c r="P421" s="170">
        <f t="shared" si="176"/>
        <v>0</v>
      </c>
      <c r="Q421" s="171">
        <f t="shared" si="177"/>
        <v>6652665.1666178871</v>
      </c>
      <c r="R421" s="171">
        <f t="shared" si="178"/>
        <v>1233509.7570003709</v>
      </c>
      <c r="S421" s="171">
        <f t="shared" si="179"/>
        <v>377605.02765317471</v>
      </c>
      <c r="T421" s="171">
        <f t="shared" si="180"/>
        <v>0</v>
      </c>
      <c r="U421" s="171">
        <f t="shared" si="168"/>
        <v>8263779.9512714325</v>
      </c>
      <c r="V421" s="171">
        <f t="shared" si="181"/>
        <v>0</v>
      </c>
      <c r="W421" s="171">
        <f>IF(OR(A421&gt;=$C$13,B421="Retired"),IF(V421&gt;0,-V421,U421-'Model Inputs'!$B$18),"")</f>
        <v>7263779.9512714325</v>
      </c>
      <c r="X421" s="171">
        <f t="shared" si="169"/>
        <v>2001429.3378017491</v>
      </c>
      <c r="Y421" s="171">
        <f t="shared" si="170"/>
        <v>209722.34611009574</v>
      </c>
      <c r="Z421" s="171">
        <f t="shared" si="171"/>
        <v>1791706.9916916534</v>
      </c>
      <c r="AA421" s="172">
        <f t="shared" si="172"/>
        <v>10055486.942963086</v>
      </c>
      <c r="AB421" s="5"/>
      <c r="AC421" s="5"/>
      <c r="AD421" s="5"/>
      <c r="AE421" s="5"/>
      <c r="AF421" s="5"/>
      <c r="AG421" s="5"/>
    </row>
    <row r="422" spans="1:33" x14ac:dyDescent="0.2">
      <c r="A422" s="173">
        <v>34</v>
      </c>
      <c r="B422" s="65" t="str">
        <f t="shared" si="158"/>
        <v>Retired</v>
      </c>
      <c r="C422" s="174">
        <f t="shared" si="159"/>
        <v>0</v>
      </c>
      <c r="D422" s="174">
        <f t="shared" si="160"/>
        <v>0</v>
      </c>
      <c r="E422" s="174">
        <f t="shared" si="161"/>
        <v>0</v>
      </c>
      <c r="F422" s="174">
        <f t="shared" si="162"/>
        <v>0</v>
      </c>
      <c r="G422" s="171">
        <f t="shared" si="163"/>
        <v>0</v>
      </c>
      <c r="H422" s="171">
        <f t="shared" si="164"/>
        <v>87657.403338328644</v>
      </c>
      <c r="I422" s="171">
        <f>IF(B422="Working",MIN(MAX(D422-E422-F422-G422-H422,0),'Tax Assumptions'!$B$20),0)</f>
        <v>0</v>
      </c>
      <c r="J422" s="171">
        <f t="shared" si="165"/>
        <v>-317657.40333832859</v>
      </c>
      <c r="K422" s="174">
        <f t="shared" si="166"/>
        <v>317657.40333832859</v>
      </c>
      <c r="L422" s="174">
        <f t="shared" si="167"/>
        <v>317657.40333832859</v>
      </c>
      <c r="M422" s="174">
        <f t="shared" si="173"/>
        <v>317657.40333832859</v>
      </c>
      <c r="N422" s="174">
        <f t="shared" si="174"/>
        <v>0</v>
      </c>
      <c r="O422" s="174">
        <f t="shared" si="175"/>
        <v>0</v>
      </c>
      <c r="P422" s="174">
        <f t="shared" si="176"/>
        <v>0</v>
      </c>
      <c r="Q422" s="171">
        <f t="shared" si="177"/>
        <v>6734167.6732766321</v>
      </c>
      <c r="R422" s="171">
        <f t="shared" si="178"/>
        <v>1307520.3424203931</v>
      </c>
      <c r="S422" s="171">
        <f t="shared" si="179"/>
        <v>400261.32931236521</v>
      </c>
      <c r="T422" s="171">
        <f t="shared" si="180"/>
        <v>0</v>
      </c>
      <c r="U422" s="171">
        <f t="shared" si="168"/>
        <v>8441949.3450093903</v>
      </c>
      <c r="V422" s="171">
        <f t="shared" si="181"/>
        <v>0</v>
      </c>
      <c r="W422" s="171">
        <f>IF(OR(A422&gt;=$C$13,B422="Retired"),IF(V422&gt;0,-V422,U422-'Model Inputs'!$B$18),"")</f>
        <v>7441949.3450093903</v>
      </c>
      <c r="X422" s="171">
        <f t="shared" si="169"/>
        <v>2061472.2179358013</v>
      </c>
      <c r="Y422" s="171">
        <f t="shared" si="170"/>
        <v>180179.45275865542</v>
      </c>
      <c r="Z422" s="171">
        <f t="shared" si="171"/>
        <v>1881292.7651771458</v>
      </c>
      <c r="AA422" s="175">
        <f t="shared" si="172"/>
        <v>10323242.110186536</v>
      </c>
      <c r="AB422" s="5"/>
      <c r="AC422" s="5"/>
      <c r="AD422" s="5"/>
      <c r="AE422" s="5"/>
      <c r="AF422" s="5"/>
      <c r="AG422" s="5"/>
    </row>
    <row r="423" spans="1:33" x14ac:dyDescent="0.2">
      <c r="A423" s="169">
        <v>35</v>
      </c>
      <c r="B423" s="100" t="str">
        <f t="shared" si="158"/>
        <v>Retired</v>
      </c>
      <c r="C423" s="170">
        <f t="shared" si="159"/>
        <v>0</v>
      </c>
      <c r="D423" s="170">
        <f t="shared" si="160"/>
        <v>0</v>
      </c>
      <c r="E423" s="170">
        <f t="shared" si="161"/>
        <v>0</v>
      </c>
      <c r="F423" s="170">
        <f t="shared" si="162"/>
        <v>0</v>
      </c>
      <c r="G423" s="171">
        <f t="shared" si="163"/>
        <v>0</v>
      </c>
      <c r="H423" s="171">
        <f t="shared" si="164"/>
        <v>89017.975002166277</v>
      </c>
      <c r="I423" s="171">
        <f>IF(B423="Working",MIN(MAX(D423-E423-F423-G423-H423,0),'Tax Assumptions'!$B$20),0)</f>
        <v>0</v>
      </c>
      <c r="J423" s="171">
        <f t="shared" si="165"/>
        <v>-319017.97500216623</v>
      </c>
      <c r="K423" s="170">
        <f t="shared" si="166"/>
        <v>319017.97500216623</v>
      </c>
      <c r="L423" s="170">
        <f t="shared" si="167"/>
        <v>319017.97500216623</v>
      </c>
      <c r="M423" s="170">
        <f t="shared" si="173"/>
        <v>319017.97500216623</v>
      </c>
      <c r="N423" s="170">
        <f t="shared" si="174"/>
        <v>0</v>
      </c>
      <c r="O423" s="170">
        <f t="shared" si="175"/>
        <v>0</v>
      </c>
      <c r="P423" s="170">
        <f t="shared" si="176"/>
        <v>0</v>
      </c>
      <c r="Q423" s="171">
        <f t="shared" si="177"/>
        <v>6819199.7586710649</v>
      </c>
      <c r="R423" s="171">
        <f t="shared" si="178"/>
        <v>1385971.5629656168</v>
      </c>
      <c r="S423" s="171">
        <f t="shared" si="179"/>
        <v>424277.00907110714</v>
      </c>
      <c r="T423" s="171">
        <f t="shared" si="180"/>
        <v>0</v>
      </c>
      <c r="U423" s="171">
        <f t="shared" si="168"/>
        <v>8629448.3307077885</v>
      </c>
      <c r="V423" s="171">
        <f t="shared" si="181"/>
        <v>0</v>
      </c>
      <c r="W423" s="171">
        <f>IF(OR(A423&gt;=$C$13,B423="Retired"),IF(V423&gt;0,-V423,U423-'Model Inputs'!$B$18),"")</f>
        <v>7629448.3307077885</v>
      </c>
      <c r="X423" s="171">
        <f t="shared" si="169"/>
        <v>2123316.3844738752</v>
      </c>
      <c r="Y423" s="171">
        <f t="shared" si="170"/>
        <v>148658.01712595532</v>
      </c>
      <c r="Z423" s="171">
        <f t="shared" si="171"/>
        <v>1974658.3673479198</v>
      </c>
      <c r="AA423" s="172">
        <f t="shared" si="172"/>
        <v>10604106.698055709</v>
      </c>
      <c r="AB423" s="5"/>
      <c r="AC423" s="5"/>
      <c r="AD423" s="5"/>
      <c r="AE423" s="5"/>
      <c r="AF423" s="5"/>
      <c r="AG423" s="5"/>
    </row>
    <row r="424" spans="1:33" x14ac:dyDescent="0.2">
      <c r="A424" s="173">
        <v>36</v>
      </c>
      <c r="B424" s="65" t="str">
        <f t="shared" si="158"/>
        <v>Retired</v>
      </c>
      <c r="C424" s="174">
        <f t="shared" si="159"/>
        <v>0</v>
      </c>
      <c r="D424" s="174">
        <f t="shared" si="160"/>
        <v>0</v>
      </c>
      <c r="E424" s="174">
        <f t="shared" si="161"/>
        <v>0</v>
      </c>
      <c r="F424" s="174">
        <f t="shared" si="162"/>
        <v>0</v>
      </c>
      <c r="G424" s="171">
        <f t="shared" si="163"/>
        <v>0</v>
      </c>
      <c r="H424" s="171">
        <f t="shared" si="164"/>
        <v>90419.363815919045</v>
      </c>
      <c r="I424" s="171">
        <f>IF(B424="Working",MIN(MAX(D424-E424-F424-G424-H424,0),'Tax Assumptions'!$B$20),0)</f>
        <v>0</v>
      </c>
      <c r="J424" s="171">
        <f t="shared" si="165"/>
        <v>-320419.36381591903</v>
      </c>
      <c r="K424" s="174">
        <f t="shared" si="166"/>
        <v>320419.36381591903</v>
      </c>
      <c r="L424" s="174">
        <f t="shared" si="167"/>
        <v>320419.36381591903</v>
      </c>
      <c r="M424" s="174">
        <f t="shared" si="173"/>
        <v>320419.36381591903</v>
      </c>
      <c r="N424" s="174">
        <f t="shared" si="174"/>
        <v>0</v>
      </c>
      <c r="O424" s="174">
        <f t="shared" si="175"/>
        <v>0</v>
      </c>
      <c r="P424" s="174">
        <f t="shared" si="176"/>
        <v>0</v>
      </c>
      <c r="Q424" s="171">
        <f t="shared" si="177"/>
        <v>6907932.3803754095</v>
      </c>
      <c r="R424" s="171">
        <f t="shared" si="178"/>
        <v>1469129.8567435539</v>
      </c>
      <c r="S424" s="171">
        <f t="shared" si="179"/>
        <v>449733.62961537362</v>
      </c>
      <c r="T424" s="171">
        <f t="shared" si="180"/>
        <v>0</v>
      </c>
      <c r="U424" s="171">
        <f t="shared" si="168"/>
        <v>8826795.8667343371</v>
      </c>
      <c r="V424" s="171">
        <f t="shared" si="181"/>
        <v>0</v>
      </c>
      <c r="W424" s="171">
        <f>IF(OR(A424&gt;=$C$13,B424="Retired"),IF(V424&gt;0,-V424,U424-'Model Inputs'!$B$18),"")</f>
        <v>7826795.8667343371</v>
      </c>
      <c r="X424" s="171">
        <f t="shared" si="169"/>
        <v>2187015.876008092</v>
      </c>
      <c r="Y424" s="171">
        <f t="shared" si="170"/>
        <v>115025.53257115465</v>
      </c>
      <c r="Z424" s="171">
        <f t="shared" si="171"/>
        <v>2071990.3434369373</v>
      </c>
      <c r="AA424" s="175">
        <f t="shared" si="172"/>
        <v>10898786.210171275</v>
      </c>
      <c r="AB424" s="5"/>
      <c r="AC424" s="5"/>
      <c r="AD424" s="5"/>
      <c r="AE424" s="5"/>
      <c r="AF424" s="5"/>
      <c r="AG424" s="5"/>
    </row>
    <row r="425" spans="1:33" x14ac:dyDescent="0.2">
      <c r="A425" s="169">
        <v>37</v>
      </c>
      <c r="B425" s="100" t="str">
        <f t="shared" si="158"/>
        <v>Retired</v>
      </c>
      <c r="C425" s="170">
        <f t="shared" si="159"/>
        <v>0</v>
      </c>
      <c r="D425" s="170">
        <f t="shared" si="160"/>
        <v>0</v>
      </c>
      <c r="E425" s="170">
        <f t="shared" si="161"/>
        <v>0</v>
      </c>
      <c r="F425" s="170">
        <f t="shared" si="162"/>
        <v>0</v>
      </c>
      <c r="G425" s="171">
        <f t="shared" si="163"/>
        <v>0</v>
      </c>
      <c r="H425" s="171">
        <f t="shared" si="164"/>
        <v>91862.794294084364</v>
      </c>
      <c r="I425" s="171">
        <f>IF(B425="Working",MIN(MAX(D425-E425-F425-G425-H425,0),'Tax Assumptions'!$B$20),0)</f>
        <v>0</v>
      </c>
      <c r="J425" s="171">
        <f t="shared" si="165"/>
        <v>-321862.79429408431</v>
      </c>
      <c r="K425" s="170">
        <f t="shared" si="166"/>
        <v>321862.79429408431</v>
      </c>
      <c r="L425" s="170">
        <f t="shared" si="167"/>
        <v>321862.79429408431</v>
      </c>
      <c r="M425" s="170">
        <f t="shared" si="173"/>
        <v>321862.79429408431</v>
      </c>
      <c r="N425" s="170">
        <f t="shared" si="174"/>
        <v>0</v>
      </c>
      <c r="O425" s="170">
        <f t="shared" si="175"/>
        <v>0</v>
      </c>
      <c r="P425" s="170">
        <f t="shared" si="176"/>
        <v>0</v>
      </c>
      <c r="Q425" s="171">
        <f t="shared" si="177"/>
        <v>7000545.5289038504</v>
      </c>
      <c r="R425" s="171">
        <f t="shared" si="178"/>
        <v>1557277.6481481672</v>
      </c>
      <c r="S425" s="171">
        <f t="shared" si="179"/>
        <v>476717.64739229606</v>
      </c>
      <c r="T425" s="171">
        <f t="shared" si="180"/>
        <v>0</v>
      </c>
      <c r="U425" s="171">
        <f t="shared" si="168"/>
        <v>9034540.8244443126</v>
      </c>
      <c r="V425" s="171">
        <f t="shared" si="181"/>
        <v>0</v>
      </c>
      <c r="W425" s="171">
        <f>IF(OR(A425&gt;=$C$13,B425="Retired"),IF(V425&gt;0,-V425,U425-'Model Inputs'!$B$18),"")</f>
        <v>8034540.8244443126</v>
      </c>
      <c r="X425" s="171">
        <f t="shared" si="169"/>
        <v>2252626.3522883342</v>
      </c>
      <c r="Y425" s="171">
        <f t="shared" si="170"/>
        <v>79140.618238272611</v>
      </c>
      <c r="Z425" s="171">
        <f t="shared" si="171"/>
        <v>2173485.7340500616</v>
      </c>
      <c r="AA425" s="172">
        <f t="shared" si="172"/>
        <v>11208026.558494374</v>
      </c>
      <c r="AB425" s="5"/>
      <c r="AC425" s="5"/>
      <c r="AD425" s="5"/>
      <c r="AE425" s="5"/>
      <c r="AF425" s="5"/>
      <c r="AG425" s="5"/>
    </row>
    <row r="426" spans="1:33" x14ac:dyDescent="0.2">
      <c r="A426" s="173">
        <v>38</v>
      </c>
      <c r="B426" s="65" t="str">
        <f t="shared" si="158"/>
        <v>Retired</v>
      </c>
      <c r="C426" s="174">
        <f t="shared" si="159"/>
        <v>0</v>
      </c>
      <c r="D426" s="174">
        <f t="shared" si="160"/>
        <v>0</v>
      </c>
      <c r="E426" s="174">
        <f t="shared" si="161"/>
        <v>0</v>
      </c>
      <c r="F426" s="174">
        <f t="shared" si="162"/>
        <v>0</v>
      </c>
      <c r="G426" s="171">
        <f t="shared" si="163"/>
        <v>0</v>
      </c>
      <c r="H426" s="171">
        <f t="shared" si="164"/>
        <v>93349.52768659468</v>
      </c>
      <c r="I426" s="171">
        <f>IF(B426="Working",MIN(MAX(D426-E426-F426-G426-H426,0),'Tax Assumptions'!$B$20),0)</f>
        <v>0</v>
      </c>
      <c r="J426" s="171">
        <f t="shared" si="165"/>
        <v>-323349.52768659464</v>
      </c>
      <c r="K426" s="174">
        <f t="shared" si="166"/>
        <v>323349.52768659464</v>
      </c>
      <c r="L426" s="174">
        <f t="shared" si="167"/>
        <v>323349.52768659464</v>
      </c>
      <c r="M426" s="174">
        <f t="shared" si="173"/>
        <v>323349.52768659464</v>
      </c>
      <c r="N426" s="174">
        <f t="shared" si="174"/>
        <v>0</v>
      </c>
      <c r="O426" s="174">
        <f t="shared" si="175"/>
        <v>0</v>
      </c>
      <c r="P426" s="174">
        <f t="shared" si="176"/>
        <v>0</v>
      </c>
      <c r="Q426" s="171">
        <f t="shared" si="177"/>
        <v>7097228.7329514865</v>
      </c>
      <c r="R426" s="171">
        <f t="shared" si="178"/>
        <v>1650714.3070370574</v>
      </c>
      <c r="S426" s="171">
        <f t="shared" si="179"/>
        <v>505320.70623583387</v>
      </c>
      <c r="T426" s="171">
        <f t="shared" si="180"/>
        <v>0</v>
      </c>
      <c r="U426" s="171">
        <f t="shared" si="168"/>
        <v>9253263.7462243773</v>
      </c>
      <c r="V426" s="171">
        <f t="shared" si="181"/>
        <v>0</v>
      </c>
      <c r="W426" s="171">
        <f>IF(OR(A426&gt;=$C$13,B426="Retired"),IF(V426&gt;0,-V426,U426-'Model Inputs'!$B$18),"")</f>
        <v>8253263.7462243773</v>
      </c>
      <c r="X426" s="171">
        <f t="shared" si="169"/>
        <v>2320205.1428569844</v>
      </c>
      <c r="Y426" s="171">
        <f t="shared" si="170"/>
        <v>40852.424733563792</v>
      </c>
      <c r="Z426" s="171">
        <f t="shared" si="171"/>
        <v>2279352.7181234206</v>
      </c>
      <c r="AA426" s="175">
        <f t="shared" si="172"/>
        <v>11532616.464347798</v>
      </c>
      <c r="AB426" s="5"/>
      <c r="AC426" s="5"/>
      <c r="AD426" s="5"/>
      <c r="AE426" s="5"/>
      <c r="AF426" s="5"/>
      <c r="AG426" s="5"/>
    </row>
    <row r="427" spans="1:33" x14ac:dyDescent="0.2">
      <c r="A427" s="169">
        <v>39</v>
      </c>
      <c r="B427" s="100" t="str">
        <f t="shared" si="158"/>
        <v>Retired</v>
      </c>
      <c r="C427" s="170">
        <f t="shared" si="159"/>
        <v>0</v>
      </c>
      <c r="D427" s="170">
        <f t="shared" si="160"/>
        <v>0</v>
      </c>
      <c r="E427" s="170">
        <f t="shared" si="161"/>
        <v>0</v>
      </c>
      <c r="F427" s="170">
        <f t="shared" si="162"/>
        <v>0</v>
      </c>
      <c r="G427" s="171">
        <f t="shared" si="163"/>
        <v>0</v>
      </c>
      <c r="H427" s="171">
        <f t="shared" si="164"/>
        <v>94880.863080880285</v>
      </c>
      <c r="I427" s="171">
        <f>IF(B427="Working",MIN(MAX(D427-E427-F427-G427-H427,0),'Tax Assumptions'!$B$20),0)</f>
        <v>0</v>
      </c>
      <c r="J427" s="171">
        <f t="shared" si="165"/>
        <v>-324880.86308088026</v>
      </c>
      <c r="K427" s="170">
        <f t="shared" si="166"/>
        <v>324880.86308088026</v>
      </c>
      <c r="L427" s="170">
        <f t="shared" si="167"/>
        <v>324880.86308088026</v>
      </c>
      <c r="M427" s="170">
        <f t="shared" si="173"/>
        <v>324880.86308088026</v>
      </c>
      <c r="N427" s="170">
        <f t="shared" si="174"/>
        <v>0</v>
      </c>
      <c r="O427" s="170">
        <f t="shared" si="175"/>
        <v>0</v>
      </c>
      <c r="P427" s="170">
        <f t="shared" si="176"/>
        <v>0</v>
      </c>
      <c r="Q427" s="171">
        <f t="shared" si="177"/>
        <v>7198181.5938476957</v>
      </c>
      <c r="R427" s="171">
        <f t="shared" si="178"/>
        <v>1749757.1654592808</v>
      </c>
      <c r="S427" s="171">
        <f t="shared" si="179"/>
        <v>535639.9486099839</v>
      </c>
      <c r="T427" s="171">
        <f t="shared" si="180"/>
        <v>0</v>
      </c>
      <c r="U427" s="171">
        <f t="shared" si="168"/>
        <v>9483578.7079169601</v>
      </c>
      <c r="V427" s="171">
        <f t="shared" si="181"/>
        <v>0</v>
      </c>
      <c r="W427" s="171">
        <f>IF(OR(A427&gt;=$C$13,B427="Retired"),IF(V427&gt;0,-V427,U427-'Model Inputs'!$B$18),"")</f>
        <v>8483578.7079169601</v>
      </c>
      <c r="X427" s="171">
        <f t="shared" si="169"/>
        <v>2389811.2971426938</v>
      </c>
      <c r="Y427" s="171">
        <f t="shared" si="170"/>
        <v>0</v>
      </c>
      <c r="Z427" s="171">
        <f t="shared" si="171"/>
        <v>2389811.2971426938</v>
      </c>
      <c r="AA427" s="172">
        <f t="shared" si="172"/>
        <v>11873390.005059654</v>
      </c>
      <c r="AB427" s="5"/>
      <c r="AC427" s="5"/>
      <c r="AD427" s="5"/>
      <c r="AE427" s="5"/>
      <c r="AF427" s="5"/>
      <c r="AG427" s="5"/>
    </row>
    <row r="428" spans="1:33" x14ac:dyDescent="0.2">
      <c r="A428" s="173">
        <v>40</v>
      </c>
      <c r="B428" s="65" t="str">
        <f t="shared" si="158"/>
        <v>Retired</v>
      </c>
      <c r="C428" s="174">
        <f t="shared" si="159"/>
        <v>0</v>
      </c>
      <c r="D428" s="174">
        <f t="shared" si="160"/>
        <v>0</v>
      </c>
      <c r="E428" s="174">
        <f t="shared" si="161"/>
        <v>0</v>
      </c>
      <c r="F428" s="174">
        <f t="shared" si="162"/>
        <v>0</v>
      </c>
      <c r="G428" s="171">
        <f t="shared" si="163"/>
        <v>0</v>
      </c>
      <c r="H428" s="171">
        <f t="shared" si="164"/>
        <v>54153.123993253437</v>
      </c>
      <c r="I428" s="171">
        <f>IF(B428="Working",MIN(MAX(D428-E428-F428-G428-H428,0),'Tax Assumptions'!$B$20),0)</f>
        <v>0</v>
      </c>
      <c r="J428" s="171">
        <f t="shared" si="165"/>
        <v>-284153.12399325339</v>
      </c>
      <c r="K428" s="174">
        <f t="shared" si="166"/>
        <v>284153.12399325339</v>
      </c>
      <c r="L428" s="174">
        <f t="shared" si="167"/>
        <v>284153.12399325339</v>
      </c>
      <c r="M428" s="174">
        <f t="shared" si="173"/>
        <v>284153.12399325339</v>
      </c>
      <c r="N428" s="174">
        <f t="shared" si="174"/>
        <v>0</v>
      </c>
      <c r="O428" s="174">
        <f t="shared" si="175"/>
        <v>0</v>
      </c>
      <c r="P428" s="174">
        <f t="shared" si="176"/>
        <v>0</v>
      </c>
      <c r="Q428" s="171">
        <f t="shared" si="177"/>
        <v>7345919.365485305</v>
      </c>
      <c r="R428" s="171">
        <f t="shared" si="178"/>
        <v>1854742.5953868378</v>
      </c>
      <c r="S428" s="171">
        <f t="shared" si="179"/>
        <v>567778.34552658291</v>
      </c>
      <c r="T428" s="171">
        <f t="shared" si="180"/>
        <v>0</v>
      </c>
      <c r="U428" s="171">
        <f t="shared" si="168"/>
        <v>9768440.306398727</v>
      </c>
      <c r="V428" s="171">
        <f t="shared" si="181"/>
        <v>0</v>
      </c>
      <c r="W428" s="171">
        <f>IF(OR(A428&gt;=$C$13,B428="Retired"),IF(V428&gt;0,-V428,U428-'Model Inputs'!$B$18),"")</f>
        <v>8768440.306398727</v>
      </c>
      <c r="X428" s="171">
        <f t="shared" si="169"/>
        <v>2461505.6360569745</v>
      </c>
      <c r="Y428" s="171">
        <f t="shared" si="170"/>
        <v>0</v>
      </c>
      <c r="Z428" s="171">
        <f t="shared" si="171"/>
        <v>2461505.6360569745</v>
      </c>
      <c r="AA428" s="175">
        <f t="shared" si="172"/>
        <v>12229945.942455702</v>
      </c>
      <c r="AB428" s="5"/>
      <c r="AC428" s="5"/>
      <c r="AD428" s="5"/>
      <c r="AE428" s="5"/>
      <c r="AF428" s="5"/>
      <c r="AG428" s="5"/>
    </row>
    <row r="429" spans="1:33" x14ac:dyDescent="0.2">
      <c r="A429" s="176" t="s">
        <v>369</v>
      </c>
      <c r="B429" s="177"/>
      <c r="C429" s="177"/>
      <c r="D429" s="177"/>
      <c r="E429" s="177"/>
      <c r="F429" s="177"/>
      <c r="G429" s="178">
        <f t="shared" ref="G429:P429" si="182">SUM(G389:G428)</f>
        <v>481701.17200139578</v>
      </c>
      <c r="H429" s="178">
        <f t="shared" si="182"/>
        <v>2384728.6910258122</v>
      </c>
      <c r="I429" s="178">
        <f t="shared" si="182"/>
        <v>75000</v>
      </c>
      <c r="J429" s="178">
        <f t="shared" si="182"/>
        <v>-4918837.6229866846</v>
      </c>
      <c r="K429" s="178">
        <f t="shared" si="182"/>
        <v>9220113.3064104263</v>
      </c>
      <c r="L429" s="178">
        <f t="shared" si="182"/>
        <v>9220113.3064104263</v>
      </c>
      <c r="M429" s="178">
        <f t="shared" si="182"/>
        <v>9220113.3064104263</v>
      </c>
      <c r="N429" s="178">
        <f t="shared" si="182"/>
        <v>0</v>
      </c>
      <c r="O429" s="178">
        <f t="shared" si="182"/>
        <v>0</v>
      </c>
      <c r="P429" s="178">
        <f t="shared" si="182"/>
        <v>0</v>
      </c>
      <c r="Q429" s="178">
        <f>Q428</f>
        <v>7345919.365485305</v>
      </c>
      <c r="R429" s="178">
        <f>R428</f>
        <v>1854742.5953868378</v>
      </c>
      <c r="S429" s="178">
        <f>S428</f>
        <v>567778.34552658291</v>
      </c>
      <c r="T429" s="178">
        <f>T428</f>
        <v>0</v>
      </c>
      <c r="U429" s="178">
        <f>U428</f>
        <v>9768440.306398727</v>
      </c>
      <c r="V429" s="178">
        <f>SUM(V389:V428)</f>
        <v>0</v>
      </c>
      <c r="W429" s="178">
        <f>MIN(W389:W428)</f>
        <v>4883925.0838471139</v>
      </c>
      <c r="X429" s="178">
        <f>X428</f>
        <v>2461505.6360569745</v>
      </c>
      <c r="Y429" s="178">
        <f>Y428</f>
        <v>0</v>
      </c>
      <c r="Z429" s="178">
        <f>Z428</f>
        <v>2461505.6360569745</v>
      </c>
      <c r="AA429" s="179">
        <f>AA428</f>
        <v>12229945.942455702</v>
      </c>
      <c r="AB429" s="5"/>
      <c r="AC429" s="5"/>
      <c r="AD429" s="5"/>
      <c r="AE429" s="5"/>
      <c r="AF429" s="5"/>
      <c r="AG429" s="5"/>
    </row>
    <row r="430" spans="1:33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x14ac:dyDescent="0.2">
      <c r="A431" s="319" t="str">
        <f>J231&amp;" | House "&amp;TEXT($L$231,"$#,##0")&amp;" | Spend "&amp;TEXT($N$231,"$#,##0")</f>
        <v>Case 05 | House $1,014,108 | Spend $260,000</v>
      </c>
      <c r="B431" s="288"/>
      <c r="C431" s="288"/>
      <c r="D431" s="288"/>
      <c r="E431" s="288"/>
      <c r="F431" s="288"/>
      <c r="G431" s="288"/>
      <c r="H431" s="288"/>
      <c r="I431" s="288"/>
      <c r="J431" s="288"/>
      <c r="K431" s="288"/>
      <c r="L431" s="288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  <c r="AA431" s="289"/>
      <c r="AB431" s="5"/>
      <c r="AC431" s="5"/>
      <c r="AD431" s="5"/>
      <c r="AE431" s="5"/>
      <c r="AF431" s="5"/>
      <c r="AG431" s="5"/>
    </row>
    <row r="432" spans="1:33" ht="34" customHeight="1" x14ac:dyDescent="0.2">
      <c r="A432" s="167" t="s">
        <v>224</v>
      </c>
      <c r="B432" s="112" t="s">
        <v>106</v>
      </c>
      <c r="C432" s="112" t="s">
        <v>357</v>
      </c>
      <c r="D432" s="112" t="s">
        <v>66</v>
      </c>
      <c r="E432" s="112" t="s">
        <v>300</v>
      </c>
      <c r="F432" s="112" t="s">
        <v>301</v>
      </c>
      <c r="G432" s="112" t="s">
        <v>358</v>
      </c>
      <c r="H432" s="112" t="s">
        <v>359</v>
      </c>
      <c r="I432" s="112" t="s">
        <v>69</v>
      </c>
      <c r="J432" s="112" t="s">
        <v>360</v>
      </c>
      <c r="K432" s="112" t="s">
        <v>361</v>
      </c>
      <c r="L432" s="112" t="s">
        <v>362</v>
      </c>
      <c r="M432" s="112" t="s">
        <v>304</v>
      </c>
      <c r="N432" s="112" t="s">
        <v>305</v>
      </c>
      <c r="O432" s="112" t="s">
        <v>306</v>
      </c>
      <c r="P432" s="112" t="s">
        <v>307</v>
      </c>
      <c r="Q432" s="112" t="s">
        <v>363</v>
      </c>
      <c r="R432" s="112" t="s">
        <v>364</v>
      </c>
      <c r="S432" s="112" t="s">
        <v>365</v>
      </c>
      <c r="T432" s="112" t="s">
        <v>366</v>
      </c>
      <c r="U432" s="112" t="s">
        <v>308</v>
      </c>
      <c r="V432" s="112" t="s">
        <v>309</v>
      </c>
      <c r="W432" s="112" t="s">
        <v>367</v>
      </c>
      <c r="X432" s="112" t="s">
        <v>311</v>
      </c>
      <c r="Y432" s="112" t="s">
        <v>312</v>
      </c>
      <c r="Z432" s="112" t="s">
        <v>313</v>
      </c>
      <c r="AA432" s="168" t="s">
        <v>368</v>
      </c>
      <c r="AB432" s="5"/>
      <c r="AC432" s="5"/>
      <c r="AD432" s="5"/>
      <c r="AE432" s="5"/>
      <c r="AF432" s="5"/>
      <c r="AG432" s="5"/>
    </row>
    <row r="433" spans="1:33" x14ac:dyDescent="0.2">
      <c r="A433" s="169">
        <v>1</v>
      </c>
      <c r="B433" s="100" t="str">
        <f t="shared" ref="B433:B472" si="183">B80</f>
        <v>Working</v>
      </c>
      <c r="C433" s="170">
        <f t="shared" ref="C433:C472" si="184">D80</f>
        <v>550000</v>
      </c>
      <c r="D433" s="170">
        <f t="shared" ref="D433:D472" si="185">I80</f>
        <v>302665.46999999997</v>
      </c>
      <c r="E433" s="170">
        <f t="shared" ref="E433:E472" si="186">J80</f>
        <v>78000</v>
      </c>
      <c r="F433" s="170">
        <f t="shared" ref="F433:F472" si="187">K80</f>
        <v>40000</v>
      </c>
      <c r="G433" s="171">
        <f t="shared" ref="G433:G472" si="188">IF(AND($L$231&gt;0,A433=$C$13),$L$231*($C$15+$C$18),0)+IF(AND($L$231&gt;0,A433=$C$13),$C$24,0)</f>
        <v>0</v>
      </c>
      <c r="H433" s="171">
        <f t="shared" ref="H433:H472" si="189">IF(OR($L$231&lt;=0,A433&lt;$C$13),0,IF(AND($L$231&gt;0,$C$17&gt;0,A433&gt;=$C$13,A433&lt;($C$13+$C$17)),IF($C$17&lt;=0,0,IF($C$16=0,MAX($L$231*(1-$C$15),0)/$C$17,-PMT($C$16/12,$C$17*12,MAX($L$231*(1-$C$15),0))*12)),0)+X433*($C$19+$C$20+$C$21)+$C$22+$C$23)</f>
        <v>0</v>
      </c>
      <c r="I433" s="171">
        <f>IF(B433="Working",MIN(MAX(D433-E433-F433-G433-H433,0),'Tax Assumptions'!$B$20),0)</f>
        <v>7500</v>
      </c>
      <c r="J433" s="171">
        <f t="shared" ref="J433:J472" si="190">IF(B433="Working",D433-E433-F433-I433-G433-H433,-L433)</f>
        <v>177165.46999999997</v>
      </c>
      <c r="K433" s="170">
        <f t="shared" ref="K433:K472" si="191">IF(B433="Retired",$N$231+G433+H433,0)</f>
        <v>0</v>
      </c>
      <c r="L433" s="170">
        <f t="shared" ref="L433:L472" si="192">M433+N433+O433+P433</f>
        <v>0</v>
      </c>
      <c r="M433" s="170">
        <f>IF(B433="Retired",MIN((('Savings Projection'!$B$7)*(1+$C$10)+IF(B433="Working",J433,0)),K433),0)</f>
        <v>0</v>
      </c>
      <c r="N433" s="170">
        <f>IF(B433="Retired",MIN(MAX(K433-M433,0),(('Savings Projection'!$B$8)*(1+$C$10)+IF(B433="Working",E80,0))),0)</f>
        <v>0</v>
      </c>
      <c r="O433" s="170">
        <f>IF(B433="Retired",MIN(MAX(K433-M433-N433,0),(('Savings Projection'!$B$9)*(1+$C$10)+IF(B433="Working",I433,0))),0)</f>
        <v>0</v>
      </c>
      <c r="P433" s="170">
        <f>IF(B433="Retired",MIN(MAX(K433-M433-N433-O433,0),(('Savings Projection'!$B$10)*(1+$C$10)+IF(B433="Working",F80,0))),0)</f>
        <v>0</v>
      </c>
      <c r="Q433" s="171">
        <f>MAX((('Savings Projection'!$B$7)*(1+$C$10)+IF(B433="Working",J433,0))-M433,0)</f>
        <v>336165.47</v>
      </c>
      <c r="R433" s="171">
        <f>MAX((('Savings Projection'!$B$8)*(1+$C$10)+IF(B433="Working",E80,0))-N433,0)</f>
        <v>24500</v>
      </c>
      <c r="S433" s="171">
        <f>MAX((('Savings Projection'!$B$9)*(1+$C$10)+IF(B433="Working",I433,0))-O433,0)</f>
        <v>7500</v>
      </c>
      <c r="T433" s="171">
        <f>MAX((('Savings Projection'!$B$10)*(1+$C$10)+IF(B433="Working",F80,0))-P433,0)</f>
        <v>0</v>
      </c>
      <c r="U433" s="171">
        <f t="shared" ref="U433:U472" si="193">Q433+R433+S433+T433</f>
        <v>368165.47</v>
      </c>
      <c r="V433" s="171">
        <f>IF(B433="Working",MAX(-((('Savings Projection'!$B$7)*(1+$C$10)+IF(B433="Working",J433,0))),0),MAX(K433-L433,0))</f>
        <v>0</v>
      </c>
      <c r="W433" s="171" t="str">
        <f>IF(OR(A433&gt;=$C$13,B433="Retired"),IF(V433&gt;0,-V433,U433-'Model Inputs'!$B$18),"")</f>
        <v/>
      </c>
      <c r="X433" s="171">
        <f t="shared" ref="X433:X472" si="194">IF(AND($L$231&gt;0,A433&gt;=$C$13),$L$231*(1+$C$25)^(A433-$C$13),0)</f>
        <v>0</v>
      </c>
      <c r="Y433" s="171">
        <f t="shared" ref="Y433:Y472" si="195">IF(OR($L$231&lt;=0,$C$17&lt;=0,A433&lt;$C$13,MIN(MAX((A433-$C$13+1)*12,0),$C$17*12)&gt;=$C$17*12),0,IF($C$16=0,MAX(MAX($L$231*(1-$C$15),0)-(IF($C$17&lt;=0,0,IF($C$16=0,MAX($L$231*(1-$C$15),0)/$C$17,-PMT($C$16/12,$C$17*12,MAX($L$231*(1-$C$15),0))*12))/12)*MIN(MAX((A433-$C$13+1)*12,0),$C$17*12),0),MAX(MAX($L$231*(1-$C$15),0)*(1+$C$16/12)^MIN(MAX((A433-$C$13+1)*12,0),$C$17*12)-(IF($C$17&lt;=0,0,IF($C$16=0,MAX($L$231*(1-$C$15),0)/$C$17,-PMT($C$16/12,$C$17*12,MAX($L$231*(1-$C$15),0))*12))/12)*(((1+$C$16/12)^MIN(MAX((A433-$C$13+1)*12,0),$C$17*12)-1)/($C$16/12)),0)))</f>
        <v>0</v>
      </c>
      <c r="Z433" s="171">
        <f t="shared" ref="Z433:Z472" si="196">MAX(X433-Y433,0)</f>
        <v>0</v>
      </c>
      <c r="AA433" s="172">
        <f t="shared" ref="AA433:AA472" si="197">U433+Z433</f>
        <v>368165.47</v>
      </c>
      <c r="AB433" s="5"/>
      <c r="AC433" s="5"/>
      <c r="AD433" s="5"/>
      <c r="AE433" s="5"/>
      <c r="AF433" s="5"/>
      <c r="AG433" s="5"/>
    </row>
    <row r="434" spans="1:33" x14ac:dyDescent="0.2">
      <c r="A434" s="173">
        <v>2</v>
      </c>
      <c r="B434" s="65" t="str">
        <f t="shared" si="183"/>
        <v>Working</v>
      </c>
      <c r="C434" s="174">
        <f t="shared" si="184"/>
        <v>412500</v>
      </c>
      <c r="D434" s="174">
        <f t="shared" si="185"/>
        <v>231269.97</v>
      </c>
      <c r="E434" s="174">
        <f t="shared" si="186"/>
        <v>80340</v>
      </c>
      <c r="F434" s="174">
        <f t="shared" si="187"/>
        <v>41200</v>
      </c>
      <c r="G434" s="171">
        <f t="shared" si="188"/>
        <v>0</v>
      </c>
      <c r="H434" s="171">
        <f t="shared" si="189"/>
        <v>0</v>
      </c>
      <c r="I434" s="171">
        <f>IF(B434="Working",MIN(MAX(D434-E434-F434-G434-H434,0),'Tax Assumptions'!$B$20),0)</f>
        <v>7500</v>
      </c>
      <c r="J434" s="171">
        <f t="shared" si="190"/>
        <v>102229.97</v>
      </c>
      <c r="K434" s="174">
        <f t="shared" si="191"/>
        <v>0</v>
      </c>
      <c r="L434" s="174">
        <f t="shared" si="192"/>
        <v>0</v>
      </c>
      <c r="M434" s="174">
        <f t="shared" ref="M434:M472" si="198">IF(B434="Retired",MIN(((Q433)*(1+$C$10)+IF(B434="Working",J434,0)),K434),0)</f>
        <v>0</v>
      </c>
      <c r="N434" s="174">
        <f t="shared" ref="N434:N472" si="199">IF(B434="Retired",MIN(MAX(K434-M434,0),((R433)*(1+$C$10)+IF(B434="Working",E81,0))),0)</f>
        <v>0</v>
      </c>
      <c r="O434" s="174">
        <f t="shared" ref="O434:O472" si="200">IF(B434="Retired",MIN(MAX(K434-M434-N434,0),((S433)*(1+$C$10)+IF(B434="Working",I434,0))),0)</f>
        <v>0</v>
      </c>
      <c r="P434" s="174">
        <f t="shared" ref="P434:P472" si="201">IF(B434="Retired",MIN(MAX(K434-M434-N434-O434,0),((T433)*(1+$C$10)+IF(B434="Working",F81,0))),0)</f>
        <v>0</v>
      </c>
      <c r="Q434" s="171">
        <f t="shared" ref="Q434:Q472" si="202">MAX(((Q433)*(1+$C$10)+IF(B434="Working",J434,0))-M434,0)</f>
        <v>458565.36820000003</v>
      </c>
      <c r="R434" s="171">
        <f t="shared" ref="R434:R472" si="203">MAX(((R433)*(1+$C$10)+IF(B434="Working",E81,0))-N434,0)</f>
        <v>50470</v>
      </c>
      <c r="S434" s="171">
        <f t="shared" ref="S434:S472" si="204">MAX(((S433)*(1+$C$10)+IF(B434="Working",I434,0))-O434,0)</f>
        <v>15450</v>
      </c>
      <c r="T434" s="171">
        <f t="shared" ref="T434:T472" si="205">MAX(((T433)*(1+$C$10)+IF(B434="Working",F81,0))-P434,0)</f>
        <v>0</v>
      </c>
      <c r="U434" s="171">
        <f t="shared" si="193"/>
        <v>524485.36820000003</v>
      </c>
      <c r="V434" s="171">
        <f t="shared" ref="V434:V472" si="206">IF(B434="Working",MAX(-(((Q433)*(1+$C$10)+IF(B434="Working",J434,0))),0),MAX(K434-L434,0))</f>
        <v>0</v>
      </c>
      <c r="W434" s="171" t="str">
        <f>IF(OR(A434&gt;=$C$13,B434="Retired"),IF(V434&gt;0,-V434,U434-'Model Inputs'!$B$18),"")</f>
        <v/>
      </c>
      <c r="X434" s="171">
        <f t="shared" si="194"/>
        <v>0</v>
      </c>
      <c r="Y434" s="171">
        <f t="shared" si="195"/>
        <v>0</v>
      </c>
      <c r="Z434" s="171">
        <f t="shared" si="196"/>
        <v>0</v>
      </c>
      <c r="AA434" s="175">
        <f t="shared" si="197"/>
        <v>524485.36820000003</v>
      </c>
      <c r="AB434" s="5"/>
      <c r="AC434" s="5"/>
      <c r="AD434" s="5"/>
      <c r="AE434" s="5"/>
      <c r="AF434" s="5"/>
      <c r="AG434" s="5"/>
    </row>
    <row r="435" spans="1:33" x14ac:dyDescent="0.2">
      <c r="A435" s="169">
        <v>3</v>
      </c>
      <c r="B435" s="100" t="str">
        <f t="shared" si="183"/>
        <v>Working</v>
      </c>
      <c r="C435" s="170">
        <f t="shared" si="184"/>
        <v>675000</v>
      </c>
      <c r="D435" s="170">
        <f t="shared" si="185"/>
        <v>367570.47</v>
      </c>
      <c r="E435" s="170">
        <f t="shared" si="186"/>
        <v>82750.2</v>
      </c>
      <c r="F435" s="170">
        <f t="shared" si="187"/>
        <v>53045</v>
      </c>
      <c r="G435" s="171">
        <f t="shared" si="188"/>
        <v>0</v>
      </c>
      <c r="H435" s="171">
        <f t="shared" si="189"/>
        <v>0</v>
      </c>
      <c r="I435" s="171">
        <f>IF(B435="Working",MIN(MAX(D435-E435-F435-G435-H435,0),'Tax Assumptions'!$B$20),0)</f>
        <v>7500</v>
      </c>
      <c r="J435" s="171">
        <f t="shared" si="190"/>
        <v>224275.26999999996</v>
      </c>
      <c r="K435" s="170">
        <f t="shared" si="191"/>
        <v>0</v>
      </c>
      <c r="L435" s="170">
        <f t="shared" si="192"/>
        <v>0</v>
      </c>
      <c r="M435" s="170">
        <f t="shared" si="198"/>
        <v>0</v>
      </c>
      <c r="N435" s="170">
        <f t="shared" si="199"/>
        <v>0</v>
      </c>
      <c r="O435" s="170">
        <f t="shared" si="200"/>
        <v>0</v>
      </c>
      <c r="P435" s="170">
        <f t="shared" si="201"/>
        <v>0</v>
      </c>
      <c r="Q435" s="171">
        <f t="shared" si="202"/>
        <v>710354.56029199995</v>
      </c>
      <c r="R435" s="171">
        <f t="shared" si="203"/>
        <v>77998.200000000012</v>
      </c>
      <c r="S435" s="171">
        <f t="shared" si="204"/>
        <v>23877</v>
      </c>
      <c r="T435" s="171">
        <f t="shared" si="205"/>
        <v>0</v>
      </c>
      <c r="U435" s="171">
        <f t="shared" si="193"/>
        <v>812229.7602919999</v>
      </c>
      <c r="V435" s="171">
        <f t="shared" si="206"/>
        <v>0</v>
      </c>
      <c r="W435" s="171" t="str">
        <f>IF(OR(A435&gt;=$C$13,B435="Retired"),IF(V435&gt;0,-V435,U435-'Model Inputs'!$B$18),"")</f>
        <v/>
      </c>
      <c r="X435" s="171">
        <f t="shared" si="194"/>
        <v>0</v>
      </c>
      <c r="Y435" s="171">
        <f t="shared" si="195"/>
        <v>0</v>
      </c>
      <c r="Z435" s="171">
        <f t="shared" si="196"/>
        <v>0</v>
      </c>
      <c r="AA435" s="172">
        <f t="shared" si="197"/>
        <v>812229.7602919999</v>
      </c>
      <c r="AB435" s="5"/>
      <c r="AC435" s="5"/>
      <c r="AD435" s="5"/>
      <c r="AE435" s="5"/>
      <c r="AF435" s="5"/>
      <c r="AG435" s="5"/>
    </row>
    <row r="436" spans="1:33" x14ac:dyDescent="0.2">
      <c r="A436" s="173">
        <v>4</v>
      </c>
      <c r="B436" s="65" t="str">
        <f t="shared" si="183"/>
        <v>Working</v>
      </c>
      <c r="C436" s="174">
        <f t="shared" si="184"/>
        <v>750000</v>
      </c>
      <c r="D436" s="174">
        <f t="shared" si="185"/>
        <v>405137.47</v>
      </c>
      <c r="E436" s="174">
        <f t="shared" si="186"/>
        <v>85232.706000000006</v>
      </c>
      <c r="F436" s="174">
        <f t="shared" si="187"/>
        <v>54636.35</v>
      </c>
      <c r="G436" s="171">
        <f t="shared" si="188"/>
        <v>0</v>
      </c>
      <c r="H436" s="171">
        <f t="shared" si="189"/>
        <v>0</v>
      </c>
      <c r="I436" s="171">
        <f>IF(B436="Working",MIN(MAX(D436-E436-F436-G436-H436,0),'Tax Assumptions'!$B$20),0)</f>
        <v>7500</v>
      </c>
      <c r="J436" s="171">
        <f t="shared" si="190"/>
        <v>257768.41399999999</v>
      </c>
      <c r="K436" s="174">
        <f t="shared" si="191"/>
        <v>0</v>
      </c>
      <c r="L436" s="174">
        <f t="shared" si="192"/>
        <v>0</v>
      </c>
      <c r="M436" s="174">
        <f t="shared" si="198"/>
        <v>0</v>
      </c>
      <c r="N436" s="174">
        <f t="shared" si="199"/>
        <v>0</v>
      </c>
      <c r="O436" s="174">
        <f t="shared" si="200"/>
        <v>0</v>
      </c>
      <c r="P436" s="174">
        <f t="shared" si="201"/>
        <v>0</v>
      </c>
      <c r="Q436" s="171">
        <f t="shared" si="202"/>
        <v>1010744.2479095199</v>
      </c>
      <c r="R436" s="171">
        <f t="shared" si="203"/>
        <v>107178.09200000002</v>
      </c>
      <c r="S436" s="171">
        <f t="shared" si="204"/>
        <v>32809.620000000003</v>
      </c>
      <c r="T436" s="171">
        <f t="shared" si="205"/>
        <v>0</v>
      </c>
      <c r="U436" s="171">
        <f t="shared" si="193"/>
        <v>1150731.9599095201</v>
      </c>
      <c r="V436" s="171">
        <f t="shared" si="206"/>
        <v>0</v>
      </c>
      <c r="W436" s="171" t="str">
        <f>IF(OR(A436&gt;=$C$13,B436="Retired"),IF(V436&gt;0,-V436,U436-'Model Inputs'!$B$18),"")</f>
        <v/>
      </c>
      <c r="X436" s="171">
        <f t="shared" si="194"/>
        <v>0</v>
      </c>
      <c r="Y436" s="171">
        <f t="shared" si="195"/>
        <v>0</v>
      </c>
      <c r="Z436" s="171">
        <f t="shared" si="196"/>
        <v>0</v>
      </c>
      <c r="AA436" s="175">
        <f t="shared" si="197"/>
        <v>1150731.9599095201</v>
      </c>
      <c r="AB436" s="5"/>
      <c r="AC436" s="5"/>
      <c r="AD436" s="5"/>
      <c r="AE436" s="5"/>
      <c r="AF436" s="5"/>
      <c r="AG436" s="5"/>
    </row>
    <row r="437" spans="1:33" x14ac:dyDescent="0.2">
      <c r="A437" s="169">
        <v>5</v>
      </c>
      <c r="B437" s="100" t="str">
        <f t="shared" si="183"/>
        <v>Working</v>
      </c>
      <c r="C437" s="170">
        <f t="shared" si="184"/>
        <v>953837.51358640334</v>
      </c>
      <c r="D437" s="170">
        <f t="shared" si="185"/>
        <v>506901.31028287602</v>
      </c>
      <c r="E437" s="170">
        <f t="shared" si="186"/>
        <v>87789.687179999994</v>
      </c>
      <c r="F437" s="170">
        <f t="shared" si="187"/>
        <v>56275.440499999997</v>
      </c>
      <c r="G437" s="171">
        <f t="shared" si="188"/>
        <v>0</v>
      </c>
      <c r="H437" s="171">
        <f t="shared" si="189"/>
        <v>0</v>
      </c>
      <c r="I437" s="171">
        <f>IF(B437="Working",MIN(MAX(D437-E437-F437-G437-H437,0),'Tax Assumptions'!$B$20),0)</f>
        <v>7500</v>
      </c>
      <c r="J437" s="171">
        <f t="shared" si="190"/>
        <v>355336.18260287598</v>
      </c>
      <c r="K437" s="170">
        <f t="shared" si="191"/>
        <v>0</v>
      </c>
      <c r="L437" s="170">
        <f t="shared" si="192"/>
        <v>0</v>
      </c>
      <c r="M437" s="170">
        <f t="shared" si="198"/>
        <v>0</v>
      </c>
      <c r="N437" s="170">
        <f t="shared" si="199"/>
        <v>0</v>
      </c>
      <c r="O437" s="170">
        <f t="shared" si="200"/>
        <v>0</v>
      </c>
      <c r="P437" s="170">
        <f t="shared" si="201"/>
        <v>0</v>
      </c>
      <c r="Q437" s="171">
        <f t="shared" si="202"/>
        <v>1426725.0853869673</v>
      </c>
      <c r="R437" s="171">
        <f t="shared" si="203"/>
        <v>138108.77752000003</v>
      </c>
      <c r="S437" s="171">
        <f t="shared" si="204"/>
        <v>42278.197200000002</v>
      </c>
      <c r="T437" s="171">
        <f t="shared" si="205"/>
        <v>0</v>
      </c>
      <c r="U437" s="171">
        <f t="shared" si="193"/>
        <v>1607112.0601069673</v>
      </c>
      <c r="V437" s="171">
        <f t="shared" si="206"/>
        <v>0</v>
      </c>
      <c r="W437" s="171" t="str">
        <f>IF(OR(A437&gt;=$C$13,B437="Retired"),IF(V437&gt;0,-V437,U437-'Model Inputs'!$B$18),"")</f>
        <v/>
      </c>
      <c r="X437" s="171">
        <f t="shared" si="194"/>
        <v>0</v>
      </c>
      <c r="Y437" s="171">
        <f t="shared" si="195"/>
        <v>0</v>
      </c>
      <c r="Z437" s="171">
        <f t="shared" si="196"/>
        <v>0</v>
      </c>
      <c r="AA437" s="172">
        <f t="shared" si="197"/>
        <v>1607112.0601069673</v>
      </c>
      <c r="AB437" s="5"/>
      <c r="AC437" s="5"/>
      <c r="AD437" s="5"/>
      <c r="AE437" s="5"/>
      <c r="AF437" s="5"/>
      <c r="AG437" s="5"/>
    </row>
    <row r="438" spans="1:33" x14ac:dyDescent="0.2">
      <c r="A438" s="173">
        <v>6</v>
      </c>
      <c r="B438" s="65" t="str">
        <f t="shared" si="183"/>
        <v>Working</v>
      </c>
      <c r="C438" s="174">
        <f t="shared" si="184"/>
        <v>1118900.665838565</v>
      </c>
      <c r="D438" s="174">
        <f t="shared" si="185"/>
        <v>589060.11476976541</v>
      </c>
      <c r="E438" s="174">
        <f t="shared" si="186"/>
        <v>92741.925943999988</v>
      </c>
      <c r="F438" s="174">
        <f t="shared" si="187"/>
        <v>57963.703714999989</v>
      </c>
      <c r="G438" s="171">
        <f t="shared" si="188"/>
        <v>0</v>
      </c>
      <c r="H438" s="171">
        <f t="shared" si="189"/>
        <v>0</v>
      </c>
      <c r="I438" s="171">
        <f>IF(B438="Working",MIN(MAX(D438-E438-F438-G438-H438,0),'Tax Assumptions'!$B$20),0)</f>
        <v>7500</v>
      </c>
      <c r="J438" s="171">
        <f t="shared" si="190"/>
        <v>430854.48511076538</v>
      </c>
      <c r="K438" s="174">
        <f t="shared" si="191"/>
        <v>0</v>
      </c>
      <c r="L438" s="174">
        <f t="shared" si="192"/>
        <v>0</v>
      </c>
      <c r="M438" s="174">
        <f t="shared" si="198"/>
        <v>0</v>
      </c>
      <c r="N438" s="174">
        <f t="shared" si="199"/>
        <v>0</v>
      </c>
      <c r="O438" s="174">
        <f t="shared" si="200"/>
        <v>0</v>
      </c>
      <c r="P438" s="174">
        <f t="shared" si="201"/>
        <v>0</v>
      </c>
      <c r="Q438" s="171">
        <f t="shared" si="202"/>
        <v>1943183.0756209507</v>
      </c>
      <c r="R438" s="171">
        <f t="shared" si="203"/>
        <v>170895.30417120006</v>
      </c>
      <c r="S438" s="171">
        <f t="shared" si="204"/>
        <v>52314.889032000006</v>
      </c>
      <c r="T438" s="171">
        <f t="shared" si="205"/>
        <v>0</v>
      </c>
      <c r="U438" s="171">
        <f t="shared" si="193"/>
        <v>2166393.2688241508</v>
      </c>
      <c r="V438" s="171">
        <f t="shared" si="206"/>
        <v>0</v>
      </c>
      <c r="W438" s="171" t="str">
        <f>IF(OR(A438&gt;=$C$13,B438="Retired"),IF(V438&gt;0,-V438,U438-'Model Inputs'!$B$18),"")</f>
        <v/>
      </c>
      <c r="X438" s="171">
        <f t="shared" si="194"/>
        <v>0</v>
      </c>
      <c r="Y438" s="171">
        <f t="shared" si="195"/>
        <v>0</v>
      </c>
      <c r="Z438" s="171">
        <f t="shared" si="196"/>
        <v>0</v>
      </c>
      <c r="AA438" s="175">
        <f t="shared" si="197"/>
        <v>2166393.2688241508</v>
      </c>
      <c r="AB438" s="5"/>
      <c r="AC438" s="5"/>
      <c r="AD438" s="5"/>
      <c r="AE438" s="5"/>
      <c r="AF438" s="5"/>
      <c r="AG438" s="5"/>
    </row>
    <row r="439" spans="1:33" x14ac:dyDescent="0.2">
      <c r="A439" s="169">
        <v>7</v>
      </c>
      <c r="B439" s="100" t="str">
        <f t="shared" si="183"/>
        <v>Working</v>
      </c>
      <c r="C439" s="170">
        <f t="shared" si="184"/>
        <v>1418318.448466131</v>
      </c>
      <c r="D439" s="170">
        <f t="shared" si="185"/>
        <v>730157.75065517949</v>
      </c>
      <c r="E439" s="170">
        <f t="shared" si="186"/>
        <v>95524.183722319998</v>
      </c>
      <c r="F439" s="170">
        <f t="shared" si="187"/>
        <v>59702.614826449993</v>
      </c>
      <c r="G439" s="171">
        <f t="shared" si="188"/>
        <v>0</v>
      </c>
      <c r="H439" s="171">
        <f t="shared" si="189"/>
        <v>0</v>
      </c>
      <c r="I439" s="171">
        <f>IF(B439="Working",MIN(MAX(D439-E439-F439-G439-H439,0),'Tax Assumptions'!$B$20),0)</f>
        <v>7500</v>
      </c>
      <c r="J439" s="171">
        <f t="shared" si="190"/>
        <v>567430.95210640947</v>
      </c>
      <c r="K439" s="170">
        <f t="shared" si="191"/>
        <v>0</v>
      </c>
      <c r="L439" s="170">
        <f t="shared" si="192"/>
        <v>0</v>
      </c>
      <c r="M439" s="170">
        <f t="shared" si="198"/>
        <v>0</v>
      </c>
      <c r="N439" s="170">
        <f t="shared" si="199"/>
        <v>0</v>
      </c>
      <c r="O439" s="170">
        <f t="shared" si="200"/>
        <v>0</v>
      </c>
      <c r="P439" s="170">
        <f t="shared" si="201"/>
        <v>0</v>
      </c>
      <c r="Q439" s="171">
        <f t="shared" si="202"/>
        <v>2627205.0122646173</v>
      </c>
      <c r="R439" s="171">
        <f t="shared" si="203"/>
        <v>205649.02242147207</v>
      </c>
      <c r="S439" s="171">
        <f t="shared" si="204"/>
        <v>62953.78237392001</v>
      </c>
      <c r="T439" s="171">
        <f t="shared" si="205"/>
        <v>0</v>
      </c>
      <c r="U439" s="171">
        <f t="shared" si="193"/>
        <v>2895807.8170600096</v>
      </c>
      <c r="V439" s="171">
        <f t="shared" si="206"/>
        <v>0</v>
      </c>
      <c r="W439" s="171" t="str">
        <f>IF(OR(A439&gt;=$C$13,B439="Retired"),IF(V439&gt;0,-V439,U439-'Model Inputs'!$B$18),"")</f>
        <v/>
      </c>
      <c r="X439" s="171">
        <f t="shared" si="194"/>
        <v>0</v>
      </c>
      <c r="Y439" s="171">
        <f t="shared" si="195"/>
        <v>0</v>
      </c>
      <c r="Z439" s="171">
        <f t="shared" si="196"/>
        <v>0</v>
      </c>
      <c r="AA439" s="172">
        <f t="shared" si="197"/>
        <v>2895807.8170600096</v>
      </c>
      <c r="AB439" s="5"/>
      <c r="AC439" s="5"/>
      <c r="AD439" s="5"/>
      <c r="AE439" s="5"/>
      <c r="AF439" s="5"/>
      <c r="AG439" s="5"/>
    </row>
    <row r="440" spans="1:33" x14ac:dyDescent="0.2">
      <c r="A440" s="173">
        <v>8</v>
      </c>
      <c r="B440" s="65" t="str">
        <f t="shared" si="183"/>
        <v>Working</v>
      </c>
      <c r="C440" s="174">
        <f t="shared" si="184"/>
        <v>1872205.6657868917</v>
      </c>
      <c r="D440" s="174">
        <f t="shared" si="185"/>
        <v>944047.5629454148</v>
      </c>
      <c r="E440" s="174">
        <f t="shared" si="186"/>
        <v>98389.909233989601</v>
      </c>
      <c r="F440" s="174">
        <f t="shared" si="187"/>
        <v>61493.693271243501</v>
      </c>
      <c r="G440" s="171">
        <f t="shared" si="188"/>
        <v>0</v>
      </c>
      <c r="H440" s="171">
        <f t="shared" si="189"/>
        <v>0</v>
      </c>
      <c r="I440" s="171">
        <f>IF(B440="Working",MIN(MAX(D440-E440-F440-G440-H440,0),'Tax Assumptions'!$B$20),0)</f>
        <v>7500</v>
      </c>
      <c r="J440" s="171">
        <f t="shared" si="190"/>
        <v>776663.96044018166</v>
      </c>
      <c r="K440" s="174">
        <f t="shared" si="191"/>
        <v>0</v>
      </c>
      <c r="L440" s="174">
        <f t="shared" si="192"/>
        <v>0</v>
      </c>
      <c r="M440" s="174">
        <f t="shared" si="198"/>
        <v>0</v>
      </c>
      <c r="N440" s="174">
        <f t="shared" si="199"/>
        <v>0</v>
      </c>
      <c r="O440" s="174">
        <f t="shared" si="200"/>
        <v>0</v>
      </c>
      <c r="P440" s="174">
        <f t="shared" si="201"/>
        <v>0</v>
      </c>
      <c r="Q440" s="171">
        <f t="shared" si="202"/>
        <v>3561501.2734406763</v>
      </c>
      <c r="R440" s="171">
        <f t="shared" si="203"/>
        <v>242487.9637667604</v>
      </c>
      <c r="S440" s="171">
        <f t="shared" si="204"/>
        <v>74231.009316355208</v>
      </c>
      <c r="T440" s="171">
        <f t="shared" si="205"/>
        <v>0</v>
      </c>
      <c r="U440" s="171">
        <f t="shared" si="193"/>
        <v>3878220.2465237915</v>
      </c>
      <c r="V440" s="171">
        <f t="shared" si="206"/>
        <v>0</v>
      </c>
      <c r="W440" s="171" t="str">
        <f>IF(OR(A440&gt;=$C$13,B440="Retired"),IF(V440&gt;0,-V440,U440-'Model Inputs'!$B$18),"")</f>
        <v/>
      </c>
      <c r="X440" s="171">
        <f t="shared" si="194"/>
        <v>0</v>
      </c>
      <c r="Y440" s="171">
        <f t="shared" si="195"/>
        <v>0</v>
      </c>
      <c r="Z440" s="171">
        <f t="shared" si="196"/>
        <v>0</v>
      </c>
      <c r="AA440" s="175">
        <f t="shared" si="197"/>
        <v>3878220.2465237915</v>
      </c>
      <c r="AB440" s="5"/>
      <c r="AC440" s="5"/>
      <c r="AD440" s="5"/>
      <c r="AE440" s="5"/>
      <c r="AF440" s="5"/>
      <c r="AG440" s="5"/>
    </row>
    <row r="441" spans="1:33" x14ac:dyDescent="0.2">
      <c r="A441" s="169">
        <v>9</v>
      </c>
      <c r="B441" s="100" t="str">
        <f t="shared" si="183"/>
        <v>Working</v>
      </c>
      <c r="C441" s="170">
        <f t="shared" si="184"/>
        <v>2033969.9666232408</v>
      </c>
      <c r="D441" s="170">
        <f t="shared" si="185"/>
        <v>1020277.372071536</v>
      </c>
      <c r="E441" s="170">
        <f t="shared" si="186"/>
        <v>101341.60651100927</v>
      </c>
      <c r="F441" s="170">
        <f t="shared" si="187"/>
        <v>63338.504069380797</v>
      </c>
      <c r="G441" s="171">
        <f t="shared" si="188"/>
        <v>0</v>
      </c>
      <c r="H441" s="171">
        <f t="shared" si="189"/>
        <v>0</v>
      </c>
      <c r="I441" s="171">
        <f>IF(B441="Working",MIN(MAX(D441-E441-F441-G441-H441,0),'Tax Assumptions'!$B$20),0)</f>
        <v>7500</v>
      </c>
      <c r="J441" s="171">
        <f t="shared" si="190"/>
        <v>848097.26149114594</v>
      </c>
      <c r="K441" s="170">
        <f t="shared" si="191"/>
        <v>0</v>
      </c>
      <c r="L441" s="170">
        <f t="shared" si="192"/>
        <v>0</v>
      </c>
      <c r="M441" s="170">
        <f t="shared" si="198"/>
        <v>0</v>
      </c>
      <c r="N441" s="170">
        <f t="shared" si="199"/>
        <v>0</v>
      </c>
      <c r="O441" s="170">
        <f t="shared" si="200"/>
        <v>0</v>
      </c>
      <c r="P441" s="170">
        <f t="shared" si="201"/>
        <v>0</v>
      </c>
      <c r="Q441" s="171">
        <f t="shared" si="202"/>
        <v>4623288.6113382634</v>
      </c>
      <c r="R441" s="171">
        <f t="shared" si="203"/>
        <v>281537.24159276602</v>
      </c>
      <c r="S441" s="171">
        <f t="shared" si="204"/>
        <v>86184.869875336532</v>
      </c>
      <c r="T441" s="171">
        <f t="shared" si="205"/>
        <v>0</v>
      </c>
      <c r="U441" s="171">
        <f t="shared" si="193"/>
        <v>4991010.7228063662</v>
      </c>
      <c r="V441" s="171">
        <f t="shared" si="206"/>
        <v>0</v>
      </c>
      <c r="W441" s="171" t="str">
        <f>IF(OR(A441&gt;=$C$13,B441="Retired"),IF(V441&gt;0,-V441,U441-'Model Inputs'!$B$18),"")</f>
        <v/>
      </c>
      <c r="X441" s="171">
        <f t="shared" si="194"/>
        <v>0</v>
      </c>
      <c r="Y441" s="171">
        <f t="shared" si="195"/>
        <v>0</v>
      </c>
      <c r="Z441" s="171">
        <f t="shared" si="196"/>
        <v>0</v>
      </c>
      <c r="AA441" s="172">
        <f t="shared" si="197"/>
        <v>4991010.7228063662</v>
      </c>
      <c r="AB441" s="5"/>
      <c r="AC441" s="5"/>
      <c r="AD441" s="5"/>
      <c r="AE441" s="5"/>
      <c r="AF441" s="5"/>
      <c r="AG441" s="5"/>
    </row>
    <row r="442" spans="1:33" x14ac:dyDescent="0.2">
      <c r="A442" s="173">
        <v>10</v>
      </c>
      <c r="B442" s="65" t="str">
        <f t="shared" si="183"/>
        <v>Working</v>
      </c>
      <c r="C442" s="174">
        <f t="shared" si="184"/>
        <v>2595495.7626410057</v>
      </c>
      <c r="D442" s="174">
        <f t="shared" si="185"/>
        <v>1284890.7881869476</v>
      </c>
      <c r="E442" s="174">
        <f t="shared" si="186"/>
        <v>104381.85470633955</v>
      </c>
      <c r="F442" s="174">
        <f t="shared" si="187"/>
        <v>65238.659191462226</v>
      </c>
      <c r="G442" s="171">
        <f t="shared" si="188"/>
        <v>481701.17200139578</v>
      </c>
      <c r="H442" s="171">
        <f t="shared" si="189"/>
        <v>64615.384615384617</v>
      </c>
      <c r="I442" s="171">
        <f>IF(B442="Working",MIN(MAX(D442-E442-F442-G442-H442,0),'Tax Assumptions'!$B$20),0)</f>
        <v>7500</v>
      </c>
      <c r="J442" s="171">
        <f t="shared" si="190"/>
        <v>561453.71767236537</v>
      </c>
      <c r="K442" s="174">
        <f t="shared" si="191"/>
        <v>0</v>
      </c>
      <c r="L442" s="174">
        <f t="shared" si="192"/>
        <v>0</v>
      </c>
      <c r="M442" s="174">
        <f t="shared" si="198"/>
        <v>0</v>
      </c>
      <c r="N442" s="174">
        <f t="shared" si="199"/>
        <v>0</v>
      </c>
      <c r="O442" s="174">
        <f t="shared" si="200"/>
        <v>0</v>
      </c>
      <c r="P442" s="174">
        <f t="shared" si="201"/>
        <v>0</v>
      </c>
      <c r="Q442" s="171">
        <f t="shared" si="202"/>
        <v>5462139.6456909254</v>
      </c>
      <c r="R442" s="171">
        <f t="shared" si="203"/>
        <v>322929.47608833201</v>
      </c>
      <c r="S442" s="171">
        <f t="shared" si="204"/>
        <v>98855.96206785673</v>
      </c>
      <c r="T442" s="171">
        <f t="shared" si="205"/>
        <v>0</v>
      </c>
      <c r="U442" s="171">
        <f t="shared" si="193"/>
        <v>5883925.0838471139</v>
      </c>
      <c r="V442" s="171">
        <f t="shared" si="206"/>
        <v>0</v>
      </c>
      <c r="W442" s="171">
        <f>IF(OR(A442&gt;=$C$13,B442="Retired"),IF(V442&gt;0,-V442,U442-'Model Inputs'!$B$18),"")</f>
        <v>4883925.0838471139</v>
      </c>
      <c r="X442" s="171">
        <f t="shared" si="194"/>
        <v>1014107.7305292542</v>
      </c>
      <c r="Y442" s="171">
        <f t="shared" si="195"/>
        <v>551525.03457834024</v>
      </c>
      <c r="Z442" s="171">
        <f t="shared" si="196"/>
        <v>462582.69595091394</v>
      </c>
      <c r="AA442" s="175">
        <f t="shared" si="197"/>
        <v>6346507.7797980281</v>
      </c>
      <c r="AB442" s="5"/>
      <c r="AC442" s="5"/>
      <c r="AD442" s="5"/>
      <c r="AE442" s="5"/>
      <c r="AF442" s="5"/>
      <c r="AG442" s="5"/>
    </row>
    <row r="443" spans="1:33" x14ac:dyDescent="0.2">
      <c r="A443" s="169">
        <v>11</v>
      </c>
      <c r="B443" s="100" t="str">
        <f t="shared" si="183"/>
        <v>Retired</v>
      </c>
      <c r="C443" s="170">
        <f t="shared" si="184"/>
        <v>0</v>
      </c>
      <c r="D443" s="170">
        <f t="shared" si="185"/>
        <v>0</v>
      </c>
      <c r="E443" s="170">
        <f t="shared" si="186"/>
        <v>0</v>
      </c>
      <c r="F443" s="170">
        <f t="shared" si="187"/>
        <v>0</v>
      </c>
      <c r="G443" s="171">
        <f t="shared" si="188"/>
        <v>0</v>
      </c>
      <c r="H443" s="171">
        <f t="shared" si="189"/>
        <v>65284.695717533919</v>
      </c>
      <c r="I443" s="171">
        <f>IF(B443="Working",MIN(MAX(D443-E443-F443-G443-H443,0),'Tax Assumptions'!$B$20),0)</f>
        <v>0</v>
      </c>
      <c r="J443" s="171">
        <f t="shared" si="190"/>
        <v>-325284.69571753393</v>
      </c>
      <c r="K443" s="170">
        <f t="shared" si="191"/>
        <v>325284.69571753393</v>
      </c>
      <c r="L443" s="170">
        <f t="shared" si="192"/>
        <v>325284.69571753393</v>
      </c>
      <c r="M443" s="170">
        <f t="shared" si="198"/>
        <v>325284.69571753393</v>
      </c>
      <c r="N443" s="170">
        <f t="shared" si="199"/>
        <v>0</v>
      </c>
      <c r="O443" s="170">
        <f t="shared" si="200"/>
        <v>0</v>
      </c>
      <c r="P443" s="170">
        <f t="shared" si="201"/>
        <v>0</v>
      </c>
      <c r="Q443" s="171">
        <f t="shared" si="202"/>
        <v>5464583.3287148476</v>
      </c>
      <c r="R443" s="171">
        <f t="shared" si="203"/>
        <v>342305.24465363193</v>
      </c>
      <c r="S443" s="171">
        <f t="shared" si="204"/>
        <v>104787.31979192814</v>
      </c>
      <c r="T443" s="171">
        <f t="shared" si="205"/>
        <v>0</v>
      </c>
      <c r="U443" s="171">
        <f t="shared" si="193"/>
        <v>5911675.8931604074</v>
      </c>
      <c r="V443" s="171">
        <f t="shared" si="206"/>
        <v>0</v>
      </c>
      <c r="W443" s="171">
        <f>IF(OR(A443&gt;=$C$13,B443="Retired"),IF(V443&gt;0,-V443,U443-'Model Inputs'!$B$18),"")</f>
        <v>4911675.8931604074</v>
      </c>
      <c r="X443" s="171">
        <f t="shared" si="194"/>
        <v>1044530.9624451319</v>
      </c>
      <c r="Y443" s="171">
        <f t="shared" si="195"/>
        <v>544873.30029306666</v>
      </c>
      <c r="Z443" s="171">
        <f t="shared" si="196"/>
        <v>499657.6621520652</v>
      </c>
      <c r="AA443" s="172">
        <f t="shared" si="197"/>
        <v>6411333.5553124724</v>
      </c>
      <c r="AB443" s="5"/>
      <c r="AC443" s="5"/>
      <c r="AD443" s="5"/>
      <c r="AE443" s="5"/>
      <c r="AF443" s="5"/>
      <c r="AG443" s="5"/>
    </row>
    <row r="444" spans="1:33" x14ac:dyDescent="0.2">
      <c r="A444" s="173">
        <v>12</v>
      </c>
      <c r="B444" s="65" t="str">
        <f t="shared" si="183"/>
        <v>Retired</v>
      </c>
      <c r="C444" s="174">
        <f t="shared" si="184"/>
        <v>0</v>
      </c>
      <c r="D444" s="174">
        <f t="shared" si="185"/>
        <v>0</v>
      </c>
      <c r="E444" s="174">
        <f t="shared" si="186"/>
        <v>0</v>
      </c>
      <c r="F444" s="174">
        <f t="shared" si="187"/>
        <v>0</v>
      </c>
      <c r="G444" s="171">
        <f t="shared" si="188"/>
        <v>0</v>
      </c>
      <c r="H444" s="171">
        <f t="shared" si="189"/>
        <v>65974.08615274771</v>
      </c>
      <c r="I444" s="171">
        <f>IF(B444="Working",MIN(MAX(D444-E444-F444-G444-H444,0),'Tax Assumptions'!$B$20),0)</f>
        <v>0</v>
      </c>
      <c r="J444" s="171">
        <f t="shared" si="190"/>
        <v>-325974.08615274774</v>
      </c>
      <c r="K444" s="174">
        <f t="shared" si="191"/>
        <v>325974.08615274774</v>
      </c>
      <c r="L444" s="174">
        <f t="shared" si="192"/>
        <v>325974.08615274774</v>
      </c>
      <c r="M444" s="174">
        <f t="shared" si="198"/>
        <v>325974.08615274774</v>
      </c>
      <c r="N444" s="174">
        <f t="shared" si="199"/>
        <v>0</v>
      </c>
      <c r="O444" s="174">
        <f t="shared" si="200"/>
        <v>0</v>
      </c>
      <c r="P444" s="174">
        <f t="shared" si="201"/>
        <v>0</v>
      </c>
      <c r="Q444" s="171">
        <f t="shared" si="202"/>
        <v>5466484.2422849908</v>
      </c>
      <c r="R444" s="171">
        <f t="shared" si="203"/>
        <v>362843.55933284987</v>
      </c>
      <c r="S444" s="171">
        <f t="shared" si="204"/>
        <v>111074.55897944383</v>
      </c>
      <c r="T444" s="171">
        <f t="shared" si="205"/>
        <v>0</v>
      </c>
      <c r="U444" s="171">
        <f t="shared" si="193"/>
        <v>5940402.3605972845</v>
      </c>
      <c r="V444" s="171">
        <f t="shared" si="206"/>
        <v>0</v>
      </c>
      <c r="W444" s="171">
        <f>IF(OR(A444&gt;=$C$13,B444="Retired"),IF(V444&gt;0,-V444,U444-'Model Inputs'!$B$18),"")</f>
        <v>4940402.3605972845</v>
      </c>
      <c r="X444" s="171">
        <f t="shared" si="194"/>
        <v>1075866.8913184856</v>
      </c>
      <c r="Y444" s="171">
        <f t="shared" si="195"/>
        <v>537776.08704367955</v>
      </c>
      <c r="Z444" s="171">
        <f t="shared" si="196"/>
        <v>538090.80427480605</v>
      </c>
      <c r="AA444" s="175">
        <f t="shared" si="197"/>
        <v>6478493.1648720903</v>
      </c>
      <c r="AB444" s="5"/>
      <c r="AC444" s="5"/>
      <c r="AD444" s="5"/>
      <c r="AE444" s="5"/>
      <c r="AF444" s="5"/>
      <c r="AG444" s="5"/>
    </row>
    <row r="445" spans="1:33" x14ac:dyDescent="0.2">
      <c r="A445" s="169">
        <v>13</v>
      </c>
      <c r="B445" s="100" t="str">
        <f t="shared" si="183"/>
        <v>Retired</v>
      </c>
      <c r="C445" s="170">
        <f t="shared" si="184"/>
        <v>0</v>
      </c>
      <c r="D445" s="170">
        <f t="shared" si="185"/>
        <v>0</v>
      </c>
      <c r="E445" s="170">
        <f t="shared" si="186"/>
        <v>0</v>
      </c>
      <c r="F445" s="170">
        <f t="shared" si="187"/>
        <v>0</v>
      </c>
      <c r="G445" s="171">
        <f t="shared" si="188"/>
        <v>0</v>
      </c>
      <c r="H445" s="171">
        <f t="shared" si="189"/>
        <v>66684.158301017917</v>
      </c>
      <c r="I445" s="171">
        <f>IF(B445="Working",MIN(MAX(D445-E445-F445-G445-H445,0),'Tax Assumptions'!$B$20),0)</f>
        <v>0</v>
      </c>
      <c r="J445" s="171">
        <f t="shared" si="190"/>
        <v>-326684.15830101795</v>
      </c>
      <c r="K445" s="170">
        <f t="shared" si="191"/>
        <v>326684.15830101795</v>
      </c>
      <c r="L445" s="170">
        <f t="shared" si="192"/>
        <v>326684.15830101795</v>
      </c>
      <c r="M445" s="170">
        <f t="shared" si="198"/>
        <v>326684.15830101795</v>
      </c>
      <c r="N445" s="170">
        <f t="shared" si="199"/>
        <v>0</v>
      </c>
      <c r="O445" s="170">
        <f t="shared" si="200"/>
        <v>0</v>
      </c>
      <c r="P445" s="170">
        <f t="shared" si="201"/>
        <v>0</v>
      </c>
      <c r="Q445" s="171">
        <f t="shared" si="202"/>
        <v>5467789.1385210725</v>
      </c>
      <c r="R445" s="171">
        <f t="shared" si="203"/>
        <v>384614.1728928209</v>
      </c>
      <c r="S445" s="171">
        <f t="shared" si="204"/>
        <v>117739.03251821046</v>
      </c>
      <c r="T445" s="171">
        <f t="shared" si="205"/>
        <v>0</v>
      </c>
      <c r="U445" s="171">
        <f t="shared" si="193"/>
        <v>5970142.3439321043</v>
      </c>
      <c r="V445" s="171">
        <f t="shared" si="206"/>
        <v>0</v>
      </c>
      <c r="W445" s="171">
        <f>IF(OR(A445&gt;=$C$13,B445="Retired"),IF(V445&gt;0,-V445,U445-'Model Inputs'!$B$18),"")</f>
        <v>4970142.3439321043</v>
      </c>
      <c r="X445" s="171">
        <f t="shared" si="194"/>
        <v>1108142.8980580403</v>
      </c>
      <c r="Y445" s="171">
        <f t="shared" si="195"/>
        <v>530203.56027892395</v>
      </c>
      <c r="Z445" s="171">
        <f t="shared" si="196"/>
        <v>577939.33777911635</v>
      </c>
      <c r="AA445" s="172">
        <f t="shared" si="197"/>
        <v>6548081.6817112211</v>
      </c>
      <c r="AB445" s="5"/>
      <c r="AC445" s="5"/>
      <c r="AD445" s="5"/>
      <c r="AE445" s="5"/>
      <c r="AF445" s="5"/>
      <c r="AG445" s="5"/>
    </row>
    <row r="446" spans="1:33" x14ac:dyDescent="0.2">
      <c r="A446" s="173">
        <v>14</v>
      </c>
      <c r="B446" s="65" t="str">
        <f t="shared" si="183"/>
        <v>Retired</v>
      </c>
      <c r="C446" s="174">
        <f t="shared" si="184"/>
        <v>0</v>
      </c>
      <c r="D446" s="174">
        <f t="shared" si="185"/>
        <v>0</v>
      </c>
      <c r="E446" s="174">
        <f t="shared" si="186"/>
        <v>0</v>
      </c>
      <c r="F446" s="174">
        <f t="shared" si="187"/>
        <v>0</v>
      </c>
      <c r="G446" s="171">
        <f t="shared" si="188"/>
        <v>0</v>
      </c>
      <c r="H446" s="171">
        <f t="shared" si="189"/>
        <v>67415.532613736214</v>
      </c>
      <c r="I446" s="171">
        <f>IF(B446="Working",MIN(MAX(D446-E446-F446-G446-H446,0),'Tax Assumptions'!$B$20),0)</f>
        <v>0</v>
      </c>
      <c r="J446" s="171">
        <f t="shared" si="190"/>
        <v>-327415.53261373623</v>
      </c>
      <c r="K446" s="174">
        <f t="shared" si="191"/>
        <v>327415.53261373623</v>
      </c>
      <c r="L446" s="174">
        <f t="shared" si="192"/>
        <v>327415.53261373623</v>
      </c>
      <c r="M446" s="174">
        <f t="shared" si="198"/>
        <v>327415.53261373623</v>
      </c>
      <c r="N446" s="174">
        <f t="shared" si="199"/>
        <v>0</v>
      </c>
      <c r="O446" s="174">
        <f t="shared" si="200"/>
        <v>0</v>
      </c>
      <c r="P446" s="174">
        <f t="shared" si="201"/>
        <v>0</v>
      </c>
      <c r="Q446" s="171">
        <f t="shared" si="202"/>
        <v>5468440.9542186009</v>
      </c>
      <c r="R446" s="171">
        <f t="shared" si="203"/>
        <v>407691.0232663902</v>
      </c>
      <c r="S446" s="171">
        <f t="shared" si="204"/>
        <v>124803.37446930309</v>
      </c>
      <c r="T446" s="171">
        <f t="shared" si="205"/>
        <v>0</v>
      </c>
      <c r="U446" s="171">
        <f t="shared" si="193"/>
        <v>6000935.3519542944</v>
      </c>
      <c r="V446" s="171">
        <f t="shared" si="206"/>
        <v>0</v>
      </c>
      <c r="W446" s="171">
        <f>IF(OR(A446&gt;=$C$13,B446="Retired"),IF(V446&gt;0,-V446,U446-'Model Inputs'!$B$18),"")</f>
        <v>5000935.3519542944</v>
      </c>
      <c r="X446" s="171">
        <f t="shared" si="194"/>
        <v>1141387.1849997814</v>
      </c>
      <c r="Y446" s="171">
        <f t="shared" si="195"/>
        <v>522123.88737239386</v>
      </c>
      <c r="Z446" s="171">
        <f t="shared" si="196"/>
        <v>619263.29762738757</v>
      </c>
      <c r="AA446" s="175">
        <f t="shared" si="197"/>
        <v>6620198.6495816819</v>
      </c>
      <c r="AB446" s="5"/>
      <c r="AC446" s="5"/>
      <c r="AD446" s="5"/>
      <c r="AE446" s="5"/>
      <c r="AF446" s="5"/>
      <c r="AG446" s="5"/>
    </row>
    <row r="447" spans="1:33" x14ac:dyDescent="0.2">
      <c r="A447" s="169">
        <v>15</v>
      </c>
      <c r="B447" s="100" t="str">
        <f t="shared" si="183"/>
        <v>Retired</v>
      </c>
      <c r="C447" s="170">
        <f t="shared" si="184"/>
        <v>0</v>
      </c>
      <c r="D447" s="170">
        <f t="shared" si="185"/>
        <v>0</v>
      </c>
      <c r="E447" s="170">
        <f t="shared" si="186"/>
        <v>0</v>
      </c>
      <c r="F447" s="170">
        <f t="shared" si="187"/>
        <v>0</v>
      </c>
      <c r="G447" s="171">
        <f t="shared" si="188"/>
        <v>0</v>
      </c>
      <c r="H447" s="171">
        <f t="shared" si="189"/>
        <v>68168.84815583608</v>
      </c>
      <c r="I447" s="171">
        <f>IF(B447="Working",MIN(MAX(D447-E447-F447-G447-H447,0),'Tax Assumptions'!$B$20),0)</f>
        <v>0</v>
      </c>
      <c r="J447" s="171">
        <f t="shared" si="190"/>
        <v>-328168.84815583611</v>
      </c>
      <c r="K447" s="170">
        <f t="shared" si="191"/>
        <v>328168.84815583611</v>
      </c>
      <c r="L447" s="170">
        <f t="shared" si="192"/>
        <v>328168.84815583611</v>
      </c>
      <c r="M447" s="170">
        <f t="shared" si="198"/>
        <v>328168.84815583611</v>
      </c>
      <c r="N447" s="170">
        <f t="shared" si="199"/>
        <v>0</v>
      </c>
      <c r="O447" s="170">
        <f t="shared" si="200"/>
        <v>0</v>
      </c>
      <c r="P447" s="170">
        <f t="shared" si="201"/>
        <v>0</v>
      </c>
      <c r="Q447" s="171">
        <f t="shared" si="202"/>
        <v>5468378.5633158814</v>
      </c>
      <c r="R447" s="171">
        <f t="shared" si="203"/>
        <v>432152.48466237361</v>
      </c>
      <c r="S447" s="171">
        <f t="shared" si="204"/>
        <v>132291.57693746127</v>
      </c>
      <c r="T447" s="171">
        <f t="shared" si="205"/>
        <v>0</v>
      </c>
      <c r="U447" s="171">
        <f t="shared" si="193"/>
        <v>6032822.6249157162</v>
      </c>
      <c r="V447" s="171">
        <f t="shared" si="206"/>
        <v>0</v>
      </c>
      <c r="W447" s="171">
        <f>IF(OR(A447&gt;=$C$13,B447="Retired"),IF(V447&gt;0,-V447,U447-'Model Inputs'!$B$18),"")</f>
        <v>5032822.6249157162</v>
      </c>
      <c r="X447" s="171">
        <f t="shared" si="194"/>
        <v>1175628.8005497749</v>
      </c>
      <c r="Y447" s="171">
        <f t="shared" si="195"/>
        <v>513503.10380773869</v>
      </c>
      <c r="Z447" s="171">
        <f t="shared" si="196"/>
        <v>662125.69674203615</v>
      </c>
      <c r="AA447" s="172">
        <f t="shared" si="197"/>
        <v>6694948.3216577526</v>
      </c>
      <c r="AB447" s="5"/>
      <c r="AC447" s="5"/>
      <c r="AD447" s="5"/>
      <c r="AE447" s="5"/>
      <c r="AF447" s="5"/>
      <c r="AG447" s="5"/>
    </row>
    <row r="448" spans="1:33" x14ac:dyDescent="0.2">
      <c r="A448" s="173">
        <v>16</v>
      </c>
      <c r="B448" s="65" t="str">
        <f t="shared" si="183"/>
        <v>Retired</v>
      </c>
      <c r="C448" s="174">
        <f t="shared" si="184"/>
        <v>0</v>
      </c>
      <c r="D448" s="174">
        <f t="shared" si="185"/>
        <v>0</v>
      </c>
      <c r="E448" s="174">
        <f t="shared" si="186"/>
        <v>0</v>
      </c>
      <c r="F448" s="174">
        <f t="shared" si="187"/>
        <v>0</v>
      </c>
      <c r="G448" s="171">
        <f t="shared" si="188"/>
        <v>0</v>
      </c>
      <c r="H448" s="171">
        <f t="shared" si="189"/>
        <v>68944.763164198928</v>
      </c>
      <c r="I448" s="171">
        <f>IF(B448="Working",MIN(MAX(D448-E448-F448-G448-H448,0),'Tax Assumptions'!$B$20),0)</f>
        <v>0</v>
      </c>
      <c r="J448" s="171">
        <f t="shared" si="190"/>
        <v>-328944.76316419896</v>
      </c>
      <c r="K448" s="174">
        <f t="shared" si="191"/>
        <v>328944.76316419896</v>
      </c>
      <c r="L448" s="174">
        <f t="shared" si="192"/>
        <v>328944.76316419896</v>
      </c>
      <c r="M448" s="174">
        <f t="shared" si="198"/>
        <v>328944.76316419896</v>
      </c>
      <c r="N448" s="174">
        <f t="shared" si="199"/>
        <v>0</v>
      </c>
      <c r="O448" s="174">
        <f t="shared" si="200"/>
        <v>0</v>
      </c>
      <c r="P448" s="174">
        <f t="shared" si="201"/>
        <v>0</v>
      </c>
      <c r="Q448" s="171">
        <f t="shared" si="202"/>
        <v>5467536.5139506357</v>
      </c>
      <c r="R448" s="171">
        <f t="shared" si="203"/>
        <v>458081.63374211604</v>
      </c>
      <c r="S448" s="171">
        <f t="shared" si="204"/>
        <v>140229.07155370896</v>
      </c>
      <c r="T448" s="171">
        <f t="shared" si="205"/>
        <v>0</v>
      </c>
      <c r="U448" s="171">
        <f t="shared" si="193"/>
        <v>6065847.2192464611</v>
      </c>
      <c r="V448" s="171">
        <f t="shared" si="206"/>
        <v>0</v>
      </c>
      <c r="W448" s="171">
        <f>IF(OR(A448&gt;=$C$13,B448="Retired"),IF(V448&gt;0,-V448,U448-'Model Inputs'!$B$18),"")</f>
        <v>5065847.2192464611</v>
      </c>
      <c r="X448" s="171">
        <f t="shared" si="194"/>
        <v>1210897.6645662682</v>
      </c>
      <c r="Y448" s="171">
        <f t="shared" si="195"/>
        <v>504304.97040204541</v>
      </c>
      <c r="Z448" s="171">
        <f t="shared" si="196"/>
        <v>706592.6941642228</v>
      </c>
      <c r="AA448" s="175">
        <f t="shared" si="197"/>
        <v>6772439.9134106841</v>
      </c>
      <c r="AB448" s="5"/>
      <c r="AC448" s="5"/>
      <c r="AD448" s="5"/>
      <c r="AE448" s="5"/>
      <c r="AF448" s="5"/>
      <c r="AG448" s="5"/>
    </row>
    <row r="449" spans="1:33" x14ac:dyDescent="0.2">
      <c r="A449" s="169">
        <v>17</v>
      </c>
      <c r="B449" s="100" t="str">
        <f t="shared" si="183"/>
        <v>Retired</v>
      </c>
      <c r="C449" s="170">
        <f t="shared" si="184"/>
        <v>0</v>
      </c>
      <c r="D449" s="170">
        <f t="shared" si="185"/>
        <v>0</v>
      </c>
      <c r="E449" s="170">
        <f t="shared" si="186"/>
        <v>0</v>
      </c>
      <c r="F449" s="170">
        <f t="shared" si="187"/>
        <v>0</v>
      </c>
      <c r="G449" s="171">
        <f t="shared" si="188"/>
        <v>0</v>
      </c>
      <c r="H449" s="171">
        <f t="shared" si="189"/>
        <v>69743.95562281266</v>
      </c>
      <c r="I449" s="171">
        <f>IF(B449="Working",MIN(MAX(D449-E449-F449-G449-H449,0),'Tax Assumptions'!$B$20),0)</f>
        <v>0</v>
      </c>
      <c r="J449" s="171">
        <f t="shared" si="190"/>
        <v>-329743.95562281267</v>
      </c>
      <c r="K449" s="170">
        <f t="shared" si="191"/>
        <v>329743.95562281267</v>
      </c>
      <c r="L449" s="170">
        <f t="shared" si="192"/>
        <v>329743.95562281267</v>
      </c>
      <c r="M449" s="170">
        <f t="shared" si="198"/>
        <v>329743.95562281267</v>
      </c>
      <c r="N449" s="170">
        <f t="shared" si="199"/>
        <v>0</v>
      </c>
      <c r="O449" s="170">
        <f t="shared" si="200"/>
        <v>0</v>
      </c>
      <c r="P449" s="170">
        <f t="shared" si="201"/>
        <v>0</v>
      </c>
      <c r="Q449" s="171">
        <f t="shared" si="202"/>
        <v>5465844.7491648616</v>
      </c>
      <c r="R449" s="171">
        <f t="shared" si="203"/>
        <v>485566.53176664305</v>
      </c>
      <c r="S449" s="171">
        <f t="shared" si="204"/>
        <v>148642.81584693151</v>
      </c>
      <c r="T449" s="171">
        <f t="shared" si="205"/>
        <v>0</v>
      </c>
      <c r="U449" s="171">
        <f t="shared" si="193"/>
        <v>6100054.0967784356</v>
      </c>
      <c r="V449" s="171">
        <f t="shared" si="206"/>
        <v>0</v>
      </c>
      <c r="W449" s="171">
        <f>IF(OR(A449&gt;=$C$13,B449="Retired"),IF(V449&gt;0,-V449,U449-'Model Inputs'!$B$18),"")</f>
        <v>5100054.0967784356</v>
      </c>
      <c r="X449" s="171">
        <f t="shared" si="194"/>
        <v>1247224.5945032563</v>
      </c>
      <c r="Y449" s="171">
        <f t="shared" si="195"/>
        <v>494490.8209672065</v>
      </c>
      <c r="Z449" s="171">
        <f t="shared" si="196"/>
        <v>752733.77353604976</v>
      </c>
      <c r="AA449" s="172">
        <f t="shared" si="197"/>
        <v>6852787.8703144854</v>
      </c>
      <c r="AB449" s="5"/>
      <c r="AC449" s="5"/>
      <c r="AD449" s="5"/>
      <c r="AE449" s="5"/>
      <c r="AF449" s="5"/>
      <c r="AG449" s="5"/>
    </row>
    <row r="450" spans="1:33" x14ac:dyDescent="0.2">
      <c r="A450" s="173">
        <v>18</v>
      </c>
      <c r="B450" s="65" t="str">
        <f t="shared" si="183"/>
        <v>Retired</v>
      </c>
      <c r="C450" s="174">
        <f t="shared" si="184"/>
        <v>0</v>
      </c>
      <c r="D450" s="174">
        <f t="shared" si="185"/>
        <v>0</v>
      </c>
      <c r="E450" s="174">
        <f t="shared" si="186"/>
        <v>0</v>
      </c>
      <c r="F450" s="174">
        <f t="shared" si="187"/>
        <v>0</v>
      </c>
      <c r="G450" s="171">
        <f t="shared" si="188"/>
        <v>0</v>
      </c>
      <c r="H450" s="171">
        <f t="shared" si="189"/>
        <v>70567.123855184807</v>
      </c>
      <c r="I450" s="171">
        <f>IF(B450="Working",MIN(MAX(D450-E450-F450-G450-H450,0),'Tax Assumptions'!$B$20),0)</f>
        <v>0</v>
      </c>
      <c r="J450" s="171">
        <f t="shared" si="190"/>
        <v>-330567.12385518482</v>
      </c>
      <c r="K450" s="174">
        <f t="shared" si="191"/>
        <v>330567.12385518482</v>
      </c>
      <c r="L450" s="174">
        <f t="shared" si="192"/>
        <v>330567.12385518482</v>
      </c>
      <c r="M450" s="174">
        <f t="shared" si="198"/>
        <v>330567.12385518482</v>
      </c>
      <c r="N450" s="174">
        <f t="shared" si="199"/>
        <v>0</v>
      </c>
      <c r="O450" s="174">
        <f t="shared" si="200"/>
        <v>0</v>
      </c>
      <c r="P450" s="174">
        <f t="shared" si="201"/>
        <v>0</v>
      </c>
      <c r="Q450" s="171">
        <f t="shared" si="202"/>
        <v>5463228.3102595685</v>
      </c>
      <c r="R450" s="171">
        <f t="shared" si="203"/>
        <v>514700.52367264166</v>
      </c>
      <c r="S450" s="171">
        <f t="shared" si="204"/>
        <v>157561.38479774742</v>
      </c>
      <c r="T450" s="171">
        <f t="shared" si="205"/>
        <v>0</v>
      </c>
      <c r="U450" s="171">
        <f t="shared" si="193"/>
        <v>6135490.218729957</v>
      </c>
      <c r="V450" s="171">
        <f t="shared" si="206"/>
        <v>0</v>
      </c>
      <c r="W450" s="171">
        <f>IF(OR(A450&gt;=$C$13,B450="Retired"),IF(V450&gt;0,-V450,U450-'Model Inputs'!$B$18),"")</f>
        <v>5135490.218729957</v>
      </c>
      <c r="X450" s="171">
        <f t="shared" si="194"/>
        <v>1284641.3323383539</v>
      </c>
      <c r="Y450" s="171">
        <f t="shared" si="195"/>
        <v>484019.39976888656</v>
      </c>
      <c r="Z450" s="171">
        <f t="shared" si="196"/>
        <v>800621.93256946723</v>
      </c>
      <c r="AA450" s="175">
        <f t="shared" si="197"/>
        <v>6936112.1512994245</v>
      </c>
      <c r="AB450" s="5"/>
      <c r="AC450" s="5"/>
      <c r="AD450" s="5"/>
      <c r="AE450" s="5"/>
      <c r="AF450" s="5"/>
      <c r="AG450" s="5"/>
    </row>
    <row r="451" spans="1:33" x14ac:dyDescent="0.2">
      <c r="A451" s="169">
        <v>19</v>
      </c>
      <c r="B451" s="100" t="str">
        <f t="shared" si="183"/>
        <v>Retired</v>
      </c>
      <c r="C451" s="170">
        <f t="shared" si="184"/>
        <v>0</v>
      </c>
      <c r="D451" s="170">
        <f t="shared" si="185"/>
        <v>0</v>
      </c>
      <c r="E451" s="170">
        <f t="shared" si="186"/>
        <v>0</v>
      </c>
      <c r="F451" s="170">
        <f t="shared" si="187"/>
        <v>0</v>
      </c>
      <c r="G451" s="171">
        <f t="shared" si="188"/>
        <v>0</v>
      </c>
      <c r="H451" s="171">
        <f t="shared" si="189"/>
        <v>71414.987134528114</v>
      </c>
      <c r="I451" s="171">
        <f>IF(B451="Working",MIN(MAX(D451-E451-F451-G451-H451,0),'Tax Assumptions'!$B$20),0)</f>
        <v>0</v>
      </c>
      <c r="J451" s="171">
        <f t="shared" si="190"/>
        <v>-331414.98713452811</v>
      </c>
      <c r="K451" s="170">
        <f t="shared" si="191"/>
        <v>331414.98713452811</v>
      </c>
      <c r="L451" s="170">
        <f t="shared" si="192"/>
        <v>331414.98713452811</v>
      </c>
      <c r="M451" s="170">
        <f t="shared" si="198"/>
        <v>331414.98713452811</v>
      </c>
      <c r="N451" s="170">
        <f t="shared" si="199"/>
        <v>0</v>
      </c>
      <c r="O451" s="170">
        <f t="shared" si="200"/>
        <v>0</v>
      </c>
      <c r="P451" s="170">
        <f t="shared" si="201"/>
        <v>0</v>
      </c>
      <c r="Q451" s="171">
        <f t="shared" si="202"/>
        <v>5459607.0217406144</v>
      </c>
      <c r="R451" s="171">
        <f t="shared" si="203"/>
        <v>545582.55509300018</v>
      </c>
      <c r="S451" s="171">
        <f t="shared" si="204"/>
        <v>167015.06788561228</v>
      </c>
      <c r="T451" s="171">
        <f t="shared" si="205"/>
        <v>0</v>
      </c>
      <c r="U451" s="171">
        <f t="shared" si="193"/>
        <v>6172204.6447192272</v>
      </c>
      <c r="V451" s="171">
        <f t="shared" si="206"/>
        <v>0</v>
      </c>
      <c r="W451" s="171">
        <f>IF(OR(A451&gt;=$C$13,B451="Retired"),IF(V451&gt;0,-V451,U451-'Model Inputs'!$B$18),"")</f>
        <v>5172204.6447192272</v>
      </c>
      <c r="X451" s="171">
        <f t="shared" si="194"/>
        <v>1323180.5723085045</v>
      </c>
      <c r="Y451" s="171">
        <f t="shared" si="195"/>
        <v>472846.68809981644</v>
      </c>
      <c r="Z451" s="171">
        <f t="shared" si="196"/>
        <v>850333.88420868805</v>
      </c>
      <c r="AA451" s="172">
        <f t="shared" si="197"/>
        <v>7022538.5289279148</v>
      </c>
      <c r="AB451" s="5"/>
      <c r="AC451" s="5"/>
      <c r="AD451" s="5"/>
      <c r="AE451" s="5"/>
      <c r="AF451" s="5"/>
      <c r="AG451" s="5"/>
    </row>
    <row r="452" spans="1:33" x14ac:dyDescent="0.2">
      <c r="A452" s="173">
        <v>20</v>
      </c>
      <c r="B452" s="65" t="str">
        <f t="shared" si="183"/>
        <v>Retired</v>
      </c>
      <c r="C452" s="174">
        <f t="shared" si="184"/>
        <v>0</v>
      </c>
      <c r="D452" s="174">
        <f t="shared" si="185"/>
        <v>0</v>
      </c>
      <c r="E452" s="174">
        <f t="shared" si="186"/>
        <v>0</v>
      </c>
      <c r="F452" s="174">
        <f t="shared" si="187"/>
        <v>0</v>
      </c>
      <c r="G452" s="171">
        <f t="shared" si="188"/>
        <v>0</v>
      </c>
      <c r="H452" s="171">
        <f t="shared" si="189"/>
        <v>72288.28631225173</v>
      </c>
      <c r="I452" s="171">
        <f>IF(B452="Working",MIN(MAX(D452-E452-F452-G452-H452,0),'Tax Assumptions'!$B$20),0)</f>
        <v>0</v>
      </c>
      <c r="J452" s="171">
        <f t="shared" si="190"/>
        <v>-332288.2863122517</v>
      </c>
      <c r="K452" s="174">
        <f t="shared" si="191"/>
        <v>332288.2863122517</v>
      </c>
      <c r="L452" s="174">
        <f t="shared" si="192"/>
        <v>332288.2863122517</v>
      </c>
      <c r="M452" s="174">
        <f t="shared" si="198"/>
        <v>332288.2863122517</v>
      </c>
      <c r="N452" s="174">
        <f t="shared" si="199"/>
        <v>0</v>
      </c>
      <c r="O452" s="174">
        <f t="shared" si="200"/>
        <v>0</v>
      </c>
      <c r="P452" s="174">
        <f t="shared" si="201"/>
        <v>0</v>
      </c>
      <c r="Q452" s="171">
        <f t="shared" si="202"/>
        <v>5454895.1567328004</v>
      </c>
      <c r="R452" s="171">
        <f t="shared" si="203"/>
        <v>578317.50839858025</v>
      </c>
      <c r="S452" s="171">
        <f t="shared" si="204"/>
        <v>177035.97195874903</v>
      </c>
      <c r="T452" s="171">
        <f t="shared" si="205"/>
        <v>0</v>
      </c>
      <c r="U452" s="171">
        <f t="shared" si="193"/>
        <v>6210248.6370901298</v>
      </c>
      <c r="V452" s="171">
        <f t="shared" si="206"/>
        <v>0</v>
      </c>
      <c r="W452" s="171">
        <f>IF(OR(A452&gt;=$C$13,B452="Retired"),IF(V452&gt;0,-V452,U452-'Model Inputs'!$B$18),"")</f>
        <v>5210248.6370901298</v>
      </c>
      <c r="X452" s="171">
        <f t="shared" si="194"/>
        <v>1362875.9894777597</v>
      </c>
      <c r="Y452" s="171">
        <f t="shared" si="195"/>
        <v>460925.71923837857</v>
      </c>
      <c r="Z452" s="171">
        <f t="shared" si="196"/>
        <v>901950.27023938112</v>
      </c>
      <c r="AA452" s="175">
        <f t="shared" si="197"/>
        <v>7112198.9073295109</v>
      </c>
      <c r="AB452" s="5"/>
      <c r="AC452" s="5"/>
      <c r="AD452" s="5"/>
      <c r="AE452" s="5"/>
      <c r="AF452" s="5"/>
      <c r="AG452" s="5"/>
    </row>
    <row r="453" spans="1:33" x14ac:dyDescent="0.2">
      <c r="A453" s="169">
        <v>21</v>
      </c>
      <c r="B453" s="100" t="str">
        <f t="shared" si="183"/>
        <v>Retired</v>
      </c>
      <c r="C453" s="170">
        <f t="shared" si="184"/>
        <v>0</v>
      </c>
      <c r="D453" s="170">
        <f t="shared" si="185"/>
        <v>0</v>
      </c>
      <c r="E453" s="170">
        <f t="shared" si="186"/>
        <v>0</v>
      </c>
      <c r="F453" s="170">
        <f t="shared" si="187"/>
        <v>0</v>
      </c>
      <c r="G453" s="171">
        <f t="shared" si="188"/>
        <v>0</v>
      </c>
      <c r="H453" s="171">
        <f t="shared" si="189"/>
        <v>73187.78446530705</v>
      </c>
      <c r="I453" s="171">
        <f>IF(B453="Working",MIN(MAX(D453-E453-F453-G453-H453,0),'Tax Assumptions'!$B$20),0)</f>
        <v>0</v>
      </c>
      <c r="J453" s="171">
        <f t="shared" si="190"/>
        <v>-333187.78446530702</v>
      </c>
      <c r="K453" s="170">
        <f t="shared" si="191"/>
        <v>333187.78446530702</v>
      </c>
      <c r="L453" s="170">
        <f t="shared" si="192"/>
        <v>333187.78446530702</v>
      </c>
      <c r="M453" s="170">
        <f t="shared" si="198"/>
        <v>333187.78446530702</v>
      </c>
      <c r="N453" s="170">
        <f t="shared" si="199"/>
        <v>0</v>
      </c>
      <c r="O453" s="170">
        <f t="shared" si="200"/>
        <v>0</v>
      </c>
      <c r="P453" s="170">
        <f t="shared" si="201"/>
        <v>0</v>
      </c>
      <c r="Q453" s="171">
        <f t="shared" si="202"/>
        <v>5449001.0816714615</v>
      </c>
      <c r="R453" s="171">
        <f t="shared" si="203"/>
        <v>613016.55890249508</v>
      </c>
      <c r="S453" s="171">
        <f t="shared" si="204"/>
        <v>187658.13027627397</v>
      </c>
      <c r="T453" s="171">
        <f t="shared" si="205"/>
        <v>0</v>
      </c>
      <c r="U453" s="171">
        <f t="shared" si="193"/>
        <v>6249675.77085023</v>
      </c>
      <c r="V453" s="171">
        <f t="shared" si="206"/>
        <v>0</v>
      </c>
      <c r="W453" s="171">
        <f>IF(OR(A453&gt;=$C$13,B453="Retired"),IF(V453&gt;0,-V453,U453-'Model Inputs'!$B$18),"")</f>
        <v>5249675.77085023</v>
      </c>
      <c r="X453" s="171">
        <f t="shared" si="194"/>
        <v>1403762.2691620924</v>
      </c>
      <c r="Y453" s="171">
        <f t="shared" si="195"/>
        <v>448206.38101462531</v>
      </c>
      <c r="Z453" s="171">
        <f t="shared" si="196"/>
        <v>955555.88814746705</v>
      </c>
      <c r="AA453" s="172">
        <f t="shared" si="197"/>
        <v>7205231.6589976968</v>
      </c>
      <c r="AB453" s="5"/>
      <c r="AC453" s="5"/>
      <c r="AD453" s="5"/>
      <c r="AE453" s="5"/>
      <c r="AF453" s="5"/>
      <c r="AG453" s="5"/>
    </row>
    <row r="454" spans="1:33" x14ac:dyDescent="0.2">
      <c r="A454" s="173">
        <v>22</v>
      </c>
      <c r="B454" s="65" t="str">
        <f t="shared" si="183"/>
        <v>Retired</v>
      </c>
      <c r="C454" s="174">
        <f t="shared" si="184"/>
        <v>0</v>
      </c>
      <c r="D454" s="174">
        <f t="shared" si="185"/>
        <v>0</v>
      </c>
      <c r="E454" s="174">
        <f t="shared" si="186"/>
        <v>0</v>
      </c>
      <c r="F454" s="174">
        <f t="shared" si="187"/>
        <v>0</v>
      </c>
      <c r="G454" s="171">
        <f t="shared" si="188"/>
        <v>0</v>
      </c>
      <c r="H454" s="171">
        <f t="shared" si="189"/>
        <v>74114.267562954032</v>
      </c>
      <c r="I454" s="171">
        <f>IF(B454="Working",MIN(MAX(D454-E454-F454-G454-H454,0),'Tax Assumptions'!$B$20),0)</f>
        <v>0</v>
      </c>
      <c r="J454" s="171">
        <f t="shared" si="190"/>
        <v>-334114.26756295405</v>
      </c>
      <c r="K454" s="174">
        <f t="shared" si="191"/>
        <v>334114.26756295405</v>
      </c>
      <c r="L454" s="174">
        <f t="shared" si="192"/>
        <v>334114.26756295405</v>
      </c>
      <c r="M454" s="174">
        <f t="shared" si="198"/>
        <v>334114.26756295405</v>
      </c>
      <c r="N454" s="174">
        <f t="shared" si="199"/>
        <v>0</v>
      </c>
      <c r="O454" s="174">
        <f t="shared" si="200"/>
        <v>0</v>
      </c>
      <c r="P454" s="174">
        <f t="shared" si="201"/>
        <v>0</v>
      </c>
      <c r="Q454" s="171">
        <f t="shared" si="202"/>
        <v>5441826.8790087961</v>
      </c>
      <c r="R454" s="171">
        <f t="shared" si="203"/>
        <v>649797.55243664479</v>
      </c>
      <c r="S454" s="171">
        <f t="shared" si="204"/>
        <v>198917.6180928504</v>
      </c>
      <c r="T454" s="171">
        <f t="shared" si="205"/>
        <v>0</v>
      </c>
      <c r="U454" s="171">
        <f t="shared" si="193"/>
        <v>6290542.049538292</v>
      </c>
      <c r="V454" s="171">
        <f t="shared" si="206"/>
        <v>0</v>
      </c>
      <c r="W454" s="171">
        <f>IF(OR(A454&gt;=$C$13,B454="Retired"),IF(V454&gt;0,-V454,U454-'Model Inputs'!$B$18),"")</f>
        <v>5290542.049538292</v>
      </c>
      <c r="X454" s="171">
        <f t="shared" si="194"/>
        <v>1445875.1372369549</v>
      </c>
      <c r="Y454" s="171">
        <f t="shared" si="195"/>
        <v>434635.20515378064</v>
      </c>
      <c r="Z454" s="171">
        <f t="shared" si="196"/>
        <v>1011239.9320831742</v>
      </c>
      <c r="AA454" s="175">
        <f t="shared" si="197"/>
        <v>7301781.9816214666</v>
      </c>
      <c r="AB454" s="5"/>
      <c r="AC454" s="5"/>
      <c r="AD454" s="5"/>
      <c r="AE454" s="5"/>
      <c r="AF454" s="5"/>
      <c r="AG454" s="5"/>
    </row>
    <row r="455" spans="1:33" x14ac:dyDescent="0.2">
      <c r="A455" s="169">
        <v>23</v>
      </c>
      <c r="B455" s="100" t="str">
        <f t="shared" si="183"/>
        <v>Retired</v>
      </c>
      <c r="C455" s="170">
        <f t="shared" si="184"/>
        <v>0</v>
      </c>
      <c r="D455" s="170">
        <f t="shared" si="185"/>
        <v>0</v>
      </c>
      <c r="E455" s="170">
        <f t="shared" si="186"/>
        <v>0</v>
      </c>
      <c r="F455" s="170">
        <f t="shared" si="187"/>
        <v>0</v>
      </c>
      <c r="G455" s="171">
        <f t="shared" si="188"/>
        <v>0</v>
      </c>
      <c r="H455" s="171">
        <f t="shared" si="189"/>
        <v>75068.545153530416</v>
      </c>
      <c r="I455" s="171">
        <f>IF(B455="Working",MIN(MAX(D455-E455-F455-G455-H455,0),'Tax Assumptions'!$B$20),0)</f>
        <v>0</v>
      </c>
      <c r="J455" s="171">
        <f t="shared" si="190"/>
        <v>-335068.54515353043</v>
      </c>
      <c r="K455" s="170">
        <f t="shared" si="191"/>
        <v>335068.54515353043</v>
      </c>
      <c r="L455" s="170">
        <f t="shared" si="192"/>
        <v>335068.54515353043</v>
      </c>
      <c r="M455" s="170">
        <f t="shared" si="198"/>
        <v>335068.54515353043</v>
      </c>
      <c r="N455" s="170">
        <f t="shared" si="199"/>
        <v>0</v>
      </c>
      <c r="O455" s="170">
        <f t="shared" si="200"/>
        <v>0</v>
      </c>
      <c r="P455" s="170">
        <f t="shared" si="201"/>
        <v>0</v>
      </c>
      <c r="Q455" s="171">
        <f t="shared" si="202"/>
        <v>5433267.9465957936</v>
      </c>
      <c r="R455" s="171">
        <f t="shared" si="203"/>
        <v>688785.40558284346</v>
      </c>
      <c r="S455" s="171">
        <f t="shared" si="204"/>
        <v>210852.67517842143</v>
      </c>
      <c r="T455" s="171">
        <f t="shared" si="205"/>
        <v>0</v>
      </c>
      <c r="U455" s="171">
        <f t="shared" si="193"/>
        <v>6332906.0273570586</v>
      </c>
      <c r="V455" s="171">
        <f t="shared" si="206"/>
        <v>0</v>
      </c>
      <c r="W455" s="171">
        <f>IF(OR(A455&gt;=$C$13,B455="Retired"),IF(V455&gt;0,-V455,U455-'Model Inputs'!$B$18),"")</f>
        <v>5332906.0273570586</v>
      </c>
      <c r="X455" s="171">
        <f t="shared" si="194"/>
        <v>1489251.3913540635</v>
      </c>
      <c r="Y455" s="171">
        <f t="shared" si="195"/>
        <v>420155.14251168293</v>
      </c>
      <c r="Z455" s="171">
        <f t="shared" si="196"/>
        <v>1069096.2488423805</v>
      </c>
      <c r="AA455" s="172">
        <f t="shared" si="197"/>
        <v>7402002.2761994395</v>
      </c>
      <c r="AB455" s="5"/>
      <c r="AC455" s="5"/>
      <c r="AD455" s="5"/>
      <c r="AE455" s="5"/>
      <c r="AF455" s="5"/>
      <c r="AG455" s="5"/>
    </row>
    <row r="456" spans="1:33" x14ac:dyDescent="0.2">
      <c r="A456" s="173">
        <v>24</v>
      </c>
      <c r="B456" s="65" t="str">
        <f t="shared" si="183"/>
        <v>Retired</v>
      </c>
      <c r="C456" s="174">
        <f t="shared" si="184"/>
        <v>0</v>
      </c>
      <c r="D456" s="174">
        <f t="shared" si="185"/>
        <v>0</v>
      </c>
      <c r="E456" s="174">
        <f t="shared" si="186"/>
        <v>0</v>
      </c>
      <c r="F456" s="174">
        <f t="shared" si="187"/>
        <v>0</v>
      </c>
      <c r="G456" s="171">
        <f t="shared" si="188"/>
        <v>0</v>
      </c>
      <c r="H456" s="171">
        <f t="shared" si="189"/>
        <v>76051.451071824107</v>
      </c>
      <c r="I456" s="171">
        <f>IF(B456="Working",MIN(MAX(D456-E456-F456-G456-H456,0),'Tax Assumptions'!$B$20),0)</f>
        <v>0</v>
      </c>
      <c r="J456" s="171">
        <f t="shared" si="190"/>
        <v>-336051.45107182412</v>
      </c>
      <c r="K456" s="174">
        <f t="shared" si="191"/>
        <v>336051.45107182412</v>
      </c>
      <c r="L456" s="174">
        <f t="shared" si="192"/>
        <v>336051.45107182412</v>
      </c>
      <c r="M456" s="174">
        <f t="shared" si="198"/>
        <v>336051.45107182412</v>
      </c>
      <c r="N456" s="174">
        <f t="shared" si="199"/>
        <v>0</v>
      </c>
      <c r="O456" s="174">
        <f t="shared" si="200"/>
        <v>0</v>
      </c>
      <c r="P456" s="174">
        <f t="shared" si="201"/>
        <v>0</v>
      </c>
      <c r="Q456" s="171">
        <f t="shared" si="202"/>
        <v>5423212.5723197171</v>
      </c>
      <c r="R456" s="171">
        <f t="shared" si="203"/>
        <v>730112.52991781407</v>
      </c>
      <c r="S456" s="171">
        <f t="shared" si="204"/>
        <v>223503.83568912672</v>
      </c>
      <c r="T456" s="171">
        <f t="shared" si="205"/>
        <v>0</v>
      </c>
      <c r="U456" s="171">
        <f t="shared" si="193"/>
        <v>6376828.9379266575</v>
      </c>
      <c r="V456" s="171">
        <f t="shared" si="206"/>
        <v>0</v>
      </c>
      <c r="W456" s="171">
        <f>IF(OR(A456&gt;=$C$13,B456="Retired"),IF(V456&gt;0,-V456,U456-'Model Inputs'!$B$18),"")</f>
        <v>5376828.9379266575</v>
      </c>
      <c r="X456" s="171">
        <f t="shared" si="194"/>
        <v>1533928.9330946857</v>
      </c>
      <c r="Y456" s="171">
        <f t="shared" si="195"/>
        <v>404705.32325733127</v>
      </c>
      <c r="Z456" s="171">
        <f t="shared" si="196"/>
        <v>1129223.6098373544</v>
      </c>
      <c r="AA456" s="175">
        <f t="shared" si="197"/>
        <v>7506052.5477640117</v>
      </c>
      <c r="AB456" s="5"/>
      <c r="AC456" s="5"/>
      <c r="AD456" s="5"/>
      <c r="AE456" s="5"/>
      <c r="AF456" s="5"/>
      <c r="AG456" s="5"/>
    </row>
    <row r="457" spans="1:33" x14ac:dyDescent="0.2">
      <c r="A457" s="169">
        <v>25</v>
      </c>
      <c r="B457" s="100" t="str">
        <f t="shared" si="183"/>
        <v>Retired</v>
      </c>
      <c r="C457" s="170">
        <f t="shared" si="184"/>
        <v>0</v>
      </c>
      <c r="D457" s="170">
        <f t="shared" si="185"/>
        <v>0</v>
      </c>
      <c r="E457" s="170">
        <f t="shared" si="186"/>
        <v>0</v>
      </c>
      <c r="F457" s="170">
        <f t="shared" si="187"/>
        <v>0</v>
      </c>
      <c r="G457" s="171">
        <f t="shared" si="188"/>
        <v>0</v>
      </c>
      <c r="H457" s="171">
        <f t="shared" si="189"/>
        <v>77063.844167666597</v>
      </c>
      <c r="I457" s="171">
        <f>IF(B457="Working",MIN(MAX(D457-E457-F457-G457-H457,0),'Tax Assumptions'!$B$20),0)</f>
        <v>0</v>
      </c>
      <c r="J457" s="171">
        <f t="shared" si="190"/>
        <v>-337063.84416766663</v>
      </c>
      <c r="K457" s="170">
        <f t="shared" si="191"/>
        <v>337063.84416766663</v>
      </c>
      <c r="L457" s="170">
        <f t="shared" si="192"/>
        <v>337063.84416766663</v>
      </c>
      <c r="M457" s="170">
        <f t="shared" si="198"/>
        <v>337063.84416766663</v>
      </c>
      <c r="N457" s="170">
        <f t="shared" si="199"/>
        <v>0</v>
      </c>
      <c r="O457" s="170">
        <f t="shared" si="200"/>
        <v>0</v>
      </c>
      <c r="P457" s="170">
        <f t="shared" si="201"/>
        <v>0</v>
      </c>
      <c r="Q457" s="171">
        <f t="shared" si="202"/>
        <v>5411541.4824912343</v>
      </c>
      <c r="R457" s="171">
        <f t="shared" si="203"/>
        <v>773919.28171288292</v>
      </c>
      <c r="S457" s="171">
        <f t="shared" si="204"/>
        <v>236914.06583047434</v>
      </c>
      <c r="T457" s="171">
        <f t="shared" si="205"/>
        <v>0</v>
      </c>
      <c r="U457" s="171">
        <f t="shared" si="193"/>
        <v>6422374.8300345922</v>
      </c>
      <c r="V457" s="171">
        <f t="shared" si="206"/>
        <v>0</v>
      </c>
      <c r="W457" s="171">
        <f>IF(OR(A457&gt;=$C$13,B457="Retired"),IF(V457&gt;0,-V457,U457-'Model Inputs'!$B$18),"")</f>
        <v>5422374.8300345922</v>
      </c>
      <c r="X457" s="171">
        <f t="shared" si="194"/>
        <v>1579946.8010875264</v>
      </c>
      <c r="Y457" s="171">
        <f t="shared" si="195"/>
        <v>388220.80099441088</v>
      </c>
      <c r="Z457" s="171">
        <f t="shared" si="196"/>
        <v>1191726.0000931155</v>
      </c>
      <c r="AA457" s="172">
        <f t="shared" si="197"/>
        <v>7614100.8301277077</v>
      </c>
      <c r="AB457" s="5"/>
      <c r="AC457" s="5"/>
      <c r="AD457" s="5"/>
      <c r="AE457" s="5"/>
      <c r="AF457" s="5"/>
      <c r="AG457" s="5"/>
    </row>
    <row r="458" spans="1:33" x14ac:dyDescent="0.2">
      <c r="A458" s="173">
        <v>26</v>
      </c>
      <c r="B458" s="65" t="str">
        <f t="shared" si="183"/>
        <v>Retired</v>
      </c>
      <c r="C458" s="174">
        <f t="shared" si="184"/>
        <v>0</v>
      </c>
      <c r="D458" s="174">
        <f t="shared" si="185"/>
        <v>0</v>
      </c>
      <c r="E458" s="174">
        <f t="shared" si="186"/>
        <v>0</v>
      </c>
      <c r="F458" s="174">
        <f t="shared" si="187"/>
        <v>0</v>
      </c>
      <c r="G458" s="171">
        <f t="shared" si="188"/>
        <v>0</v>
      </c>
      <c r="H458" s="171">
        <f t="shared" si="189"/>
        <v>78106.609056384361</v>
      </c>
      <c r="I458" s="171">
        <f>IF(B458="Working",MIN(MAX(D458-E458-F458-G458-H458,0),'Tax Assumptions'!$B$20),0)</f>
        <v>0</v>
      </c>
      <c r="J458" s="171">
        <f t="shared" si="190"/>
        <v>-338106.60905638436</v>
      </c>
      <c r="K458" s="174">
        <f t="shared" si="191"/>
        <v>338106.60905638436</v>
      </c>
      <c r="L458" s="174">
        <f t="shared" si="192"/>
        <v>338106.60905638436</v>
      </c>
      <c r="M458" s="174">
        <f t="shared" si="198"/>
        <v>338106.60905638436</v>
      </c>
      <c r="N458" s="174">
        <f t="shared" si="199"/>
        <v>0</v>
      </c>
      <c r="O458" s="174">
        <f t="shared" si="200"/>
        <v>0</v>
      </c>
      <c r="P458" s="174">
        <f t="shared" si="201"/>
        <v>0</v>
      </c>
      <c r="Q458" s="171">
        <f t="shared" si="202"/>
        <v>5398127.362384324</v>
      </c>
      <c r="R458" s="171">
        <f t="shared" si="203"/>
        <v>820354.43861565599</v>
      </c>
      <c r="S458" s="171">
        <f t="shared" si="204"/>
        <v>251128.90978030281</v>
      </c>
      <c r="T458" s="171">
        <f t="shared" si="205"/>
        <v>0</v>
      </c>
      <c r="U458" s="171">
        <f t="shared" si="193"/>
        <v>6469610.7107802834</v>
      </c>
      <c r="V458" s="171">
        <f t="shared" si="206"/>
        <v>0</v>
      </c>
      <c r="W458" s="171">
        <f>IF(OR(A458&gt;=$C$13,B458="Retired"),IF(V458&gt;0,-V458,U458-'Model Inputs'!$B$18),"")</f>
        <v>5469610.7107802834</v>
      </c>
      <c r="X458" s="171">
        <f t="shared" si="194"/>
        <v>1627345.2051201519</v>
      </c>
      <c r="Y458" s="171">
        <f t="shared" si="195"/>
        <v>370632.2797461655</v>
      </c>
      <c r="Z458" s="171">
        <f t="shared" si="196"/>
        <v>1256712.9253739864</v>
      </c>
      <c r="AA458" s="175">
        <f t="shared" si="197"/>
        <v>7726323.6361542698</v>
      </c>
      <c r="AB458" s="5"/>
      <c r="AC458" s="5"/>
      <c r="AD458" s="5"/>
      <c r="AE458" s="5"/>
      <c r="AF458" s="5"/>
      <c r="AG458" s="5"/>
    </row>
    <row r="459" spans="1:33" x14ac:dyDescent="0.2">
      <c r="A459" s="169">
        <v>27</v>
      </c>
      <c r="B459" s="100" t="str">
        <f t="shared" si="183"/>
        <v>Retired</v>
      </c>
      <c r="C459" s="170">
        <f t="shared" si="184"/>
        <v>0</v>
      </c>
      <c r="D459" s="170">
        <f t="shared" si="185"/>
        <v>0</v>
      </c>
      <c r="E459" s="170">
        <f t="shared" si="186"/>
        <v>0</v>
      </c>
      <c r="F459" s="170">
        <f t="shared" si="187"/>
        <v>0</v>
      </c>
      <c r="G459" s="171">
        <f t="shared" si="188"/>
        <v>0</v>
      </c>
      <c r="H459" s="171">
        <f t="shared" si="189"/>
        <v>79180.656891763661</v>
      </c>
      <c r="I459" s="171">
        <f>IF(B459="Working",MIN(MAX(D459-E459-F459-G459-H459,0),'Tax Assumptions'!$B$20),0)</f>
        <v>0</v>
      </c>
      <c r="J459" s="171">
        <f t="shared" si="190"/>
        <v>-339180.65689176368</v>
      </c>
      <c r="K459" s="170">
        <f t="shared" si="191"/>
        <v>339180.65689176368</v>
      </c>
      <c r="L459" s="170">
        <f t="shared" si="192"/>
        <v>339180.65689176368</v>
      </c>
      <c r="M459" s="170">
        <f t="shared" si="198"/>
        <v>339180.65689176368</v>
      </c>
      <c r="N459" s="170">
        <f t="shared" si="199"/>
        <v>0</v>
      </c>
      <c r="O459" s="170">
        <f t="shared" si="200"/>
        <v>0</v>
      </c>
      <c r="P459" s="170">
        <f t="shared" si="201"/>
        <v>0</v>
      </c>
      <c r="Q459" s="171">
        <f t="shared" si="202"/>
        <v>5382834.34723562</v>
      </c>
      <c r="R459" s="171">
        <f t="shared" si="203"/>
        <v>869575.70493259537</v>
      </c>
      <c r="S459" s="171">
        <f t="shared" si="204"/>
        <v>266196.64436712099</v>
      </c>
      <c r="T459" s="171">
        <f t="shared" si="205"/>
        <v>0</v>
      </c>
      <c r="U459" s="171">
        <f t="shared" si="193"/>
        <v>6518606.6965353368</v>
      </c>
      <c r="V459" s="171">
        <f t="shared" si="206"/>
        <v>0</v>
      </c>
      <c r="W459" s="171">
        <f>IF(OR(A459&gt;=$C$13,B459="Retired"),IF(V459&gt;0,-V459,U459-'Model Inputs'!$B$18),"")</f>
        <v>5518606.6965353368</v>
      </c>
      <c r="X459" s="171">
        <f t="shared" si="194"/>
        <v>1676165.5612737564</v>
      </c>
      <c r="Y459" s="171">
        <f t="shared" si="195"/>
        <v>351865.8226559395</v>
      </c>
      <c r="Z459" s="171">
        <f t="shared" si="196"/>
        <v>1324299.7386178169</v>
      </c>
      <c r="AA459" s="172">
        <f t="shared" si="197"/>
        <v>7842906.4351531537</v>
      </c>
      <c r="AB459" s="5"/>
      <c r="AC459" s="5"/>
      <c r="AD459" s="5"/>
      <c r="AE459" s="5"/>
      <c r="AF459" s="5"/>
      <c r="AG459" s="5"/>
    </row>
    <row r="460" spans="1:33" x14ac:dyDescent="0.2">
      <c r="A460" s="173">
        <v>28</v>
      </c>
      <c r="B460" s="65" t="str">
        <f t="shared" si="183"/>
        <v>Retired</v>
      </c>
      <c r="C460" s="174">
        <f t="shared" si="184"/>
        <v>0</v>
      </c>
      <c r="D460" s="174">
        <f t="shared" si="185"/>
        <v>0</v>
      </c>
      <c r="E460" s="174">
        <f t="shared" si="186"/>
        <v>0</v>
      </c>
      <c r="F460" s="174">
        <f t="shared" si="187"/>
        <v>0</v>
      </c>
      <c r="G460" s="171">
        <f t="shared" si="188"/>
        <v>0</v>
      </c>
      <c r="H460" s="171">
        <f t="shared" si="189"/>
        <v>80286.926162204341</v>
      </c>
      <c r="I460" s="171">
        <f>IF(B460="Working",MIN(MAX(D460-E460-F460-G460-H460,0),'Tax Assumptions'!$B$20),0)</f>
        <v>0</v>
      </c>
      <c r="J460" s="171">
        <f t="shared" si="190"/>
        <v>-340286.92616220436</v>
      </c>
      <c r="K460" s="174">
        <f t="shared" si="191"/>
        <v>340286.92616220436</v>
      </c>
      <c r="L460" s="174">
        <f t="shared" si="192"/>
        <v>340286.92616220436</v>
      </c>
      <c r="M460" s="174">
        <f t="shared" si="198"/>
        <v>340286.92616220436</v>
      </c>
      <c r="N460" s="174">
        <f t="shared" si="199"/>
        <v>0</v>
      </c>
      <c r="O460" s="174">
        <f t="shared" si="200"/>
        <v>0</v>
      </c>
      <c r="P460" s="174">
        <f t="shared" si="201"/>
        <v>0</v>
      </c>
      <c r="Q460" s="171">
        <f t="shared" si="202"/>
        <v>5365517.481907553</v>
      </c>
      <c r="R460" s="171">
        <f t="shared" si="203"/>
        <v>921750.24722855119</v>
      </c>
      <c r="S460" s="171">
        <f t="shared" si="204"/>
        <v>282168.44302914827</v>
      </c>
      <c r="T460" s="171">
        <f t="shared" si="205"/>
        <v>0</v>
      </c>
      <c r="U460" s="171">
        <f t="shared" si="193"/>
        <v>6569436.1721652523</v>
      </c>
      <c r="V460" s="171">
        <f t="shared" si="206"/>
        <v>0</v>
      </c>
      <c r="W460" s="171">
        <f>IF(OR(A460&gt;=$C$13,B460="Retired"),IF(V460&gt;0,-V460,U460-'Model Inputs'!$B$18),"")</f>
        <v>5569436.1721652523</v>
      </c>
      <c r="X460" s="171">
        <f t="shared" si="194"/>
        <v>1726450.5281119691</v>
      </c>
      <c r="Y460" s="171">
        <f t="shared" si="195"/>
        <v>331842.54117885442</v>
      </c>
      <c r="Z460" s="171">
        <f t="shared" si="196"/>
        <v>1394607.9869331147</v>
      </c>
      <c r="AA460" s="175">
        <f t="shared" si="197"/>
        <v>7964044.1590983672</v>
      </c>
      <c r="AB460" s="5"/>
      <c r="AC460" s="5"/>
      <c r="AD460" s="5"/>
      <c r="AE460" s="5"/>
      <c r="AF460" s="5"/>
      <c r="AG460" s="5"/>
    </row>
    <row r="461" spans="1:33" x14ac:dyDescent="0.2">
      <c r="A461" s="169">
        <v>29</v>
      </c>
      <c r="B461" s="100" t="str">
        <f t="shared" si="183"/>
        <v>Retired</v>
      </c>
      <c r="C461" s="170">
        <f t="shared" si="184"/>
        <v>0</v>
      </c>
      <c r="D461" s="170">
        <f t="shared" si="185"/>
        <v>0</v>
      </c>
      <c r="E461" s="170">
        <f t="shared" si="186"/>
        <v>0</v>
      </c>
      <c r="F461" s="170">
        <f t="shared" si="187"/>
        <v>0</v>
      </c>
      <c r="G461" s="171">
        <f t="shared" si="188"/>
        <v>0</v>
      </c>
      <c r="H461" s="171">
        <f t="shared" si="189"/>
        <v>81426.383510758242</v>
      </c>
      <c r="I461" s="171">
        <f>IF(B461="Working",MIN(MAX(D461-E461-F461-G461-H461,0),'Tax Assumptions'!$B$20),0)</f>
        <v>0</v>
      </c>
      <c r="J461" s="171">
        <f t="shared" si="190"/>
        <v>-341426.38351075823</v>
      </c>
      <c r="K461" s="170">
        <f t="shared" si="191"/>
        <v>341426.38351075823</v>
      </c>
      <c r="L461" s="170">
        <f t="shared" si="192"/>
        <v>341426.38351075823</v>
      </c>
      <c r="M461" s="170">
        <f t="shared" si="198"/>
        <v>341426.38351075823</v>
      </c>
      <c r="N461" s="170">
        <f t="shared" si="199"/>
        <v>0</v>
      </c>
      <c r="O461" s="170">
        <f t="shared" si="200"/>
        <v>0</v>
      </c>
      <c r="P461" s="170">
        <f t="shared" si="201"/>
        <v>0</v>
      </c>
      <c r="Q461" s="171">
        <f t="shared" si="202"/>
        <v>5346022.1473112479</v>
      </c>
      <c r="R461" s="171">
        <f t="shared" si="203"/>
        <v>977055.26206226426</v>
      </c>
      <c r="S461" s="171">
        <f t="shared" si="204"/>
        <v>299098.5496108972</v>
      </c>
      <c r="T461" s="171">
        <f t="shared" si="205"/>
        <v>0</v>
      </c>
      <c r="U461" s="171">
        <f t="shared" si="193"/>
        <v>6622175.9589844095</v>
      </c>
      <c r="V461" s="171">
        <f t="shared" si="206"/>
        <v>0</v>
      </c>
      <c r="W461" s="171">
        <f>IF(OR(A461&gt;=$C$13,B461="Retired"),IF(V461&gt;0,-V461,U461-'Model Inputs'!$B$18),"")</f>
        <v>5622175.9589844095</v>
      </c>
      <c r="X461" s="171">
        <f t="shared" si="194"/>
        <v>1778244.0439553282</v>
      </c>
      <c r="Y461" s="171">
        <f t="shared" si="195"/>
        <v>310478.26345808059</v>
      </c>
      <c r="Z461" s="171">
        <f t="shared" si="196"/>
        <v>1467765.7804972476</v>
      </c>
      <c r="AA461" s="172">
        <f t="shared" si="197"/>
        <v>8089941.7394816568</v>
      </c>
      <c r="AB461" s="5"/>
      <c r="AC461" s="5"/>
      <c r="AD461" s="5"/>
      <c r="AE461" s="5"/>
      <c r="AF461" s="5"/>
      <c r="AG461" s="5"/>
    </row>
    <row r="462" spans="1:33" x14ac:dyDescent="0.2">
      <c r="A462" s="173">
        <v>30</v>
      </c>
      <c r="B462" s="65" t="str">
        <f t="shared" si="183"/>
        <v>Retired</v>
      </c>
      <c r="C462" s="174">
        <f t="shared" si="184"/>
        <v>0</v>
      </c>
      <c r="D462" s="174">
        <f t="shared" si="185"/>
        <v>0</v>
      </c>
      <c r="E462" s="174">
        <f t="shared" si="186"/>
        <v>0</v>
      </c>
      <c r="F462" s="174">
        <f t="shared" si="187"/>
        <v>0</v>
      </c>
      <c r="G462" s="171">
        <f t="shared" si="188"/>
        <v>0</v>
      </c>
      <c r="H462" s="171">
        <f t="shared" si="189"/>
        <v>82600.024579768753</v>
      </c>
      <c r="I462" s="171">
        <f>IF(B462="Working",MIN(MAX(D462-E462-F462-G462-H462,0),'Tax Assumptions'!$B$20),0)</f>
        <v>0</v>
      </c>
      <c r="J462" s="171">
        <f t="shared" si="190"/>
        <v>-342600.02457976877</v>
      </c>
      <c r="K462" s="174">
        <f t="shared" si="191"/>
        <v>342600.02457976877</v>
      </c>
      <c r="L462" s="174">
        <f t="shared" si="192"/>
        <v>342600.02457976877</v>
      </c>
      <c r="M462" s="174">
        <f t="shared" si="198"/>
        <v>342600.02457976877</v>
      </c>
      <c r="N462" s="174">
        <f t="shared" si="199"/>
        <v>0</v>
      </c>
      <c r="O462" s="174">
        <f t="shared" si="200"/>
        <v>0</v>
      </c>
      <c r="P462" s="174">
        <f t="shared" si="201"/>
        <v>0</v>
      </c>
      <c r="Q462" s="171">
        <f t="shared" si="202"/>
        <v>5324183.4515701542</v>
      </c>
      <c r="R462" s="171">
        <f t="shared" si="203"/>
        <v>1035678.5777860002</v>
      </c>
      <c r="S462" s="171">
        <f t="shared" si="204"/>
        <v>317044.46258755104</v>
      </c>
      <c r="T462" s="171">
        <f t="shared" si="205"/>
        <v>0</v>
      </c>
      <c r="U462" s="171">
        <f t="shared" si="193"/>
        <v>6676906.4919437058</v>
      </c>
      <c r="V462" s="171">
        <f t="shared" si="206"/>
        <v>0</v>
      </c>
      <c r="W462" s="171">
        <f>IF(OR(A462&gt;=$C$13,B462="Retired"),IF(V462&gt;0,-V462,U462-'Model Inputs'!$B$18),"")</f>
        <v>5676906.4919437058</v>
      </c>
      <c r="X462" s="171">
        <f t="shared" si="194"/>
        <v>1831591.3652739879</v>
      </c>
      <c r="Y462" s="171">
        <f t="shared" si="195"/>
        <v>287683.18049165024</v>
      </c>
      <c r="Z462" s="171">
        <f t="shared" si="196"/>
        <v>1543908.1847823376</v>
      </c>
      <c r="AA462" s="175">
        <f t="shared" si="197"/>
        <v>8220814.6767260432</v>
      </c>
      <c r="AB462" s="5"/>
      <c r="AC462" s="5"/>
      <c r="AD462" s="5"/>
      <c r="AE462" s="5"/>
      <c r="AF462" s="5"/>
      <c r="AG462" s="5"/>
    </row>
    <row r="463" spans="1:33" x14ac:dyDescent="0.2">
      <c r="A463" s="169">
        <v>31</v>
      </c>
      <c r="B463" s="100" t="str">
        <f t="shared" si="183"/>
        <v>Retired</v>
      </c>
      <c r="C463" s="170">
        <f t="shared" si="184"/>
        <v>0</v>
      </c>
      <c r="D463" s="170">
        <f t="shared" si="185"/>
        <v>0</v>
      </c>
      <c r="E463" s="170">
        <f t="shared" si="186"/>
        <v>0</v>
      </c>
      <c r="F463" s="170">
        <f t="shared" si="187"/>
        <v>0</v>
      </c>
      <c r="G463" s="171">
        <f t="shared" si="188"/>
        <v>0</v>
      </c>
      <c r="H463" s="171">
        <f t="shared" si="189"/>
        <v>83808.874880849587</v>
      </c>
      <c r="I463" s="171">
        <f>IF(B463="Working",MIN(MAX(D463-E463-F463-G463-H463,0),'Tax Assumptions'!$B$20),0)</f>
        <v>0</v>
      </c>
      <c r="J463" s="171">
        <f t="shared" si="190"/>
        <v>-343808.87488084962</v>
      </c>
      <c r="K463" s="170">
        <f t="shared" si="191"/>
        <v>343808.87488084962</v>
      </c>
      <c r="L463" s="170">
        <f t="shared" si="192"/>
        <v>343808.87488084962</v>
      </c>
      <c r="M463" s="170">
        <f t="shared" si="198"/>
        <v>343808.87488084962</v>
      </c>
      <c r="N463" s="170">
        <f t="shared" si="199"/>
        <v>0</v>
      </c>
      <c r="O463" s="170">
        <f t="shared" si="200"/>
        <v>0</v>
      </c>
      <c r="P463" s="170">
        <f t="shared" si="201"/>
        <v>0</v>
      </c>
      <c r="Q463" s="171">
        <f t="shared" si="202"/>
        <v>5299825.5837835139</v>
      </c>
      <c r="R463" s="171">
        <f t="shared" si="203"/>
        <v>1097819.2924531603</v>
      </c>
      <c r="S463" s="171">
        <f t="shared" si="204"/>
        <v>336067.13034280413</v>
      </c>
      <c r="T463" s="171">
        <f t="shared" si="205"/>
        <v>0</v>
      </c>
      <c r="U463" s="171">
        <f t="shared" si="193"/>
        <v>6733712.0065794783</v>
      </c>
      <c r="V463" s="171">
        <f t="shared" si="206"/>
        <v>0</v>
      </c>
      <c r="W463" s="171">
        <f>IF(OR(A463&gt;=$C$13,B463="Retired"),IF(V463&gt;0,-V463,U463-'Model Inputs'!$B$18),"")</f>
        <v>5733712.0065794783</v>
      </c>
      <c r="X463" s="171">
        <f t="shared" si="194"/>
        <v>1886539.1062322073</v>
      </c>
      <c r="Y463" s="171">
        <f t="shared" si="195"/>
        <v>263361.46860240656</v>
      </c>
      <c r="Z463" s="171">
        <f t="shared" si="196"/>
        <v>1623177.6376298007</v>
      </c>
      <c r="AA463" s="172">
        <f t="shared" si="197"/>
        <v>8356889.6442092787</v>
      </c>
      <c r="AB463" s="5"/>
      <c r="AC463" s="5"/>
      <c r="AD463" s="5"/>
      <c r="AE463" s="5"/>
      <c r="AF463" s="5"/>
      <c r="AG463" s="5"/>
    </row>
    <row r="464" spans="1:33" x14ac:dyDescent="0.2">
      <c r="A464" s="173">
        <v>32</v>
      </c>
      <c r="B464" s="65" t="str">
        <f t="shared" si="183"/>
        <v>Retired</v>
      </c>
      <c r="C464" s="174">
        <f t="shared" si="184"/>
        <v>0</v>
      </c>
      <c r="D464" s="174">
        <f t="shared" si="185"/>
        <v>0</v>
      </c>
      <c r="E464" s="174">
        <f t="shared" si="186"/>
        <v>0</v>
      </c>
      <c r="F464" s="174">
        <f t="shared" si="187"/>
        <v>0</v>
      </c>
      <c r="G464" s="171">
        <f t="shared" si="188"/>
        <v>0</v>
      </c>
      <c r="H464" s="171">
        <f t="shared" si="189"/>
        <v>85053.990690962848</v>
      </c>
      <c r="I464" s="171">
        <f>IF(B464="Working",MIN(MAX(D464-E464-F464-G464-H464,0),'Tax Assumptions'!$B$20),0)</f>
        <v>0</v>
      </c>
      <c r="J464" s="171">
        <f t="shared" si="190"/>
        <v>-345053.99069096288</v>
      </c>
      <c r="K464" s="174">
        <f t="shared" si="191"/>
        <v>345053.99069096288</v>
      </c>
      <c r="L464" s="174">
        <f t="shared" si="192"/>
        <v>345053.99069096288</v>
      </c>
      <c r="M464" s="174">
        <f t="shared" si="198"/>
        <v>345053.99069096288</v>
      </c>
      <c r="N464" s="174">
        <f t="shared" si="199"/>
        <v>0</v>
      </c>
      <c r="O464" s="174">
        <f t="shared" si="200"/>
        <v>0</v>
      </c>
      <c r="P464" s="174">
        <f t="shared" si="201"/>
        <v>0</v>
      </c>
      <c r="Q464" s="171">
        <f t="shared" si="202"/>
        <v>5272761.1281195618</v>
      </c>
      <c r="R464" s="171">
        <f t="shared" si="203"/>
        <v>1163688.4500003499</v>
      </c>
      <c r="S464" s="171">
        <f t="shared" si="204"/>
        <v>356231.15816337237</v>
      </c>
      <c r="T464" s="171">
        <f t="shared" si="205"/>
        <v>0</v>
      </c>
      <c r="U464" s="171">
        <f t="shared" si="193"/>
        <v>6792680.7362832837</v>
      </c>
      <c r="V464" s="171">
        <f t="shared" si="206"/>
        <v>0</v>
      </c>
      <c r="W464" s="171">
        <f>IF(OR(A464&gt;=$C$13,B464="Retired"),IF(V464&gt;0,-V464,U464-'Model Inputs'!$B$18),"")</f>
        <v>5792680.7362832837</v>
      </c>
      <c r="X464" s="171">
        <f t="shared" si="194"/>
        <v>1943135.2794191737</v>
      </c>
      <c r="Y464" s="171">
        <f t="shared" si="195"/>
        <v>237410.88662406756</v>
      </c>
      <c r="Z464" s="171">
        <f t="shared" si="196"/>
        <v>1705724.3927951062</v>
      </c>
      <c r="AA464" s="175">
        <f t="shared" si="197"/>
        <v>8498405.1290783901</v>
      </c>
      <c r="AB464" s="5"/>
      <c r="AC464" s="5"/>
      <c r="AD464" s="5"/>
      <c r="AE464" s="5"/>
      <c r="AF464" s="5"/>
      <c r="AG464" s="5"/>
    </row>
    <row r="465" spans="1:33" x14ac:dyDescent="0.2">
      <c r="A465" s="169">
        <v>33</v>
      </c>
      <c r="B465" s="100" t="str">
        <f t="shared" si="183"/>
        <v>Retired</v>
      </c>
      <c r="C465" s="170">
        <f t="shared" si="184"/>
        <v>0</v>
      </c>
      <c r="D465" s="170">
        <f t="shared" si="185"/>
        <v>0</v>
      </c>
      <c r="E465" s="170">
        <f t="shared" si="186"/>
        <v>0</v>
      </c>
      <c r="F465" s="170">
        <f t="shared" si="187"/>
        <v>0</v>
      </c>
      <c r="G465" s="171">
        <f t="shared" si="188"/>
        <v>0</v>
      </c>
      <c r="H465" s="171">
        <f t="shared" si="189"/>
        <v>86336.459975379505</v>
      </c>
      <c r="I465" s="171">
        <f>IF(B465="Working",MIN(MAX(D465-E465-F465-G465-H465,0),'Tax Assumptions'!$B$20),0)</f>
        <v>0</v>
      </c>
      <c r="J465" s="171">
        <f t="shared" si="190"/>
        <v>-346336.45997537952</v>
      </c>
      <c r="K465" s="170">
        <f t="shared" si="191"/>
        <v>346336.45997537952</v>
      </c>
      <c r="L465" s="170">
        <f t="shared" si="192"/>
        <v>346336.45997537952</v>
      </c>
      <c r="M465" s="170">
        <f t="shared" si="198"/>
        <v>346336.45997537952</v>
      </c>
      <c r="N465" s="170">
        <f t="shared" si="199"/>
        <v>0</v>
      </c>
      <c r="O465" s="170">
        <f t="shared" si="200"/>
        <v>0</v>
      </c>
      <c r="P465" s="170">
        <f t="shared" si="201"/>
        <v>0</v>
      </c>
      <c r="Q465" s="171">
        <f t="shared" si="202"/>
        <v>5242790.3358313562</v>
      </c>
      <c r="R465" s="171">
        <f t="shared" si="203"/>
        <v>1233509.7570003709</v>
      </c>
      <c r="S465" s="171">
        <f t="shared" si="204"/>
        <v>377605.02765317471</v>
      </c>
      <c r="T465" s="171">
        <f t="shared" si="205"/>
        <v>0</v>
      </c>
      <c r="U465" s="171">
        <f t="shared" si="193"/>
        <v>6853905.1204849016</v>
      </c>
      <c r="V465" s="171">
        <f t="shared" si="206"/>
        <v>0</v>
      </c>
      <c r="W465" s="171">
        <f>IF(OR(A465&gt;=$C$13,B465="Retired"),IF(V465&gt;0,-V465,U465-'Model Inputs'!$B$18),"")</f>
        <v>5853905.1204849016</v>
      </c>
      <c r="X465" s="171">
        <f t="shared" si="194"/>
        <v>2001429.3378017491</v>
      </c>
      <c r="Y465" s="171">
        <f t="shared" si="195"/>
        <v>209722.34611009574</v>
      </c>
      <c r="Z465" s="171">
        <f t="shared" si="196"/>
        <v>1791706.9916916534</v>
      </c>
      <c r="AA465" s="172">
        <f t="shared" si="197"/>
        <v>8645612.1121765543</v>
      </c>
      <c r="AB465" s="5"/>
      <c r="AC465" s="5"/>
      <c r="AD465" s="5"/>
      <c r="AE465" s="5"/>
      <c r="AF465" s="5"/>
      <c r="AG465" s="5"/>
    </row>
    <row r="466" spans="1:33" x14ac:dyDescent="0.2">
      <c r="A466" s="173">
        <v>34</v>
      </c>
      <c r="B466" s="65" t="str">
        <f t="shared" si="183"/>
        <v>Retired</v>
      </c>
      <c r="C466" s="174">
        <f t="shared" si="184"/>
        <v>0</v>
      </c>
      <c r="D466" s="174">
        <f t="shared" si="185"/>
        <v>0</v>
      </c>
      <c r="E466" s="174">
        <f t="shared" si="186"/>
        <v>0</v>
      </c>
      <c r="F466" s="174">
        <f t="shared" si="187"/>
        <v>0</v>
      </c>
      <c r="G466" s="171">
        <f t="shared" si="188"/>
        <v>0</v>
      </c>
      <c r="H466" s="171">
        <f t="shared" si="189"/>
        <v>87657.403338328644</v>
      </c>
      <c r="I466" s="171">
        <f>IF(B466="Working",MIN(MAX(D466-E466-F466-G466-H466,0),'Tax Assumptions'!$B$20),0)</f>
        <v>0</v>
      </c>
      <c r="J466" s="171">
        <f t="shared" si="190"/>
        <v>-347657.40333832864</v>
      </c>
      <c r="K466" s="174">
        <f t="shared" si="191"/>
        <v>347657.40333832864</v>
      </c>
      <c r="L466" s="174">
        <f t="shared" si="192"/>
        <v>347657.40333832864</v>
      </c>
      <c r="M466" s="174">
        <f t="shared" si="198"/>
        <v>347657.40333832864</v>
      </c>
      <c r="N466" s="174">
        <f t="shared" si="199"/>
        <v>0</v>
      </c>
      <c r="O466" s="174">
        <f t="shared" si="200"/>
        <v>0</v>
      </c>
      <c r="P466" s="174">
        <f t="shared" si="201"/>
        <v>0</v>
      </c>
      <c r="Q466" s="171">
        <f t="shared" si="202"/>
        <v>5209700.3526429087</v>
      </c>
      <c r="R466" s="171">
        <f t="shared" si="203"/>
        <v>1307520.3424203931</v>
      </c>
      <c r="S466" s="171">
        <f t="shared" si="204"/>
        <v>400261.32931236521</v>
      </c>
      <c r="T466" s="171">
        <f t="shared" si="205"/>
        <v>0</v>
      </c>
      <c r="U466" s="171">
        <f t="shared" si="193"/>
        <v>6917482.0243756678</v>
      </c>
      <c r="V466" s="171">
        <f t="shared" si="206"/>
        <v>0</v>
      </c>
      <c r="W466" s="171">
        <f>IF(OR(A466&gt;=$C$13,B466="Retired"),IF(V466&gt;0,-V466,U466-'Model Inputs'!$B$18),"")</f>
        <v>5917482.0243756678</v>
      </c>
      <c r="X466" s="171">
        <f t="shared" si="194"/>
        <v>2061472.2179358013</v>
      </c>
      <c r="Y466" s="171">
        <f t="shared" si="195"/>
        <v>180179.45275865542</v>
      </c>
      <c r="Z466" s="171">
        <f t="shared" si="196"/>
        <v>1881292.7651771458</v>
      </c>
      <c r="AA466" s="175">
        <f t="shared" si="197"/>
        <v>8798774.7895528134</v>
      </c>
      <c r="AB466" s="5"/>
      <c r="AC466" s="5"/>
      <c r="AD466" s="5"/>
      <c r="AE466" s="5"/>
      <c r="AF466" s="5"/>
      <c r="AG466" s="5"/>
    </row>
    <row r="467" spans="1:33" x14ac:dyDescent="0.2">
      <c r="A467" s="169">
        <v>35</v>
      </c>
      <c r="B467" s="100" t="str">
        <f t="shared" si="183"/>
        <v>Retired</v>
      </c>
      <c r="C467" s="170">
        <f t="shared" si="184"/>
        <v>0</v>
      </c>
      <c r="D467" s="170">
        <f t="shared" si="185"/>
        <v>0</v>
      </c>
      <c r="E467" s="170">
        <f t="shared" si="186"/>
        <v>0</v>
      </c>
      <c r="F467" s="170">
        <f t="shared" si="187"/>
        <v>0</v>
      </c>
      <c r="G467" s="171">
        <f t="shared" si="188"/>
        <v>0</v>
      </c>
      <c r="H467" s="171">
        <f t="shared" si="189"/>
        <v>89017.975002166277</v>
      </c>
      <c r="I467" s="171">
        <f>IF(B467="Working",MIN(MAX(D467-E467-F467-G467-H467,0),'Tax Assumptions'!$B$20),0)</f>
        <v>0</v>
      </c>
      <c r="J467" s="171">
        <f t="shared" si="190"/>
        <v>-349017.97500216629</v>
      </c>
      <c r="K467" s="170">
        <f t="shared" si="191"/>
        <v>349017.97500216629</v>
      </c>
      <c r="L467" s="170">
        <f t="shared" si="192"/>
        <v>349017.97500216629</v>
      </c>
      <c r="M467" s="170">
        <f t="shared" si="198"/>
        <v>349017.97500216629</v>
      </c>
      <c r="N467" s="170">
        <f t="shared" si="199"/>
        <v>0</v>
      </c>
      <c r="O467" s="170">
        <f t="shared" si="200"/>
        <v>0</v>
      </c>
      <c r="P467" s="170">
        <f t="shared" si="201"/>
        <v>0</v>
      </c>
      <c r="Q467" s="171">
        <f t="shared" si="202"/>
        <v>5173264.3987993179</v>
      </c>
      <c r="R467" s="171">
        <f t="shared" si="203"/>
        <v>1385971.5629656168</v>
      </c>
      <c r="S467" s="171">
        <f t="shared" si="204"/>
        <v>424277.00907110714</v>
      </c>
      <c r="T467" s="171">
        <f t="shared" si="205"/>
        <v>0</v>
      </c>
      <c r="U467" s="171">
        <f t="shared" si="193"/>
        <v>6983512.9708360415</v>
      </c>
      <c r="V467" s="171">
        <f t="shared" si="206"/>
        <v>0</v>
      </c>
      <c r="W467" s="171">
        <f>IF(OR(A467&gt;=$C$13,B467="Retired"),IF(V467&gt;0,-V467,U467-'Model Inputs'!$B$18),"")</f>
        <v>5983512.9708360415</v>
      </c>
      <c r="X467" s="171">
        <f t="shared" si="194"/>
        <v>2123316.3844738752</v>
      </c>
      <c r="Y467" s="171">
        <f t="shared" si="195"/>
        <v>148658.01712595532</v>
      </c>
      <c r="Z467" s="171">
        <f t="shared" si="196"/>
        <v>1974658.3673479198</v>
      </c>
      <c r="AA467" s="172">
        <f t="shared" si="197"/>
        <v>8958171.3381839618</v>
      </c>
      <c r="AB467" s="5"/>
      <c r="AC467" s="5"/>
      <c r="AD467" s="5"/>
      <c r="AE467" s="5"/>
      <c r="AF467" s="5"/>
      <c r="AG467" s="5"/>
    </row>
    <row r="468" spans="1:33" x14ac:dyDescent="0.2">
      <c r="A468" s="173">
        <v>36</v>
      </c>
      <c r="B468" s="65" t="str">
        <f t="shared" si="183"/>
        <v>Retired</v>
      </c>
      <c r="C468" s="174">
        <f t="shared" si="184"/>
        <v>0</v>
      </c>
      <c r="D468" s="174">
        <f t="shared" si="185"/>
        <v>0</v>
      </c>
      <c r="E468" s="174">
        <f t="shared" si="186"/>
        <v>0</v>
      </c>
      <c r="F468" s="174">
        <f t="shared" si="187"/>
        <v>0</v>
      </c>
      <c r="G468" s="171">
        <f t="shared" si="188"/>
        <v>0</v>
      </c>
      <c r="H468" s="171">
        <f t="shared" si="189"/>
        <v>90419.363815919045</v>
      </c>
      <c r="I468" s="171">
        <f>IF(B468="Working",MIN(MAX(D468-E468-F468-G468-H468,0),'Tax Assumptions'!$B$20),0)</f>
        <v>0</v>
      </c>
      <c r="J468" s="171">
        <f t="shared" si="190"/>
        <v>-350419.36381591903</v>
      </c>
      <c r="K468" s="174">
        <f t="shared" si="191"/>
        <v>350419.36381591903</v>
      </c>
      <c r="L468" s="174">
        <f t="shared" si="192"/>
        <v>350419.36381591903</v>
      </c>
      <c r="M468" s="174">
        <f t="shared" si="198"/>
        <v>350419.36381591903</v>
      </c>
      <c r="N468" s="174">
        <f t="shared" si="199"/>
        <v>0</v>
      </c>
      <c r="O468" s="174">
        <f t="shared" si="200"/>
        <v>0</v>
      </c>
      <c r="P468" s="174">
        <f t="shared" si="201"/>
        <v>0</v>
      </c>
      <c r="Q468" s="171">
        <f t="shared" si="202"/>
        <v>5133240.8989113588</v>
      </c>
      <c r="R468" s="171">
        <f t="shared" si="203"/>
        <v>1469129.8567435539</v>
      </c>
      <c r="S468" s="171">
        <f t="shared" si="204"/>
        <v>449733.62961537362</v>
      </c>
      <c r="T468" s="171">
        <f t="shared" si="205"/>
        <v>0</v>
      </c>
      <c r="U468" s="171">
        <f t="shared" si="193"/>
        <v>7052104.3852702864</v>
      </c>
      <c r="V468" s="171">
        <f t="shared" si="206"/>
        <v>0</v>
      </c>
      <c r="W468" s="171">
        <f>IF(OR(A468&gt;=$C$13,B468="Retired"),IF(V468&gt;0,-V468,U468-'Model Inputs'!$B$18),"")</f>
        <v>6052104.3852702864</v>
      </c>
      <c r="X468" s="171">
        <f t="shared" si="194"/>
        <v>2187015.876008092</v>
      </c>
      <c r="Y468" s="171">
        <f t="shared" si="195"/>
        <v>115025.53257115465</v>
      </c>
      <c r="Z468" s="171">
        <f t="shared" si="196"/>
        <v>2071990.3434369373</v>
      </c>
      <c r="AA468" s="175">
        <f t="shared" si="197"/>
        <v>9124094.7287072241</v>
      </c>
      <c r="AB468" s="5"/>
      <c r="AC468" s="5"/>
      <c r="AD468" s="5"/>
      <c r="AE468" s="5"/>
      <c r="AF468" s="5"/>
      <c r="AG468" s="5"/>
    </row>
    <row r="469" spans="1:33" x14ac:dyDescent="0.2">
      <c r="A469" s="169">
        <v>37</v>
      </c>
      <c r="B469" s="100" t="str">
        <f t="shared" si="183"/>
        <v>Retired</v>
      </c>
      <c r="C469" s="170">
        <f t="shared" si="184"/>
        <v>0</v>
      </c>
      <c r="D469" s="170">
        <f t="shared" si="185"/>
        <v>0</v>
      </c>
      <c r="E469" s="170">
        <f t="shared" si="186"/>
        <v>0</v>
      </c>
      <c r="F469" s="170">
        <f t="shared" si="187"/>
        <v>0</v>
      </c>
      <c r="G469" s="171">
        <f t="shared" si="188"/>
        <v>0</v>
      </c>
      <c r="H469" s="171">
        <f t="shared" si="189"/>
        <v>91862.794294084364</v>
      </c>
      <c r="I469" s="171">
        <f>IF(B469="Working",MIN(MAX(D469-E469-F469-G469-H469,0),'Tax Assumptions'!$B$20),0)</f>
        <v>0</v>
      </c>
      <c r="J469" s="171">
        <f t="shared" si="190"/>
        <v>-351862.79429408436</v>
      </c>
      <c r="K469" s="170">
        <f t="shared" si="191"/>
        <v>351862.79429408436</v>
      </c>
      <c r="L469" s="170">
        <f t="shared" si="192"/>
        <v>351862.79429408436</v>
      </c>
      <c r="M469" s="170">
        <f t="shared" si="198"/>
        <v>351862.79429408436</v>
      </c>
      <c r="N469" s="170">
        <f t="shared" si="199"/>
        <v>0</v>
      </c>
      <c r="O469" s="170">
        <f t="shared" si="200"/>
        <v>0</v>
      </c>
      <c r="P469" s="170">
        <f t="shared" si="201"/>
        <v>0</v>
      </c>
      <c r="Q469" s="171">
        <f t="shared" si="202"/>
        <v>5089372.558551956</v>
      </c>
      <c r="R469" s="171">
        <f t="shared" si="203"/>
        <v>1557277.6481481672</v>
      </c>
      <c r="S469" s="171">
        <f t="shared" si="204"/>
        <v>476717.64739229606</v>
      </c>
      <c r="T469" s="171">
        <f t="shared" si="205"/>
        <v>0</v>
      </c>
      <c r="U469" s="171">
        <f t="shared" si="193"/>
        <v>7123367.8540924191</v>
      </c>
      <c r="V469" s="171">
        <f t="shared" si="206"/>
        <v>0</v>
      </c>
      <c r="W469" s="171">
        <f>IF(OR(A469&gt;=$C$13,B469="Retired"),IF(V469&gt;0,-V469,U469-'Model Inputs'!$B$18),"")</f>
        <v>6123367.8540924191</v>
      </c>
      <c r="X469" s="171">
        <f t="shared" si="194"/>
        <v>2252626.3522883342</v>
      </c>
      <c r="Y469" s="171">
        <f t="shared" si="195"/>
        <v>79140.618238272611</v>
      </c>
      <c r="Z469" s="171">
        <f t="shared" si="196"/>
        <v>2173485.7340500616</v>
      </c>
      <c r="AA469" s="172">
        <f t="shared" si="197"/>
        <v>9296853.5881424807</v>
      </c>
      <c r="AB469" s="5"/>
      <c r="AC469" s="5"/>
      <c r="AD469" s="5"/>
      <c r="AE469" s="5"/>
      <c r="AF469" s="5"/>
      <c r="AG469" s="5"/>
    </row>
    <row r="470" spans="1:33" x14ac:dyDescent="0.2">
      <c r="A470" s="173">
        <v>38</v>
      </c>
      <c r="B470" s="65" t="str">
        <f t="shared" si="183"/>
        <v>Retired</v>
      </c>
      <c r="C470" s="174">
        <f t="shared" si="184"/>
        <v>0</v>
      </c>
      <c r="D470" s="174">
        <f t="shared" si="185"/>
        <v>0</v>
      </c>
      <c r="E470" s="174">
        <f t="shared" si="186"/>
        <v>0</v>
      </c>
      <c r="F470" s="174">
        <f t="shared" si="187"/>
        <v>0</v>
      </c>
      <c r="G470" s="171">
        <f t="shared" si="188"/>
        <v>0</v>
      </c>
      <c r="H470" s="171">
        <f t="shared" si="189"/>
        <v>93349.52768659468</v>
      </c>
      <c r="I470" s="171">
        <f>IF(B470="Working",MIN(MAX(D470-E470-F470-G470-H470,0),'Tax Assumptions'!$B$20),0)</f>
        <v>0</v>
      </c>
      <c r="J470" s="171">
        <f t="shared" si="190"/>
        <v>-353349.52768659469</v>
      </c>
      <c r="K470" s="174">
        <f t="shared" si="191"/>
        <v>353349.52768659469</v>
      </c>
      <c r="L470" s="174">
        <f t="shared" si="192"/>
        <v>353349.52768659469</v>
      </c>
      <c r="M470" s="174">
        <f t="shared" si="198"/>
        <v>353349.52768659469</v>
      </c>
      <c r="N470" s="174">
        <f t="shared" si="199"/>
        <v>0</v>
      </c>
      <c r="O470" s="174">
        <f t="shared" si="200"/>
        <v>0</v>
      </c>
      <c r="P470" s="174">
        <f t="shared" si="201"/>
        <v>0</v>
      </c>
      <c r="Q470" s="171">
        <f t="shared" si="202"/>
        <v>5041385.3843784789</v>
      </c>
      <c r="R470" s="171">
        <f t="shared" si="203"/>
        <v>1650714.3070370574</v>
      </c>
      <c r="S470" s="171">
        <f t="shared" si="204"/>
        <v>505320.70623583387</v>
      </c>
      <c r="T470" s="171">
        <f t="shared" si="205"/>
        <v>0</v>
      </c>
      <c r="U470" s="171">
        <f t="shared" si="193"/>
        <v>7197420.3976513697</v>
      </c>
      <c r="V470" s="171">
        <f t="shared" si="206"/>
        <v>0</v>
      </c>
      <c r="W470" s="171">
        <f>IF(OR(A470&gt;=$C$13,B470="Retired"),IF(V470&gt;0,-V470,U470-'Model Inputs'!$B$18),"")</f>
        <v>6197420.3976513697</v>
      </c>
      <c r="X470" s="171">
        <f t="shared" si="194"/>
        <v>2320205.1428569844</v>
      </c>
      <c r="Y470" s="171">
        <f t="shared" si="195"/>
        <v>40852.424733563792</v>
      </c>
      <c r="Z470" s="171">
        <f t="shared" si="196"/>
        <v>2279352.7181234206</v>
      </c>
      <c r="AA470" s="175">
        <f t="shared" si="197"/>
        <v>9476773.1157747898</v>
      </c>
      <c r="AB470" s="5"/>
      <c r="AC470" s="5"/>
      <c r="AD470" s="5"/>
      <c r="AE470" s="5"/>
      <c r="AF470" s="5"/>
      <c r="AG470" s="5"/>
    </row>
    <row r="471" spans="1:33" x14ac:dyDescent="0.2">
      <c r="A471" s="169">
        <v>39</v>
      </c>
      <c r="B471" s="100" t="str">
        <f t="shared" si="183"/>
        <v>Retired</v>
      </c>
      <c r="C471" s="170">
        <f t="shared" si="184"/>
        <v>0</v>
      </c>
      <c r="D471" s="170">
        <f t="shared" si="185"/>
        <v>0</v>
      </c>
      <c r="E471" s="170">
        <f t="shared" si="186"/>
        <v>0</v>
      </c>
      <c r="F471" s="170">
        <f t="shared" si="187"/>
        <v>0</v>
      </c>
      <c r="G471" s="171">
        <f t="shared" si="188"/>
        <v>0</v>
      </c>
      <c r="H471" s="171">
        <f t="shared" si="189"/>
        <v>94880.863080880285</v>
      </c>
      <c r="I471" s="171">
        <f>IF(B471="Working",MIN(MAX(D471-E471-F471-G471-H471,0),'Tax Assumptions'!$B$20),0)</f>
        <v>0</v>
      </c>
      <c r="J471" s="171">
        <f t="shared" si="190"/>
        <v>-354880.86308088026</v>
      </c>
      <c r="K471" s="170">
        <f t="shared" si="191"/>
        <v>354880.86308088026</v>
      </c>
      <c r="L471" s="170">
        <f t="shared" si="192"/>
        <v>354880.86308088026</v>
      </c>
      <c r="M471" s="170">
        <f t="shared" si="198"/>
        <v>354880.86308088026</v>
      </c>
      <c r="N471" s="170">
        <f t="shared" si="199"/>
        <v>0</v>
      </c>
      <c r="O471" s="170">
        <f t="shared" si="200"/>
        <v>0</v>
      </c>
      <c r="P471" s="170">
        <f t="shared" si="201"/>
        <v>0</v>
      </c>
      <c r="Q471" s="171">
        <f t="shared" si="202"/>
        <v>4988987.6443603076</v>
      </c>
      <c r="R471" s="171">
        <f t="shared" si="203"/>
        <v>1749757.1654592808</v>
      </c>
      <c r="S471" s="171">
        <f t="shared" si="204"/>
        <v>535639.9486099839</v>
      </c>
      <c r="T471" s="171">
        <f t="shared" si="205"/>
        <v>0</v>
      </c>
      <c r="U471" s="171">
        <f t="shared" si="193"/>
        <v>7274384.758429572</v>
      </c>
      <c r="V471" s="171">
        <f t="shared" si="206"/>
        <v>0</v>
      </c>
      <c r="W471" s="171">
        <f>IF(OR(A471&gt;=$C$13,B471="Retired"),IF(V471&gt;0,-V471,U471-'Model Inputs'!$B$18),"")</f>
        <v>6274384.758429572</v>
      </c>
      <c r="X471" s="171">
        <f t="shared" si="194"/>
        <v>2389811.2971426938</v>
      </c>
      <c r="Y471" s="171">
        <f t="shared" si="195"/>
        <v>0</v>
      </c>
      <c r="Z471" s="171">
        <f t="shared" si="196"/>
        <v>2389811.2971426938</v>
      </c>
      <c r="AA471" s="172">
        <f t="shared" si="197"/>
        <v>9664196.0555722658</v>
      </c>
      <c r="AB471" s="5"/>
      <c r="AC471" s="5"/>
      <c r="AD471" s="5"/>
      <c r="AE471" s="5"/>
      <c r="AF471" s="5"/>
      <c r="AG471" s="5"/>
    </row>
    <row r="472" spans="1:33" x14ac:dyDescent="0.2">
      <c r="A472" s="173">
        <v>40</v>
      </c>
      <c r="B472" s="65" t="str">
        <f t="shared" si="183"/>
        <v>Retired</v>
      </c>
      <c r="C472" s="174">
        <f t="shared" si="184"/>
        <v>0</v>
      </c>
      <c r="D472" s="174">
        <f t="shared" si="185"/>
        <v>0</v>
      </c>
      <c r="E472" s="174">
        <f t="shared" si="186"/>
        <v>0</v>
      </c>
      <c r="F472" s="174">
        <f t="shared" si="187"/>
        <v>0</v>
      </c>
      <c r="G472" s="171">
        <f t="shared" si="188"/>
        <v>0</v>
      </c>
      <c r="H472" s="171">
        <f t="shared" si="189"/>
        <v>54153.123993253437</v>
      </c>
      <c r="I472" s="171">
        <f>IF(B472="Working",MIN(MAX(D472-E472-F472-G472-H472,0),'Tax Assumptions'!$B$20),0)</f>
        <v>0</v>
      </c>
      <c r="J472" s="171">
        <f t="shared" si="190"/>
        <v>-314153.12399325345</v>
      </c>
      <c r="K472" s="174">
        <f t="shared" si="191"/>
        <v>314153.12399325345</v>
      </c>
      <c r="L472" s="174">
        <f t="shared" si="192"/>
        <v>314153.12399325345</v>
      </c>
      <c r="M472" s="174">
        <f t="shared" si="198"/>
        <v>314153.12399325345</v>
      </c>
      <c r="N472" s="174">
        <f t="shared" si="199"/>
        <v>0</v>
      </c>
      <c r="O472" s="174">
        <f t="shared" si="200"/>
        <v>0</v>
      </c>
      <c r="P472" s="174">
        <f t="shared" si="201"/>
        <v>0</v>
      </c>
      <c r="Q472" s="171">
        <f t="shared" si="202"/>
        <v>4974173.7790286727</v>
      </c>
      <c r="R472" s="171">
        <f t="shared" si="203"/>
        <v>1854742.5953868378</v>
      </c>
      <c r="S472" s="171">
        <f t="shared" si="204"/>
        <v>567778.34552658291</v>
      </c>
      <c r="T472" s="171">
        <f t="shared" si="205"/>
        <v>0</v>
      </c>
      <c r="U472" s="171">
        <f t="shared" si="193"/>
        <v>7396694.7199420929</v>
      </c>
      <c r="V472" s="171">
        <f t="shared" si="206"/>
        <v>0</v>
      </c>
      <c r="W472" s="171">
        <f>IF(OR(A472&gt;=$C$13,B472="Retired"),IF(V472&gt;0,-V472,U472-'Model Inputs'!$B$18),"")</f>
        <v>6396694.7199420929</v>
      </c>
      <c r="X472" s="171">
        <f t="shared" si="194"/>
        <v>2461505.6360569745</v>
      </c>
      <c r="Y472" s="171">
        <f t="shared" si="195"/>
        <v>0</v>
      </c>
      <c r="Z472" s="171">
        <f t="shared" si="196"/>
        <v>2461505.6360569745</v>
      </c>
      <c r="AA472" s="175">
        <f t="shared" si="197"/>
        <v>9858200.3559990674</v>
      </c>
      <c r="AB472" s="5"/>
      <c r="AC472" s="5"/>
      <c r="AD472" s="5"/>
      <c r="AE472" s="5"/>
      <c r="AF472" s="5"/>
      <c r="AG472" s="5"/>
    </row>
    <row r="473" spans="1:33" x14ac:dyDescent="0.2">
      <c r="A473" s="176" t="s">
        <v>369</v>
      </c>
      <c r="B473" s="177"/>
      <c r="C473" s="177"/>
      <c r="D473" s="177"/>
      <c r="E473" s="177"/>
      <c r="F473" s="177"/>
      <c r="G473" s="178">
        <f t="shared" ref="G473:P473" si="207">SUM(G433:G472)</f>
        <v>481701.17200139578</v>
      </c>
      <c r="H473" s="178">
        <f t="shared" si="207"/>
        <v>2384728.6910258122</v>
      </c>
      <c r="I473" s="178">
        <f t="shared" si="207"/>
        <v>75000</v>
      </c>
      <c r="J473" s="178">
        <f t="shared" si="207"/>
        <v>-5818837.6229866846</v>
      </c>
      <c r="K473" s="178">
        <f t="shared" si="207"/>
        <v>10120113.306410426</v>
      </c>
      <c r="L473" s="178">
        <f t="shared" si="207"/>
        <v>10120113.306410426</v>
      </c>
      <c r="M473" s="178">
        <f t="shared" si="207"/>
        <v>10120113.306410426</v>
      </c>
      <c r="N473" s="178">
        <f t="shared" si="207"/>
        <v>0</v>
      </c>
      <c r="O473" s="178">
        <f t="shared" si="207"/>
        <v>0</v>
      </c>
      <c r="P473" s="178">
        <f t="shared" si="207"/>
        <v>0</v>
      </c>
      <c r="Q473" s="178">
        <f>Q472</f>
        <v>4974173.7790286727</v>
      </c>
      <c r="R473" s="178">
        <f>R472</f>
        <v>1854742.5953868378</v>
      </c>
      <c r="S473" s="178">
        <f>S472</f>
        <v>567778.34552658291</v>
      </c>
      <c r="T473" s="178">
        <f>T472</f>
        <v>0</v>
      </c>
      <c r="U473" s="178">
        <f>U472</f>
        <v>7396694.7199420929</v>
      </c>
      <c r="V473" s="178">
        <f>SUM(V433:V472)</f>
        <v>0</v>
      </c>
      <c r="W473" s="178">
        <f>MIN(W433:W472)</f>
        <v>4883925.0838471139</v>
      </c>
      <c r="X473" s="178">
        <f>X472</f>
        <v>2461505.6360569745</v>
      </c>
      <c r="Y473" s="178">
        <f>Y472</f>
        <v>0</v>
      </c>
      <c r="Z473" s="178">
        <f>Z472</f>
        <v>2461505.6360569745</v>
      </c>
      <c r="AA473" s="179">
        <f>AA472</f>
        <v>9858200.3559990674</v>
      </c>
      <c r="AB473" s="5"/>
      <c r="AC473" s="5"/>
      <c r="AD473" s="5"/>
      <c r="AE473" s="5"/>
      <c r="AF473" s="5"/>
      <c r="AG473" s="5"/>
    </row>
    <row r="474" spans="1:33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x14ac:dyDescent="0.2">
      <c r="A475" s="319" t="str">
        <f>J232&amp;" | House "&amp;TEXT($L$232,"$#,##0")&amp;" | Spend "&amp;TEXT($N$232,"$#,##0")</f>
        <v>Case 06 | House $1,352,144 | Spend $140,000</v>
      </c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  <c r="AA475" s="289"/>
      <c r="AB475" s="5"/>
      <c r="AC475" s="5"/>
      <c r="AD475" s="5"/>
      <c r="AE475" s="5"/>
      <c r="AF475" s="5"/>
      <c r="AG475" s="5"/>
    </row>
    <row r="476" spans="1:33" ht="34" customHeight="1" x14ac:dyDescent="0.2">
      <c r="A476" s="167" t="s">
        <v>224</v>
      </c>
      <c r="B476" s="112" t="s">
        <v>106</v>
      </c>
      <c r="C476" s="112" t="s">
        <v>357</v>
      </c>
      <c r="D476" s="112" t="s">
        <v>66</v>
      </c>
      <c r="E476" s="112" t="s">
        <v>300</v>
      </c>
      <c r="F476" s="112" t="s">
        <v>301</v>
      </c>
      <c r="G476" s="112" t="s">
        <v>358</v>
      </c>
      <c r="H476" s="112" t="s">
        <v>359</v>
      </c>
      <c r="I476" s="112" t="s">
        <v>69</v>
      </c>
      <c r="J476" s="112" t="s">
        <v>360</v>
      </c>
      <c r="K476" s="112" t="s">
        <v>361</v>
      </c>
      <c r="L476" s="112" t="s">
        <v>362</v>
      </c>
      <c r="M476" s="112" t="s">
        <v>304</v>
      </c>
      <c r="N476" s="112" t="s">
        <v>305</v>
      </c>
      <c r="O476" s="112" t="s">
        <v>306</v>
      </c>
      <c r="P476" s="112" t="s">
        <v>307</v>
      </c>
      <c r="Q476" s="112" t="s">
        <v>363</v>
      </c>
      <c r="R476" s="112" t="s">
        <v>364</v>
      </c>
      <c r="S476" s="112" t="s">
        <v>365</v>
      </c>
      <c r="T476" s="112" t="s">
        <v>366</v>
      </c>
      <c r="U476" s="112" t="s">
        <v>308</v>
      </c>
      <c r="V476" s="112" t="s">
        <v>309</v>
      </c>
      <c r="W476" s="112" t="s">
        <v>367</v>
      </c>
      <c r="X476" s="112" t="s">
        <v>311</v>
      </c>
      <c r="Y476" s="112" t="s">
        <v>312</v>
      </c>
      <c r="Z476" s="112" t="s">
        <v>313</v>
      </c>
      <c r="AA476" s="168" t="s">
        <v>368</v>
      </c>
      <c r="AB476" s="5"/>
      <c r="AC476" s="5"/>
      <c r="AD476" s="5"/>
      <c r="AE476" s="5"/>
      <c r="AF476" s="5"/>
      <c r="AG476" s="5"/>
    </row>
    <row r="477" spans="1:33" x14ac:dyDescent="0.2">
      <c r="A477" s="169">
        <v>1</v>
      </c>
      <c r="B477" s="100" t="str">
        <f t="shared" ref="B477:B516" si="208">B80</f>
        <v>Working</v>
      </c>
      <c r="C477" s="170">
        <f t="shared" ref="C477:C516" si="209">D80</f>
        <v>550000</v>
      </c>
      <c r="D477" s="170">
        <f t="shared" ref="D477:D516" si="210">I80</f>
        <v>302665.46999999997</v>
      </c>
      <c r="E477" s="170">
        <f t="shared" ref="E477:E516" si="211">J80</f>
        <v>78000</v>
      </c>
      <c r="F477" s="170">
        <f t="shared" ref="F477:F516" si="212">K80</f>
        <v>40000</v>
      </c>
      <c r="G477" s="171">
        <f t="shared" ref="G477:G516" si="213">IF(AND($L$232&gt;0,A477=$C$13),$L$232*($C$15+$C$18),0)+IF(AND($L$232&gt;0,A477=$C$13),$C$24,0)</f>
        <v>0</v>
      </c>
      <c r="H477" s="171">
        <f t="shared" ref="H477:H516" si="214">IF(OR($L$232&lt;=0,A477&lt;$C$13),0,IF(AND($L$232&gt;0,$C$17&gt;0,A477&gt;=$C$13,A477&lt;($C$13+$C$17)),IF($C$17&lt;=0,0,IF($C$16=0,MAX($L$232*(1-$C$15),0)/$C$17,-PMT($C$16/12,$C$17*12,MAX($L$232*(1-$C$15),0))*12)),0)+X477*($C$19+$C$20+$C$21)+$C$22+$C$23)</f>
        <v>0</v>
      </c>
      <c r="I477" s="171">
        <f>IF(B477="Working",MIN(MAX(D477-E477-F477-G477-H477,0),'Tax Assumptions'!$B$20),0)</f>
        <v>7500</v>
      </c>
      <c r="J477" s="171">
        <f t="shared" ref="J477:J516" si="215">IF(B477="Working",D477-E477-F477-I477-G477-H477,-L477)</f>
        <v>177165.46999999997</v>
      </c>
      <c r="K477" s="170">
        <f t="shared" ref="K477:K516" si="216">IF(B477="Retired",$N$232+G477+H477,0)</f>
        <v>0</v>
      </c>
      <c r="L477" s="170">
        <f t="shared" ref="L477:L516" si="217">M477+N477+O477+P477</f>
        <v>0</v>
      </c>
      <c r="M477" s="170">
        <f>IF(B477="Retired",MIN((('Savings Projection'!$B$7)*(1+$C$10)+IF(B477="Working",J477,0)),K477),0)</f>
        <v>0</v>
      </c>
      <c r="N477" s="170">
        <f>IF(B477="Retired",MIN(MAX(K477-M477,0),(('Savings Projection'!$B$8)*(1+$C$10)+IF(B477="Working",E80,0))),0)</f>
        <v>0</v>
      </c>
      <c r="O477" s="170">
        <f>IF(B477="Retired",MIN(MAX(K477-M477-N477,0),(('Savings Projection'!$B$9)*(1+$C$10)+IF(B477="Working",I477,0))),0)</f>
        <v>0</v>
      </c>
      <c r="P477" s="170">
        <f>IF(B477="Retired",MIN(MAX(K477-M477-N477-O477,0),(('Savings Projection'!$B$10)*(1+$C$10)+IF(B477="Working",F80,0))),0)</f>
        <v>0</v>
      </c>
      <c r="Q477" s="171">
        <f>MAX((('Savings Projection'!$B$7)*(1+$C$10)+IF(B477="Working",J477,0))-M477,0)</f>
        <v>336165.47</v>
      </c>
      <c r="R477" s="171">
        <f>MAX((('Savings Projection'!$B$8)*(1+$C$10)+IF(B477="Working",E80,0))-N477,0)</f>
        <v>24500</v>
      </c>
      <c r="S477" s="171">
        <f>MAX((('Savings Projection'!$B$9)*(1+$C$10)+IF(B477="Working",I477,0))-O477,0)</f>
        <v>7500</v>
      </c>
      <c r="T477" s="171">
        <f>MAX((('Savings Projection'!$B$10)*(1+$C$10)+IF(B477="Working",F80,0))-P477,0)</f>
        <v>0</v>
      </c>
      <c r="U477" s="171">
        <f t="shared" ref="U477:U516" si="218">Q477+R477+S477+T477</f>
        <v>368165.47</v>
      </c>
      <c r="V477" s="171">
        <f>IF(B477="Working",MAX(-((('Savings Projection'!$B$7)*(1+$C$10)+IF(B477="Working",J477,0))),0),MAX(K477-L477,0))</f>
        <v>0</v>
      </c>
      <c r="W477" s="171" t="str">
        <f>IF(OR(A477&gt;=$C$13,B477="Retired"),IF(V477&gt;0,-V477,U477-'Model Inputs'!$B$18),"")</f>
        <v/>
      </c>
      <c r="X477" s="171">
        <f t="shared" ref="X477:X516" si="219">IF(AND($L$232&gt;0,A477&gt;=$C$13),$L$232*(1+$C$25)^(A477-$C$13),0)</f>
        <v>0</v>
      </c>
      <c r="Y477" s="171">
        <f t="shared" ref="Y477:Y516" si="220">IF(OR($L$232&lt;=0,$C$17&lt;=0,A477&lt;$C$13,MIN(MAX((A477-$C$13+1)*12,0),$C$17*12)&gt;=$C$17*12),0,IF($C$16=0,MAX(MAX($L$232*(1-$C$15),0)-(IF($C$17&lt;=0,0,IF($C$16=0,MAX($L$232*(1-$C$15),0)/$C$17,-PMT($C$16/12,$C$17*12,MAX($L$232*(1-$C$15),0))*12))/12)*MIN(MAX((A477-$C$13+1)*12,0),$C$17*12),0),MAX(MAX($L$232*(1-$C$15),0)*(1+$C$16/12)^MIN(MAX((A477-$C$13+1)*12,0),$C$17*12)-(IF($C$17&lt;=0,0,IF($C$16=0,MAX($L$232*(1-$C$15),0)/$C$17,-PMT($C$16/12,$C$17*12,MAX($L$232*(1-$C$15),0))*12))/12)*(((1+$C$16/12)^MIN(MAX((A477-$C$13+1)*12,0),$C$17*12)-1)/($C$16/12)),0)))</f>
        <v>0</v>
      </c>
      <c r="Z477" s="171">
        <f t="shared" ref="Z477:Z516" si="221">MAX(X477-Y477,0)</f>
        <v>0</v>
      </c>
      <c r="AA477" s="172">
        <f t="shared" ref="AA477:AA516" si="222">U477+Z477</f>
        <v>368165.47</v>
      </c>
      <c r="AB477" s="5"/>
      <c r="AC477" s="5"/>
      <c r="AD477" s="5"/>
      <c r="AE477" s="5"/>
      <c r="AF477" s="5"/>
      <c r="AG477" s="5"/>
    </row>
    <row r="478" spans="1:33" x14ac:dyDescent="0.2">
      <c r="A478" s="173">
        <v>2</v>
      </c>
      <c r="B478" s="65" t="str">
        <f t="shared" si="208"/>
        <v>Working</v>
      </c>
      <c r="C478" s="174">
        <f t="shared" si="209"/>
        <v>412500</v>
      </c>
      <c r="D478" s="174">
        <f t="shared" si="210"/>
        <v>231269.97</v>
      </c>
      <c r="E478" s="174">
        <f t="shared" si="211"/>
        <v>80340</v>
      </c>
      <c r="F478" s="174">
        <f t="shared" si="212"/>
        <v>41200</v>
      </c>
      <c r="G478" s="171">
        <f t="shared" si="213"/>
        <v>0</v>
      </c>
      <c r="H478" s="171">
        <f t="shared" si="214"/>
        <v>0</v>
      </c>
      <c r="I478" s="171">
        <f>IF(B478="Working",MIN(MAX(D478-E478-F478-G478-H478,0),'Tax Assumptions'!$B$20),0)</f>
        <v>7500</v>
      </c>
      <c r="J478" s="171">
        <f t="shared" si="215"/>
        <v>102229.97</v>
      </c>
      <c r="K478" s="174">
        <f t="shared" si="216"/>
        <v>0</v>
      </c>
      <c r="L478" s="174">
        <f t="shared" si="217"/>
        <v>0</v>
      </c>
      <c r="M478" s="174">
        <f t="shared" ref="M478:M516" si="223">IF(B478="Retired",MIN(((Q477)*(1+$C$10)+IF(B478="Working",J478,0)),K478),0)</f>
        <v>0</v>
      </c>
      <c r="N478" s="174">
        <f t="shared" ref="N478:N516" si="224">IF(B478="Retired",MIN(MAX(K478-M478,0),((R477)*(1+$C$10)+IF(B478="Working",E81,0))),0)</f>
        <v>0</v>
      </c>
      <c r="O478" s="174">
        <f t="shared" ref="O478:O516" si="225">IF(B478="Retired",MIN(MAX(K478-M478-N478,0),((S477)*(1+$C$10)+IF(B478="Working",I478,0))),0)</f>
        <v>0</v>
      </c>
      <c r="P478" s="174">
        <f t="shared" ref="P478:P516" si="226">IF(B478="Retired",MIN(MAX(K478-M478-N478-O478,0),((T477)*(1+$C$10)+IF(B478="Working",F81,0))),0)</f>
        <v>0</v>
      </c>
      <c r="Q478" s="171">
        <f t="shared" ref="Q478:Q516" si="227">MAX(((Q477)*(1+$C$10)+IF(B478="Working",J478,0))-M478,0)</f>
        <v>458565.36820000003</v>
      </c>
      <c r="R478" s="171">
        <f t="shared" ref="R478:R516" si="228">MAX(((R477)*(1+$C$10)+IF(B478="Working",E81,0))-N478,0)</f>
        <v>50470</v>
      </c>
      <c r="S478" s="171">
        <f t="shared" ref="S478:S516" si="229">MAX(((S477)*(1+$C$10)+IF(B478="Working",I478,0))-O478,0)</f>
        <v>15450</v>
      </c>
      <c r="T478" s="171">
        <f t="shared" ref="T478:T516" si="230">MAX(((T477)*(1+$C$10)+IF(B478="Working",F81,0))-P478,0)</f>
        <v>0</v>
      </c>
      <c r="U478" s="171">
        <f t="shared" si="218"/>
        <v>524485.36820000003</v>
      </c>
      <c r="V478" s="171">
        <f t="shared" ref="V478:V516" si="231">IF(B478="Working",MAX(-(((Q477)*(1+$C$10)+IF(B478="Working",J478,0))),0),MAX(K478-L478,0))</f>
        <v>0</v>
      </c>
      <c r="W478" s="171" t="str">
        <f>IF(OR(A478&gt;=$C$13,B478="Retired"),IF(V478&gt;0,-V478,U478-'Model Inputs'!$B$18),"")</f>
        <v/>
      </c>
      <c r="X478" s="171">
        <f t="shared" si="219"/>
        <v>0</v>
      </c>
      <c r="Y478" s="171">
        <f t="shared" si="220"/>
        <v>0</v>
      </c>
      <c r="Z478" s="171">
        <f t="shared" si="221"/>
        <v>0</v>
      </c>
      <c r="AA478" s="175">
        <f t="shared" si="222"/>
        <v>524485.36820000003</v>
      </c>
      <c r="AB478" s="5"/>
      <c r="AC478" s="5"/>
      <c r="AD478" s="5"/>
      <c r="AE478" s="5"/>
      <c r="AF478" s="5"/>
      <c r="AG478" s="5"/>
    </row>
    <row r="479" spans="1:33" x14ac:dyDescent="0.2">
      <c r="A479" s="169">
        <v>3</v>
      </c>
      <c r="B479" s="100" t="str">
        <f t="shared" si="208"/>
        <v>Working</v>
      </c>
      <c r="C479" s="170">
        <f t="shared" si="209"/>
        <v>675000</v>
      </c>
      <c r="D479" s="170">
        <f t="shared" si="210"/>
        <v>367570.47</v>
      </c>
      <c r="E479" s="170">
        <f t="shared" si="211"/>
        <v>82750.2</v>
      </c>
      <c r="F479" s="170">
        <f t="shared" si="212"/>
        <v>53045</v>
      </c>
      <c r="G479" s="171">
        <f t="shared" si="213"/>
        <v>0</v>
      </c>
      <c r="H479" s="171">
        <f t="shared" si="214"/>
        <v>0</v>
      </c>
      <c r="I479" s="171">
        <f>IF(B479="Working",MIN(MAX(D479-E479-F479-G479-H479,0),'Tax Assumptions'!$B$20),0)</f>
        <v>7500</v>
      </c>
      <c r="J479" s="171">
        <f t="shared" si="215"/>
        <v>224275.26999999996</v>
      </c>
      <c r="K479" s="170">
        <f t="shared" si="216"/>
        <v>0</v>
      </c>
      <c r="L479" s="170">
        <f t="shared" si="217"/>
        <v>0</v>
      </c>
      <c r="M479" s="170">
        <f t="shared" si="223"/>
        <v>0</v>
      </c>
      <c r="N479" s="170">
        <f t="shared" si="224"/>
        <v>0</v>
      </c>
      <c r="O479" s="170">
        <f t="shared" si="225"/>
        <v>0</v>
      </c>
      <c r="P479" s="170">
        <f t="shared" si="226"/>
        <v>0</v>
      </c>
      <c r="Q479" s="171">
        <f t="shared" si="227"/>
        <v>710354.56029199995</v>
      </c>
      <c r="R479" s="171">
        <f t="shared" si="228"/>
        <v>77998.200000000012</v>
      </c>
      <c r="S479" s="171">
        <f t="shared" si="229"/>
        <v>23877</v>
      </c>
      <c r="T479" s="171">
        <f t="shared" si="230"/>
        <v>0</v>
      </c>
      <c r="U479" s="171">
        <f t="shared" si="218"/>
        <v>812229.7602919999</v>
      </c>
      <c r="V479" s="171">
        <f t="shared" si="231"/>
        <v>0</v>
      </c>
      <c r="W479" s="171" t="str">
        <f>IF(OR(A479&gt;=$C$13,B479="Retired"),IF(V479&gt;0,-V479,U479-'Model Inputs'!$B$18),"")</f>
        <v/>
      </c>
      <c r="X479" s="171">
        <f t="shared" si="219"/>
        <v>0</v>
      </c>
      <c r="Y479" s="171">
        <f t="shared" si="220"/>
        <v>0</v>
      </c>
      <c r="Z479" s="171">
        <f t="shared" si="221"/>
        <v>0</v>
      </c>
      <c r="AA479" s="172">
        <f t="shared" si="222"/>
        <v>812229.7602919999</v>
      </c>
      <c r="AB479" s="5"/>
      <c r="AC479" s="5"/>
      <c r="AD479" s="5"/>
      <c r="AE479" s="5"/>
      <c r="AF479" s="5"/>
      <c r="AG479" s="5"/>
    </row>
    <row r="480" spans="1:33" x14ac:dyDescent="0.2">
      <c r="A480" s="173">
        <v>4</v>
      </c>
      <c r="B480" s="65" t="str">
        <f t="shared" si="208"/>
        <v>Working</v>
      </c>
      <c r="C480" s="174">
        <f t="shared" si="209"/>
        <v>750000</v>
      </c>
      <c r="D480" s="174">
        <f t="shared" si="210"/>
        <v>405137.47</v>
      </c>
      <c r="E480" s="174">
        <f t="shared" si="211"/>
        <v>85232.706000000006</v>
      </c>
      <c r="F480" s="174">
        <f t="shared" si="212"/>
        <v>54636.35</v>
      </c>
      <c r="G480" s="171">
        <f t="shared" si="213"/>
        <v>0</v>
      </c>
      <c r="H480" s="171">
        <f t="shared" si="214"/>
        <v>0</v>
      </c>
      <c r="I480" s="171">
        <f>IF(B480="Working",MIN(MAX(D480-E480-F480-G480-H480,0),'Tax Assumptions'!$B$20),0)</f>
        <v>7500</v>
      </c>
      <c r="J480" s="171">
        <f t="shared" si="215"/>
        <v>257768.41399999999</v>
      </c>
      <c r="K480" s="174">
        <f t="shared" si="216"/>
        <v>0</v>
      </c>
      <c r="L480" s="174">
        <f t="shared" si="217"/>
        <v>0</v>
      </c>
      <c r="M480" s="174">
        <f t="shared" si="223"/>
        <v>0</v>
      </c>
      <c r="N480" s="174">
        <f t="shared" si="224"/>
        <v>0</v>
      </c>
      <c r="O480" s="174">
        <f t="shared" si="225"/>
        <v>0</v>
      </c>
      <c r="P480" s="174">
        <f t="shared" si="226"/>
        <v>0</v>
      </c>
      <c r="Q480" s="171">
        <f t="shared" si="227"/>
        <v>1010744.2479095199</v>
      </c>
      <c r="R480" s="171">
        <f t="shared" si="228"/>
        <v>107178.09200000002</v>
      </c>
      <c r="S480" s="171">
        <f t="shared" si="229"/>
        <v>32809.620000000003</v>
      </c>
      <c r="T480" s="171">
        <f t="shared" si="230"/>
        <v>0</v>
      </c>
      <c r="U480" s="171">
        <f t="shared" si="218"/>
        <v>1150731.9599095201</v>
      </c>
      <c r="V480" s="171">
        <f t="shared" si="231"/>
        <v>0</v>
      </c>
      <c r="W480" s="171" t="str">
        <f>IF(OR(A480&gt;=$C$13,B480="Retired"),IF(V480&gt;0,-V480,U480-'Model Inputs'!$B$18),"")</f>
        <v/>
      </c>
      <c r="X480" s="171">
        <f t="shared" si="219"/>
        <v>0</v>
      </c>
      <c r="Y480" s="171">
        <f t="shared" si="220"/>
        <v>0</v>
      </c>
      <c r="Z480" s="171">
        <f t="shared" si="221"/>
        <v>0</v>
      </c>
      <c r="AA480" s="175">
        <f t="shared" si="222"/>
        <v>1150731.9599095201</v>
      </c>
      <c r="AB480" s="5"/>
      <c r="AC480" s="5"/>
      <c r="AD480" s="5"/>
      <c r="AE480" s="5"/>
      <c r="AF480" s="5"/>
      <c r="AG480" s="5"/>
    </row>
    <row r="481" spans="1:33" x14ac:dyDescent="0.2">
      <c r="A481" s="169">
        <v>5</v>
      </c>
      <c r="B481" s="100" t="str">
        <f t="shared" si="208"/>
        <v>Working</v>
      </c>
      <c r="C481" s="170">
        <f t="shared" si="209"/>
        <v>953837.51358640334</v>
      </c>
      <c r="D481" s="170">
        <f t="shared" si="210"/>
        <v>506901.31028287602</v>
      </c>
      <c r="E481" s="170">
        <f t="shared" si="211"/>
        <v>87789.687179999994</v>
      </c>
      <c r="F481" s="170">
        <f t="shared" si="212"/>
        <v>56275.440499999997</v>
      </c>
      <c r="G481" s="171">
        <f t="shared" si="213"/>
        <v>0</v>
      </c>
      <c r="H481" s="171">
        <f t="shared" si="214"/>
        <v>0</v>
      </c>
      <c r="I481" s="171">
        <f>IF(B481="Working",MIN(MAX(D481-E481-F481-G481-H481,0),'Tax Assumptions'!$B$20),0)</f>
        <v>7500</v>
      </c>
      <c r="J481" s="171">
        <f t="shared" si="215"/>
        <v>355336.18260287598</v>
      </c>
      <c r="K481" s="170">
        <f t="shared" si="216"/>
        <v>0</v>
      </c>
      <c r="L481" s="170">
        <f t="shared" si="217"/>
        <v>0</v>
      </c>
      <c r="M481" s="170">
        <f t="shared" si="223"/>
        <v>0</v>
      </c>
      <c r="N481" s="170">
        <f t="shared" si="224"/>
        <v>0</v>
      </c>
      <c r="O481" s="170">
        <f t="shared" si="225"/>
        <v>0</v>
      </c>
      <c r="P481" s="170">
        <f t="shared" si="226"/>
        <v>0</v>
      </c>
      <c r="Q481" s="171">
        <f t="shared" si="227"/>
        <v>1426725.0853869673</v>
      </c>
      <c r="R481" s="171">
        <f t="shared" si="228"/>
        <v>138108.77752000003</v>
      </c>
      <c r="S481" s="171">
        <f t="shared" si="229"/>
        <v>42278.197200000002</v>
      </c>
      <c r="T481" s="171">
        <f t="shared" si="230"/>
        <v>0</v>
      </c>
      <c r="U481" s="171">
        <f t="shared" si="218"/>
        <v>1607112.0601069673</v>
      </c>
      <c r="V481" s="171">
        <f t="shared" si="231"/>
        <v>0</v>
      </c>
      <c r="W481" s="171" t="str">
        <f>IF(OR(A481&gt;=$C$13,B481="Retired"),IF(V481&gt;0,-V481,U481-'Model Inputs'!$B$18),"")</f>
        <v/>
      </c>
      <c r="X481" s="171">
        <f t="shared" si="219"/>
        <v>0</v>
      </c>
      <c r="Y481" s="171">
        <f t="shared" si="220"/>
        <v>0</v>
      </c>
      <c r="Z481" s="171">
        <f t="shared" si="221"/>
        <v>0</v>
      </c>
      <c r="AA481" s="172">
        <f t="shared" si="222"/>
        <v>1607112.0601069673</v>
      </c>
      <c r="AB481" s="5"/>
      <c r="AC481" s="5"/>
      <c r="AD481" s="5"/>
      <c r="AE481" s="5"/>
      <c r="AF481" s="5"/>
      <c r="AG481" s="5"/>
    </row>
    <row r="482" spans="1:33" x14ac:dyDescent="0.2">
      <c r="A482" s="173">
        <v>6</v>
      </c>
      <c r="B482" s="65" t="str">
        <f t="shared" si="208"/>
        <v>Working</v>
      </c>
      <c r="C482" s="174">
        <f t="shared" si="209"/>
        <v>1118900.665838565</v>
      </c>
      <c r="D482" s="174">
        <f t="shared" si="210"/>
        <v>589060.11476976541</v>
      </c>
      <c r="E482" s="174">
        <f t="shared" si="211"/>
        <v>92741.925943999988</v>
      </c>
      <c r="F482" s="174">
        <f t="shared" si="212"/>
        <v>57963.703714999989</v>
      </c>
      <c r="G482" s="171">
        <f t="shared" si="213"/>
        <v>0</v>
      </c>
      <c r="H482" s="171">
        <f t="shared" si="214"/>
        <v>0</v>
      </c>
      <c r="I482" s="171">
        <f>IF(B482="Working",MIN(MAX(D482-E482-F482-G482-H482,0),'Tax Assumptions'!$B$20),0)</f>
        <v>7500</v>
      </c>
      <c r="J482" s="171">
        <f t="shared" si="215"/>
        <v>430854.48511076538</v>
      </c>
      <c r="K482" s="174">
        <f t="shared" si="216"/>
        <v>0</v>
      </c>
      <c r="L482" s="174">
        <f t="shared" si="217"/>
        <v>0</v>
      </c>
      <c r="M482" s="174">
        <f t="shared" si="223"/>
        <v>0</v>
      </c>
      <c r="N482" s="174">
        <f t="shared" si="224"/>
        <v>0</v>
      </c>
      <c r="O482" s="174">
        <f t="shared" si="225"/>
        <v>0</v>
      </c>
      <c r="P482" s="174">
        <f t="shared" si="226"/>
        <v>0</v>
      </c>
      <c r="Q482" s="171">
        <f t="shared" si="227"/>
        <v>1943183.0756209507</v>
      </c>
      <c r="R482" s="171">
        <f t="shared" si="228"/>
        <v>170895.30417120006</v>
      </c>
      <c r="S482" s="171">
        <f t="shared" si="229"/>
        <v>52314.889032000006</v>
      </c>
      <c r="T482" s="171">
        <f t="shared" si="230"/>
        <v>0</v>
      </c>
      <c r="U482" s="171">
        <f t="shared" si="218"/>
        <v>2166393.2688241508</v>
      </c>
      <c r="V482" s="171">
        <f t="shared" si="231"/>
        <v>0</v>
      </c>
      <c r="W482" s="171" t="str">
        <f>IF(OR(A482&gt;=$C$13,B482="Retired"),IF(V482&gt;0,-V482,U482-'Model Inputs'!$B$18),"")</f>
        <v/>
      </c>
      <c r="X482" s="171">
        <f t="shared" si="219"/>
        <v>0</v>
      </c>
      <c r="Y482" s="171">
        <f t="shared" si="220"/>
        <v>0</v>
      </c>
      <c r="Z482" s="171">
        <f t="shared" si="221"/>
        <v>0</v>
      </c>
      <c r="AA482" s="175">
        <f t="shared" si="222"/>
        <v>2166393.2688241508</v>
      </c>
      <c r="AB482" s="5"/>
      <c r="AC482" s="5"/>
      <c r="AD482" s="5"/>
      <c r="AE482" s="5"/>
      <c r="AF482" s="5"/>
      <c r="AG482" s="5"/>
    </row>
    <row r="483" spans="1:33" x14ac:dyDescent="0.2">
      <c r="A483" s="169">
        <v>7</v>
      </c>
      <c r="B483" s="100" t="str">
        <f t="shared" si="208"/>
        <v>Working</v>
      </c>
      <c r="C483" s="170">
        <f t="shared" si="209"/>
        <v>1418318.448466131</v>
      </c>
      <c r="D483" s="170">
        <f t="shared" si="210"/>
        <v>730157.75065517949</v>
      </c>
      <c r="E483" s="170">
        <f t="shared" si="211"/>
        <v>95524.183722319998</v>
      </c>
      <c r="F483" s="170">
        <f t="shared" si="212"/>
        <v>59702.614826449993</v>
      </c>
      <c r="G483" s="171">
        <f t="shared" si="213"/>
        <v>0</v>
      </c>
      <c r="H483" s="171">
        <f t="shared" si="214"/>
        <v>0</v>
      </c>
      <c r="I483" s="171">
        <f>IF(B483="Working",MIN(MAX(D483-E483-F483-G483-H483,0),'Tax Assumptions'!$B$20),0)</f>
        <v>7500</v>
      </c>
      <c r="J483" s="171">
        <f t="shared" si="215"/>
        <v>567430.95210640947</v>
      </c>
      <c r="K483" s="170">
        <f t="shared" si="216"/>
        <v>0</v>
      </c>
      <c r="L483" s="170">
        <f t="shared" si="217"/>
        <v>0</v>
      </c>
      <c r="M483" s="170">
        <f t="shared" si="223"/>
        <v>0</v>
      </c>
      <c r="N483" s="170">
        <f t="shared" si="224"/>
        <v>0</v>
      </c>
      <c r="O483" s="170">
        <f t="shared" si="225"/>
        <v>0</v>
      </c>
      <c r="P483" s="170">
        <f t="shared" si="226"/>
        <v>0</v>
      </c>
      <c r="Q483" s="171">
        <f t="shared" si="227"/>
        <v>2627205.0122646173</v>
      </c>
      <c r="R483" s="171">
        <f t="shared" si="228"/>
        <v>205649.02242147207</v>
      </c>
      <c r="S483" s="171">
        <f t="shared" si="229"/>
        <v>62953.78237392001</v>
      </c>
      <c r="T483" s="171">
        <f t="shared" si="230"/>
        <v>0</v>
      </c>
      <c r="U483" s="171">
        <f t="shared" si="218"/>
        <v>2895807.8170600096</v>
      </c>
      <c r="V483" s="171">
        <f t="shared" si="231"/>
        <v>0</v>
      </c>
      <c r="W483" s="171" t="str">
        <f>IF(OR(A483&gt;=$C$13,B483="Retired"),IF(V483&gt;0,-V483,U483-'Model Inputs'!$B$18),"")</f>
        <v/>
      </c>
      <c r="X483" s="171">
        <f t="shared" si="219"/>
        <v>0</v>
      </c>
      <c r="Y483" s="171">
        <f t="shared" si="220"/>
        <v>0</v>
      </c>
      <c r="Z483" s="171">
        <f t="shared" si="221"/>
        <v>0</v>
      </c>
      <c r="AA483" s="172">
        <f t="shared" si="222"/>
        <v>2895807.8170600096</v>
      </c>
      <c r="AB483" s="5"/>
      <c r="AC483" s="5"/>
      <c r="AD483" s="5"/>
      <c r="AE483" s="5"/>
      <c r="AF483" s="5"/>
      <c r="AG483" s="5"/>
    </row>
    <row r="484" spans="1:33" x14ac:dyDescent="0.2">
      <c r="A484" s="173">
        <v>8</v>
      </c>
      <c r="B484" s="65" t="str">
        <f t="shared" si="208"/>
        <v>Working</v>
      </c>
      <c r="C484" s="174">
        <f t="shared" si="209"/>
        <v>1872205.6657868917</v>
      </c>
      <c r="D484" s="174">
        <f t="shared" si="210"/>
        <v>944047.5629454148</v>
      </c>
      <c r="E484" s="174">
        <f t="shared" si="211"/>
        <v>98389.909233989601</v>
      </c>
      <c r="F484" s="174">
        <f t="shared" si="212"/>
        <v>61493.693271243501</v>
      </c>
      <c r="G484" s="171">
        <f t="shared" si="213"/>
        <v>0</v>
      </c>
      <c r="H484" s="171">
        <f t="shared" si="214"/>
        <v>0</v>
      </c>
      <c r="I484" s="171">
        <f>IF(B484="Working",MIN(MAX(D484-E484-F484-G484-H484,0),'Tax Assumptions'!$B$20),0)</f>
        <v>7500</v>
      </c>
      <c r="J484" s="171">
        <f t="shared" si="215"/>
        <v>776663.96044018166</v>
      </c>
      <c r="K484" s="174">
        <f t="shared" si="216"/>
        <v>0</v>
      </c>
      <c r="L484" s="174">
        <f t="shared" si="217"/>
        <v>0</v>
      </c>
      <c r="M484" s="174">
        <f t="shared" si="223"/>
        <v>0</v>
      </c>
      <c r="N484" s="174">
        <f t="shared" si="224"/>
        <v>0</v>
      </c>
      <c r="O484" s="174">
        <f t="shared" si="225"/>
        <v>0</v>
      </c>
      <c r="P484" s="174">
        <f t="shared" si="226"/>
        <v>0</v>
      </c>
      <c r="Q484" s="171">
        <f t="shared" si="227"/>
        <v>3561501.2734406763</v>
      </c>
      <c r="R484" s="171">
        <f t="shared" si="228"/>
        <v>242487.9637667604</v>
      </c>
      <c r="S484" s="171">
        <f t="shared" si="229"/>
        <v>74231.009316355208</v>
      </c>
      <c r="T484" s="171">
        <f t="shared" si="230"/>
        <v>0</v>
      </c>
      <c r="U484" s="171">
        <f t="shared" si="218"/>
        <v>3878220.2465237915</v>
      </c>
      <c r="V484" s="171">
        <f t="shared" si="231"/>
        <v>0</v>
      </c>
      <c r="W484" s="171" t="str">
        <f>IF(OR(A484&gt;=$C$13,B484="Retired"),IF(V484&gt;0,-V484,U484-'Model Inputs'!$B$18),"")</f>
        <v/>
      </c>
      <c r="X484" s="171">
        <f t="shared" si="219"/>
        <v>0</v>
      </c>
      <c r="Y484" s="171">
        <f t="shared" si="220"/>
        <v>0</v>
      </c>
      <c r="Z484" s="171">
        <f t="shared" si="221"/>
        <v>0</v>
      </c>
      <c r="AA484" s="175">
        <f t="shared" si="222"/>
        <v>3878220.2465237915</v>
      </c>
      <c r="AB484" s="5"/>
      <c r="AC484" s="5"/>
      <c r="AD484" s="5"/>
      <c r="AE484" s="5"/>
      <c r="AF484" s="5"/>
      <c r="AG484" s="5"/>
    </row>
    <row r="485" spans="1:33" x14ac:dyDescent="0.2">
      <c r="A485" s="169">
        <v>9</v>
      </c>
      <c r="B485" s="100" t="str">
        <f t="shared" si="208"/>
        <v>Working</v>
      </c>
      <c r="C485" s="170">
        <f t="shared" si="209"/>
        <v>2033969.9666232408</v>
      </c>
      <c r="D485" s="170">
        <f t="shared" si="210"/>
        <v>1020277.372071536</v>
      </c>
      <c r="E485" s="170">
        <f t="shared" si="211"/>
        <v>101341.60651100927</v>
      </c>
      <c r="F485" s="170">
        <f t="shared" si="212"/>
        <v>63338.504069380797</v>
      </c>
      <c r="G485" s="171">
        <f t="shared" si="213"/>
        <v>0</v>
      </c>
      <c r="H485" s="171">
        <f t="shared" si="214"/>
        <v>0</v>
      </c>
      <c r="I485" s="171">
        <f>IF(B485="Working",MIN(MAX(D485-E485-F485-G485-H485,0),'Tax Assumptions'!$B$20),0)</f>
        <v>7500</v>
      </c>
      <c r="J485" s="171">
        <f t="shared" si="215"/>
        <v>848097.26149114594</v>
      </c>
      <c r="K485" s="170">
        <f t="shared" si="216"/>
        <v>0</v>
      </c>
      <c r="L485" s="170">
        <f t="shared" si="217"/>
        <v>0</v>
      </c>
      <c r="M485" s="170">
        <f t="shared" si="223"/>
        <v>0</v>
      </c>
      <c r="N485" s="170">
        <f t="shared" si="224"/>
        <v>0</v>
      </c>
      <c r="O485" s="170">
        <f t="shared" si="225"/>
        <v>0</v>
      </c>
      <c r="P485" s="170">
        <f t="shared" si="226"/>
        <v>0</v>
      </c>
      <c r="Q485" s="171">
        <f t="shared" si="227"/>
        <v>4623288.6113382634</v>
      </c>
      <c r="R485" s="171">
        <f t="shared" si="228"/>
        <v>281537.24159276602</v>
      </c>
      <c r="S485" s="171">
        <f t="shared" si="229"/>
        <v>86184.869875336532</v>
      </c>
      <c r="T485" s="171">
        <f t="shared" si="230"/>
        <v>0</v>
      </c>
      <c r="U485" s="171">
        <f t="shared" si="218"/>
        <v>4991010.7228063662</v>
      </c>
      <c r="V485" s="171">
        <f t="shared" si="231"/>
        <v>0</v>
      </c>
      <c r="W485" s="171" t="str">
        <f>IF(OR(A485&gt;=$C$13,B485="Retired"),IF(V485&gt;0,-V485,U485-'Model Inputs'!$B$18),"")</f>
        <v/>
      </c>
      <c r="X485" s="171">
        <f t="shared" si="219"/>
        <v>0</v>
      </c>
      <c r="Y485" s="171">
        <f t="shared" si="220"/>
        <v>0</v>
      </c>
      <c r="Z485" s="171">
        <f t="shared" si="221"/>
        <v>0</v>
      </c>
      <c r="AA485" s="172">
        <f t="shared" si="222"/>
        <v>4991010.7228063662</v>
      </c>
      <c r="AB485" s="5"/>
      <c r="AC485" s="5"/>
      <c r="AD485" s="5"/>
      <c r="AE485" s="5"/>
      <c r="AF485" s="5"/>
      <c r="AG485" s="5"/>
    </row>
    <row r="486" spans="1:33" x14ac:dyDescent="0.2">
      <c r="A486" s="173">
        <v>10</v>
      </c>
      <c r="B486" s="65" t="str">
        <f t="shared" si="208"/>
        <v>Working</v>
      </c>
      <c r="C486" s="174">
        <f t="shared" si="209"/>
        <v>2595495.7626410057</v>
      </c>
      <c r="D486" s="174">
        <f t="shared" si="210"/>
        <v>1284890.7881869476</v>
      </c>
      <c r="E486" s="174">
        <f t="shared" si="211"/>
        <v>104381.85470633955</v>
      </c>
      <c r="F486" s="174">
        <f t="shared" si="212"/>
        <v>65238.659191462226</v>
      </c>
      <c r="G486" s="171">
        <f t="shared" si="213"/>
        <v>642268.22933519445</v>
      </c>
      <c r="H486" s="171">
        <f t="shared" si="214"/>
        <v>86153.846153846142</v>
      </c>
      <c r="I486" s="171">
        <f>IF(B486="Working",MIN(MAX(D486-E486-F486-G486-H486,0),'Tax Assumptions'!$B$20),0)</f>
        <v>7500</v>
      </c>
      <c r="J486" s="171">
        <f t="shared" si="215"/>
        <v>379348.19880010525</v>
      </c>
      <c r="K486" s="174">
        <f t="shared" si="216"/>
        <v>0</v>
      </c>
      <c r="L486" s="174">
        <f t="shared" si="217"/>
        <v>0</v>
      </c>
      <c r="M486" s="174">
        <f t="shared" si="223"/>
        <v>0</v>
      </c>
      <c r="N486" s="174">
        <f t="shared" si="224"/>
        <v>0</v>
      </c>
      <c r="O486" s="174">
        <f t="shared" si="225"/>
        <v>0</v>
      </c>
      <c r="P486" s="174">
        <f t="shared" si="226"/>
        <v>0</v>
      </c>
      <c r="Q486" s="171">
        <f t="shared" si="227"/>
        <v>5280034.1268186653</v>
      </c>
      <c r="R486" s="171">
        <f t="shared" si="228"/>
        <v>322929.47608833201</v>
      </c>
      <c r="S486" s="171">
        <f t="shared" si="229"/>
        <v>98855.96206785673</v>
      </c>
      <c r="T486" s="171">
        <f t="shared" si="230"/>
        <v>0</v>
      </c>
      <c r="U486" s="171">
        <f t="shared" si="218"/>
        <v>5701819.5649748538</v>
      </c>
      <c r="V486" s="171">
        <f t="shared" si="231"/>
        <v>0</v>
      </c>
      <c r="W486" s="171">
        <f>IF(OR(A486&gt;=$C$13,B486="Retired"),IF(V486&gt;0,-V486,U486-'Model Inputs'!$B$18),"")</f>
        <v>4701819.5649748538</v>
      </c>
      <c r="X486" s="171">
        <f t="shared" si="219"/>
        <v>1352143.6407056723</v>
      </c>
      <c r="Y486" s="171">
        <f t="shared" si="220"/>
        <v>735366.71277112036</v>
      </c>
      <c r="Z486" s="171">
        <f t="shared" si="221"/>
        <v>616776.92793455196</v>
      </c>
      <c r="AA486" s="175">
        <f t="shared" si="222"/>
        <v>6318596.4929094054</v>
      </c>
      <c r="AB486" s="5"/>
      <c r="AC486" s="5"/>
      <c r="AD486" s="5"/>
      <c r="AE486" s="5"/>
      <c r="AF486" s="5"/>
      <c r="AG486" s="5"/>
    </row>
    <row r="487" spans="1:33" x14ac:dyDescent="0.2">
      <c r="A487" s="169">
        <v>11</v>
      </c>
      <c r="B487" s="100" t="str">
        <f t="shared" si="208"/>
        <v>Retired</v>
      </c>
      <c r="C487" s="170">
        <f t="shared" si="209"/>
        <v>0</v>
      </c>
      <c r="D487" s="170">
        <f t="shared" si="210"/>
        <v>0</v>
      </c>
      <c r="E487" s="170">
        <f t="shared" si="211"/>
        <v>0</v>
      </c>
      <c r="F487" s="170">
        <f t="shared" si="212"/>
        <v>0</v>
      </c>
      <c r="G487" s="171">
        <f t="shared" si="213"/>
        <v>0</v>
      </c>
      <c r="H487" s="171">
        <f t="shared" si="214"/>
        <v>87046.260956711893</v>
      </c>
      <c r="I487" s="171">
        <f>IF(B487="Working",MIN(MAX(D487-E487-F487-G487-H487,0),'Tax Assumptions'!$B$20),0)</f>
        <v>0</v>
      </c>
      <c r="J487" s="171">
        <f t="shared" si="215"/>
        <v>-227046.26095671189</v>
      </c>
      <c r="K487" s="170">
        <f t="shared" si="216"/>
        <v>227046.26095671189</v>
      </c>
      <c r="L487" s="170">
        <f t="shared" si="217"/>
        <v>227046.26095671189</v>
      </c>
      <c r="M487" s="170">
        <f t="shared" si="223"/>
        <v>227046.26095671189</v>
      </c>
      <c r="N487" s="170">
        <f t="shared" si="224"/>
        <v>0</v>
      </c>
      <c r="O487" s="170">
        <f t="shared" si="225"/>
        <v>0</v>
      </c>
      <c r="P487" s="170">
        <f t="shared" si="226"/>
        <v>0</v>
      </c>
      <c r="Q487" s="171">
        <f t="shared" si="227"/>
        <v>5369789.9134710738</v>
      </c>
      <c r="R487" s="171">
        <f t="shared" si="228"/>
        <v>342305.24465363193</v>
      </c>
      <c r="S487" s="171">
        <f t="shared" si="229"/>
        <v>104787.31979192814</v>
      </c>
      <c r="T487" s="171">
        <f t="shared" si="230"/>
        <v>0</v>
      </c>
      <c r="U487" s="171">
        <f t="shared" si="218"/>
        <v>5816882.4779166337</v>
      </c>
      <c r="V487" s="171">
        <f t="shared" si="231"/>
        <v>0</v>
      </c>
      <c r="W487" s="171">
        <f>IF(OR(A487&gt;=$C$13,B487="Retired"),IF(V487&gt;0,-V487,U487-'Model Inputs'!$B$18),"")</f>
        <v>4816882.4779166337</v>
      </c>
      <c r="X487" s="171">
        <f t="shared" si="219"/>
        <v>1392707.9499268425</v>
      </c>
      <c r="Y487" s="171">
        <f t="shared" si="220"/>
        <v>726497.73372408887</v>
      </c>
      <c r="Z487" s="171">
        <f t="shared" si="221"/>
        <v>666210.2162027536</v>
      </c>
      <c r="AA487" s="172">
        <f t="shared" si="222"/>
        <v>6483092.6941193873</v>
      </c>
      <c r="AB487" s="5"/>
      <c r="AC487" s="5"/>
      <c r="AD487" s="5"/>
      <c r="AE487" s="5"/>
      <c r="AF487" s="5"/>
      <c r="AG487" s="5"/>
    </row>
    <row r="488" spans="1:33" x14ac:dyDescent="0.2">
      <c r="A488" s="173">
        <v>12</v>
      </c>
      <c r="B488" s="65" t="str">
        <f t="shared" si="208"/>
        <v>Retired</v>
      </c>
      <c r="C488" s="174">
        <f t="shared" si="209"/>
        <v>0</v>
      </c>
      <c r="D488" s="174">
        <f t="shared" si="210"/>
        <v>0</v>
      </c>
      <c r="E488" s="174">
        <f t="shared" si="211"/>
        <v>0</v>
      </c>
      <c r="F488" s="174">
        <f t="shared" si="212"/>
        <v>0</v>
      </c>
      <c r="G488" s="171">
        <f t="shared" si="213"/>
        <v>0</v>
      </c>
      <c r="H488" s="171">
        <f t="shared" si="214"/>
        <v>87965.448203663604</v>
      </c>
      <c r="I488" s="171">
        <f>IF(B488="Working",MIN(MAX(D488-E488-F488-G488-H488,0),'Tax Assumptions'!$B$20),0)</f>
        <v>0</v>
      </c>
      <c r="J488" s="171">
        <f t="shared" si="215"/>
        <v>-227965.4482036636</v>
      </c>
      <c r="K488" s="174">
        <f t="shared" si="216"/>
        <v>227965.4482036636</v>
      </c>
      <c r="L488" s="174">
        <f t="shared" si="217"/>
        <v>227965.4482036636</v>
      </c>
      <c r="M488" s="174">
        <f t="shared" si="223"/>
        <v>227965.4482036636</v>
      </c>
      <c r="N488" s="174">
        <f t="shared" si="224"/>
        <v>0</v>
      </c>
      <c r="O488" s="174">
        <f t="shared" si="225"/>
        <v>0</v>
      </c>
      <c r="P488" s="174">
        <f t="shared" si="226"/>
        <v>0</v>
      </c>
      <c r="Q488" s="171">
        <f t="shared" si="227"/>
        <v>5464011.860075675</v>
      </c>
      <c r="R488" s="171">
        <f t="shared" si="228"/>
        <v>362843.55933284987</v>
      </c>
      <c r="S488" s="171">
        <f t="shared" si="229"/>
        <v>111074.55897944383</v>
      </c>
      <c r="T488" s="171">
        <f t="shared" si="230"/>
        <v>0</v>
      </c>
      <c r="U488" s="171">
        <f t="shared" si="218"/>
        <v>5937929.9783879686</v>
      </c>
      <c r="V488" s="171">
        <f t="shared" si="231"/>
        <v>0</v>
      </c>
      <c r="W488" s="171">
        <f>IF(OR(A488&gt;=$C$13,B488="Retired"),IF(V488&gt;0,-V488,U488-'Model Inputs'!$B$18),"")</f>
        <v>4937929.9783879686</v>
      </c>
      <c r="X488" s="171">
        <f t="shared" si="219"/>
        <v>1434489.1884246478</v>
      </c>
      <c r="Y488" s="171">
        <f t="shared" si="220"/>
        <v>717034.78272490599</v>
      </c>
      <c r="Z488" s="171">
        <f t="shared" si="221"/>
        <v>717454.40569974179</v>
      </c>
      <c r="AA488" s="175">
        <f t="shared" si="222"/>
        <v>6655384.3840877106</v>
      </c>
      <c r="AB488" s="5"/>
      <c r="AC488" s="5"/>
      <c r="AD488" s="5"/>
      <c r="AE488" s="5"/>
      <c r="AF488" s="5"/>
      <c r="AG488" s="5"/>
    </row>
    <row r="489" spans="1:33" x14ac:dyDescent="0.2">
      <c r="A489" s="169">
        <v>13</v>
      </c>
      <c r="B489" s="100" t="str">
        <f t="shared" si="208"/>
        <v>Retired</v>
      </c>
      <c r="C489" s="170">
        <f t="shared" si="209"/>
        <v>0</v>
      </c>
      <c r="D489" s="170">
        <f t="shared" si="210"/>
        <v>0</v>
      </c>
      <c r="E489" s="170">
        <f t="shared" si="211"/>
        <v>0</v>
      </c>
      <c r="F489" s="170">
        <f t="shared" si="212"/>
        <v>0</v>
      </c>
      <c r="G489" s="171">
        <f t="shared" si="213"/>
        <v>0</v>
      </c>
      <c r="H489" s="171">
        <f t="shared" si="214"/>
        <v>88912.211068023869</v>
      </c>
      <c r="I489" s="171">
        <f>IF(B489="Working",MIN(MAX(D489-E489-F489-G489-H489,0),'Tax Assumptions'!$B$20),0)</f>
        <v>0</v>
      </c>
      <c r="J489" s="171">
        <f t="shared" si="215"/>
        <v>-228912.21106802387</v>
      </c>
      <c r="K489" s="170">
        <f t="shared" si="216"/>
        <v>228912.21106802387</v>
      </c>
      <c r="L489" s="170">
        <f t="shared" si="217"/>
        <v>228912.21106802387</v>
      </c>
      <c r="M489" s="170">
        <f t="shared" si="223"/>
        <v>228912.21106802387</v>
      </c>
      <c r="N489" s="170">
        <f t="shared" si="224"/>
        <v>0</v>
      </c>
      <c r="O489" s="170">
        <f t="shared" si="225"/>
        <v>0</v>
      </c>
      <c r="P489" s="170">
        <f t="shared" si="226"/>
        <v>0</v>
      </c>
      <c r="Q489" s="171">
        <f t="shared" si="227"/>
        <v>5562940.3606121922</v>
      </c>
      <c r="R489" s="171">
        <f t="shared" si="228"/>
        <v>384614.1728928209</v>
      </c>
      <c r="S489" s="171">
        <f t="shared" si="229"/>
        <v>117739.03251821046</v>
      </c>
      <c r="T489" s="171">
        <f t="shared" si="230"/>
        <v>0</v>
      </c>
      <c r="U489" s="171">
        <f t="shared" si="218"/>
        <v>6065293.566023224</v>
      </c>
      <c r="V489" s="171">
        <f t="shared" si="231"/>
        <v>0</v>
      </c>
      <c r="W489" s="171">
        <f>IF(OR(A489&gt;=$C$13,B489="Retired"),IF(V489&gt;0,-V489,U489-'Model Inputs'!$B$18),"")</f>
        <v>5065293.566023224</v>
      </c>
      <c r="X489" s="171">
        <f t="shared" si="219"/>
        <v>1477523.8640773871</v>
      </c>
      <c r="Y489" s="171">
        <f t="shared" si="220"/>
        <v>706938.0803718986</v>
      </c>
      <c r="Z489" s="171">
        <f t="shared" si="221"/>
        <v>770585.78370548855</v>
      </c>
      <c r="AA489" s="172">
        <f t="shared" si="222"/>
        <v>6835879.3497287128</v>
      </c>
      <c r="AB489" s="5"/>
      <c r="AC489" s="5"/>
      <c r="AD489" s="5"/>
      <c r="AE489" s="5"/>
      <c r="AF489" s="5"/>
      <c r="AG489" s="5"/>
    </row>
    <row r="490" spans="1:33" x14ac:dyDescent="0.2">
      <c r="A490" s="173">
        <v>14</v>
      </c>
      <c r="B490" s="65" t="str">
        <f t="shared" si="208"/>
        <v>Retired</v>
      </c>
      <c r="C490" s="174">
        <f t="shared" si="209"/>
        <v>0</v>
      </c>
      <c r="D490" s="174">
        <f t="shared" si="210"/>
        <v>0</v>
      </c>
      <c r="E490" s="174">
        <f t="shared" si="211"/>
        <v>0</v>
      </c>
      <c r="F490" s="174">
        <f t="shared" si="212"/>
        <v>0</v>
      </c>
      <c r="G490" s="171">
        <f t="shared" si="213"/>
        <v>0</v>
      </c>
      <c r="H490" s="171">
        <f t="shared" si="214"/>
        <v>89887.376818314951</v>
      </c>
      <c r="I490" s="171">
        <f>IF(B490="Working",MIN(MAX(D490-E490-F490-G490-H490,0),'Tax Assumptions'!$B$20),0)</f>
        <v>0</v>
      </c>
      <c r="J490" s="171">
        <f t="shared" si="215"/>
        <v>-229887.37681831495</v>
      </c>
      <c r="K490" s="174">
        <f t="shared" si="216"/>
        <v>229887.37681831495</v>
      </c>
      <c r="L490" s="174">
        <f t="shared" si="217"/>
        <v>229887.37681831495</v>
      </c>
      <c r="M490" s="174">
        <f t="shared" si="223"/>
        <v>229887.37681831495</v>
      </c>
      <c r="N490" s="174">
        <f t="shared" si="224"/>
        <v>0</v>
      </c>
      <c r="O490" s="174">
        <f t="shared" si="225"/>
        <v>0</v>
      </c>
      <c r="P490" s="174">
        <f t="shared" si="226"/>
        <v>0</v>
      </c>
      <c r="Q490" s="171">
        <f t="shared" si="227"/>
        <v>5666829.4054306084</v>
      </c>
      <c r="R490" s="171">
        <f t="shared" si="228"/>
        <v>407691.0232663902</v>
      </c>
      <c r="S490" s="171">
        <f t="shared" si="229"/>
        <v>124803.37446930309</v>
      </c>
      <c r="T490" s="171">
        <f t="shared" si="230"/>
        <v>0</v>
      </c>
      <c r="U490" s="171">
        <f t="shared" si="218"/>
        <v>6199323.8031663019</v>
      </c>
      <c r="V490" s="171">
        <f t="shared" si="231"/>
        <v>0</v>
      </c>
      <c r="W490" s="171">
        <f>IF(OR(A490&gt;=$C$13,B490="Retired"),IF(V490&gt;0,-V490,U490-'Model Inputs'!$B$18),"")</f>
        <v>5199323.8031663019</v>
      </c>
      <c r="X490" s="171">
        <f t="shared" si="219"/>
        <v>1521849.5799997088</v>
      </c>
      <c r="Y490" s="171">
        <f t="shared" si="220"/>
        <v>696165.18316319177</v>
      </c>
      <c r="Z490" s="171">
        <f t="shared" si="221"/>
        <v>825684.39683651703</v>
      </c>
      <c r="AA490" s="175">
        <f t="shared" si="222"/>
        <v>7025008.2000028193</v>
      </c>
      <c r="AB490" s="5"/>
      <c r="AC490" s="5"/>
      <c r="AD490" s="5"/>
      <c r="AE490" s="5"/>
      <c r="AF490" s="5"/>
      <c r="AG490" s="5"/>
    </row>
    <row r="491" spans="1:33" x14ac:dyDescent="0.2">
      <c r="A491" s="169">
        <v>15</v>
      </c>
      <c r="B491" s="100" t="str">
        <f t="shared" si="208"/>
        <v>Retired</v>
      </c>
      <c r="C491" s="170">
        <f t="shared" si="209"/>
        <v>0</v>
      </c>
      <c r="D491" s="170">
        <f t="shared" si="210"/>
        <v>0</v>
      </c>
      <c r="E491" s="170">
        <f t="shared" si="211"/>
        <v>0</v>
      </c>
      <c r="F491" s="170">
        <f t="shared" si="212"/>
        <v>0</v>
      </c>
      <c r="G491" s="171">
        <f t="shared" si="213"/>
        <v>0</v>
      </c>
      <c r="H491" s="171">
        <f t="shared" si="214"/>
        <v>90891.797541114764</v>
      </c>
      <c r="I491" s="171">
        <f>IF(B491="Working",MIN(MAX(D491-E491-F491-G491-H491,0),'Tax Assumptions'!$B$20),0)</f>
        <v>0</v>
      </c>
      <c r="J491" s="171">
        <f t="shared" si="215"/>
        <v>-230891.79754111476</v>
      </c>
      <c r="K491" s="170">
        <f t="shared" si="216"/>
        <v>230891.79754111476</v>
      </c>
      <c r="L491" s="170">
        <f t="shared" si="217"/>
        <v>230891.79754111476</v>
      </c>
      <c r="M491" s="170">
        <f t="shared" si="223"/>
        <v>230891.79754111476</v>
      </c>
      <c r="N491" s="170">
        <f t="shared" si="224"/>
        <v>0</v>
      </c>
      <c r="O491" s="170">
        <f t="shared" si="225"/>
        <v>0</v>
      </c>
      <c r="P491" s="170">
        <f t="shared" si="226"/>
        <v>0</v>
      </c>
      <c r="Q491" s="171">
        <f t="shared" si="227"/>
        <v>5775947.3722153306</v>
      </c>
      <c r="R491" s="171">
        <f t="shared" si="228"/>
        <v>432152.48466237361</v>
      </c>
      <c r="S491" s="171">
        <f t="shared" si="229"/>
        <v>132291.57693746127</v>
      </c>
      <c r="T491" s="171">
        <f t="shared" si="230"/>
        <v>0</v>
      </c>
      <c r="U491" s="171">
        <f t="shared" si="218"/>
        <v>6340391.4338151654</v>
      </c>
      <c r="V491" s="171">
        <f t="shared" si="231"/>
        <v>0</v>
      </c>
      <c r="W491" s="171">
        <f>IF(OR(A491&gt;=$C$13,B491="Retired"),IF(V491&gt;0,-V491,U491-'Model Inputs'!$B$18),"")</f>
        <v>5340391.4338151654</v>
      </c>
      <c r="X491" s="171">
        <f t="shared" si="219"/>
        <v>1567505.0673996999</v>
      </c>
      <c r="Y491" s="171">
        <f t="shared" si="220"/>
        <v>684670.80507698469</v>
      </c>
      <c r="Z491" s="171">
        <f t="shared" si="221"/>
        <v>882834.26232271525</v>
      </c>
      <c r="AA491" s="172">
        <f t="shared" si="222"/>
        <v>7223225.6961378809</v>
      </c>
      <c r="AB491" s="5"/>
      <c r="AC491" s="5"/>
      <c r="AD491" s="5"/>
      <c r="AE491" s="5"/>
      <c r="AF491" s="5"/>
      <c r="AG491" s="5"/>
    </row>
    <row r="492" spans="1:33" x14ac:dyDescent="0.2">
      <c r="A492" s="173">
        <v>16</v>
      </c>
      <c r="B492" s="65" t="str">
        <f t="shared" si="208"/>
        <v>Retired</v>
      </c>
      <c r="C492" s="174">
        <f t="shared" si="209"/>
        <v>0</v>
      </c>
      <c r="D492" s="174">
        <f t="shared" si="210"/>
        <v>0</v>
      </c>
      <c r="E492" s="174">
        <f t="shared" si="211"/>
        <v>0</v>
      </c>
      <c r="F492" s="174">
        <f t="shared" si="212"/>
        <v>0</v>
      </c>
      <c r="G492" s="171">
        <f t="shared" si="213"/>
        <v>0</v>
      </c>
      <c r="H492" s="171">
        <f t="shared" si="214"/>
        <v>91926.350885598556</v>
      </c>
      <c r="I492" s="171">
        <f>IF(B492="Working",MIN(MAX(D492-E492-F492-G492-H492,0),'Tax Assumptions'!$B$20),0)</f>
        <v>0</v>
      </c>
      <c r="J492" s="171">
        <f t="shared" si="215"/>
        <v>-231926.35088559857</v>
      </c>
      <c r="K492" s="174">
        <f t="shared" si="216"/>
        <v>231926.35088559857</v>
      </c>
      <c r="L492" s="174">
        <f t="shared" si="217"/>
        <v>231926.35088559857</v>
      </c>
      <c r="M492" s="174">
        <f t="shared" si="223"/>
        <v>231926.35088559857</v>
      </c>
      <c r="N492" s="174">
        <f t="shared" si="224"/>
        <v>0</v>
      </c>
      <c r="O492" s="174">
        <f t="shared" si="225"/>
        <v>0</v>
      </c>
      <c r="P492" s="174">
        <f t="shared" si="226"/>
        <v>0</v>
      </c>
      <c r="Q492" s="171">
        <f t="shared" si="227"/>
        <v>5890577.8636626517</v>
      </c>
      <c r="R492" s="171">
        <f t="shared" si="228"/>
        <v>458081.63374211604</v>
      </c>
      <c r="S492" s="171">
        <f t="shared" si="229"/>
        <v>140229.07155370896</v>
      </c>
      <c r="T492" s="171">
        <f t="shared" si="230"/>
        <v>0</v>
      </c>
      <c r="U492" s="171">
        <f t="shared" si="218"/>
        <v>6488888.5689584771</v>
      </c>
      <c r="V492" s="171">
        <f t="shared" si="231"/>
        <v>0</v>
      </c>
      <c r="W492" s="171">
        <f>IF(OR(A492&gt;=$C$13,B492="Retired"),IF(V492&gt;0,-V492,U492-'Model Inputs'!$B$18),"")</f>
        <v>5488888.5689584771</v>
      </c>
      <c r="X492" s="171">
        <f t="shared" si="219"/>
        <v>1614530.219421691</v>
      </c>
      <c r="Y492" s="171">
        <f t="shared" si="220"/>
        <v>672406.62720272737</v>
      </c>
      <c r="Z492" s="171">
        <f t="shared" si="221"/>
        <v>942123.59221896366</v>
      </c>
      <c r="AA492" s="175">
        <f t="shared" si="222"/>
        <v>7431012.1611774405</v>
      </c>
      <c r="AB492" s="5"/>
      <c r="AC492" s="5"/>
      <c r="AD492" s="5"/>
      <c r="AE492" s="5"/>
      <c r="AF492" s="5"/>
      <c r="AG492" s="5"/>
    </row>
    <row r="493" spans="1:33" x14ac:dyDescent="0.2">
      <c r="A493" s="169">
        <v>17</v>
      </c>
      <c r="B493" s="100" t="str">
        <f t="shared" si="208"/>
        <v>Retired</v>
      </c>
      <c r="C493" s="170">
        <f t="shared" si="209"/>
        <v>0</v>
      </c>
      <c r="D493" s="170">
        <f t="shared" si="210"/>
        <v>0</v>
      </c>
      <c r="E493" s="170">
        <f t="shared" si="211"/>
        <v>0</v>
      </c>
      <c r="F493" s="170">
        <f t="shared" si="212"/>
        <v>0</v>
      </c>
      <c r="G493" s="171">
        <f t="shared" si="213"/>
        <v>0</v>
      </c>
      <c r="H493" s="171">
        <f t="shared" si="214"/>
        <v>92991.940830416876</v>
      </c>
      <c r="I493" s="171">
        <f>IF(B493="Working",MIN(MAX(D493-E493-F493-G493-H493,0),'Tax Assumptions'!$B$20),0)</f>
        <v>0</v>
      </c>
      <c r="J493" s="171">
        <f t="shared" si="215"/>
        <v>-232991.94083041686</v>
      </c>
      <c r="K493" s="170">
        <f t="shared" si="216"/>
        <v>232991.94083041686</v>
      </c>
      <c r="L493" s="170">
        <f t="shared" si="217"/>
        <v>232991.94083041686</v>
      </c>
      <c r="M493" s="170">
        <f t="shared" si="223"/>
        <v>232991.94083041686</v>
      </c>
      <c r="N493" s="170">
        <f t="shared" si="224"/>
        <v>0</v>
      </c>
      <c r="O493" s="170">
        <f t="shared" si="225"/>
        <v>0</v>
      </c>
      <c r="P493" s="170">
        <f t="shared" si="226"/>
        <v>0</v>
      </c>
      <c r="Q493" s="171">
        <f t="shared" si="227"/>
        <v>6011020.5946519943</v>
      </c>
      <c r="R493" s="171">
        <f t="shared" si="228"/>
        <v>485566.53176664305</v>
      </c>
      <c r="S493" s="171">
        <f t="shared" si="229"/>
        <v>148642.81584693151</v>
      </c>
      <c r="T493" s="171">
        <f t="shared" si="230"/>
        <v>0</v>
      </c>
      <c r="U493" s="171">
        <f t="shared" si="218"/>
        <v>6645229.9422655683</v>
      </c>
      <c r="V493" s="171">
        <f t="shared" si="231"/>
        <v>0</v>
      </c>
      <c r="W493" s="171">
        <f>IF(OR(A493&gt;=$C$13,B493="Retired"),IF(V493&gt;0,-V493,U493-'Model Inputs'!$B$18),"")</f>
        <v>5645229.9422655683</v>
      </c>
      <c r="X493" s="171">
        <f t="shared" si="219"/>
        <v>1662966.1260043418</v>
      </c>
      <c r="Y493" s="171">
        <f t="shared" si="220"/>
        <v>659321.09462294192</v>
      </c>
      <c r="Z493" s="171">
        <f t="shared" si="221"/>
        <v>1003645.0313813998</v>
      </c>
      <c r="AA493" s="172">
        <f t="shared" si="222"/>
        <v>7648874.9736469686</v>
      </c>
      <c r="AB493" s="5"/>
      <c r="AC493" s="5"/>
      <c r="AD493" s="5"/>
      <c r="AE493" s="5"/>
      <c r="AF493" s="5"/>
      <c r="AG493" s="5"/>
    </row>
    <row r="494" spans="1:33" x14ac:dyDescent="0.2">
      <c r="A494" s="173">
        <v>18</v>
      </c>
      <c r="B494" s="65" t="str">
        <f t="shared" si="208"/>
        <v>Retired</v>
      </c>
      <c r="C494" s="174">
        <f t="shared" si="209"/>
        <v>0</v>
      </c>
      <c r="D494" s="174">
        <f t="shared" si="210"/>
        <v>0</v>
      </c>
      <c r="E494" s="174">
        <f t="shared" si="211"/>
        <v>0</v>
      </c>
      <c r="F494" s="174">
        <f t="shared" si="212"/>
        <v>0</v>
      </c>
      <c r="G494" s="171">
        <f t="shared" si="213"/>
        <v>0</v>
      </c>
      <c r="H494" s="171">
        <f t="shared" si="214"/>
        <v>94089.498473579733</v>
      </c>
      <c r="I494" s="171">
        <f>IF(B494="Working",MIN(MAX(D494-E494-F494-G494-H494,0),'Tax Assumptions'!$B$20),0)</f>
        <v>0</v>
      </c>
      <c r="J494" s="171">
        <f t="shared" si="215"/>
        <v>-234089.49847357973</v>
      </c>
      <c r="K494" s="174">
        <f t="shared" si="216"/>
        <v>234089.49847357973</v>
      </c>
      <c r="L494" s="174">
        <f t="shared" si="217"/>
        <v>234089.49847357973</v>
      </c>
      <c r="M494" s="174">
        <f t="shared" si="223"/>
        <v>234089.49847357973</v>
      </c>
      <c r="N494" s="174">
        <f t="shared" si="224"/>
        <v>0</v>
      </c>
      <c r="O494" s="174">
        <f t="shared" si="225"/>
        <v>0</v>
      </c>
      <c r="P494" s="174">
        <f t="shared" si="226"/>
        <v>0</v>
      </c>
      <c r="Q494" s="171">
        <f t="shared" si="227"/>
        <v>6137592.3318575341</v>
      </c>
      <c r="R494" s="171">
        <f t="shared" si="228"/>
        <v>514700.52367264166</v>
      </c>
      <c r="S494" s="171">
        <f t="shared" si="229"/>
        <v>157561.38479774742</v>
      </c>
      <c r="T494" s="171">
        <f t="shared" si="230"/>
        <v>0</v>
      </c>
      <c r="U494" s="171">
        <f t="shared" si="218"/>
        <v>6809854.2403279226</v>
      </c>
      <c r="V494" s="171">
        <f t="shared" si="231"/>
        <v>0</v>
      </c>
      <c r="W494" s="171">
        <f>IF(OR(A494&gt;=$C$13,B494="Retired"),IF(V494&gt;0,-V494,U494-'Model Inputs'!$B$18),"")</f>
        <v>5809854.2403279226</v>
      </c>
      <c r="X494" s="171">
        <f t="shared" si="219"/>
        <v>1712855.1097844718</v>
      </c>
      <c r="Y494" s="171">
        <f t="shared" si="220"/>
        <v>645359.19969184883</v>
      </c>
      <c r="Z494" s="171">
        <f t="shared" si="221"/>
        <v>1067495.910092623</v>
      </c>
      <c r="AA494" s="175">
        <f t="shared" si="222"/>
        <v>7877350.1504205456</v>
      </c>
      <c r="AB494" s="5"/>
      <c r="AC494" s="5"/>
      <c r="AD494" s="5"/>
      <c r="AE494" s="5"/>
      <c r="AF494" s="5"/>
      <c r="AG494" s="5"/>
    </row>
    <row r="495" spans="1:33" x14ac:dyDescent="0.2">
      <c r="A495" s="169">
        <v>19</v>
      </c>
      <c r="B495" s="100" t="str">
        <f t="shared" si="208"/>
        <v>Retired</v>
      </c>
      <c r="C495" s="170">
        <f t="shared" si="209"/>
        <v>0</v>
      </c>
      <c r="D495" s="170">
        <f t="shared" si="210"/>
        <v>0</v>
      </c>
      <c r="E495" s="170">
        <f t="shared" si="211"/>
        <v>0</v>
      </c>
      <c r="F495" s="170">
        <f t="shared" si="212"/>
        <v>0</v>
      </c>
      <c r="G495" s="171">
        <f t="shared" si="213"/>
        <v>0</v>
      </c>
      <c r="H495" s="171">
        <f t="shared" si="214"/>
        <v>95219.982846037485</v>
      </c>
      <c r="I495" s="171">
        <f>IF(B495="Working",MIN(MAX(D495-E495-F495-G495-H495,0),'Tax Assumptions'!$B$20),0)</f>
        <v>0</v>
      </c>
      <c r="J495" s="171">
        <f t="shared" si="215"/>
        <v>-235219.98284603748</v>
      </c>
      <c r="K495" s="170">
        <f t="shared" si="216"/>
        <v>235219.98284603748</v>
      </c>
      <c r="L495" s="170">
        <f t="shared" si="217"/>
        <v>235219.98284603748</v>
      </c>
      <c r="M495" s="170">
        <f t="shared" si="223"/>
        <v>235219.98284603748</v>
      </c>
      <c r="N495" s="170">
        <f t="shared" si="224"/>
        <v>0</v>
      </c>
      <c r="O495" s="170">
        <f t="shared" si="225"/>
        <v>0</v>
      </c>
      <c r="P495" s="170">
        <f t="shared" si="226"/>
        <v>0</v>
      </c>
      <c r="Q495" s="171">
        <f t="shared" si="227"/>
        <v>6270627.8889229493</v>
      </c>
      <c r="R495" s="171">
        <f t="shared" si="228"/>
        <v>545582.55509300018</v>
      </c>
      <c r="S495" s="171">
        <f t="shared" si="229"/>
        <v>167015.06788561228</v>
      </c>
      <c r="T495" s="171">
        <f t="shared" si="230"/>
        <v>0</v>
      </c>
      <c r="U495" s="171">
        <f t="shared" si="218"/>
        <v>6983225.5119015621</v>
      </c>
      <c r="V495" s="171">
        <f t="shared" si="231"/>
        <v>0</v>
      </c>
      <c r="W495" s="171">
        <f>IF(OR(A495&gt;=$C$13,B495="Retired"),IF(V495&gt;0,-V495,U495-'Model Inputs'!$B$18),"")</f>
        <v>5983225.5119015621</v>
      </c>
      <c r="X495" s="171">
        <f t="shared" si="219"/>
        <v>1764240.763078006</v>
      </c>
      <c r="Y495" s="171">
        <f t="shared" si="220"/>
        <v>630462.25079975545</v>
      </c>
      <c r="Z495" s="171">
        <f t="shared" si="221"/>
        <v>1133778.5122782504</v>
      </c>
      <c r="AA495" s="172">
        <f t="shared" si="222"/>
        <v>8117004.0241798125</v>
      </c>
      <c r="AB495" s="5"/>
      <c r="AC495" s="5"/>
      <c r="AD495" s="5"/>
      <c r="AE495" s="5"/>
      <c r="AF495" s="5"/>
      <c r="AG495" s="5"/>
    </row>
    <row r="496" spans="1:33" x14ac:dyDescent="0.2">
      <c r="A496" s="173">
        <v>20</v>
      </c>
      <c r="B496" s="65" t="str">
        <f t="shared" si="208"/>
        <v>Retired</v>
      </c>
      <c r="C496" s="174">
        <f t="shared" si="209"/>
        <v>0</v>
      </c>
      <c r="D496" s="174">
        <f t="shared" si="210"/>
        <v>0</v>
      </c>
      <c r="E496" s="174">
        <f t="shared" si="211"/>
        <v>0</v>
      </c>
      <c r="F496" s="174">
        <f t="shared" si="212"/>
        <v>0</v>
      </c>
      <c r="G496" s="171">
        <f t="shared" si="213"/>
        <v>0</v>
      </c>
      <c r="H496" s="171">
        <f t="shared" si="214"/>
        <v>96384.381749668973</v>
      </c>
      <c r="I496" s="171">
        <f>IF(B496="Working",MIN(MAX(D496-E496-F496-G496-H496,0),'Tax Assumptions'!$B$20),0)</f>
        <v>0</v>
      </c>
      <c r="J496" s="171">
        <f t="shared" si="215"/>
        <v>-236384.38174966897</v>
      </c>
      <c r="K496" s="174">
        <f t="shared" si="216"/>
        <v>236384.38174966897</v>
      </c>
      <c r="L496" s="174">
        <f t="shared" si="217"/>
        <v>236384.38174966897</v>
      </c>
      <c r="M496" s="174">
        <f t="shared" si="223"/>
        <v>236384.38174966897</v>
      </c>
      <c r="N496" s="174">
        <f t="shared" si="224"/>
        <v>0</v>
      </c>
      <c r="O496" s="174">
        <f t="shared" si="225"/>
        <v>0</v>
      </c>
      <c r="P496" s="174">
        <f t="shared" si="226"/>
        <v>0</v>
      </c>
      <c r="Q496" s="171">
        <f t="shared" si="227"/>
        <v>6410481.1805086574</v>
      </c>
      <c r="R496" s="171">
        <f t="shared" si="228"/>
        <v>578317.50839858025</v>
      </c>
      <c r="S496" s="171">
        <f t="shared" si="229"/>
        <v>177035.97195874903</v>
      </c>
      <c r="T496" s="171">
        <f t="shared" si="230"/>
        <v>0</v>
      </c>
      <c r="U496" s="171">
        <f t="shared" si="218"/>
        <v>7165834.6608659867</v>
      </c>
      <c r="V496" s="171">
        <f t="shared" si="231"/>
        <v>0</v>
      </c>
      <c r="W496" s="171">
        <f>IF(OR(A496&gt;=$C$13,B496="Retired"),IF(V496&gt;0,-V496,U496-'Model Inputs'!$B$18),"")</f>
        <v>6165834.6608659867</v>
      </c>
      <c r="X496" s="171">
        <f t="shared" si="219"/>
        <v>1817167.9859703463</v>
      </c>
      <c r="Y496" s="171">
        <f t="shared" si="220"/>
        <v>614567.62565117143</v>
      </c>
      <c r="Z496" s="171">
        <f t="shared" si="221"/>
        <v>1202600.3603191748</v>
      </c>
      <c r="AA496" s="175">
        <f t="shared" si="222"/>
        <v>8368435.0211851615</v>
      </c>
      <c r="AB496" s="5"/>
      <c r="AC496" s="5"/>
      <c r="AD496" s="5"/>
      <c r="AE496" s="5"/>
      <c r="AF496" s="5"/>
      <c r="AG496" s="5"/>
    </row>
    <row r="497" spans="1:33" x14ac:dyDescent="0.2">
      <c r="A497" s="169">
        <v>21</v>
      </c>
      <c r="B497" s="100" t="str">
        <f t="shared" si="208"/>
        <v>Retired</v>
      </c>
      <c r="C497" s="170">
        <f t="shared" si="209"/>
        <v>0</v>
      </c>
      <c r="D497" s="170">
        <f t="shared" si="210"/>
        <v>0</v>
      </c>
      <c r="E497" s="170">
        <f t="shared" si="211"/>
        <v>0</v>
      </c>
      <c r="F497" s="170">
        <f t="shared" si="212"/>
        <v>0</v>
      </c>
      <c r="G497" s="171">
        <f t="shared" si="213"/>
        <v>0</v>
      </c>
      <c r="H497" s="171">
        <f t="shared" si="214"/>
        <v>97583.712620409409</v>
      </c>
      <c r="I497" s="171">
        <f>IF(B497="Working",MIN(MAX(D497-E497-F497-G497-H497,0),'Tax Assumptions'!$B$20),0)</f>
        <v>0</v>
      </c>
      <c r="J497" s="171">
        <f t="shared" si="215"/>
        <v>-237583.71262040941</v>
      </c>
      <c r="K497" s="170">
        <f t="shared" si="216"/>
        <v>237583.71262040941</v>
      </c>
      <c r="L497" s="170">
        <f t="shared" si="217"/>
        <v>237583.71262040941</v>
      </c>
      <c r="M497" s="170">
        <f t="shared" si="223"/>
        <v>237583.71262040941</v>
      </c>
      <c r="N497" s="170">
        <f t="shared" si="224"/>
        <v>0</v>
      </c>
      <c r="O497" s="170">
        <f t="shared" si="225"/>
        <v>0</v>
      </c>
      <c r="P497" s="170">
        <f t="shared" si="226"/>
        <v>0</v>
      </c>
      <c r="Q497" s="171">
        <f t="shared" si="227"/>
        <v>6557526.3387187682</v>
      </c>
      <c r="R497" s="171">
        <f t="shared" si="228"/>
        <v>613016.55890249508</v>
      </c>
      <c r="S497" s="171">
        <f t="shared" si="229"/>
        <v>187658.13027627397</v>
      </c>
      <c r="T497" s="171">
        <f t="shared" si="230"/>
        <v>0</v>
      </c>
      <c r="U497" s="171">
        <f t="shared" si="218"/>
        <v>7358201.0278975368</v>
      </c>
      <c r="V497" s="171">
        <f t="shared" si="231"/>
        <v>0</v>
      </c>
      <c r="W497" s="171">
        <f>IF(OR(A497&gt;=$C$13,B497="Retired"),IF(V497&gt;0,-V497,U497-'Model Inputs'!$B$18),"")</f>
        <v>6358201.0278975368</v>
      </c>
      <c r="X497" s="171">
        <f t="shared" si="219"/>
        <v>1871683.0255494567</v>
      </c>
      <c r="Y497" s="171">
        <f t="shared" si="220"/>
        <v>597608.5080195003</v>
      </c>
      <c r="Z497" s="171">
        <f t="shared" si="221"/>
        <v>1274074.5175299565</v>
      </c>
      <c r="AA497" s="172">
        <f t="shared" si="222"/>
        <v>8632275.5454274938</v>
      </c>
      <c r="AB497" s="5"/>
      <c r="AC497" s="5"/>
      <c r="AD497" s="5"/>
      <c r="AE497" s="5"/>
      <c r="AF497" s="5"/>
      <c r="AG497" s="5"/>
    </row>
    <row r="498" spans="1:33" x14ac:dyDescent="0.2">
      <c r="A498" s="173">
        <v>22</v>
      </c>
      <c r="B498" s="65" t="str">
        <f t="shared" si="208"/>
        <v>Retired</v>
      </c>
      <c r="C498" s="174">
        <f t="shared" si="209"/>
        <v>0</v>
      </c>
      <c r="D498" s="174">
        <f t="shared" si="210"/>
        <v>0</v>
      </c>
      <c r="E498" s="174">
        <f t="shared" si="211"/>
        <v>0</v>
      </c>
      <c r="F498" s="174">
        <f t="shared" si="212"/>
        <v>0</v>
      </c>
      <c r="G498" s="171">
        <f t="shared" si="213"/>
        <v>0</v>
      </c>
      <c r="H498" s="171">
        <f t="shared" si="214"/>
        <v>98819.023417272037</v>
      </c>
      <c r="I498" s="171">
        <f>IF(B498="Working",MIN(MAX(D498-E498-F498-G498-H498,0),'Tax Assumptions'!$B$20),0)</f>
        <v>0</v>
      </c>
      <c r="J498" s="171">
        <f t="shared" si="215"/>
        <v>-238819.02341727202</v>
      </c>
      <c r="K498" s="174">
        <f t="shared" si="216"/>
        <v>238819.02341727202</v>
      </c>
      <c r="L498" s="174">
        <f t="shared" si="217"/>
        <v>238819.02341727202</v>
      </c>
      <c r="M498" s="174">
        <f t="shared" si="223"/>
        <v>238819.02341727202</v>
      </c>
      <c r="N498" s="174">
        <f t="shared" si="224"/>
        <v>0</v>
      </c>
      <c r="O498" s="174">
        <f t="shared" si="225"/>
        <v>0</v>
      </c>
      <c r="P498" s="174">
        <f t="shared" si="226"/>
        <v>0</v>
      </c>
      <c r="Q498" s="171">
        <f t="shared" si="227"/>
        <v>6712158.8956246227</v>
      </c>
      <c r="R498" s="171">
        <f t="shared" si="228"/>
        <v>649797.55243664479</v>
      </c>
      <c r="S498" s="171">
        <f t="shared" si="229"/>
        <v>198917.6180928504</v>
      </c>
      <c r="T498" s="171">
        <f t="shared" si="230"/>
        <v>0</v>
      </c>
      <c r="U498" s="171">
        <f t="shared" si="218"/>
        <v>7560874.0661541186</v>
      </c>
      <c r="V498" s="171">
        <f t="shared" si="231"/>
        <v>0</v>
      </c>
      <c r="W498" s="171">
        <f>IF(OR(A498&gt;=$C$13,B498="Retired"),IF(V498&gt;0,-V498,U498-'Model Inputs'!$B$18),"")</f>
        <v>6560874.0661541186</v>
      </c>
      <c r="X498" s="171">
        <f t="shared" si="219"/>
        <v>1927833.5163159401</v>
      </c>
      <c r="Y498" s="171">
        <f t="shared" si="220"/>
        <v>579513.60687170736</v>
      </c>
      <c r="Z498" s="171">
        <f t="shared" si="221"/>
        <v>1348319.9094442327</v>
      </c>
      <c r="AA498" s="175">
        <f t="shared" si="222"/>
        <v>8909193.975598352</v>
      </c>
      <c r="AB498" s="5"/>
      <c r="AC498" s="5"/>
      <c r="AD498" s="5"/>
      <c r="AE498" s="5"/>
      <c r="AF498" s="5"/>
      <c r="AG498" s="5"/>
    </row>
    <row r="499" spans="1:33" x14ac:dyDescent="0.2">
      <c r="A499" s="169">
        <v>23</v>
      </c>
      <c r="B499" s="100" t="str">
        <f t="shared" si="208"/>
        <v>Retired</v>
      </c>
      <c r="C499" s="170">
        <f t="shared" si="209"/>
        <v>0</v>
      </c>
      <c r="D499" s="170">
        <f t="shared" si="210"/>
        <v>0</v>
      </c>
      <c r="E499" s="170">
        <f t="shared" si="211"/>
        <v>0</v>
      </c>
      <c r="F499" s="170">
        <f t="shared" si="212"/>
        <v>0</v>
      </c>
      <c r="G499" s="171">
        <f t="shared" si="213"/>
        <v>0</v>
      </c>
      <c r="H499" s="171">
        <f t="shared" si="214"/>
        <v>100091.39353804055</v>
      </c>
      <c r="I499" s="171">
        <f>IF(B499="Working",MIN(MAX(D499-E499-F499-G499-H499,0),'Tax Assumptions'!$B$20),0)</f>
        <v>0</v>
      </c>
      <c r="J499" s="171">
        <f t="shared" si="215"/>
        <v>-240091.39353804055</v>
      </c>
      <c r="K499" s="170">
        <f t="shared" si="216"/>
        <v>240091.39353804055</v>
      </c>
      <c r="L499" s="170">
        <f t="shared" si="217"/>
        <v>240091.39353804055</v>
      </c>
      <c r="M499" s="170">
        <f t="shared" si="223"/>
        <v>240091.39353804055</v>
      </c>
      <c r="N499" s="170">
        <f t="shared" si="224"/>
        <v>0</v>
      </c>
      <c r="O499" s="170">
        <f t="shared" si="225"/>
        <v>0</v>
      </c>
      <c r="P499" s="170">
        <f t="shared" si="226"/>
        <v>0</v>
      </c>
      <c r="Q499" s="171">
        <f t="shared" si="227"/>
        <v>6874797.0358240604</v>
      </c>
      <c r="R499" s="171">
        <f t="shared" si="228"/>
        <v>688785.40558284346</v>
      </c>
      <c r="S499" s="171">
        <f t="shared" si="229"/>
        <v>210852.67517842143</v>
      </c>
      <c r="T499" s="171">
        <f t="shared" si="230"/>
        <v>0</v>
      </c>
      <c r="U499" s="171">
        <f t="shared" si="218"/>
        <v>7774435.1165853254</v>
      </c>
      <c r="V499" s="171">
        <f t="shared" si="231"/>
        <v>0</v>
      </c>
      <c r="W499" s="171">
        <f>IF(OR(A499&gt;=$C$13,B499="Retired"),IF(V499&gt;0,-V499,U499-'Model Inputs'!$B$18),"")</f>
        <v>6774435.1165853254</v>
      </c>
      <c r="X499" s="171">
        <f t="shared" si="219"/>
        <v>1985668.5218054182</v>
      </c>
      <c r="Y499" s="171">
        <f t="shared" si="220"/>
        <v>560206.85668224399</v>
      </c>
      <c r="Z499" s="171">
        <f t="shared" si="221"/>
        <v>1425461.6651231742</v>
      </c>
      <c r="AA499" s="172">
        <f t="shared" si="222"/>
        <v>9199896.7817084994</v>
      </c>
      <c r="AB499" s="5"/>
      <c r="AC499" s="5"/>
      <c r="AD499" s="5"/>
      <c r="AE499" s="5"/>
      <c r="AF499" s="5"/>
      <c r="AG499" s="5"/>
    </row>
    <row r="500" spans="1:33" x14ac:dyDescent="0.2">
      <c r="A500" s="173">
        <v>24</v>
      </c>
      <c r="B500" s="65" t="str">
        <f t="shared" si="208"/>
        <v>Retired</v>
      </c>
      <c r="C500" s="174">
        <f t="shared" si="209"/>
        <v>0</v>
      </c>
      <c r="D500" s="174">
        <f t="shared" si="210"/>
        <v>0</v>
      </c>
      <c r="E500" s="174">
        <f t="shared" si="211"/>
        <v>0</v>
      </c>
      <c r="F500" s="174">
        <f t="shared" si="212"/>
        <v>0</v>
      </c>
      <c r="G500" s="171">
        <f t="shared" si="213"/>
        <v>0</v>
      </c>
      <c r="H500" s="171">
        <f t="shared" si="214"/>
        <v>101401.93476243214</v>
      </c>
      <c r="I500" s="171">
        <f>IF(B500="Working",MIN(MAX(D500-E500-F500-G500-H500,0),'Tax Assumptions'!$B$20),0)</f>
        <v>0</v>
      </c>
      <c r="J500" s="171">
        <f t="shared" si="215"/>
        <v>-241401.93476243212</v>
      </c>
      <c r="K500" s="174">
        <f t="shared" si="216"/>
        <v>241401.93476243212</v>
      </c>
      <c r="L500" s="174">
        <f t="shared" si="217"/>
        <v>241401.93476243212</v>
      </c>
      <c r="M500" s="174">
        <f t="shared" si="223"/>
        <v>241401.93476243212</v>
      </c>
      <c r="N500" s="174">
        <f t="shared" si="224"/>
        <v>0</v>
      </c>
      <c r="O500" s="174">
        <f t="shared" si="225"/>
        <v>0</v>
      </c>
      <c r="P500" s="174">
        <f t="shared" si="226"/>
        <v>0</v>
      </c>
      <c r="Q500" s="171">
        <f t="shared" si="227"/>
        <v>7045882.9232110726</v>
      </c>
      <c r="R500" s="171">
        <f t="shared" si="228"/>
        <v>730112.52991781407</v>
      </c>
      <c r="S500" s="171">
        <f t="shared" si="229"/>
        <v>223503.83568912672</v>
      </c>
      <c r="T500" s="171">
        <f t="shared" si="230"/>
        <v>0</v>
      </c>
      <c r="U500" s="171">
        <f t="shared" si="218"/>
        <v>7999499.2888180129</v>
      </c>
      <c r="V500" s="171">
        <f t="shared" si="231"/>
        <v>0</v>
      </c>
      <c r="W500" s="171">
        <f>IF(OR(A500&gt;=$C$13,B500="Retired"),IF(V500&gt;0,-V500,U500-'Model Inputs'!$B$18),"")</f>
        <v>6999499.2888180129</v>
      </c>
      <c r="X500" s="171">
        <f t="shared" si="219"/>
        <v>2045238.577459581</v>
      </c>
      <c r="Y500" s="171">
        <f t="shared" si="220"/>
        <v>539607.09767644154</v>
      </c>
      <c r="Z500" s="171">
        <f t="shared" si="221"/>
        <v>1505631.4797831394</v>
      </c>
      <c r="AA500" s="175">
        <f t="shared" si="222"/>
        <v>9505130.768601153</v>
      </c>
      <c r="AB500" s="5"/>
      <c r="AC500" s="5"/>
      <c r="AD500" s="5"/>
      <c r="AE500" s="5"/>
      <c r="AF500" s="5"/>
      <c r="AG500" s="5"/>
    </row>
    <row r="501" spans="1:33" x14ac:dyDescent="0.2">
      <c r="A501" s="169">
        <v>25</v>
      </c>
      <c r="B501" s="100" t="str">
        <f t="shared" si="208"/>
        <v>Retired</v>
      </c>
      <c r="C501" s="170">
        <f t="shared" si="209"/>
        <v>0</v>
      </c>
      <c r="D501" s="170">
        <f t="shared" si="210"/>
        <v>0</v>
      </c>
      <c r="E501" s="170">
        <f t="shared" si="211"/>
        <v>0</v>
      </c>
      <c r="F501" s="170">
        <f t="shared" si="212"/>
        <v>0</v>
      </c>
      <c r="G501" s="171">
        <f t="shared" si="213"/>
        <v>0</v>
      </c>
      <c r="H501" s="171">
        <f t="shared" si="214"/>
        <v>102751.79222355547</v>
      </c>
      <c r="I501" s="171">
        <f>IF(B501="Working",MIN(MAX(D501-E501-F501-G501-H501,0),'Tax Assumptions'!$B$20),0)</f>
        <v>0</v>
      </c>
      <c r="J501" s="171">
        <f t="shared" si="215"/>
        <v>-242751.79222355547</v>
      </c>
      <c r="K501" s="170">
        <f t="shared" si="216"/>
        <v>242751.79222355547</v>
      </c>
      <c r="L501" s="170">
        <f t="shared" si="217"/>
        <v>242751.79222355547</v>
      </c>
      <c r="M501" s="170">
        <f t="shared" si="223"/>
        <v>242751.79222355547</v>
      </c>
      <c r="N501" s="170">
        <f t="shared" si="224"/>
        <v>0</v>
      </c>
      <c r="O501" s="170">
        <f t="shared" si="225"/>
        <v>0</v>
      </c>
      <c r="P501" s="170">
        <f t="shared" si="226"/>
        <v>0</v>
      </c>
      <c r="Q501" s="171">
        <f t="shared" si="227"/>
        <v>7225884.1063801823</v>
      </c>
      <c r="R501" s="171">
        <f t="shared" si="228"/>
        <v>773919.28171288292</v>
      </c>
      <c r="S501" s="171">
        <f t="shared" si="229"/>
        <v>236914.06583047434</v>
      </c>
      <c r="T501" s="171">
        <f t="shared" si="230"/>
        <v>0</v>
      </c>
      <c r="U501" s="171">
        <f t="shared" si="218"/>
        <v>8236717.4539235402</v>
      </c>
      <c r="V501" s="171">
        <f t="shared" si="231"/>
        <v>0</v>
      </c>
      <c r="W501" s="171">
        <f>IF(OR(A501&gt;=$C$13,B501="Retired"),IF(V501&gt;0,-V501,U501-'Model Inputs'!$B$18),"")</f>
        <v>7236717.4539235402</v>
      </c>
      <c r="X501" s="171">
        <f t="shared" si="219"/>
        <v>2106595.7347833687</v>
      </c>
      <c r="Y501" s="171">
        <f t="shared" si="220"/>
        <v>517627.7346592145</v>
      </c>
      <c r="Z501" s="171">
        <f t="shared" si="221"/>
        <v>1588968.0001241541</v>
      </c>
      <c r="AA501" s="172">
        <f t="shared" si="222"/>
        <v>9825685.4540476948</v>
      </c>
      <c r="AB501" s="5"/>
      <c r="AC501" s="5"/>
      <c r="AD501" s="5"/>
      <c r="AE501" s="5"/>
      <c r="AF501" s="5"/>
      <c r="AG501" s="5"/>
    </row>
    <row r="502" spans="1:33" x14ac:dyDescent="0.2">
      <c r="A502" s="173">
        <v>26</v>
      </c>
      <c r="B502" s="65" t="str">
        <f t="shared" si="208"/>
        <v>Retired</v>
      </c>
      <c r="C502" s="174">
        <f t="shared" si="209"/>
        <v>0</v>
      </c>
      <c r="D502" s="174">
        <f t="shared" si="210"/>
        <v>0</v>
      </c>
      <c r="E502" s="174">
        <f t="shared" si="211"/>
        <v>0</v>
      </c>
      <c r="F502" s="174">
        <f t="shared" si="212"/>
        <v>0</v>
      </c>
      <c r="G502" s="171">
        <f t="shared" si="213"/>
        <v>0</v>
      </c>
      <c r="H502" s="171">
        <f t="shared" si="214"/>
        <v>104142.14540851247</v>
      </c>
      <c r="I502" s="171">
        <f>IF(B502="Working",MIN(MAX(D502-E502-F502-G502-H502,0),'Tax Assumptions'!$B$20),0)</f>
        <v>0</v>
      </c>
      <c r="J502" s="171">
        <f t="shared" si="215"/>
        <v>-244142.14540851247</v>
      </c>
      <c r="K502" s="174">
        <f t="shared" si="216"/>
        <v>244142.14540851247</v>
      </c>
      <c r="L502" s="174">
        <f t="shared" si="217"/>
        <v>244142.14540851247</v>
      </c>
      <c r="M502" s="174">
        <f t="shared" si="223"/>
        <v>244142.14540851247</v>
      </c>
      <c r="N502" s="174">
        <f t="shared" si="224"/>
        <v>0</v>
      </c>
      <c r="O502" s="174">
        <f t="shared" si="225"/>
        <v>0</v>
      </c>
      <c r="P502" s="174">
        <f t="shared" si="226"/>
        <v>0</v>
      </c>
      <c r="Q502" s="171">
        <f t="shared" si="227"/>
        <v>7415295.0073544811</v>
      </c>
      <c r="R502" s="171">
        <f t="shared" si="228"/>
        <v>820354.43861565599</v>
      </c>
      <c r="S502" s="171">
        <f t="shared" si="229"/>
        <v>251128.90978030281</v>
      </c>
      <c r="T502" s="171">
        <f t="shared" si="230"/>
        <v>0</v>
      </c>
      <c r="U502" s="171">
        <f t="shared" si="218"/>
        <v>8486778.3557504397</v>
      </c>
      <c r="V502" s="171">
        <f t="shared" si="231"/>
        <v>0</v>
      </c>
      <c r="W502" s="171">
        <f>IF(OR(A502&gt;=$C$13,B502="Retired"),IF(V502&gt;0,-V502,U502-'Model Inputs'!$B$18),"")</f>
        <v>7486778.3557504397</v>
      </c>
      <c r="X502" s="171">
        <f t="shared" si="219"/>
        <v>2169793.6068268693</v>
      </c>
      <c r="Y502" s="171">
        <f t="shared" si="220"/>
        <v>494176.37299488741</v>
      </c>
      <c r="Z502" s="171">
        <f t="shared" si="221"/>
        <v>1675617.2338319819</v>
      </c>
      <c r="AA502" s="175">
        <f t="shared" si="222"/>
        <v>10162395.589582421</v>
      </c>
      <c r="AB502" s="5"/>
      <c r="AC502" s="5"/>
      <c r="AD502" s="5"/>
      <c r="AE502" s="5"/>
      <c r="AF502" s="5"/>
      <c r="AG502" s="5"/>
    </row>
    <row r="503" spans="1:33" x14ac:dyDescent="0.2">
      <c r="A503" s="169">
        <v>27</v>
      </c>
      <c r="B503" s="100" t="str">
        <f t="shared" si="208"/>
        <v>Retired</v>
      </c>
      <c r="C503" s="170">
        <f t="shared" si="209"/>
        <v>0</v>
      </c>
      <c r="D503" s="170">
        <f t="shared" si="210"/>
        <v>0</v>
      </c>
      <c r="E503" s="170">
        <f t="shared" si="211"/>
        <v>0</v>
      </c>
      <c r="F503" s="170">
        <f t="shared" si="212"/>
        <v>0</v>
      </c>
      <c r="G503" s="171">
        <f t="shared" si="213"/>
        <v>0</v>
      </c>
      <c r="H503" s="171">
        <f t="shared" si="214"/>
        <v>105574.20918901821</v>
      </c>
      <c r="I503" s="171">
        <f>IF(B503="Working",MIN(MAX(D503-E503-F503-G503-H503,0),'Tax Assumptions'!$B$20),0)</f>
        <v>0</v>
      </c>
      <c r="J503" s="171">
        <f t="shared" si="215"/>
        <v>-245574.20918901821</v>
      </c>
      <c r="K503" s="170">
        <f t="shared" si="216"/>
        <v>245574.20918901821</v>
      </c>
      <c r="L503" s="170">
        <f t="shared" si="217"/>
        <v>245574.20918901821</v>
      </c>
      <c r="M503" s="170">
        <f t="shared" si="223"/>
        <v>245574.20918901821</v>
      </c>
      <c r="N503" s="170">
        <f t="shared" si="224"/>
        <v>0</v>
      </c>
      <c r="O503" s="170">
        <f t="shared" si="225"/>
        <v>0</v>
      </c>
      <c r="P503" s="170">
        <f t="shared" si="226"/>
        <v>0</v>
      </c>
      <c r="Q503" s="171">
        <f t="shared" si="227"/>
        <v>7614638.4986067321</v>
      </c>
      <c r="R503" s="171">
        <f t="shared" si="228"/>
        <v>869575.70493259537</v>
      </c>
      <c r="S503" s="171">
        <f t="shared" si="229"/>
        <v>266196.64436712099</v>
      </c>
      <c r="T503" s="171">
        <f t="shared" si="230"/>
        <v>0</v>
      </c>
      <c r="U503" s="171">
        <f t="shared" si="218"/>
        <v>8750410.8479064479</v>
      </c>
      <c r="V503" s="171">
        <f t="shared" si="231"/>
        <v>0</v>
      </c>
      <c r="W503" s="171">
        <f>IF(OR(A503&gt;=$C$13,B503="Retired"),IF(V503&gt;0,-V503,U503-'Model Inputs'!$B$18),"")</f>
        <v>7750410.8479064479</v>
      </c>
      <c r="X503" s="171">
        <f t="shared" si="219"/>
        <v>2234887.4150316752</v>
      </c>
      <c r="Y503" s="171">
        <f t="shared" si="220"/>
        <v>469154.4302079191</v>
      </c>
      <c r="Z503" s="171">
        <f t="shared" si="221"/>
        <v>1765732.9848237562</v>
      </c>
      <c r="AA503" s="172">
        <f t="shared" si="222"/>
        <v>10516143.832730204</v>
      </c>
      <c r="AB503" s="5"/>
      <c r="AC503" s="5"/>
      <c r="AD503" s="5"/>
      <c r="AE503" s="5"/>
      <c r="AF503" s="5"/>
      <c r="AG503" s="5"/>
    </row>
    <row r="504" spans="1:33" x14ac:dyDescent="0.2">
      <c r="A504" s="173">
        <v>28</v>
      </c>
      <c r="B504" s="65" t="str">
        <f t="shared" si="208"/>
        <v>Retired</v>
      </c>
      <c r="C504" s="174">
        <f t="shared" si="209"/>
        <v>0</v>
      </c>
      <c r="D504" s="174">
        <f t="shared" si="210"/>
        <v>0</v>
      </c>
      <c r="E504" s="174">
        <f t="shared" si="211"/>
        <v>0</v>
      </c>
      <c r="F504" s="174">
        <f t="shared" si="212"/>
        <v>0</v>
      </c>
      <c r="G504" s="171">
        <f t="shared" si="213"/>
        <v>0</v>
      </c>
      <c r="H504" s="171">
        <f t="shared" si="214"/>
        <v>107049.23488293911</v>
      </c>
      <c r="I504" s="171">
        <f>IF(B504="Working",MIN(MAX(D504-E504-F504-G504-H504,0),'Tax Assumptions'!$B$20),0)</f>
        <v>0</v>
      </c>
      <c r="J504" s="171">
        <f t="shared" si="215"/>
        <v>-247049.23488293911</v>
      </c>
      <c r="K504" s="174">
        <f t="shared" si="216"/>
        <v>247049.23488293911</v>
      </c>
      <c r="L504" s="174">
        <f t="shared" si="217"/>
        <v>247049.23488293911</v>
      </c>
      <c r="M504" s="174">
        <f t="shared" si="223"/>
        <v>247049.23488293911</v>
      </c>
      <c r="N504" s="174">
        <f t="shared" si="224"/>
        <v>0</v>
      </c>
      <c r="O504" s="174">
        <f t="shared" si="225"/>
        <v>0</v>
      </c>
      <c r="P504" s="174">
        <f t="shared" si="226"/>
        <v>0</v>
      </c>
      <c r="Q504" s="171">
        <f t="shared" si="227"/>
        <v>7824467.5736401975</v>
      </c>
      <c r="R504" s="171">
        <f t="shared" si="228"/>
        <v>921750.24722855119</v>
      </c>
      <c r="S504" s="171">
        <f t="shared" si="229"/>
        <v>282168.44302914827</v>
      </c>
      <c r="T504" s="171">
        <f t="shared" si="230"/>
        <v>0</v>
      </c>
      <c r="U504" s="171">
        <f t="shared" si="218"/>
        <v>9028386.2638978977</v>
      </c>
      <c r="V504" s="171">
        <f t="shared" si="231"/>
        <v>0</v>
      </c>
      <c r="W504" s="171">
        <f>IF(OR(A504&gt;=$C$13,B504="Retired"),IF(V504&gt;0,-V504,U504-'Model Inputs'!$B$18),"")</f>
        <v>8028386.2638978977</v>
      </c>
      <c r="X504" s="171">
        <f t="shared" si="219"/>
        <v>2301934.0374826253</v>
      </c>
      <c r="Y504" s="171">
        <f t="shared" si="220"/>
        <v>442456.72157180589</v>
      </c>
      <c r="Z504" s="171">
        <f t="shared" si="221"/>
        <v>1859477.3159108195</v>
      </c>
      <c r="AA504" s="175">
        <f t="shared" si="222"/>
        <v>10887863.579808718</v>
      </c>
      <c r="AB504" s="5"/>
      <c r="AC504" s="5"/>
      <c r="AD504" s="5"/>
      <c r="AE504" s="5"/>
      <c r="AF504" s="5"/>
      <c r="AG504" s="5"/>
    </row>
    <row r="505" spans="1:33" x14ac:dyDescent="0.2">
      <c r="A505" s="169">
        <v>29</v>
      </c>
      <c r="B505" s="100" t="str">
        <f t="shared" si="208"/>
        <v>Retired</v>
      </c>
      <c r="C505" s="170">
        <f t="shared" si="209"/>
        <v>0</v>
      </c>
      <c r="D505" s="170">
        <f t="shared" si="210"/>
        <v>0</v>
      </c>
      <c r="E505" s="170">
        <f t="shared" si="211"/>
        <v>0</v>
      </c>
      <c r="F505" s="170">
        <f t="shared" si="212"/>
        <v>0</v>
      </c>
      <c r="G505" s="171">
        <f t="shared" si="213"/>
        <v>0</v>
      </c>
      <c r="H505" s="171">
        <f t="shared" si="214"/>
        <v>108568.51134767765</v>
      </c>
      <c r="I505" s="171">
        <f>IF(B505="Working",MIN(MAX(D505-E505-F505-G505-H505,0),'Tax Assumptions'!$B$20),0)</f>
        <v>0</v>
      </c>
      <c r="J505" s="171">
        <f t="shared" si="215"/>
        <v>-248568.51134767765</v>
      </c>
      <c r="K505" s="170">
        <f t="shared" si="216"/>
        <v>248568.51134767765</v>
      </c>
      <c r="L505" s="170">
        <f t="shared" si="217"/>
        <v>248568.51134767765</v>
      </c>
      <c r="M505" s="170">
        <f t="shared" si="223"/>
        <v>248568.51134767765</v>
      </c>
      <c r="N505" s="170">
        <f t="shared" si="224"/>
        <v>0</v>
      </c>
      <c r="O505" s="170">
        <f t="shared" si="225"/>
        <v>0</v>
      </c>
      <c r="P505" s="170">
        <f t="shared" si="226"/>
        <v>0</v>
      </c>
      <c r="Q505" s="171">
        <f t="shared" si="227"/>
        <v>8045367.116710932</v>
      </c>
      <c r="R505" s="171">
        <f t="shared" si="228"/>
        <v>977055.26206226426</v>
      </c>
      <c r="S505" s="171">
        <f t="shared" si="229"/>
        <v>299098.5496108972</v>
      </c>
      <c r="T505" s="171">
        <f t="shared" si="230"/>
        <v>0</v>
      </c>
      <c r="U505" s="171">
        <f t="shared" si="218"/>
        <v>9321520.9283840936</v>
      </c>
      <c r="V505" s="171">
        <f t="shared" si="231"/>
        <v>0</v>
      </c>
      <c r="W505" s="171">
        <f>IF(OR(A505&gt;=$C$13,B505="Retired"),IF(V505&gt;0,-V505,U505-'Model Inputs'!$B$18),"")</f>
        <v>8321520.9283840936</v>
      </c>
      <c r="X505" s="171">
        <f t="shared" si="219"/>
        <v>2370992.0586071042</v>
      </c>
      <c r="Y505" s="171">
        <f t="shared" si="220"/>
        <v>413971.01794410776</v>
      </c>
      <c r="Z505" s="171">
        <f t="shared" si="221"/>
        <v>1957021.0406629965</v>
      </c>
      <c r="AA505" s="172">
        <f t="shared" si="222"/>
        <v>11278541.96904709</v>
      </c>
      <c r="AB505" s="5"/>
      <c r="AC505" s="5"/>
      <c r="AD505" s="5"/>
      <c r="AE505" s="5"/>
      <c r="AF505" s="5"/>
      <c r="AG505" s="5"/>
    </row>
    <row r="506" spans="1:33" x14ac:dyDescent="0.2">
      <c r="A506" s="173">
        <v>30</v>
      </c>
      <c r="B506" s="65" t="str">
        <f t="shared" si="208"/>
        <v>Retired</v>
      </c>
      <c r="C506" s="174">
        <f t="shared" si="209"/>
        <v>0</v>
      </c>
      <c r="D506" s="174">
        <f t="shared" si="210"/>
        <v>0</v>
      </c>
      <c r="E506" s="174">
        <f t="shared" si="211"/>
        <v>0</v>
      </c>
      <c r="F506" s="174">
        <f t="shared" si="212"/>
        <v>0</v>
      </c>
      <c r="G506" s="171">
        <f t="shared" si="213"/>
        <v>0</v>
      </c>
      <c r="H506" s="171">
        <f t="shared" si="214"/>
        <v>110133.36610635833</v>
      </c>
      <c r="I506" s="171">
        <f>IF(B506="Working",MIN(MAX(D506-E506-F506-G506-H506,0),'Tax Assumptions'!$B$20),0)</f>
        <v>0</v>
      </c>
      <c r="J506" s="171">
        <f t="shared" si="215"/>
        <v>-250133.36610635833</v>
      </c>
      <c r="K506" s="174">
        <f t="shared" si="216"/>
        <v>250133.36610635833</v>
      </c>
      <c r="L506" s="174">
        <f t="shared" si="217"/>
        <v>250133.36610635833</v>
      </c>
      <c r="M506" s="174">
        <f t="shared" si="223"/>
        <v>250133.36610635833</v>
      </c>
      <c r="N506" s="174">
        <f t="shared" si="224"/>
        <v>0</v>
      </c>
      <c r="O506" s="174">
        <f t="shared" si="225"/>
        <v>0</v>
      </c>
      <c r="P506" s="174">
        <f t="shared" si="226"/>
        <v>0</v>
      </c>
      <c r="Q506" s="171">
        <f t="shared" si="227"/>
        <v>8277955.7776072295</v>
      </c>
      <c r="R506" s="171">
        <f t="shared" si="228"/>
        <v>1035678.5777860002</v>
      </c>
      <c r="S506" s="171">
        <f t="shared" si="229"/>
        <v>317044.46258755104</v>
      </c>
      <c r="T506" s="171">
        <f t="shared" si="230"/>
        <v>0</v>
      </c>
      <c r="U506" s="171">
        <f t="shared" si="218"/>
        <v>9630678.8179807793</v>
      </c>
      <c r="V506" s="171">
        <f t="shared" si="231"/>
        <v>0</v>
      </c>
      <c r="W506" s="171">
        <f>IF(OR(A506&gt;=$C$13,B506="Retired"),IF(V506&gt;0,-V506,U506-'Model Inputs'!$B$18),"")</f>
        <v>8630678.8179807793</v>
      </c>
      <c r="X506" s="171">
        <f t="shared" si="219"/>
        <v>2442121.8203653172</v>
      </c>
      <c r="Y506" s="171">
        <f t="shared" si="220"/>
        <v>383577.57398886699</v>
      </c>
      <c r="Z506" s="171">
        <f t="shared" si="221"/>
        <v>2058544.2463764502</v>
      </c>
      <c r="AA506" s="175">
        <f t="shared" si="222"/>
        <v>11689223.064357229</v>
      </c>
      <c r="AB506" s="5"/>
      <c r="AC506" s="5"/>
      <c r="AD506" s="5"/>
      <c r="AE506" s="5"/>
      <c r="AF506" s="5"/>
      <c r="AG506" s="5"/>
    </row>
    <row r="507" spans="1:33" x14ac:dyDescent="0.2">
      <c r="A507" s="169">
        <v>31</v>
      </c>
      <c r="B507" s="100" t="str">
        <f t="shared" si="208"/>
        <v>Retired</v>
      </c>
      <c r="C507" s="170">
        <f t="shared" si="209"/>
        <v>0</v>
      </c>
      <c r="D507" s="170">
        <f t="shared" si="210"/>
        <v>0</v>
      </c>
      <c r="E507" s="170">
        <f t="shared" si="211"/>
        <v>0</v>
      </c>
      <c r="F507" s="170">
        <f t="shared" si="212"/>
        <v>0</v>
      </c>
      <c r="G507" s="171">
        <f t="shared" si="213"/>
        <v>0</v>
      </c>
      <c r="H507" s="171">
        <f t="shared" si="214"/>
        <v>111745.16650779944</v>
      </c>
      <c r="I507" s="171">
        <f>IF(B507="Working",MIN(MAX(D507-E507-F507-G507-H507,0),'Tax Assumptions'!$B$20),0)</f>
        <v>0</v>
      </c>
      <c r="J507" s="171">
        <f t="shared" si="215"/>
        <v>-251745.16650779944</v>
      </c>
      <c r="K507" s="170">
        <f t="shared" si="216"/>
        <v>251745.16650779944</v>
      </c>
      <c r="L507" s="170">
        <f t="shared" si="217"/>
        <v>251745.16650779944</v>
      </c>
      <c r="M507" s="170">
        <f t="shared" si="223"/>
        <v>251745.16650779944</v>
      </c>
      <c r="N507" s="170">
        <f t="shared" si="224"/>
        <v>0</v>
      </c>
      <c r="O507" s="170">
        <f t="shared" si="225"/>
        <v>0</v>
      </c>
      <c r="P507" s="170">
        <f t="shared" si="226"/>
        <v>0</v>
      </c>
      <c r="Q507" s="171">
        <f t="shared" si="227"/>
        <v>8522887.9577558637</v>
      </c>
      <c r="R507" s="171">
        <f t="shared" si="228"/>
        <v>1097819.2924531603</v>
      </c>
      <c r="S507" s="171">
        <f t="shared" si="229"/>
        <v>336067.13034280413</v>
      </c>
      <c r="T507" s="171">
        <f t="shared" si="230"/>
        <v>0</v>
      </c>
      <c r="U507" s="171">
        <f t="shared" si="218"/>
        <v>9956774.3805518281</v>
      </c>
      <c r="V507" s="171">
        <f t="shared" si="231"/>
        <v>0</v>
      </c>
      <c r="W507" s="171">
        <f>IF(OR(A507&gt;=$C$13,B507="Retired"),IF(V507&gt;0,-V507,U507-'Model Inputs'!$B$18),"")</f>
        <v>8956774.3805518281</v>
      </c>
      <c r="X507" s="171">
        <f t="shared" si="219"/>
        <v>2515385.4749762765</v>
      </c>
      <c r="Y507" s="171">
        <f t="shared" si="220"/>
        <v>351148.62480320875</v>
      </c>
      <c r="Z507" s="171">
        <f t="shared" si="221"/>
        <v>2164236.8501730678</v>
      </c>
      <c r="AA507" s="172">
        <f t="shared" si="222"/>
        <v>12121011.230724895</v>
      </c>
      <c r="AB507" s="5"/>
      <c r="AC507" s="5"/>
      <c r="AD507" s="5"/>
      <c r="AE507" s="5"/>
      <c r="AF507" s="5"/>
      <c r="AG507" s="5"/>
    </row>
    <row r="508" spans="1:33" x14ac:dyDescent="0.2">
      <c r="A508" s="173">
        <v>32</v>
      </c>
      <c r="B508" s="65" t="str">
        <f t="shared" si="208"/>
        <v>Retired</v>
      </c>
      <c r="C508" s="174">
        <f t="shared" si="209"/>
        <v>0</v>
      </c>
      <c r="D508" s="174">
        <f t="shared" si="210"/>
        <v>0</v>
      </c>
      <c r="E508" s="174">
        <f t="shared" si="211"/>
        <v>0</v>
      </c>
      <c r="F508" s="174">
        <f t="shared" si="212"/>
        <v>0</v>
      </c>
      <c r="G508" s="171">
        <f t="shared" si="213"/>
        <v>0</v>
      </c>
      <c r="H508" s="171">
        <f t="shared" si="214"/>
        <v>113405.3209212838</v>
      </c>
      <c r="I508" s="171">
        <f>IF(B508="Working",MIN(MAX(D508-E508-F508-G508-H508,0),'Tax Assumptions'!$B$20),0)</f>
        <v>0</v>
      </c>
      <c r="J508" s="171">
        <f t="shared" si="215"/>
        <v>-253405.3209212838</v>
      </c>
      <c r="K508" s="174">
        <f t="shared" si="216"/>
        <v>253405.3209212838</v>
      </c>
      <c r="L508" s="174">
        <f t="shared" si="217"/>
        <v>253405.3209212838</v>
      </c>
      <c r="M508" s="174">
        <f t="shared" si="223"/>
        <v>253405.3209212838</v>
      </c>
      <c r="N508" s="174">
        <f t="shared" si="224"/>
        <v>0</v>
      </c>
      <c r="O508" s="174">
        <f t="shared" si="225"/>
        <v>0</v>
      </c>
      <c r="P508" s="174">
        <f t="shared" si="226"/>
        <v>0</v>
      </c>
      <c r="Q508" s="171">
        <f t="shared" si="227"/>
        <v>8780855.9142999332</v>
      </c>
      <c r="R508" s="171">
        <f t="shared" si="228"/>
        <v>1163688.4500003499</v>
      </c>
      <c r="S508" s="171">
        <f t="shared" si="229"/>
        <v>356231.15816337237</v>
      </c>
      <c r="T508" s="171">
        <f t="shared" si="230"/>
        <v>0</v>
      </c>
      <c r="U508" s="171">
        <f t="shared" si="218"/>
        <v>10300775.522463655</v>
      </c>
      <c r="V508" s="171">
        <f t="shared" si="231"/>
        <v>0</v>
      </c>
      <c r="W508" s="171">
        <f>IF(OR(A508&gt;=$C$13,B508="Retired"),IF(V508&gt;0,-V508,U508-'Model Inputs'!$B$18),"")</f>
        <v>9300775.5224636551</v>
      </c>
      <c r="X508" s="171">
        <f t="shared" si="219"/>
        <v>2590847.0392255653</v>
      </c>
      <c r="Y508" s="171">
        <f t="shared" si="220"/>
        <v>316547.84883208992</v>
      </c>
      <c r="Z508" s="171">
        <f t="shared" si="221"/>
        <v>2274299.1903934753</v>
      </c>
      <c r="AA508" s="175">
        <f t="shared" si="222"/>
        <v>12575074.712857131</v>
      </c>
      <c r="AB508" s="5"/>
      <c r="AC508" s="5"/>
      <c r="AD508" s="5"/>
      <c r="AE508" s="5"/>
      <c r="AF508" s="5"/>
      <c r="AG508" s="5"/>
    </row>
    <row r="509" spans="1:33" x14ac:dyDescent="0.2">
      <c r="A509" s="169">
        <v>33</v>
      </c>
      <c r="B509" s="100" t="str">
        <f t="shared" si="208"/>
        <v>Retired</v>
      </c>
      <c r="C509" s="170">
        <f t="shared" si="209"/>
        <v>0</v>
      </c>
      <c r="D509" s="170">
        <f t="shared" si="210"/>
        <v>0</v>
      </c>
      <c r="E509" s="170">
        <f t="shared" si="211"/>
        <v>0</v>
      </c>
      <c r="F509" s="170">
        <f t="shared" si="212"/>
        <v>0</v>
      </c>
      <c r="G509" s="171">
        <f t="shared" si="213"/>
        <v>0</v>
      </c>
      <c r="H509" s="171">
        <f t="shared" si="214"/>
        <v>115115.27996717265</v>
      </c>
      <c r="I509" s="171">
        <f>IF(B509="Working",MIN(MAX(D509-E509-F509-G509-H509,0),'Tax Assumptions'!$B$20),0)</f>
        <v>0</v>
      </c>
      <c r="J509" s="171">
        <f t="shared" si="215"/>
        <v>-255115.27996717265</v>
      </c>
      <c r="K509" s="170">
        <f t="shared" si="216"/>
        <v>255115.27996717265</v>
      </c>
      <c r="L509" s="170">
        <f t="shared" si="217"/>
        <v>255115.27996717265</v>
      </c>
      <c r="M509" s="170">
        <f t="shared" si="223"/>
        <v>255115.27996717265</v>
      </c>
      <c r="N509" s="170">
        <f t="shared" si="224"/>
        <v>0</v>
      </c>
      <c r="O509" s="170">
        <f t="shared" si="225"/>
        <v>0</v>
      </c>
      <c r="P509" s="170">
        <f t="shared" si="226"/>
        <v>0</v>
      </c>
      <c r="Q509" s="171">
        <f t="shared" si="227"/>
        <v>9052591.9891907573</v>
      </c>
      <c r="R509" s="171">
        <f t="shared" si="228"/>
        <v>1233509.7570003709</v>
      </c>
      <c r="S509" s="171">
        <f t="shared" si="229"/>
        <v>377605.02765317471</v>
      </c>
      <c r="T509" s="171">
        <f t="shared" si="230"/>
        <v>0</v>
      </c>
      <c r="U509" s="171">
        <f t="shared" si="218"/>
        <v>10663706.773844304</v>
      </c>
      <c r="V509" s="171">
        <f t="shared" si="231"/>
        <v>0</v>
      </c>
      <c r="W509" s="171">
        <f>IF(OR(A509&gt;=$C$13,B509="Retired"),IF(V509&gt;0,-V509,U509-'Model Inputs'!$B$18),"")</f>
        <v>9663706.7738443036</v>
      </c>
      <c r="X509" s="171">
        <f t="shared" si="219"/>
        <v>2668572.450402332</v>
      </c>
      <c r="Y509" s="171">
        <f t="shared" si="220"/>
        <v>279629.79481346067</v>
      </c>
      <c r="Z509" s="171">
        <f t="shared" si="221"/>
        <v>2388942.6555888713</v>
      </c>
      <c r="AA509" s="172">
        <f t="shared" si="222"/>
        <v>13052649.429433174</v>
      </c>
      <c r="AB509" s="5"/>
      <c r="AC509" s="5"/>
      <c r="AD509" s="5"/>
      <c r="AE509" s="5"/>
      <c r="AF509" s="5"/>
      <c r="AG509" s="5"/>
    </row>
    <row r="510" spans="1:33" x14ac:dyDescent="0.2">
      <c r="A510" s="173">
        <v>34</v>
      </c>
      <c r="B510" s="65" t="str">
        <f t="shared" si="208"/>
        <v>Retired</v>
      </c>
      <c r="C510" s="174">
        <f t="shared" si="209"/>
        <v>0</v>
      </c>
      <c r="D510" s="174">
        <f t="shared" si="210"/>
        <v>0</v>
      </c>
      <c r="E510" s="174">
        <f t="shared" si="211"/>
        <v>0</v>
      </c>
      <c r="F510" s="174">
        <f t="shared" si="212"/>
        <v>0</v>
      </c>
      <c r="G510" s="171">
        <f t="shared" si="213"/>
        <v>0</v>
      </c>
      <c r="H510" s="171">
        <f t="shared" si="214"/>
        <v>116876.5377844382</v>
      </c>
      <c r="I510" s="171">
        <f>IF(B510="Working",MIN(MAX(D510-E510-F510-G510-H510,0),'Tax Assumptions'!$B$20),0)</f>
        <v>0</v>
      </c>
      <c r="J510" s="171">
        <f t="shared" si="215"/>
        <v>-256876.5377844382</v>
      </c>
      <c r="K510" s="174">
        <f t="shared" si="216"/>
        <v>256876.5377844382</v>
      </c>
      <c r="L510" s="174">
        <f t="shared" si="217"/>
        <v>256876.5377844382</v>
      </c>
      <c r="M510" s="174">
        <f t="shared" si="223"/>
        <v>256876.5377844382</v>
      </c>
      <c r="N510" s="174">
        <f t="shared" si="224"/>
        <v>0</v>
      </c>
      <c r="O510" s="174">
        <f t="shared" si="225"/>
        <v>0</v>
      </c>
      <c r="P510" s="174">
        <f t="shared" si="226"/>
        <v>0</v>
      </c>
      <c r="Q510" s="171">
        <f t="shared" si="227"/>
        <v>9338870.9707577638</v>
      </c>
      <c r="R510" s="171">
        <f t="shared" si="228"/>
        <v>1307520.3424203931</v>
      </c>
      <c r="S510" s="171">
        <f t="shared" si="229"/>
        <v>400261.32931236521</v>
      </c>
      <c r="T510" s="171">
        <f t="shared" si="230"/>
        <v>0</v>
      </c>
      <c r="U510" s="171">
        <f t="shared" si="218"/>
        <v>11046652.642490523</v>
      </c>
      <c r="V510" s="171">
        <f t="shared" si="231"/>
        <v>0</v>
      </c>
      <c r="W510" s="171">
        <f>IF(OR(A510&gt;=$C$13,B510="Retired"),IF(V510&gt;0,-V510,U510-'Model Inputs'!$B$18),"")</f>
        <v>10046652.642490523</v>
      </c>
      <c r="X510" s="171">
        <f t="shared" si="219"/>
        <v>2748629.623914402</v>
      </c>
      <c r="Y510" s="171">
        <f t="shared" si="220"/>
        <v>240239.27034487389</v>
      </c>
      <c r="Z510" s="171">
        <f t="shared" si="221"/>
        <v>2508390.3535695281</v>
      </c>
      <c r="AA510" s="175">
        <f t="shared" si="222"/>
        <v>13555042.996060051</v>
      </c>
      <c r="AB510" s="5"/>
      <c r="AC510" s="5"/>
      <c r="AD510" s="5"/>
      <c r="AE510" s="5"/>
      <c r="AF510" s="5"/>
      <c r="AG510" s="5"/>
    </row>
    <row r="511" spans="1:33" x14ac:dyDescent="0.2">
      <c r="A511" s="169">
        <v>35</v>
      </c>
      <c r="B511" s="100" t="str">
        <f t="shared" si="208"/>
        <v>Retired</v>
      </c>
      <c r="C511" s="170">
        <f t="shared" si="209"/>
        <v>0</v>
      </c>
      <c r="D511" s="170">
        <f t="shared" si="210"/>
        <v>0</v>
      </c>
      <c r="E511" s="170">
        <f t="shared" si="211"/>
        <v>0</v>
      </c>
      <c r="F511" s="170">
        <f t="shared" si="212"/>
        <v>0</v>
      </c>
      <c r="G511" s="171">
        <f t="shared" si="213"/>
        <v>0</v>
      </c>
      <c r="H511" s="171">
        <f t="shared" si="214"/>
        <v>118690.63333622168</v>
      </c>
      <c r="I511" s="171">
        <f>IF(B511="Working",MIN(MAX(D511-E511-F511-G511-H511,0),'Tax Assumptions'!$B$20),0)</f>
        <v>0</v>
      </c>
      <c r="J511" s="171">
        <f t="shared" si="215"/>
        <v>-258690.63333622168</v>
      </c>
      <c r="K511" s="170">
        <f t="shared" si="216"/>
        <v>258690.63333622168</v>
      </c>
      <c r="L511" s="170">
        <f t="shared" si="217"/>
        <v>258690.63333622168</v>
      </c>
      <c r="M511" s="170">
        <f t="shared" si="223"/>
        <v>258690.63333622168</v>
      </c>
      <c r="N511" s="170">
        <f t="shared" si="224"/>
        <v>0</v>
      </c>
      <c r="O511" s="170">
        <f t="shared" si="225"/>
        <v>0</v>
      </c>
      <c r="P511" s="170">
        <f t="shared" si="226"/>
        <v>0</v>
      </c>
      <c r="Q511" s="171">
        <f t="shared" si="227"/>
        <v>9640512.5956670083</v>
      </c>
      <c r="R511" s="171">
        <f t="shared" si="228"/>
        <v>1385971.5629656168</v>
      </c>
      <c r="S511" s="171">
        <f t="shared" si="229"/>
        <v>424277.00907110714</v>
      </c>
      <c r="T511" s="171">
        <f t="shared" si="230"/>
        <v>0</v>
      </c>
      <c r="U511" s="171">
        <f t="shared" si="218"/>
        <v>11450761.167703733</v>
      </c>
      <c r="V511" s="171">
        <f t="shared" si="231"/>
        <v>0</v>
      </c>
      <c r="W511" s="171">
        <f>IF(OR(A511&gt;=$C$13,B511="Retired"),IF(V511&gt;0,-V511,U511-'Model Inputs'!$B$18),"")</f>
        <v>10450761.167703733</v>
      </c>
      <c r="X511" s="171">
        <f t="shared" si="219"/>
        <v>2831088.5126318336</v>
      </c>
      <c r="Y511" s="171">
        <f t="shared" si="220"/>
        <v>198210.68950127438</v>
      </c>
      <c r="Z511" s="171">
        <f t="shared" si="221"/>
        <v>2632877.8231305592</v>
      </c>
      <c r="AA511" s="172">
        <f t="shared" si="222"/>
        <v>14083638.990834292</v>
      </c>
      <c r="AB511" s="5"/>
      <c r="AC511" s="5"/>
      <c r="AD511" s="5"/>
      <c r="AE511" s="5"/>
      <c r="AF511" s="5"/>
      <c r="AG511" s="5"/>
    </row>
    <row r="512" spans="1:33" x14ac:dyDescent="0.2">
      <c r="A512" s="173">
        <v>36</v>
      </c>
      <c r="B512" s="65" t="str">
        <f t="shared" si="208"/>
        <v>Retired</v>
      </c>
      <c r="C512" s="174">
        <f t="shared" si="209"/>
        <v>0</v>
      </c>
      <c r="D512" s="174">
        <f t="shared" si="210"/>
        <v>0</v>
      </c>
      <c r="E512" s="174">
        <f t="shared" si="211"/>
        <v>0</v>
      </c>
      <c r="F512" s="174">
        <f t="shared" si="212"/>
        <v>0</v>
      </c>
      <c r="G512" s="171">
        <f t="shared" si="213"/>
        <v>0</v>
      </c>
      <c r="H512" s="171">
        <f t="shared" si="214"/>
        <v>120559.15175455873</v>
      </c>
      <c r="I512" s="171">
        <f>IF(B512="Working",MIN(MAX(D512-E512-F512-G512-H512,0),'Tax Assumptions'!$B$20),0)</f>
        <v>0</v>
      </c>
      <c r="J512" s="171">
        <f t="shared" si="215"/>
        <v>-260559.15175455873</v>
      </c>
      <c r="K512" s="174">
        <f t="shared" si="216"/>
        <v>260559.15175455873</v>
      </c>
      <c r="L512" s="174">
        <f t="shared" si="217"/>
        <v>260559.15175455873</v>
      </c>
      <c r="M512" s="174">
        <f t="shared" si="223"/>
        <v>260559.15175455873</v>
      </c>
      <c r="N512" s="174">
        <f t="shared" si="224"/>
        <v>0</v>
      </c>
      <c r="O512" s="174">
        <f t="shared" si="225"/>
        <v>0</v>
      </c>
      <c r="P512" s="174">
        <f t="shared" si="226"/>
        <v>0</v>
      </c>
      <c r="Q512" s="171">
        <f t="shared" si="227"/>
        <v>9958384.1996524706</v>
      </c>
      <c r="R512" s="171">
        <f t="shared" si="228"/>
        <v>1469129.8567435539</v>
      </c>
      <c r="S512" s="171">
        <f t="shared" si="229"/>
        <v>449733.62961537362</v>
      </c>
      <c r="T512" s="171">
        <f t="shared" si="230"/>
        <v>0</v>
      </c>
      <c r="U512" s="171">
        <f t="shared" si="218"/>
        <v>11877247.686011398</v>
      </c>
      <c r="V512" s="171">
        <f t="shared" si="231"/>
        <v>0</v>
      </c>
      <c r="W512" s="171">
        <f>IF(OR(A512&gt;=$C$13,B512="Retired"),IF(V512&gt;0,-V512,U512-'Model Inputs'!$B$18),"")</f>
        <v>10877247.686011398</v>
      </c>
      <c r="X512" s="171">
        <f t="shared" si="219"/>
        <v>2916021.1680107894</v>
      </c>
      <c r="Y512" s="171">
        <f t="shared" si="220"/>
        <v>153367.3767615403</v>
      </c>
      <c r="Z512" s="171">
        <f t="shared" si="221"/>
        <v>2762653.7912492491</v>
      </c>
      <c r="AA512" s="175">
        <f t="shared" si="222"/>
        <v>14639901.477260647</v>
      </c>
      <c r="AB512" s="5"/>
      <c r="AC512" s="5"/>
      <c r="AD512" s="5"/>
      <c r="AE512" s="5"/>
      <c r="AF512" s="5"/>
      <c r="AG512" s="5"/>
    </row>
    <row r="513" spans="1:33" x14ac:dyDescent="0.2">
      <c r="A513" s="169">
        <v>37</v>
      </c>
      <c r="B513" s="100" t="str">
        <f t="shared" si="208"/>
        <v>Retired</v>
      </c>
      <c r="C513" s="170">
        <f t="shared" si="209"/>
        <v>0</v>
      </c>
      <c r="D513" s="170">
        <f t="shared" si="210"/>
        <v>0</v>
      </c>
      <c r="E513" s="170">
        <f t="shared" si="211"/>
        <v>0</v>
      </c>
      <c r="F513" s="170">
        <f t="shared" si="212"/>
        <v>0</v>
      </c>
      <c r="G513" s="171">
        <f t="shared" si="213"/>
        <v>0</v>
      </c>
      <c r="H513" s="171">
        <f t="shared" si="214"/>
        <v>122483.72572544584</v>
      </c>
      <c r="I513" s="171">
        <f>IF(B513="Working",MIN(MAX(D513-E513-F513-G513-H513,0),'Tax Assumptions'!$B$20),0)</f>
        <v>0</v>
      </c>
      <c r="J513" s="171">
        <f t="shared" si="215"/>
        <v>-262483.72572544584</v>
      </c>
      <c r="K513" s="170">
        <f t="shared" si="216"/>
        <v>262483.72572544584</v>
      </c>
      <c r="L513" s="170">
        <f t="shared" si="217"/>
        <v>262483.72572544584</v>
      </c>
      <c r="M513" s="170">
        <f t="shared" si="223"/>
        <v>262483.72572544584</v>
      </c>
      <c r="N513" s="170">
        <f t="shared" si="224"/>
        <v>0</v>
      </c>
      <c r="O513" s="170">
        <f t="shared" si="225"/>
        <v>0</v>
      </c>
      <c r="P513" s="170">
        <f t="shared" si="226"/>
        <v>0</v>
      </c>
      <c r="Q513" s="171">
        <f t="shared" si="227"/>
        <v>10293403.525906174</v>
      </c>
      <c r="R513" s="171">
        <f t="shared" si="228"/>
        <v>1557277.6481481672</v>
      </c>
      <c r="S513" s="171">
        <f t="shared" si="229"/>
        <v>476717.64739229606</v>
      </c>
      <c r="T513" s="171">
        <f t="shared" si="230"/>
        <v>0</v>
      </c>
      <c r="U513" s="171">
        <f t="shared" si="218"/>
        <v>12327398.821446637</v>
      </c>
      <c r="V513" s="171">
        <f t="shared" si="231"/>
        <v>0</v>
      </c>
      <c r="W513" s="171">
        <f>IF(OR(A513&gt;=$C$13,B513="Retired"),IF(V513&gt;0,-V513,U513-'Model Inputs'!$B$18),"")</f>
        <v>11327398.821446637</v>
      </c>
      <c r="X513" s="171">
        <f t="shared" si="219"/>
        <v>3003501.8030511127</v>
      </c>
      <c r="Y513" s="171">
        <f t="shared" si="220"/>
        <v>105520.8243176965</v>
      </c>
      <c r="Z513" s="171">
        <f t="shared" si="221"/>
        <v>2897980.9787334162</v>
      </c>
      <c r="AA513" s="172">
        <f t="shared" si="222"/>
        <v>15225379.800180053</v>
      </c>
      <c r="AB513" s="5"/>
      <c r="AC513" s="5"/>
      <c r="AD513" s="5"/>
      <c r="AE513" s="5"/>
      <c r="AF513" s="5"/>
      <c r="AG513" s="5"/>
    </row>
    <row r="514" spans="1:33" x14ac:dyDescent="0.2">
      <c r="A514" s="173">
        <v>38</v>
      </c>
      <c r="B514" s="65" t="str">
        <f t="shared" si="208"/>
        <v>Retired</v>
      </c>
      <c r="C514" s="174">
        <f t="shared" si="209"/>
        <v>0</v>
      </c>
      <c r="D514" s="174">
        <f t="shared" si="210"/>
        <v>0</v>
      </c>
      <c r="E514" s="174">
        <f t="shared" si="211"/>
        <v>0</v>
      </c>
      <c r="F514" s="174">
        <f t="shared" si="212"/>
        <v>0</v>
      </c>
      <c r="G514" s="171">
        <f t="shared" si="213"/>
        <v>0</v>
      </c>
      <c r="H514" s="171">
        <f t="shared" si="214"/>
        <v>124466.03691545957</v>
      </c>
      <c r="I514" s="171">
        <f>IF(B514="Working",MIN(MAX(D514-E514-F514-G514-H514,0),'Tax Assumptions'!$B$20),0)</f>
        <v>0</v>
      </c>
      <c r="J514" s="171">
        <f t="shared" si="215"/>
        <v>-264466.03691545955</v>
      </c>
      <c r="K514" s="174">
        <f t="shared" si="216"/>
        <v>264466.03691545955</v>
      </c>
      <c r="L514" s="174">
        <f t="shared" si="217"/>
        <v>264466.03691545955</v>
      </c>
      <c r="M514" s="174">
        <f t="shared" si="223"/>
        <v>264466.03691545955</v>
      </c>
      <c r="N514" s="174">
        <f t="shared" si="224"/>
        <v>0</v>
      </c>
      <c r="O514" s="174">
        <f t="shared" si="225"/>
        <v>0</v>
      </c>
      <c r="P514" s="174">
        <f t="shared" si="226"/>
        <v>0</v>
      </c>
      <c r="Q514" s="171">
        <f t="shared" si="227"/>
        <v>10646541.700545086</v>
      </c>
      <c r="R514" s="171">
        <f t="shared" si="228"/>
        <v>1650714.3070370574</v>
      </c>
      <c r="S514" s="171">
        <f t="shared" si="229"/>
        <v>505320.70623583387</v>
      </c>
      <c r="T514" s="171">
        <f t="shared" si="230"/>
        <v>0</v>
      </c>
      <c r="U514" s="171">
        <f t="shared" si="218"/>
        <v>12802576.713817976</v>
      </c>
      <c r="V514" s="171">
        <f t="shared" si="231"/>
        <v>0</v>
      </c>
      <c r="W514" s="171">
        <f>IF(OR(A514&gt;=$C$13,B514="Retired"),IF(V514&gt;0,-V514,U514-'Model Inputs'!$B$18),"")</f>
        <v>11802576.713817976</v>
      </c>
      <c r="X514" s="171">
        <f t="shared" si="219"/>
        <v>3093606.8571426459</v>
      </c>
      <c r="Y514" s="171">
        <f t="shared" si="220"/>
        <v>54469.899644752033</v>
      </c>
      <c r="Z514" s="171">
        <f t="shared" si="221"/>
        <v>3039136.9574978938</v>
      </c>
      <c r="AA514" s="175">
        <f t="shared" si="222"/>
        <v>15841713.671315871</v>
      </c>
      <c r="AB514" s="5"/>
      <c r="AC514" s="5"/>
      <c r="AD514" s="5"/>
      <c r="AE514" s="5"/>
      <c r="AF514" s="5"/>
      <c r="AG514" s="5"/>
    </row>
    <row r="515" spans="1:33" x14ac:dyDescent="0.2">
      <c r="A515" s="169">
        <v>39</v>
      </c>
      <c r="B515" s="100" t="str">
        <f t="shared" si="208"/>
        <v>Retired</v>
      </c>
      <c r="C515" s="170">
        <f t="shared" si="209"/>
        <v>0</v>
      </c>
      <c r="D515" s="170">
        <f t="shared" si="210"/>
        <v>0</v>
      </c>
      <c r="E515" s="170">
        <f t="shared" si="211"/>
        <v>0</v>
      </c>
      <c r="F515" s="170">
        <f t="shared" si="212"/>
        <v>0</v>
      </c>
      <c r="G515" s="171">
        <f t="shared" si="213"/>
        <v>0</v>
      </c>
      <c r="H515" s="171">
        <f t="shared" si="214"/>
        <v>126507.81744117371</v>
      </c>
      <c r="I515" s="171">
        <f>IF(B515="Working",MIN(MAX(D515-E515-F515-G515-H515,0),'Tax Assumptions'!$B$20),0)</f>
        <v>0</v>
      </c>
      <c r="J515" s="171">
        <f t="shared" si="215"/>
        <v>-266507.81744117371</v>
      </c>
      <c r="K515" s="170">
        <f t="shared" si="216"/>
        <v>266507.81744117371</v>
      </c>
      <c r="L515" s="170">
        <f t="shared" si="217"/>
        <v>266507.81744117371</v>
      </c>
      <c r="M515" s="170">
        <f t="shared" si="223"/>
        <v>266507.81744117371</v>
      </c>
      <c r="N515" s="170">
        <f t="shared" si="224"/>
        <v>0</v>
      </c>
      <c r="O515" s="170">
        <f t="shared" si="225"/>
        <v>0</v>
      </c>
      <c r="P515" s="170">
        <f t="shared" si="226"/>
        <v>0</v>
      </c>
      <c r="Q515" s="171">
        <f t="shared" si="227"/>
        <v>11018826.385136619</v>
      </c>
      <c r="R515" s="171">
        <f t="shared" si="228"/>
        <v>1749757.1654592808</v>
      </c>
      <c r="S515" s="171">
        <f t="shared" si="229"/>
        <v>535639.9486099839</v>
      </c>
      <c r="T515" s="171">
        <f t="shared" si="230"/>
        <v>0</v>
      </c>
      <c r="U515" s="171">
        <f t="shared" si="218"/>
        <v>13304223.499205884</v>
      </c>
      <c r="V515" s="171">
        <f t="shared" si="231"/>
        <v>0</v>
      </c>
      <c r="W515" s="171">
        <f>IF(OR(A515&gt;=$C$13,B515="Retired"),IF(V515&gt;0,-V515,U515-'Model Inputs'!$B$18),"")</f>
        <v>12304223.499205884</v>
      </c>
      <c r="X515" s="171">
        <f t="shared" si="219"/>
        <v>3186415.0628569252</v>
      </c>
      <c r="Y515" s="171">
        <f t="shared" si="220"/>
        <v>0</v>
      </c>
      <c r="Z515" s="171">
        <f t="shared" si="221"/>
        <v>3186415.0628569252</v>
      </c>
      <c r="AA515" s="172">
        <f t="shared" si="222"/>
        <v>16490638.562062809</v>
      </c>
      <c r="AB515" s="5"/>
      <c r="AC515" s="5"/>
      <c r="AD515" s="5"/>
      <c r="AE515" s="5"/>
      <c r="AF515" s="5"/>
      <c r="AG515" s="5"/>
    </row>
    <row r="516" spans="1:33" x14ac:dyDescent="0.2">
      <c r="A516" s="173">
        <v>40</v>
      </c>
      <c r="B516" s="65" t="str">
        <f t="shared" si="208"/>
        <v>Retired</v>
      </c>
      <c r="C516" s="174">
        <f t="shared" si="209"/>
        <v>0</v>
      </c>
      <c r="D516" s="174">
        <f t="shared" si="210"/>
        <v>0</v>
      </c>
      <c r="E516" s="174">
        <f t="shared" si="211"/>
        <v>0</v>
      </c>
      <c r="F516" s="174">
        <f t="shared" si="212"/>
        <v>0</v>
      </c>
      <c r="G516" s="171">
        <f t="shared" si="213"/>
        <v>0</v>
      </c>
      <c r="H516" s="171">
        <f t="shared" si="214"/>
        <v>72204.165324337926</v>
      </c>
      <c r="I516" s="171">
        <f>IF(B516="Working",MIN(MAX(D516-E516-F516-G516-H516,0),'Tax Assumptions'!$B$20),0)</f>
        <v>0</v>
      </c>
      <c r="J516" s="171">
        <f t="shared" si="215"/>
        <v>-212204.16532433793</v>
      </c>
      <c r="K516" s="174">
        <f t="shared" si="216"/>
        <v>212204.16532433793</v>
      </c>
      <c r="L516" s="174">
        <f t="shared" si="217"/>
        <v>212204.16532433793</v>
      </c>
      <c r="M516" s="174">
        <f t="shared" si="223"/>
        <v>212204.16532433793</v>
      </c>
      <c r="N516" s="174">
        <f t="shared" si="224"/>
        <v>0</v>
      </c>
      <c r="O516" s="174">
        <f t="shared" si="225"/>
        <v>0</v>
      </c>
      <c r="P516" s="174">
        <f t="shared" si="226"/>
        <v>0</v>
      </c>
      <c r="Q516" s="171">
        <f t="shared" si="227"/>
        <v>11467751.802920479</v>
      </c>
      <c r="R516" s="171">
        <f t="shared" si="228"/>
        <v>1854742.5953868378</v>
      </c>
      <c r="S516" s="171">
        <f t="shared" si="229"/>
        <v>567778.34552658291</v>
      </c>
      <c r="T516" s="171">
        <f t="shared" si="230"/>
        <v>0</v>
      </c>
      <c r="U516" s="171">
        <f t="shared" si="218"/>
        <v>13890272.743833901</v>
      </c>
      <c r="V516" s="171">
        <f t="shared" si="231"/>
        <v>0</v>
      </c>
      <c r="W516" s="171">
        <f>IF(OR(A516&gt;=$C$13,B516="Retired"),IF(V516&gt;0,-V516,U516-'Model Inputs'!$B$18),"")</f>
        <v>12890272.743833901</v>
      </c>
      <c r="X516" s="171">
        <f t="shared" si="219"/>
        <v>3282007.5147426329</v>
      </c>
      <c r="Y516" s="171">
        <f t="shared" si="220"/>
        <v>0</v>
      </c>
      <c r="Z516" s="171">
        <f t="shared" si="221"/>
        <v>3282007.5147426329</v>
      </c>
      <c r="AA516" s="175">
        <f t="shared" si="222"/>
        <v>17172280.258576535</v>
      </c>
      <c r="AB516" s="5"/>
      <c r="AC516" s="5"/>
      <c r="AD516" s="5"/>
      <c r="AE516" s="5"/>
      <c r="AF516" s="5"/>
      <c r="AG516" s="5"/>
    </row>
    <row r="517" spans="1:33" x14ac:dyDescent="0.2">
      <c r="A517" s="176" t="s">
        <v>369</v>
      </c>
      <c r="B517" s="177"/>
      <c r="C517" s="177"/>
      <c r="D517" s="177"/>
      <c r="E517" s="177"/>
      <c r="F517" s="177"/>
      <c r="G517" s="178">
        <f t="shared" ref="G517:P517" si="232">SUM(G477:G516)</f>
        <v>642268.22933519445</v>
      </c>
      <c r="H517" s="178">
        <f t="shared" si="232"/>
        <v>3179638.254701084</v>
      </c>
      <c r="I517" s="178">
        <f t="shared" si="232"/>
        <v>75000</v>
      </c>
      <c r="J517" s="178">
        <f t="shared" si="232"/>
        <v>-3174314.2439957545</v>
      </c>
      <c r="K517" s="178">
        <f t="shared" si="232"/>
        <v>7293484.4085472384</v>
      </c>
      <c r="L517" s="178">
        <f t="shared" si="232"/>
        <v>7293484.4085472384</v>
      </c>
      <c r="M517" s="178">
        <f t="shared" si="232"/>
        <v>7293484.4085472384</v>
      </c>
      <c r="N517" s="178">
        <f t="shared" si="232"/>
        <v>0</v>
      </c>
      <c r="O517" s="178">
        <f t="shared" si="232"/>
        <v>0</v>
      </c>
      <c r="P517" s="178">
        <f t="shared" si="232"/>
        <v>0</v>
      </c>
      <c r="Q517" s="178">
        <f>Q516</f>
        <v>11467751.802920479</v>
      </c>
      <c r="R517" s="178">
        <f>R516</f>
        <v>1854742.5953868378</v>
      </c>
      <c r="S517" s="178">
        <f>S516</f>
        <v>567778.34552658291</v>
      </c>
      <c r="T517" s="178">
        <f>T516</f>
        <v>0</v>
      </c>
      <c r="U517" s="178">
        <f>U516</f>
        <v>13890272.743833901</v>
      </c>
      <c r="V517" s="178">
        <f>SUM(V477:V516)</f>
        <v>0</v>
      </c>
      <c r="W517" s="178">
        <f>MIN(W477:W516)</f>
        <v>4701819.5649748538</v>
      </c>
      <c r="X517" s="178">
        <f>X516</f>
        <v>3282007.5147426329</v>
      </c>
      <c r="Y517" s="178">
        <f>Y516</f>
        <v>0</v>
      </c>
      <c r="Z517" s="178">
        <f>Z516</f>
        <v>3282007.5147426329</v>
      </c>
      <c r="AA517" s="179">
        <f>AA516</f>
        <v>17172280.258576535</v>
      </c>
      <c r="AB517" s="5"/>
      <c r="AC517" s="5"/>
      <c r="AD517" s="5"/>
      <c r="AE517" s="5"/>
      <c r="AF517" s="5"/>
      <c r="AG517" s="5"/>
    </row>
    <row r="518" spans="1:33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x14ac:dyDescent="0.2">
      <c r="A519" s="319" t="str">
        <f>J233&amp;" | House "&amp;TEXT($L$233,"$#,##0")&amp;" | Spend "&amp;TEXT($N$233,"$#,##0")</f>
        <v>Case 07 | House $1,352,144 | Spend $170,000</v>
      </c>
      <c r="B519" s="288"/>
      <c r="C519" s="288"/>
      <c r="D519" s="288"/>
      <c r="E519" s="288"/>
      <c r="F519" s="288"/>
      <c r="G519" s="288"/>
      <c r="H519" s="288"/>
      <c r="I519" s="288"/>
      <c r="J519" s="288"/>
      <c r="K519" s="288"/>
      <c r="L519" s="288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  <c r="AA519" s="289"/>
      <c r="AB519" s="5"/>
      <c r="AC519" s="5"/>
      <c r="AD519" s="5"/>
      <c r="AE519" s="5"/>
      <c r="AF519" s="5"/>
      <c r="AG519" s="5"/>
    </row>
    <row r="520" spans="1:33" ht="34" customHeight="1" x14ac:dyDescent="0.2">
      <c r="A520" s="167" t="s">
        <v>224</v>
      </c>
      <c r="B520" s="112" t="s">
        <v>106</v>
      </c>
      <c r="C520" s="112" t="s">
        <v>357</v>
      </c>
      <c r="D520" s="112" t="s">
        <v>66</v>
      </c>
      <c r="E520" s="112" t="s">
        <v>300</v>
      </c>
      <c r="F520" s="112" t="s">
        <v>301</v>
      </c>
      <c r="G520" s="112" t="s">
        <v>358</v>
      </c>
      <c r="H520" s="112" t="s">
        <v>359</v>
      </c>
      <c r="I520" s="112" t="s">
        <v>69</v>
      </c>
      <c r="J520" s="112" t="s">
        <v>360</v>
      </c>
      <c r="K520" s="112" t="s">
        <v>361</v>
      </c>
      <c r="L520" s="112" t="s">
        <v>362</v>
      </c>
      <c r="M520" s="112" t="s">
        <v>304</v>
      </c>
      <c r="N520" s="112" t="s">
        <v>305</v>
      </c>
      <c r="O520" s="112" t="s">
        <v>306</v>
      </c>
      <c r="P520" s="112" t="s">
        <v>307</v>
      </c>
      <c r="Q520" s="112" t="s">
        <v>363</v>
      </c>
      <c r="R520" s="112" t="s">
        <v>364</v>
      </c>
      <c r="S520" s="112" t="s">
        <v>365</v>
      </c>
      <c r="T520" s="112" t="s">
        <v>366</v>
      </c>
      <c r="U520" s="112" t="s">
        <v>308</v>
      </c>
      <c r="V520" s="112" t="s">
        <v>309</v>
      </c>
      <c r="W520" s="112" t="s">
        <v>367</v>
      </c>
      <c r="X520" s="112" t="s">
        <v>311</v>
      </c>
      <c r="Y520" s="112" t="s">
        <v>312</v>
      </c>
      <c r="Z520" s="112" t="s">
        <v>313</v>
      </c>
      <c r="AA520" s="168" t="s">
        <v>368</v>
      </c>
      <c r="AB520" s="5"/>
      <c r="AC520" s="5"/>
      <c r="AD520" s="5"/>
      <c r="AE520" s="5"/>
      <c r="AF520" s="5"/>
      <c r="AG520" s="5"/>
    </row>
    <row r="521" spans="1:33" x14ac:dyDescent="0.2">
      <c r="A521" s="169">
        <v>1</v>
      </c>
      <c r="B521" s="100" t="str">
        <f t="shared" ref="B521:B560" si="233">B80</f>
        <v>Working</v>
      </c>
      <c r="C521" s="170">
        <f t="shared" ref="C521:C560" si="234">D80</f>
        <v>550000</v>
      </c>
      <c r="D521" s="170">
        <f t="shared" ref="D521:D560" si="235">I80</f>
        <v>302665.46999999997</v>
      </c>
      <c r="E521" s="170">
        <f t="shared" ref="E521:E560" si="236">J80</f>
        <v>78000</v>
      </c>
      <c r="F521" s="170">
        <f t="shared" ref="F521:F560" si="237">K80</f>
        <v>40000</v>
      </c>
      <c r="G521" s="171">
        <f t="shared" ref="G521:G560" si="238">IF(AND($L$233&gt;0,A521=$C$13),$L$233*($C$15+$C$18),0)+IF(AND($L$233&gt;0,A521=$C$13),$C$24,0)</f>
        <v>0</v>
      </c>
      <c r="H521" s="171">
        <f t="shared" ref="H521:H560" si="239">IF(OR($L$233&lt;=0,A521&lt;$C$13),0,IF(AND($L$233&gt;0,$C$17&gt;0,A521&gt;=$C$13,A521&lt;($C$13+$C$17)),IF($C$17&lt;=0,0,IF($C$16=0,MAX($L$233*(1-$C$15),0)/$C$17,-PMT($C$16/12,$C$17*12,MAX($L$233*(1-$C$15),0))*12)),0)+X521*($C$19+$C$20+$C$21)+$C$22+$C$23)</f>
        <v>0</v>
      </c>
      <c r="I521" s="171">
        <f>IF(B521="Working",MIN(MAX(D521-E521-F521-G521-H521,0),'Tax Assumptions'!$B$20),0)</f>
        <v>7500</v>
      </c>
      <c r="J521" s="171">
        <f t="shared" ref="J521:J560" si="240">IF(B521="Working",D521-E521-F521-I521-G521-H521,-L521)</f>
        <v>177165.46999999997</v>
      </c>
      <c r="K521" s="170">
        <f t="shared" ref="K521:K560" si="241">IF(B521="Retired",$N$233+G521+H521,0)</f>
        <v>0</v>
      </c>
      <c r="L521" s="170">
        <f t="shared" ref="L521:L560" si="242">M521+N521+O521+P521</f>
        <v>0</v>
      </c>
      <c r="M521" s="170">
        <f>IF(B521="Retired",MIN((('Savings Projection'!$B$7)*(1+$C$10)+IF(B521="Working",J521,0)),K521),0)</f>
        <v>0</v>
      </c>
      <c r="N521" s="170">
        <f>IF(B521="Retired",MIN(MAX(K521-M521,0),(('Savings Projection'!$B$8)*(1+$C$10)+IF(B521="Working",E80,0))),0)</f>
        <v>0</v>
      </c>
      <c r="O521" s="170">
        <f>IF(B521="Retired",MIN(MAX(K521-M521-N521,0),(('Savings Projection'!$B$9)*(1+$C$10)+IF(B521="Working",I521,0))),0)</f>
        <v>0</v>
      </c>
      <c r="P521" s="170">
        <f>IF(B521="Retired",MIN(MAX(K521-M521-N521-O521,0),(('Savings Projection'!$B$10)*(1+$C$10)+IF(B521="Working",F80,0))),0)</f>
        <v>0</v>
      </c>
      <c r="Q521" s="171">
        <f>MAX((('Savings Projection'!$B$7)*(1+$C$10)+IF(B521="Working",J521,0))-M521,0)</f>
        <v>336165.47</v>
      </c>
      <c r="R521" s="171">
        <f>MAX((('Savings Projection'!$B$8)*(1+$C$10)+IF(B521="Working",E80,0))-N521,0)</f>
        <v>24500</v>
      </c>
      <c r="S521" s="171">
        <f>MAX((('Savings Projection'!$B$9)*(1+$C$10)+IF(B521="Working",I521,0))-O521,0)</f>
        <v>7500</v>
      </c>
      <c r="T521" s="171">
        <f>MAX((('Savings Projection'!$B$10)*(1+$C$10)+IF(B521="Working",F80,0))-P521,0)</f>
        <v>0</v>
      </c>
      <c r="U521" s="171">
        <f t="shared" ref="U521:U560" si="243">Q521+R521+S521+T521</f>
        <v>368165.47</v>
      </c>
      <c r="V521" s="171">
        <f>IF(B521="Working",MAX(-((('Savings Projection'!$B$7)*(1+$C$10)+IF(B521="Working",J521,0))),0),MAX(K521-L521,0))</f>
        <v>0</v>
      </c>
      <c r="W521" s="171" t="str">
        <f>IF(OR(A521&gt;=$C$13,B521="Retired"),IF(V521&gt;0,-V521,U521-'Model Inputs'!$B$18),"")</f>
        <v/>
      </c>
      <c r="X521" s="171">
        <f t="shared" ref="X521:X560" si="244">IF(AND($L$233&gt;0,A521&gt;=$C$13),$L$233*(1+$C$25)^(A521-$C$13),0)</f>
        <v>0</v>
      </c>
      <c r="Y521" s="171">
        <f t="shared" ref="Y521:Y560" si="245">IF(OR($L$233&lt;=0,$C$17&lt;=0,A521&lt;$C$13,MIN(MAX((A521-$C$13+1)*12,0),$C$17*12)&gt;=$C$17*12),0,IF($C$16=0,MAX(MAX($L$233*(1-$C$15),0)-(IF($C$17&lt;=0,0,IF($C$16=0,MAX($L$233*(1-$C$15),0)/$C$17,-PMT($C$16/12,$C$17*12,MAX($L$233*(1-$C$15),0))*12))/12)*MIN(MAX((A521-$C$13+1)*12,0),$C$17*12),0),MAX(MAX($L$233*(1-$C$15),0)*(1+$C$16/12)^MIN(MAX((A521-$C$13+1)*12,0),$C$17*12)-(IF($C$17&lt;=0,0,IF($C$16=0,MAX($L$233*(1-$C$15),0)/$C$17,-PMT($C$16/12,$C$17*12,MAX($L$233*(1-$C$15),0))*12))/12)*(((1+$C$16/12)^MIN(MAX((A521-$C$13+1)*12,0),$C$17*12)-1)/($C$16/12)),0)))</f>
        <v>0</v>
      </c>
      <c r="Z521" s="171">
        <f t="shared" ref="Z521:Z560" si="246">MAX(X521-Y521,0)</f>
        <v>0</v>
      </c>
      <c r="AA521" s="172">
        <f t="shared" ref="AA521:AA560" si="247">U521+Z521</f>
        <v>368165.47</v>
      </c>
      <c r="AB521" s="5"/>
      <c r="AC521" s="5"/>
      <c r="AD521" s="5"/>
      <c r="AE521" s="5"/>
      <c r="AF521" s="5"/>
      <c r="AG521" s="5"/>
    </row>
    <row r="522" spans="1:33" x14ac:dyDescent="0.2">
      <c r="A522" s="173">
        <v>2</v>
      </c>
      <c r="B522" s="65" t="str">
        <f t="shared" si="233"/>
        <v>Working</v>
      </c>
      <c r="C522" s="174">
        <f t="shared" si="234"/>
        <v>412500</v>
      </c>
      <c r="D522" s="174">
        <f t="shared" si="235"/>
        <v>231269.97</v>
      </c>
      <c r="E522" s="174">
        <f t="shared" si="236"/>
        <v>80340</v>
      </c>
      <c r="F522" s="174">
        <f t="shared" si="237"/>
        <v>41200</v>
      </c>
      <c r="G522" s="171">
        <f t="shared" si="238"/>
        <v>0</v>
      </c>
      <c r="H522" s="171">
        <f t="shared" si="239"/>
        <v>0</v>
      </c>
      <c r="I522" s="171">
        <f>IF(B522="Working",MIN(MAX(D522-E522-F522-G522-H522,0),'Tax Assumptions'!$B$20),0)</f>
        <v>7500</v>
      </c>
      <c r="J522" s="171">
        <f t="shared" si="240"/>
        <v>102229.97</v>
      </c>
      <c r="K522" s="174">
        <f t="shared" si="241"/>
        <v>0</v>
      </c>
      <c r="L522" s="174">
        <f t="shared" si="242"/>
        <v>0</v>
      </c>
      <c r="M522" s="174">
        <f t="shared" ref="M522:M560" si="248">IF(B522="Retired",MIN(((Q521)*(1+$C$10)+IF(B522="Working",J522,0)),K522),0)</f>
        <v>0</v>
      </c>
      <c r="N522" s="174">
        <f t="shared" ref="N522:N560" si="249">IF(B522="Retired",MIN(MAX(K522-M522,0),((R521)*(1+$C$10)+IF(B522="Working",E81,0))),0)</f>
        <v>0</v>
      </c>
      <c r="O522" s="174">
        <f t="shared" ref="O522:O560" si="250">IF(B522="Retired",MIN(MAX(K522-M522-N522,0),((S521)*(1+$C$10)+IF(B522="Working",I522,0))),0)</f>
        <v>0</v>
      </c>
      <c r="P522" s="174">
        <f t="shared" ref="P522:P560" si="251">IF(B522="Retired",MIN(MAX(K522-M522-N522-O522,0),((T521)*(1+$C$10)+IF(B522="Working",F81,0))),0)</f>
        <v>0</v>
      </c>
      <c r="Q522" s="171">
        <f t="shared" ref="Q522:Q560" si="252">MAX(((Q521)*(1+$C$10)+IF(B522="Working",J522,0))-M522,0)</f>
        <v>458565.36820000003</v>
      </c>
      <c r="R522" s="171">
        <f t="shared" ref="R522:R560" si="253">MAX(((R521)*(1+$C$10)+IF(B522="Working",E81,0))-N522,0)</f>
        <v>50470</v>
      </c>
      <c r="S522" s="171">
        <f t="shared" ref="S522:S560" si="254">MAX(((S521)*(1+$C$10)+IF(B522="Working",I522,0))-O522,0)</f>
        <v>15450</v>
      </c>
      <c r="T522" s="171">
        <f t="shared" ref="T522:T560" si="255">MAX(((T521)*(1+$C$10)+IF(B522="Working",F81,0))-P522,0)</f>
        <v>0</v>
      </c>
      <c r="U522" s="171">
        <f t="shared" si="243"/>
        <v>524485.36820000003</v>
      </c>
      <c r="V522" s="171">
        <f t="shared" ref="V522:V560" si="256">IF(B522="Working",MAX(-(((Q521)*(1+$C$10)+IF(B522="Working",J522,0))),0),MAX(K522-L522,0))</f>
        <v>0</v>
      </c>
      <c r="W522" s="171" t="str">
        <f>IF(OR(A522&gt;=$C$13,B522="Retired"),IF(V522&gt;0,-V522,U522-'Model Inputs'!$B$18),"")</f>
        <v/>
      </c>
      <c r="X522" s="171">
        <f t="shared" si="244"/>
        <v>0</v>
      </c>
      <c r="Y522" s="171">
        <f t="shared" si="245"/>
        <v>0</v>
      </c>
      <c r="Z522" s="171">
        <f t="shared" si="246"/>
        <v>0</v>
      </c>
      <c r="AA522" s="175">
        <f t="shared" si="247"/>
        <v>524485.36820000003</v>
      </c>
      <c r="AB522" s="5"/>
      <c r="AC522" s="5"/>
      <c r="AD522" s="5"/>
      <c r="AE522" s="5"/>
      <c r="AF522" s="5"/>
      <c r="AG522" s="5"/>
    </row>
    <row r="523" spans="1:33" x14ac:dyDescent="0.2">
      <c r="A523" s="169">
        <v>3</v>
      </c>
      <c r="B523" s="100" t="str">
        <f t="shared" si="233"/>
        <v>Working</v>
      </c>
      <c r="C523" s="170">
        <f t="shared" si="234"/>
        <v>675000</v>
      </c>
      <c r="D523" s="170">
        <f t="shared" si="235"/>
        <v>367570.47</v>
      </c>
      <c r="E523" s="170">
        <f t="shared" si="236"/>
        <v>82750.2</v>
      </c>
      <c r="F523" s="170">
        <f t="shared" si="237"/>
        <v>53045</v>
      </c>
      <c r="G523" s="171">
        <f t="shared" si="238"/>
        <v>0</v>
      </c>
      <c r="H523" s="171">
        <f t="shared" si="239"/>
        <v>0</v>
      </c>
      <c r="I523" s="171">
        <f>IF(B523="Working",MIN(MAX(D523-E523-F523-G523-H523,0),'Tax Assumptions'!$B$20),0)</f>
        <v>7500</v>
      </c>
      <c r="J523" s="171">
        <f t="shared" si="240"/>
        <v>224275.26999999996</v>
      </c>
      <c r="K523" s="170">
        <f t="shared" si="241"/>
        <v>0</v>
      </c>
      <c r="L523" s="170">
        <f t="shared" si="242"/>
        <v>0</v>
      </c>
      <c r="M523" s="170">
        <f t="shared" si="248"/>
        <v>0</v>
      </c>
      <c r="N523" s="170">
        <f t="shared" si="249"/>
        <v>0</v>
      </c>
      <c r="O523" s="170">
        <f t="shared" si="250"/>
        <v>0</v>
      </c>
      <c r="P523" s="170">
        <f t="shared" si="251"/>
        <v>0</v>
      </c>
      <c r="Q523" s="171">
        <f t="shared" si="252"/>
        <v>710354.56029199995</v>
      </c>
      <c r="R523" s="171">
        <f t="shared" si="253"/>
        <v>77998.200000000012</v>
      </c>
      <c r="S523" s="171">
        <f t="shared" si="254"/>
        <v>23877</v>
      </c>
      <c r="T523" s="171">
        <f t="shared" si="255"/>
        <v>0</v>
      </c>
      <c r="U523" s="171">
        <f t="shared" si="243"/>
        <v>812229.7602919999</v>
      </c>
      <c r="V523" s="171">
        <f t="shared" si="256"/>
        <v>0</v>
      </c>
      <c r="W523" s="171" t="str">
        <f>IF(OR(A523&gt;=$C$13,B523="Retired"),IF(V523&gt;0,-V523,U523-'Model Inputs'!$B$18),"")</f>
        <v/>
      </c>
      <c r="X523" s="171">
        <f t="shared" si="244"/>
        <v>0</v>
      </c>
      <c r="Y523" s="171">
        <f t="shared" si="245"/>
        <v>0</v>
      </c>
      <c r="Z523" s="171">
        <f t="shared" si="246"/>
        <v>0</v>
      </c>
      <c r="AA523" s="172">
        <f t="shared" si="247"/>
        <v>812229.7602919999</v>
      </c>
      <c r="AB523" s="5"/>
      <c r="AC523" s="5"/>
      <c r="AD523" s="5"/>
      <c r="AE523" s="5"/>
      <c r="AF523" s="5"/>
      <c r="AG523" s="5"/>
    </row>
    <row r="524" spans="1:33" x14ac:dyDescent="0.2">
      <c r="A524" s="173">
        <v>4</v>
      </c>
      <c r="B524" s="65" t="str">
        <f t="shared" si="233"/>
        <v>Working</v>
      </c>
      <c r="C524" s="174">
        <f t="shared" si="234"/>
        <v>750000</v>
      </c>
      <c r="D524" s="174">
        <f t="shared" si="235"/>
        <v>405137.47</v>
      </c>
      <c r="E524" s="174">
        <f t="shared" si="236"/>
        <v>85232.706000000006</v>
      </c>
      <c r="F524" s="174">
        <f t="shared" si="237"/>
        <v>54636.35</v>
      </c>
      <c r="G524" s="171">
        <f t="shared" si="238"/>
        <v>0</v>
      </c>
      <c r="H524" s="171">
        <f t="shared" si="239"/>
        <v>0</v>
      </c>
      <c r="I524" s="171">
        <f>IF(B524="Working",MIN(MAX(D524-E524-F524-G524-H524,0),'Tax Assumptions'!$B$20),0)</f>
        <v>7500</v>
      </c>
      <c r="J524" s="171">
        <f t="shared" si="240"/>
        <v>257768.41399999999</v>
      </c>
      <c r="K524" s="174">
        <f t="shared" si="241"/>
        <v>0</v>
      </c>
      <c r="L524" s="174">
        <f t="shared" si="242"/>
        <v>0</v>
      </c>
      <c r="M524" s="174">
        <f t="shared" si="248"/>
        <v>0</v>
      </c>
      <c r="N524" s="174">
        <f t="shared" si="249"/>
        <v>0</v>
      </c>
      <c r="O524" s="174">
        <f t="shared" si="250"/>
        <v>0</v>
      </c>
      <c r="P524" s="174">
        <f t="shared" si="251"/>
        <v>0</v>
      </c>
      <c r="Q524" s="171">
        <f t="shared" si="252"/>
        <v>1010744.2479095199</v>
      </c>
      <c r="R524" s="171">
        <f t="shared" si="253"/>
        <v>107178.09200000002</v>
      </c>
      <c r="S524" s="171">
        <f t="shared" si="254"/>
        <v>32809.620000000003</v>
      </c>
      <c r="T524" s="171">
        <f t="shared" si="255"/>
        <v>0</v>
      </c>
      <c r="U524" s="171">
        <f t="shared" si="243"/>
        <v>1150731.9599095201</v>
      </c>
      <c r="V524" s="171">
        <f t="shared" si="256"/>
        <v>0</v>
      </c>
      <c r="W524" s="171" t="str">
        <f>IF(OR(A524&gt;=$C$13,B524="Retired"),IF(V524&gt;0,-V524,U524-'Model Inputs'!$B$18),"")</f>
        <v/>
      </c>
      <c r="X524" s="171">
        <f t="shared" si="244"/>
        <v>0</v>
      </c>
      <c r="Y524" s="171">
        <f t="shared" si="245"/>
        <v>0</v>
      </c>
      <c r="Z524" s="171">
        <f t="shared" si="246"/>
        <v>0</v>
      </c>
      <c r="AA524" s="175">
        <f t="shared" si="247"/>
        <v>1150731.9599095201</v>
      </c>
      <c r="AB524" s="5"/>
      <c r="AC524" s="5"/>
      <c r="AD524" s="5"/>
      <c r="AE524" s="5"/>
      <c r="AF524" s="5"/>
      <c r="AG524" s="5"/>
    </row>
    <row r="525" spans="1:33" x14ac:dyDescent="0.2">
      <c r="A525" s="169">
        <v>5</v>
      </c>
      <c r="B525" s="100" t="str">
        <f t="shared" si="233"/>
        <v>Working</v>
      </c>
      <c r="C525" s="170">
        <f t="shared" si="234"/>
        <v>953837.51358640334</v>
      </c>
      <c r="D525" s="170">
        <f t="shared" si="235"/>
        <v>506901.31028287602</v>
      </c>
      <c r="E525" s="170">
        <f t="shared" si="236"/>
        <v>87789.687179999994</v>
      </c>
      <c r="F525" s="170">
        <f t="shared" si="237"/>
        <v>56275.440499999997</v>
      </c>
      <c r="G525" s="171">
        <f t="shared" si="238"/>
        <v>0</v>
      </c>
      <c r="H525" s="171">
        <f t="shared" si="239"/>
        <v>0</v>
      </c>
      <c r="I525" s="171">
        <f>IF(B525="Working",MIN(MAX(D525-E525-F525-G525-H525,0),'Tax Assumptions'!$B$20),0)</f>
        <v>7500</v>
      </c>
      <c r="J525" s="171">
        <f t="shared" si="240"/>
        <v>355336.18260287598</v>
      </c>
      <c r="K525" s="170">
        <f t="shared" si="241"/>
        <v>0</v>
      </c>
      <c r="L525" s="170">
        <f t="shared" si="242"/>
        <v>0</v>
      </c>
      <c r="M525" s="170">
        <f t="shared" si="248"/>
        <v>0</v>
      </c>
      <c r="N525" s="170">
        <f t="shared" si="249"/>
        <v>0</v>
      </c>
      <c r="O525" s="170">
        <f t="shared" si="250"/>
        <v>0</v>
      </c>
      <c r="P525" s="170">
        <f t="shared" si="251"/>
        <v>0</v>
      </c>
      <c r="Q525" s="171">
        <f t="shared" si="252"/>
        <v>1426725.0853869673</v>
      </c>
      <c r="R525" s="171">
        <f t="shared" si="253"/>
        <v>138108.77752000003</v>
      </c>
      <c r="S525" s="171">
        <f t="shared" si="254"/>
        <v>42278.197200000002</v>
      </c>
      <c r="T525" s="171">
        <f t="shared" si="255"/>
        <v>0</v>
      </c>
      <c r="U525" s="171">
        <f t="shared" si="243"/>
        <v>1607112.0601069673</v>
      </c>
      <c r="V525" s="171">
        <f t="shared" si="256"/>
        <v>0</v>
      </c>
      <c r="W525" s="171" t="str">
        <f>IF(OR(A525&gt;=$C$13,B525="Retired"),IF(V525&gt;0,-V525,U525-'Model Inputs'!$B$18),"")</f>
        <v/>
      </c>
      <c r="X525" s="171">
        <f t="shared" si="244"/>
        <v>0</v>
      </c>
      <c r="Y525" s="171">
        <f t="shared" si="245"/>
        <v>0</v>
      </c>
      <c r="Z525" s="171">
        <f t="shared" si="246"/>
        <v>0</v>
      </c>
      <c r="AA525" s="172">
        <f t="shared" si="247"/>
        <v>1607112.0601069673</v>
      </c>
      <c r="AB525" s="5"/>
      <c r="AC525" s="5"/>
      <c r="AD525" s="5"/>
      <c r="AE525" s="5"/>
      <c r="AF525" s="5"/>
      <c r="AG525" s="5"/>
    </row>
    <row r="526" spans="1:33" x14ac:dyDescent="0.2">
      <c r="A526" s="173">
        <v>6</v>
      </c>
      <c r="B526" s="65" t="str">
        <f t="shared" si="233"/>
        <v>Working</v>
      </c>
      <c r="C526" s="174">
        <f t="shared" si="234"/>
        <v>1118900.665838565</v>
      </c>
      <c r="D526" s="174">
        <f t="shared" si="235"/>
        <v>589060.11476976541</v>
      </c>
      <c r="E526" s="174">
        <f t="shared" si="236"/>
        <v>92741.925943999988</v>
      </c>
      <c r="F526" s="174">
        <f t="shared" si="237"/>
        <v>57963.703714999989</v>
      </c>
      <c r="G526" s="171">
        <f t="shared" si="238"/>
        <v>0</v>
      </c>
      <c r="H526" s="171">
        <f t="shared" si="239"/>
        <v>0</v>
      </c>
      <c r="I526" s="171">
        <f>IF(B526="Working",MIN(MAX(D526-E526-F526-G526-H526,0),'Tax Assumptions'!$B$20),0)</f>
        <v>7500</v>
      </c>
      <c r="J526" s="171">
        <f t="shared" si="240"/>
        <v>430854.48511076538</v>
      </c>
      <c r="K526" s="174">
        <f t="shared" si="241"/>
        <v>0</v>
      </c>
      <c r="L526" s="174">
        <f t="shared" si="242"/>
        <v>0</v>
      </c>
      <c r="M526" s="174">
        <f t="shared" si="248"/>
        <v>0</v>
      </c>
      <c r="N526" s="174">
        <f t="shared" si="249"/>
        <v>0</v>
      </c>
      <c r="O526" s="174">
        <f t="shared" si="250"/>
        <v>0</v>
      </c>
      <c r="P526" s="174">
        <f t="shared" si="251"/>
        <v>0</v>
      </c>
      <c r="Q526" s="171">
        <f t="shared" si="252"/>
        <v>1943183.0756209507</v>
      </c>
      <c r="R526" s="171">
        <f t="shared" si="253"/>
        <v>170895.30417120006</v>
      </c>
      <c r="S526" s="171">
        <f t="shared" si="254"/>
        <v>52314.889032000006</v>
      </c>
      <c r="T526" s="171">
        <f t="shared" si="255"/>
        <v>0</v>
      </c>
      <c r="U526" s="171">
        <f t="shared" si="243"/>
        <v>2166393.2688241508</v>
      </c>
      <c r="V526" s="171">
        <f t="shared" si="256"/>
        <v>0</v>
      </c>
      <c r="W526" s="171" t="str">
        <f>IF(OR(A526&gt;=$C$13,B526="Retired"),IF(V526&gt;0,-V526,U526-'Model Inputs'!$B$18),"")</f>
        <v/>
      </c>
      <c r="X526" s="171">
        <f t="shared" si="244"/>
        <v>0</v>
      </c>
      <c r="Y526" s="171">
        <f t="shared" si="245"/>
        <v>0</v>
      </c>
      <c r="Z526" s="171">
        <f t="shared" si="246"/>
        <v>0</v>
      </c>
      <c r="AA526" s="175">
        <f t="shared" si="247"/>
        <v>2166393.2688241508</v>
      </c>
      <c r="AB526" s="5"/>
      <c r="AC526" s="5"/>
      <c r="AD526" s="5"/>
      <c r="AE526" s="5"/>
      <c r="AF526" s="5"/>
      <c r="AG526" s="5"/>
    </row>
    <row r="527" spans="1:33" x14ac:dyDescent="0.2">
      <c r="A527" s="169">
        <v>7</v>
      </c>
      <c r="B527" s="100" t="str">
        <f t="shared" si="233"/>
        <v>Working</v>
      </c>
      <c r="C527" s="170">
        <f t="shared" si="234"/>
        <v>1418318.448466131</v>
      </c>
      <c r="D527" s="170">
        <f t="shared" si="235"/>
        <v>730157.75065517949</v>
      </c>
      <c r="E527" s="170">
        <f t="shared" si="236"/>
        <v>95524.183722319998</v>
      </c>
      <c r="F527" s="170">
        <f t="shared" si="237"/>
        <v>59702.614826449993</v>
      </c>
      <c r="G527" s="171">
        <f t="shared" si="238"/>
        <v>0</v>
      </c>
      <c r="H527" s="171">
        <f t="shared" si="239"/>
        <v>0</v>
      </c>
      <c r="I527" s="171">
        <f>IF(B527="Working",MIN(MAX(D527-E527-F527-G527-H527,0),'Tax Assumptions'!$B$20),0)</f>
        <v>7500</v>
      </c>
      <c r="J527" s="171">
        <f t="shared" si="240"/>
        <v>567430.95210640947</v>
      </c>
      <c r="K527" s="170">
        <f t="shared" si="241"/>
        <v>0</v>
      </c>
      <c r="L527" s="170">
        <f t="shared" si="242"/>
        <v>0</v>
      </c>
      <c r="M527" s="170">
        <f t="shared" si="248"/>
        <v>0</v>
      </c>
      <c r="N527" s="170">
        <f t="shared" si="249"/>
        <v>0</v>
      </c>
      <c r="O527" s="170">
        <f t="shared" si="250"/>
        <v>0</v>
      </c>
      <c r="P527" s="170">
        <f t="shared" si="251"/>
        <v>0</v>
      </c>
      <c r="Q527" s="171">
        <f t="shared" si="252"/>
        <v>2627205.0122646173</v>
      </c>
      <c r="R527" s="171">
        <f t="shared" si="253"/>
        <v>205649.02242147207</v>
      </c>
      <c r="S527" s="171">
        <f t="shared" si="254"/>
        <v>62953.78237392001</v>
      </c>
      <c r="T527" s="171">
        <f t="shared" si="255"/>
        <v>0</v>
      </c>
      <c r="U527" s="171">
        <f t="shared" si="243"/>
        <v>2895807.8170600096</v>
      </c>
      <c r="V527" s="171">
        <f t="shared" si="256"/>
        <v>0</v>
      </c>
      <c r="W527" s="171" t="str">
        <f>IF(OR(A527&gt;=$C$13,B527="Retired"),IF(V527&gt;0,-V527,U527-'Model Inputs'!$B$18),"")</f>
        <v/>
      </c>
      <c r="X527" s="171">
        <f t="shared" si="244"/>
        <v>0</v>
      </c>
      <c r="Y527" s="171">
        <f t="shared" si="245"/>
        <v>0</v>
      </c>
      <c r="Z527" s="171">
        <f t="shared" si="246"/>
        <v>0</v>
      </c>
      <c r="AA527" s="172">
        <f t="shared" si="247"/>
        <v>2895807.8170600096</v>
      </c>
      <c r="AB527" s="5"/>
      <c r="AC527" s="5"/>
      <c r="AD527" s="5"/>
      <c r="AE527" s="5"/>
      <c r="AF527" s="5"/>
      <c r="AG527" s="5"/>
    </row>
    <row r="528" spans="1:33" x14ac:dyDescent="0.2">
      <c r="A528" s="173">
        <v>8</v>
      </c>
      <c r="B528" s="65" t="str">
        <f t="shared" si="233"/>
        <v>Working</v>
      </c>
      <c r="C528" s="174">
        <f t="shared" si="234"/>
        <v>1872205.6657868917</v>
      </c>
      <c r="D528" s="174">
        <f t="shared" si="235"/>
        <v>944047.5629454148</v>
      </c>
      <c r="E528" s="174">
        <f t="shared" si="236"/>
        <v>98389.909233989601</v>
      </c>
      <c r="F528" s="174">
        <f t="shared" si="237"/>
        <v>61493.693271243501</v>
      </c>
      <c r="G528" s="171">
        <f t="shared" si="238"/>
        <v>0</v>
      </c>
      <c r="H528" s="171">
        <f t="shared" si="239"/>
        <v>0</v>
      </c>
      <c r="I528" s="171">
        <f>IF(B528="Working",MIN(MAX(D528-E528-F528-G528-H528,0),'Tax Assumptions'!$B$20),0)</f>
        <v>7500</v>
      </c>
      <c r="J528" s="171">
        <f t="shared" si="240"/>
        <v>776663.96044018166</v>
      </c>
      <c r="K528" s="174">
        <f t="shared" si="241"/>
        <v>0</v>
      </c>
      <c r="L528" s="174">
        <f t="shared" si="242"/>
        <v>0</v>
      </c>
      <c r="M528" s="174">
        <f t="shared" si="248"/>
        <v>0</v>
      </c>
      <c r="N528" s="174">
        <f t="shared" si="249"/>
        <v>0</v>
      </c>
      <c r="O528" s="174">
        <f t="shared" si="250"/>
        <v>0</v>
      </c>
      <c r="P528" s="174">
        <f t="shared" si="251"/>
        <v>0</v>
      </c>
      <c r="Q528" s="171">
        <f t="shared" si="252"/>
        <v>3561501.2734406763</v>
      </c>
      <c r="R528" s="171">
        <f t="shared" si="253"/>
        <v>242487.9637667604</v>
      </c>
      <c r="S528" s="171">
        <f t="shared" si="254"/>
        <v>74231.009316355208</v>
      </c>
      <c r="T528" s="171">
        <f t="shared" si="255"/>
        <v>0</v>
      </c>
      <c r="U528" s="171">
        <f t="shared" si="243"/>
        <v>3878220.2465237915</v>
      </c>
      <c r="V528" s="171">
        <f t="shared" si="256"/>
        <v>0</v>
      </c>
      <c r="W528" s="171" t="str">
        <f>IF(OR(A528&gt;=$C$13,B528="Retired"),IF(V528&gt;0,-V528,U528-'Model Inputs'!$B$18),"")</f>
        <v/>
      </c>
      <c r="X528" s="171">
        <f t="shared" si="244"/>
        <v>0</v>
      </c>
      <c r="Y528" s="171">
        <f t="shared" si="245"/>
        <v>0</v>
      </c>
      <c r="Z528" s="171">
        <f t="shared" si="246"/>
        <v>0</v>
      </c>
      <c r="AA528" s="175">
        <f t="shared" si="247"/>
        <v>3878220.2465237915</v>
      </c>
      <c r="AB528" s="5"/>
      <c r="AC528" s="5"/>
      <c r="AD528" s="5"/>
      <c r="AE528" s="5"/>
      <c r="AF528" s="5"/>
      <c r="AG528" s="5"/>
    </row>
    <row r="529" spans="1:33" x14ac:dyDescent="0.2">
      <c r="A529" s="169">
        <v>9</v>
      </c>
      <c r="B529" s="100" t="str">
        <f t="shared" si="233"/>
        <v>Working</v>
      </c>
      <c r="C529" s="170">
        <f t="shared" si="234"/>
        <v>2033969.9666232408</v>
      </c>
      <c r="D529" s="170">
        <f t="shared" si="235"/>
        <v>1020277.372071536</v>
      </c>
      <c r="E529" s="170">
        <f t="shared" si="236"/>
        <v>101341.60651100927</v>
      </c>
      <c r="F529" s="170">
        <f t="shared" si="237"/>
        <v>63338.504069380797</v>
      </c>
      <c r="G529" s="171">
        <f t="shared" si="238"/>
        <v>0</v>
      </c>
      <c r="H529" s="171">
        <f t="shared" si="239"/>
        <v>0</v>
      </c>
      <c r="I529" s="171">
        <f>IF(B529="Working",MIN(MAX(D529-E529-F529-G529-H529,0),'Tax Assumptions'!$B$20),0)</f>
        <v>7500</v>
      </c>
      <c r="J529" s="171">
        <f t="shared" si="240"/>
        <v>848097.26149114594</v>
      </c>
      <c r="K529" s="170">
        <f t="shared" si="241"/>
        <v>0</v>
      </c>
      <c r="L529" s="170">
        <f t="shared" si="242"/>
        <v>0</v>
      </c>
      <c r="M529" s="170">
        <f t="shared" si="248"/>
        <v>0</v>
      </c>
      <c r="N529" s="170">
        <f t="shared" si="249"/>
        <v>0</v>
      </c>
      <c r="O529" s="170">
        <f t="shared" si="250"/>
        <v>0</v>
      </c>
      <c r="P529" s="170">
        <f t="shared" si="251"/>
        <v>0</v>
      </c>
      <c r="Q529" s="171">
        <f t="shared" si="252"/>
        <v>4623288.6113382634</v>
      </c>
      <c r="R529" s="171">
        <f t="shared" si="253"/>
        <v>281537.24159276602</v>
      </c>
      <c r="S529" s="171">
        <f t="shared" si="254"/>
        <v>86184.869875336532</v>
      </c>
      <c r="T529" s="171">
        <f t="shared" si="255"/>
        <v>0</v>
      </c>
      <c r="U529" s="171">
        <f t="shared" si="243"/>
        <v>4991010.7228063662</v>
      </c>
      <c r="V529" s="171">
        <f t="shared" si="256"/>
        <v>0</v>
      </c>
      <c r="W529" s="171" t="str">
        <f>IF(OR(A529&gt;=$C$13,B529="Retired"),IF(V529&gt;0,-V529,U529-'Model Inputs'!$B$18),"")</f>
        <v/>
      </c>
      <c r="X529" s="171">
        <f t="shared" si="244"/>
        <v>0</v>
      </c>
      <c r="Y529" s="171">
        <f t="shared" si="245"/>
        <v>0</v>
      </c>
      <c r="Z529" s="171">
        <f t="shared" si="246"/>
        <v>0</v>
      </c>
      <c r="AA529" s="172">
        <f t="shared" si="247"/>
        <v>4991010.7228063662</v>
      </c>
      <c r="AB529" s="5"/>
      <c r="AC529" s="5"/>
      <c r="AD529" s="5"/>
      <c r="AE529" s="5"/>
      <c r="AF529" s="5"/>
      <c r="AG529" s="5"/>
    </row>
    <row r="530" spans="1:33" x14ac:dyDescent="0.2">
      <c r="A530" s="173">
        <v>10</v>
      </c>
      <c r="B530" s="65" t="str">
        <f t="shared" si="233"/>
        <v>Working</v>
      </c>
      <c r="C530" s="174">
        <f t="shared" si="234"/>
        <v>2595495.7626410057</v>
      </c>
      <c r="D530" s="174">
        <f t="shared" si="235"/>
        <v>1284890.7881869476</v>
      </c>
      <c r="E530" s="174">
        <f t="shared" si="236"/>
        <v>104381.85470633955</v>
      </c>
      <c r="F530" s="174">
        <f t="shared" si="237"/>
        <v>65238.659191462226</v>
      </c>
      <c r="G530" s="171">
        <f t="shared" si="238"/>
        <v>642268.22933519445</v>
      </c>
      <c r="H530" s="171">
        <f t="shared" si="239"/>
        <v>86153.846153846142</v>
      </c>
      <c r="I530" s="171">
        <f>IF(B530="Working",MIN(MAX(D530-E530-F530-G530-H530,0),'Tax Assumptions'!$B$20),0)</f>
        <v>7500</v>
      </c>
      <c r="J530" s="171">
        <f t="shared" si="240"/>
        <v>379348.19880010525</v>
      </c>
      <c r="K530" s="174">
        <f t="shared" si="241"/>
        <v>0</v>
      </c>
      <c r="L530" s="174">
        <f t="shared" si="242"/>
        <v>0</v>
      </c>
      <c r="M530" s="174">
        <f t="shared" si="248"/>
        <v>0</v>
      </c>
      <c r="N530" s="174">
        <f t="shared" si="249"/>
        <v>0</v>
      </c>
      <c r="O530" s="174">
        <f t="shared" si="250"/>
        <v>0</v>
      </c>
      <c r="P530" s="174">
        <f t="shared" si="251"/>
        <v>0</v>
      </c>
      <c r="Q530" s="171">
        <f t="shared" si="252"/>
        <v>5280034.1268186653</v>
      </c>
      <c r="R530" s="171">
        <f t="shared" si="253"/>
        <v>322929.47608833201</v>
      </c>
      <c r="S530" s="171">
        <f t="shared" si="254"/>
        <v>98855.96206785673</v>
      </c>
      <c r="T530" s="171">
        <f t="shared" si="255"/>
        <v>0</v>
      </c>
      <c r="U530" s="171">
        <f t="shared" si="243"/>
        <v>5701819.5649748538</v>
      </c>
      <c r="V530" s="171">
        <f t="shared" si="256"/>
        <v>0</v>
      </c>
      <c r="W530" s="171">
        <f>IF(OR(A530&gt;=$C$13,B530="Retired"),IF(V530&gt;0,-V530,U530-'Model Inputs'!$B$18),"")</f>
        <v>4701819.5649748538</v>
      </c>
      <c r="X530" s="171">
        <f t="shared" si="244"/>
        <v>1352143.6407056723</v>
      </c>
      <c r="Y530" s="171">
        <f t="shared" si="245"/>
        <v>735366.71277112036</v>
      </c>
      <c r="Z530" s="171">
        <f t="shared" si="246"/>
        <v>616776.92793455196</v>
      </c>
      <c r="AA530" s="175">
        <f t="shared" si="247"/>
        <v>6318596.4929094054</v>
      </c>
      <c r="AB530" s="5"/>
      <c r="AC530" s="5"/>
      <c r="AD530" s="5"/>
      <c r="AE530" s="5"/>
      <c r="AF530" s="5"/>
      <c r="AG530" s="5"/>
    </row>
    <row r="531" spans="1:33" x14ac:dyDescent="0.2">
      <c r="A531" s="169">
        <v>11</v>
      </c>
      <c r="B531" s="100" t="str">
        <f t="shared" si="233"/>
        <v>Retired</v>
      </c>
      <c r="C531" s="170">
        <f t="shared" si="234"/>
        <v>0</v>
      </c>
      <c r="D531" s="170">
        <f t="shared" si="235"/>
        <v>0</v>
      </c>
      <c r="E531" s="170">
        <f t="shared" si="236"/>
        <v>0</v>
      </c>
      <c r="F531" s="170">
        <f t="shared" si="237"/>
        <v>0</v>
      </c>
      <c r="G531" s="171">
        <f t="shared" si="238"/>
        <v>0</v>
      </c>
      <c r="H531" s="171">
        <f t="shared" si="239"/>
        <v>87046.260956711893</v>
      </c>
      <c r="I531" s="171">
        <f>IF(B531="Working",MIN(MAX(D531-E531-F531-G531-H531,0),'Tax Assumptions'!$B$20),0)</f>
        <v>0</v>
      </c>
      <c r="J531" s="171">
        <f t="shared" si="240"/>
        <v>-257046.26095671189</v>
      </c>
      <c r="K531" s="170">
        <f t="shared" si="241"/>
        <v>257046.26095671189</v>
      </c>
      <c r="L531" s="170">
        <f t="shared" si="242"/>
        <v>257046.26095671189</v>
      </c>
      <c r="M531" s="170">
        <f t="shared" si="248"/>
        <v>257046.26095671189</v>
      </c>
      <c r="N531" s="170">
        <f t="shared" si="249"/>
        <v>0</v>
      </c>
      <c r="O531" s="170">
        <f t="shared" si="250"/>
        <v>0</v>
      </c>
      <c r="P531" s="170">
        <f t="shared" si="251"/>
        <v>0</v>
      </c>
      <c r="Q531" s="171">
        <f t="shared" si="252"/>
        <v>5339789.9134710738</v>
      </c>
      <c r="R531" s="171">
        <f t="shared" si="253"/>
        <v>342305.24465363193</v>
      </c>
      <c r="S531" s="171">
        <f t="shared" si="254"/>
        <v>104787.31979192814</v>
      </c>
      <c r="T531" s="171">
        <f t="shared" si="255"/>
        <v>0</v>
      </c>
      <c r="U531" s="171">
        <f t="shared" si="243"/>
        <v>5786882.4779166337</v>
      </c>
      <c r="V531" s="171">
        <f t="shared" si="256"/>
        <v>0</v>
      </c>
      <c r="W531" s="171">
        <f>IF(OR(A531&gt;=$C$13,B531="Retired"),IF(V531&gt;0,-V531,U531-'Model Inputs'!$B$18),"")</f>
        <v>4786882.4779166337</v>
      </c>
      <c r="X531" s="171">
        <f t="shared" si="244"/>
        <v>1392707.9499268425</v>
      </c>
      <c r="Y531" s="171">
        <f t="shared" si="245"/>
        <v>726497.73372408887</v>
      </c>
      <c r="Z531" s="171">
        <f t="shared" si="246"/>
        <v>666210.2162027536</v>
      </c>
      <c r="AA531" s="172">
        <f t="shared" si="247"/>
        <v>6453092.6941193873</v>
      </c>
      <c r="AB531" s="5"/>
      <c r="AC531" s="5"/>
      <c r="AD531" s="5"/>
      <c r="AE531" s="5"/>
      <c r="AF531" s="5"/>
      <c r="AG531" s="5"/>
    </row>
    <row r="532" spans="1:33" x14ac:dyDescent="0.2">
      <c r="A532" s="173">
        <v>12</v>
      </c>
      <c r="B532" s="65" t="str">
        <f t="shared" si="233"/>
        <v>Retired</v>
      </c>
      <c r="C532" s="174">
        <f t="shared" si="234"/>
        <v>0</v>
      </c>
      <c r="D532" s="174">
        <f t="shared" si="235"/>
        <v>0</v>
      </c>
      <c r="E532" s="174">
        <f t="shared" si="236"/>
        <v>0</v>
      </c>
      <c r="F532" s="174">
        <f t="shared" si="237"/>
        <v>0</v>
      </c>
      <c r="G532" s="171">
        <f t="shared" si="238"/>
        <v>0</v>
      </c>
      <c r="H532" s="171">
        <f t="shared" si="239"/>
        <v>87965.448203663604</v>
      </c>
      <c r="I532" s="171">
        <f>IF(B532="Working",MIN(MAX(D532-E532-F532-G532-H532,0),'Tax Assumptions'!$B$20),0)</f>
        <v>0</v>
      </c>
      <c r="J532" s="171">
        <f t="shared" si="240"/>
        <v>-257965.4482036636</v>
      </c>
      <c r="K532" s="174">
        <f t="shared" si="241"/>
        <v>257965.4482036636</v>
      </c>
      <c r="L532" s="174">
        <f t="shared" si="242"/>
        <v>257965.4482036636</v>
      </c>
      <c r="M532" s="174">
        <f t="shared" si="248"/>
        <v>257965.4482036636</v>
      </c>
      <c r="N532" s="174">
        <f t="shared" si="249"/>
        <v>0</v>
      </c>
      <c r="O532" s="174">
        <f t="shared" si="250"/>
        <v>0</v>
      </c>
      <c r="P532" s="174">
        <f t="shared" si="251"/>
        <v>0</v>
      </c>
      <c r="Q532" s="171">
        <f t="shared" si="252"/>
        <v>5402211.860075675</v>
      </c>
      <c r="R532" s="171">
        <f t="shared" si="253"/>
        <v>362843.55933284987</v>
      </c>
      <c r="S532" s="171">
        <f t="shared" si="254"/>
        <v>111074.55897944383</v>
      </c>
      <c r="T532" s="171">
        <f t="shared" si="255"/>
        <v>0</v>
      </c>
      <c r="U532" s="171">
        <f t="shared" si="243"/>
        <v>5876129.9783879686</v>
      </c>
      <c r="V532" s="171">
        <f t="shared" si="256"/>
        <v>0</v>
      </c>
      <c r="W532" s="171">
        <f>IF(OR(A532&gt;=$C$13,B532="Retired"),IF(V532&gt;0,-V532,U532-'Model Inputs'!$B$18),"")</f>
        <v>4876129.9783879686</v>
      </c>
      <c r="X532" s="171">
        <f t="shared" si="244"/>
        <v>1434489.1884246478</v>
      </c>
      <c r="Y532" s="171">
        <f t="shared" si="245"/>
        <v>717034.78272490599</v>
      </c>
      <c r="Z532" s="171">
        <f t="shared" si="246"/>
        <v>717454.40569974179</v>
      </c>
      <c r="AA532" s="175">
        <f t="shared" si="247"/>
        <v>6593584.3840877106</v>
      </c>
      <c r="AB532" s="5"/>
      <c r="AC532" s="5"/>
      <c r="AD532" s="5"/>
      <c r="AE532" s="5"/>
      <c r="AF532" s="5"/>
      <c r="AG532" s="5"/>
    </row>
    <row r="533" spans="1:33" x14ac:dyDescent="0.2">
      <c r="A533" s="169">
        <v>13</v>
      </c>
      <c r="B533" s="100" t="str">
        <f t="shared" si="233"/>
        <v>Retired</v>
      </c>
      <c r="C533" s="170">
        <f t="shared" si="234"/>
        <v>0</v>
      </c>
      <c r="D533" s="170">
        <f t="shared" si="235"/>
        <v>0</v>
      </c>
      <c r="E533" s="170">
        <f t="shared" si="236"/>
        <v>0</v>
      </c>
      <c r="F533" s="170">
        <f t="shared" si="237"/>
        <v>0</v>
      </c>
      <c r="G533" s="171">
        <f t="shared" si="238"/>
        <v>0</v>
      </c>
      <c r="H533" s="171">
        <f t="shared" si="239"/>
        <v>88912.211068023869</v>
      </c>
      <c r="I533" s="171">
        <f>IF(B533="Working",MIN(MAX(D533-E533-F533-G533-H533,0),'Tax Assumptions'!$B$20),0)</f>
        <v>0</v>
      </c>
      <c r="J533" s="171">
        <f t="shared" si="240"/>
        <v>-258912.21106802387</v>
      </c>
      <c r="K533" s="170">
        <f t="shared" si="241"/>
        <v>258912.21106802387</v>
      </c>
      <c r="L533" s="170">
        <f t="shared" si="242"/>
        <v>258912.21106802387</v>
      </c>
      <c r="M533" s="170">
        <f t="shared" si="248"/>
        <v>258912.21106802387</v>
      </c>
      <c r="N533" s="170">
        <f t="shared" si="249"/>
        <v>0</v>
      </c>
      <c r="O533" s="170">
        <f t="shared" si="250"/>
        <v>0</v>
      </c>
      <c r="P533" s="170">
        <f t="shared" si="251"/>
        <v>0</v>
      </c>
      <c r="Q533" s="171">
        <f t="shared" si="252"/>
        <v>5467432.3606121922</v>
      </c>
      <c r="R533" s="171">
        <f t="shared" si="253"/>
        <v>384614.1728928209</v>
      </c>
      <c r="S533" s="171">
        <f t="shared" si="254"/>
        <v>117739.03251821046</v>
      </c>
      <c r="T533" s="171">
        <f t="shared" si="255"/>
        <v>0</v>
      </c>
      <c r="U533" s="171">
        <f t="shared" si="243"/>
        <v>5969785.566023224</v>
      </c>
      <c r="V533" s="171">
        <f t="shared" si="256"/>
        <v>0</v>
      </c>
      <c r="W533" s="171">
        <f>IF(OR(A533&gt;=$C$13,B533="Retired"),IF(V533&gt;0,-V533,U533-'Model Inputs'!$B$18),"")</f>
        <v>4969785.566023224</v>
      </c>
      <c r="X533" s="171">
        <f t="shared" si="244"/>
        <v>1477523.8640773871</v>
      </c>
      <c r="Y533" s="171">
        <f t="shared" si="245"/>
        <v>706938.0803718986</v>
      </c>
      <c r="Z533" s="171">
        <f t="shared" si="246"/>
        <v>770585.78370548855</v>
      </c>
      <c r="AA533" s="172">
        <f t="shared" si="247"/>
        <v>6740371.3497287128</v>
      </c>
      <c r="AB533" s="5"/>
      <c r="AC533" s="5"/>
      <c r="AD533" s="5"/>
      <c r="AE533" s="5"/>
      <c r="AF533" s="5"/>
      <c r="AG533" s="5"/>
    </row>
    <row r="534" spans="1:33" x14ac:dyDescent="0.2">
      <c r="A534" s="173">
        <v>14</v>
      </c>
      <c r="B534" s="65" t="str">
        <f t="shared" si="233"/>
        <v>Retired</v>
      </c>
      <c r="C534" s="174">
        <f t="shared" si="234"/>
        <v>0</v>
      </c>
      <c r="D534" s="174">
        <f t="shared" si="235"/>
        <v>0</v>
      </c>
      <c r="E534" s="174">
        <f t="shared" si="236"/>
        <v>0</v>
      </c>
      <c r="F534" s="174">
        <f t="shared" si="237"/>
        <v>0</v>
      </c>
      <c r="G534" s="171">
        <f t="shared" si="238"/>
        <v>0</v>
      </c>
      <c r="H534" s="171">
        <f t="shared" si="239"/>
        <v>89887.376818314951</v>
      </c>
      <c r="I534" s="171">
        <f>IF(B534="Working",MIN(MAX(D534-E534-F534-G534-H534,0),'Tax Assumptions'!$B$20),0)</f>
        <v>0</v>
      </c>
      <c r="J534" s="171">
        <f t="shared" si="240"/>
        <v>-259887.37681831495</v>
      </c>
      <c r="K534" s="174">
        <f t="shared" si="241"/>
        <v>259887.37681831495</v>
      </c>
      <c r="L534" s="174">
        <f t="shared" si="242"/>
        <v>259887.37681831495</v>
      </c>
      <c r="M534" s="174">
        <f t="shared" si="248"/>
        <v>259887.37681831495</v>
      </c>
      <c r="N534" s="174">
        <f t="shared" si="249"/>
        <v>0</v>
      </c>
      <c r="O534" s="174">
        <f t="shared" si="250"/>
        <v>0</v>
      </c>
      <c r="P534" s="174">
        <f t="shared" si="251"/>
        <v>0</v>
      </c>
      <c r="Q534" s="171">
        <f t="shared" si="252"/>
        <v>5535590.9254306089</v>
      </c>
      <c r="R534" s="171">
        <f t="shared" si="253"/>
        <v>407691.0232663902</v>
      </c>
      <c r="S534" s="171">
        <f t="shared" si="254"/>
        <v>124803.37446930309</v>
      </c>
      <c r="T534" s="171">
        <f t="shared" si="255"/>
        <v>0</v>
      </c>
      <c r="U534" s="171">
        <f t="shared" si="243"/>
        <v>6068085.3231663024</v>
      </c>
      <c r="V534" s="171">
        <f t="shared" si="256"/>
        <v>0</v>
      </c>
      <c r="W534" s="171">
        <f>IF(OR(A534&gt;=$C$13,B534="Retired"),IF(V534&gt;0,-V534,U534-'Model Inputs'!$B$18),"")</f>
        <v>5068085.3231663024</v>
      </c>
      <c r="X534" s="171">
        <f t="shared" si="244"/>
        <v>1521849.5799997088</v>
      </c>
      <c r="Y534" s="171">
        <f t="shared" si="245"/>
        <v>696165.18316319177</v>
      </c>
      <c r="Z534" s="171">
        <f t="shared" si="246"/>
        <v>825684.39683651703</v>
      </c>
      <c r="AA534" s="175">
        <f t="shared" si="247"/>
        <v>6893769.7200028198</v>
      </c>
      <c r="AB534" s="5"/>
      <c r="AC534" s="5"/>
      <c r="AD534" s="5"/>
      <c r="AE534" s="5"/>
      <c r="AF534" s="5"/>
      <c r="AG534" s="5"/>
    </row>
    <row r="535" spans="1:33" x14ac:dyDescent="0.2">
      <c r="A535" s="169">
        <v>15</v>
      </c>
      <c r="B535" s="100" t="str">
        <f t="shared" si="233"/>
        <v>Retired</v>
      </c>
      <c r="C535" s="170">
        <f t="shared" si="234"/>
        <v>0</v>
      </c>
      <c r="D535" s="170">
        <f t="shared" si="235"/>
        <v>0</v>
      </c>
      <c r="E535" s="170">
        <f t="shared" si="236"/>
        <v>0</v>
      </c>
      <c r="F535" s="170">
        <f t="shared" si="237"/>
        <v>0</v>
      </c>
      <c r="G535" s="171">
        <f t="shared" si="238"/>
        <v>0</v>
      </c>
      <c r="H535" s="171">
        <f t="shared" si="239"/>
        <v>90891.797541114764</v>
      </c>
      <c r="I535" s="171">
        <f>IF(B535="Working",MIN(MAX(D535-E535-F535-G535-H535,0),'Tax Assumptions'!$B$20),0)</f>
        <v>0</v>
      </c>
      <c r="J535" s="171">
        <f t="shared" si="240"/>
        <v>-260891.79754111476</v>
      </c>
      <c r="K535" s="170">
        <f t="shared" si="241"/>
        <v>260891.79754111476</v>
      </c>
      <c r="L535" s="170">
        <f t="shared" si="242"/>
        <v>260891.79754111476</v>
      </c>
      <c r="M535" s="170">
        <f t="shared" si="248"/>
        <v>260891.79754111476</v>
      </c>
      <c r="N535" s="170">
        <f t="shared" si="249"/>
        <v>0</v>
      </c>
      <c r="O535" s="170">
        <f t="shared" si="250"/>
        <v>0</v>
      </c>
      <c r="P535" s="170">
        <f t="shared" si="251"/>
        <v>0</v>
      </c>
      <c r="Q535" s="171">
        <f t="shared" si="252"/>
        <v>5606834.5834153313</v>
      </c>
      <c r="R535" s="171">
        <f t="shared" si="253"/>
        <v>432152.48466237361</v>
      </c>
      <c r="S535" s="171">
        <f t="shared" si="254"/>
        <v>132291.57693746127</v>
      </c>
      <c r="T535" s="171">
        <f t="shared" si="255"/>
        <v>0</v>
      </c>
      <c r="U535" s="171">
        <f t="shared" si="243"/>
        <v>6171278.6450151661</v>
      </c>
      <c r="V535" s="171">
        <f t="shared" si="256"/>
        <v>0</v>
      </c>
      <c r="W535" s="171">
        <f>IF(OR(A535&gt;=$C$13,B535="Retired"),IF(V535&gt;0,-V535,U535-'Model Inputs'!$B$18),"")</f>
        <v>5171278.6450151661</v>
      </c>
      <c r="X535" s="171">
        <f t="shared" si="244"/>
        <v>1567505.0673996999</v>
      </c>
      <c r="Y535" s="171">
        <f t="shared" si="245"/>
        <v>684670.80507698469</v>
      </c>
      <c r="Z535" s="171">
        <f t="shared" si="246"/>
        <v>882834.26232271525</v>
      </c>
      <c r="AA535" s="172">
        <f t="shared" si="247"/>
        <v>7054112.9073378816</v>
      </c>
      <c r="AB535" s="5"/>
      <c r="AC535" s="5"/>
      <c r="AD535" s="5"/>
      <c r="AE535" s="5"/>
      <c r="AF535" s="5"/>
      <c r="AG535" s="5"/>
    </row>
    <row r="536" spans="1:33" x14ac:dyDescent="0.2">
      <c r="A536" s="173">
        <v>16</v>
      </c>
      <c r="B536" s="65" t="str">
        <f t="shared" si="233"/>
        <v>Retired</v>
      </c>
      <c r="C536" s="174">
        <f t="shared" si="234"/>
        <v>0</v>
      </c>
      <c r="D536" s="174">
        <f t="shared" si="235"/>
        <v>0</v>
      </c>
      <c r="E536" s="174">
        <f t="shared" si="236"/>
        <v>0</v>
      </c>
      <c r="F536" s="174">
        <f t="shared" si="237"/>
        <v>0</v>
      </c>
      <c r="G536" s="171">
        <f t="shared" si="238"/>
        <v>0</v>
      </c>
      <c r="H536" s="171">
        <f t="shared" si="239"/>
        <v>91926.350885598556</v>
      </c>
      <c r="I536" s="171">
        <f>IF(B536="Working",MIN(MAX(D536-E536-F536-G536-H536,0),'Tax Assumptions'!$B$20),0)</f>
        <v>0</v>
      </c>
      <c r="J536" s="171">
        <f t="shared" si="240"/>
        <v>-261926.35088559857</v>
      </c>
      <c r="K536" s="174">
        <f t="shared" si="241"/>
        <v>261926.35088559857</v>
      </c>
      <c r="L536" s="174">
        <f t="shared" si="242"/>
        <v>261926.35088559857</v>
      </c>
      <c r="M536" s="174">
        <f t="shared" si="248"/>
        <v>261926.35088559857</v>
      </c>
      <c r="N536" s="174">
        <f t="shared" si="249"/>
        <v>0</v>
      </c>
      <c r="O536" s="174">
        <f t="shared" si="250"/>
        <v>0</v>
      </c>
      <c r="P536" s="174">
        <f t="shared" si="251"/>
        <v>0</v>
      </c>
      <c r="Q536" s="171">
        <f t="shared" si="252"/>
        <v>5681318.3075346528</v>
      </c>
      <c r="R536" s="171">
        <f t="shared" si="253"/>
        <v>458081.63374211604</v>
      </c>
      <c r="S536" s="171">
        <f t="shared" si="254"/>
        <v>140229.07155370896</v>
      </c>
      <c r="T536" s="171">
        <f t="shared" si="255"/>
        <v>0</v>
      </c>
      <c r="U536" s="171">
        <f t="shared" si="243"/>
        <v>6279629.0128304781</v>
      </c>
      <c r="V536" s="171">
        <f t="shared" si="256"/>
        <v>0</v>
      </c>
      <c r="W536" s="171">
        <f>IF(OR(A536&gt;=$C$13,B536="Retired"),IF(V536&gt;0,-V536,U536-'Model Inputs'!$B$18),"")</f>
        <v>5279629.0128304781</v>
      </c>
      <c r="X536" s="171">
        <f t="shared" si="244"/>
        <v>1614530.219421691</v>
      </c>
      <c r="Y536" s="171">
        <f t="shared" si="245"/>
        <v>672406.62720272737</v>
      </c>
      <c r="Z536" s="171">
        <f t="shared" si="246"/>
        <v>942123.59221896366</v>
      </c>
      <c r="AA536" s="175">
        <f t="shared" si="247"/>
        <v>7221752.6050494416</v>
      </c>
      <c r="AB536" s="5"/>
      <c r="AC536" s="5"/>
      <c r="AD536" s="5"/>
      <c r="AE536" s="5"/>
      <c r="AF536" s="5"/>
      <c r="AG536" s="5"/>
    </row>
    <row r="537" spans="1:33" x14ac:dyDescent="0.2">
      <c r="A537" s="169">
        <v>17</v>
      </c>
      <c r="B537" s="100" t="str">
        <f t="shared" si="233"/>
        <v>Retired</v>
      </c>
      <c r="C537" s="170">
        <f t="shared" si="234"/>
        <v>0</v>
      </c>
      <c r="D537" s="170">
        <f t="shared" si="235"/>
        <v>0</v>
      </c>
      <c r="E537" s="170">
        <f t="shared" si="236"/>
        <v>0</v>
      </c>
      <c r="F537" s="170">
        <f t="shared" si="237"/>
        <v>0</v>
      </c>
      <c r="G537" s="171">
        <f t="shared" si="238"/>
        <v>0</v>
      </c>
      <c r="H537" s="171">
        <f t="shared" si="239"/>
        <v>92991.940830416876</v>
      </c>
      <c r="I537" s="171">
        <f>IF(B537="Working",MIN(MAX(D537-E537-F537-G537-H537,0),'Tax Assumptions'!$B$20),0)</f>
        <v>0</v>
      </c>
      <c r="J537" s="171">
        <f t="shared" si="240"/>
        <v>-262991.94083041686</v>
      </c>
      <c r="K537" s="170">
        <f t="shared" si="241"/>
        <v>262991.94083041686</v>
      </c>
      <c r="L537" s="170">
        <f t="shared" si="242"/>
        <v>262991.94083041686</v>
      </c>
      <c r="M537" s="170">
        <f t="shared" si="248"/>
        <v>262991.94083041686</v>
      </c>
      <c r="N537" s="170">
        <f t="shared" si="249"/>
        <v>0</v>
      </c>
      <c r="O537" s="170">
        <f t="shared" si="250"/>
        <v>0</v>
      </c>
      <c r="P537" s="170">
        <f t="shared" si="251"/>
        <v>0</v>
      </c>
      <c r="Q537" s="171">
        <f t="shared" si="252"/>
        <v>5759205.4651563149</v>
      </c>
      <c r="R537" s="171">
        <f t="shared" si="253"/>
        <v>485566.53176664305</v>
      </c>
      <c r="S537" s="171">
        <f t="shared" si="254"/>
        <v>148642.81584693151</v>
      </c>
      <c r="T537" s="171">
        <f t="shared" si="255"/>
        <v>0</v>
      </c>
      <c r="U537" s="171">
        <f t="shared" si="243"/>
        <v>6393414.8127698889</v>
      </c>
      <c r="V537" s="171">
        <f t="shared" si="256"/>
        <v>0</v>
      </c>
      <c r="W537" s="171">
        <f>IF(OR(A537&gt;=$C$13,B537="Retired"),IF(V537&gt;0,-V537,U537-'Model Inputs'!$B$18),"")</f>
        <v>5393414.8127698889</v>
      </c>
      <c r="X537" s="171">
        <f t="shared" si="244"/>
        <v>1662966.1260043418</v>
      </c>
      <c r="Y537" s="171">
        <f t="shared" si="245"/>
        <v>659321.09462294192</v>
      </c>
      <c r="Z537" s="171">
        <f t="shared" si="246"/>
        <v>1003645.0313813998</v>
      </c>
      <c r="AA537" s="172">
        <f t="shared" si="247"/>
        <v>7397059.8441512883</v>
      </c>
      <c r="AB537" s="5"/>
      <c r="AC537" s="5"/>
      <c r="AD537" s="5"/>
      <c r="AE537" s="5"/>
      <c r="AF537" s="5"/>
      <c r="AG537" s="5"/>
    </row>
    <row r="538" spans="1:33" x14ac:dyDescent="0.2">
      <c r="A538" s="173">
        <v>18</v>
      </c>
      <c r="B538" s="65" t="str">
        <f t="shared" si="233"/>
        <v>Retired</v>
      </c>
      <c r="C538" s="174">
        <f t="shared" si="234"/>
        <v>0</v>
      </c>
      <c r="D538" s="174">
        <f t="shared" si="235"/>
        <v>0</v>
      </c>
      <c r="E538" s="174">
        <f t="shared" si="236"/>
        <v>0</v>
      </c>
      <c r="F538" s="174">
        <f t="shared" si="237"/>
        <v>0</v>
      </c>
      <c r="G538" s="171">
        <f t="shared" si="238"/>
        <v>0</v>
      </c>
      <c r="H538" s="171">
        <f t="shared" si="239"/>
        <v>94089.498473579733</v>
      </c>
      <c r="I538" s="171">
        <f>IF(B538="Working",MIN(MAX(D538-E538-F538-G538-H538,0),'Tax Assumptions'!$B$20),0)</f>
        <v>0</v>
      </c>
      <c r="J538" s="171">
        <f t="shared" si="240"/>
        <v>-264089.49847357976</v>
      </c>
      <c r="K538" s="174">
        <f t="shared" si="241"/>
        <v>264089.49847357976</v>
      </c>
      <c r="L538" s="174">
        <f t="shared" si="242"/>
        <v>264089.49847357976</v>
      </c>
      <c r="M538" s="174">
        <f t="shared" si="248"/>
        <v>264089.49847357976</v>
      </c>
      <c r="N538" s="174">
        <f t="shared" si="249"/>
        <v>0</v>
      </c>
      <c r="O538" s="174">
        <f t="shared" si="250"/>
        <v>0</v>
      </c>
      <c r="P538" s="174">
        <f t="shared" si="251"/>
        <v>0</v>
      </c>
      <c r="Q538" s="171">
        <f t="shared" si="252"/>
        <v>5840668.2945921142</v>
      </c>
      <c r="R538" s="171">
        <f t="shared" si="253"/>
        <v>514700.52367264166</v>
      </c>
      <c r="S538" s="171">
        <f t="shared" si="254"/>
        <v>157561.38479774742</v>
      </c>
      <c r="T538" s="171">
        <f t="shared" si="255"/>
        <v>0</v>
      </c>
      <c r="U538" s="171">
        <f t="shared" si="243"/>
        <v>6512930.2030625027</v>
      </c>
      <c r="V538" s="171">
        <f t="shared" si="256"/>
        <v>0</v>
      </c>
      <c r="W538" s="171">
        <f>IF(OR(A538&gt;=$C$13,B538="Retired"),IF(V538&gt;0,-V538,U538-'Model Inputs'!$B$18),"")</f>
        <v>5512930.2030625027</v>
      </c>
      <c r="X538" s="171">
        <f t="shared" si="244"/>
        <v>1712855.1097844718</v>
      </c>
      <c r="Y538" s="171">
        <f t="shared" si="245"/>
        <v>645359.19969184883</v>
      </c>
      <c r="Z538" s="171">
        <f t="shared" si="246"/>
        <v>1067495.910092623</v>
      </c>
      <c r="AA538" s="175">
        <f t="shared" si="247"/>
        <v>7580426.1131551256</v>
      </c>
      <c r="AB538" s="5"/>
      <c r="AC538" s="5"/>
      <c r="AD538" s="5"/>
      <c r="AE538" s="5"/>
      <c r="AF538" s="5"/>
      <c r="AG538" s="5"/>
    </row>
    <row r="539" spans="1:33" x14ac:dyDescent="0.2">
      <c r="A539" s="169">
        <v>19</v>
      </c>
      <c r="B539" s="100" t="str">
        <f t="shared" si="233"/>
        <v>Retired</v>
      </c>
      <c r="C539" s="170">
        <f t="shared" si="234"/>
        <v>0</v>
      </c>
      <c r="D539" s="170">
        <f t="shared" si="235"/>
        <v>0</v>
      </c>
      <c r="E539" s="170">
        <f t="shared" si="236"/>
        <v>0</v>
      </c>
      <c r="F539" s="170">
        <f t="shared" si="237"/>
        <v>0</v>
      </c>
      <c r="G539" s="171">
        <f t="shared" si="238"/>
        <v>0</v>
      </c>
      <c r="H539" s="171">
        <f t="shared" si="239"/>
        <v>95219.982846037485</v>
      </c>
      <c r="I539" s="171">
        <f>IF(B539="Working",MIN(MAX(D539-E539-F539-G539-H539,0),'Tax Assumptions'!$B$20),0)</f>
        <v>0</v>
      </c>
      <c r="J539" s="171">
        <f t="shared" si="240"/>
        <v>-265219.98284603748</v>
      </c>
      <c r="K539" s="170">
        <f t="shared" si="241"/>
        <v>265219.98284603748</v>
      </c>
      <c r="L539" s="170">
        <f t="shared" si="242"/>
        <v>265219.98284603748</v>
      </c>
      <c r="M539" s="170">
        <f t="shared" si="248"/>
        <v>265219.98284603748</v>
      </c>
      <c r="N539" s="170">
        <f t="shared" si="249"/>
        <v>0</v>
      </c>
      <c r="O539" s="170">
        <f t="shared" si="250"/>
        <v>0</v>
      </c>
      <c r="P539" s="170">
        <f t="shared" si="251"/>
        <v>0</v>
      </c>
      <c r="Q539" s="171">
        <f t="shared" si="252"/>
        <v>5925888.4094216041</v>
      </c>
      <c r="R539" s="171">
        <f t="shared" si="253"/>
        <v>545582.55509300018</v>
      </c>
      <c r="S539" s="171">
        <f t="shared" si="254"/>
        <v>167015.06788561228</v>
      </c>
      <c r="T539" s="171">
        <f t="shared" si="255"/>
        <v>0</v>
      </c>
      <c r="U539" s="171">
        <f t="shared" si="243"/>
        <v>6638486.032400216</v>
      </c>
      <c r="V539" s="171">
        <f t="shared" si="256"/>
        <v>0</v>
      </c>
      <c r="W539" s="171">
        <f>IF(OR(A539&gt;=$C$13,B539="Retired"),IF(V539&gt;0,-V539,U539-'Model Inputs'!$B$18),"")</f>
        <v>5638486.032400216</v>
      </c>
      <c r="X539" s="171">
        <f t="shared" si="244"/>
        <v>1764240.763078006</v>
      </c>
      <c r="Y539" s="171">
        <f t="shared" si="245"/>
        <v>630462.25079975545</v>
      </c>
      <c r="Z539" s="171">
        <f t="shared" si="246"/>
        <v>1133778.5122782504</v>
      </c>
      <c r="AA539" s="172">
        <f t="shared" si="247"/>
        <v>7772264.5446784664</v>
      </c>
      <c r="AB539" s="5"/>
      <c r="AC539" s="5"/>
      <c r="AD539" s="5"/>
      <c r="AE539" s="5"/>
      <c r="AF539" s="5"/>
      <c r="AG539" s="5"/>
    </row>
    <row r="540" spans="1:33" x14ac:dyDescent="0.2">
      <c r="A540" s="173">
        <v>20</v>
      </c>
      <c r="B540" s="65" t="str">
        <f t="shared" si="233"/>
        <v>Retired</v>
      </c>
      <c r="C540" s="174">
        <f t="shared" si="234"/>
        <v>0</v>
      </c>
      <c r="D540" s="174">
        <f t="shared" si="235"/>
        <v>0</v>
      </c>
      <c r="E540" s="174">
        <f t="shared" si="236"/>
        <v>0</v>
      </c>
      <c r="F540" s="174">
        <f t="shared" si="237"/>
        <v>0</v>
      </c>
      <c r="G540" s="171">
        <f t="shared" si="238"/>
        <v>0</v>
      </c>
      <c r="H540" s="171">
        <f t="shared" si="239"/>
        <v>96384.381749668973</v>
      </c>
      <c r="I540" s="171">
        <f>IF(B540="Working",MIN(MAX(D540-E540-F540-G540-H540,0),'Tax Assumptions'!$B$20),0)</f>
        <v>0</v>
      </c>
      <c r="J540" s="171">
        <f t="shared" si="240"/>
        <v>-266384.38174966897</v>
      </c>
      <c r="K540" s="174">
        <f t="shared" si="241"/>
        <v>266384.38174966897</v>
      </c>
      <c r="L540" s="174">
        <f t="shared" si="242"/>
        <v>266384.38174966897</v>
      </c>
      <c r="M540" s="174">
        <f t="shared" si="248"/>
        <v>266384.38174966897</v>
      </c>
      <c r="N540" s="174">
        <f t="shared" si="249"/>
        <v>0</v>
      </c>
      <c r="O540" s="174">
        <f t="shared" si="250"/>
        <v>0</v>
      </c>
      <c r="P540" s="174">
        <f t="shared" si="251"/>
        <v>0</v>
      </c>
      <c r="Q540" s="171">
        <f t="shared" si="252"/>
        <v>6015057.3322372315</v>
      </c>
      <c r="R540" s="171">
        <f t="shared" si="253"/>
        <v>578317.50839858025</v>
      </c>
      <c r="S540" s="171">
        <f t="shared" si="254"/>
        <v>177035.97195874903</v>
      </c>
      <c r="T540" s="171">
        <f t="shared" si="255"/>
        <v>0</v>
      </c>
      <c r="U540" s="171">
        <f t="shared" si="243"/>
        <v>6770410.8125945609</v>
      </c>
      <c r="V540" s="171">
        <f t="shared" si="256"/>
        <v>0</v>
      </c>
      <c r="W540" s="171">
        <f>IF(OR(A540&gt;=$C$13,B540="Retired"),IF(V540&gt;0,-V540,U540-'Model Inputs'!$B$18),"")</f>
        <v>5770410.8125945609</v>
      </c>
      <c r="X540" s="171">
        <f t="shared" si="244"/>
        <v>1817167.9859703463</v>
      </c>
      <c r="Y540" s="171">
        <f t="shared" si="245"/>
        <v>614567.62565117143</v>
      </c>
      <c r="Z540" s="171">
        <f t="shared" si="246"/>
        <v>1202600.3603191748</v>
      </c>
      <c r="AA540" s="175">
        <f t="shared" si="247"/>
        <v>7973011.1729137357</v>
      </c>
      <c r="AB540" s="5"/>
      <c r="AC540" s="5"/>
      <c r="AD540" s="5"/>
      <c r="AE540" s="5"/>
      <c r="AF540" s="5"/>
      <c r="AG540" s="5"/>
    </row>
    <row r="541" spans="1:33" x14ac:dyDescent="0.2">
      <c r="A541" s="169">
        <v>21</v>
      </c>
      <c r="B541" s="100" t="str">
        <f t="shared" si="233"/>
        <v>Retired</v>
      </c>
      <c r="C541" s="170">
        <f t="shared" si="234"/>
        <v>0</v>
      </c>
      <c r="D541" s="170">
        <f t="shared" si="235"/>
        <v>0</v>
      </c>
      <c r="E541" s="170">
        <f t="shared" si="236"/>
        <v>0</v>
      </c>
      <c r="F541" s="170">
        <f t="shared" si="237"/>
        <v>0</v>
      </c>
      <c r="G541" s="171">
        <f t="shared" si="238"/>
        <v>0</v>
      </c>
      <c r="H541" s="171">
        <f t="shared" si="239"/>
        <v>97583.712620409409</v>
      </c>
      <c r="I541" s="171">
        <f>IF(B541="Working",MIN(MAX(D541-E541-F541-G541-H541,0),'Tax Assumptions'!$B$20),0)</f>
        <v>0</v>
      </c>
      <c r="J541" s="171">
        <f t="shared" si="240"/>
        <v>-267583.71262040944</v>
      </c>
      <c r="K541" s="170">
        <f t="shared" si="241"/>
        <v>267583.71262040944</v>
      </c>
      <c r="L541" s="170">
        <f t="shared" si="242"/>
        <v>267583.71262040944</v>
      </c>
      <c r="M541" s="170">
        <f t="shared" si="248"/>
        <v>267583.71262040944</v>
      </c>
      <c r="N541" s="170">
        <f t="shared" si="249"/>
        <v>0</v>
      </c>
      <c r="O541" s="170">
        <f t="shared" si="250"/>
        <v>0</v>
      </c>
      <c r="P541" s="170">
        <f t="shared" si="251"/>
        <v>0</v>
      </c>
      <c r="Q541" s="171">
        <f t="shared" si="252"/>
        <v>6108377.0595510565</v>
      </c>
      <c r="R541" s="171">
        <f t="shared" si="253"/>
        <v>613016.55890249508</v>
      </c>
      <c r="S541" s="171">
        <f t="shared" si="254"/>
        <v>187658.13027627397</v>
      </c>
      <c r="T541" s="171">
        <f t="shared" si="255"/>
        <v>0</v>
      </c>
      <c r="U541" s="171">
        <f t="shared" si="243"/>
        <v>6909051.748729825</v>
      </c>
      <c r="V541" s="171">
        <f t="shared" si="256"/>
        <v>0</v>
      </c>
      <c r="W541" s="171">
        <f>IF(OR(A541&gt;=$C$13,B541="Retired"),IF(V541&gt;0,-V541,U541-'Model Inputs'!$B$18),"")</f>
        <v>5909051.748729825</v>
      </c>
      <c r="X541" s="171">
        <f t="shared" si="244"/>
        <v>1871683.0255494567</v>
      </c>
      <c r="Y541" s="171">
        <f t="shared" si="245"/>
        <v>597608.5080195003</v>
      </c>
      <c r="Z541" s="171">
        <f t="shared" si="246"/>
        <v>1274074.5175299565</v>
      </c>
      <c r="AA541" s="172">
        <f t="shared" si="247"/>
        <v>8183126.266259782</v>
      </c>
      <c r="AB541" s="5"/>
      <c r="AC541" s="5"/>
      <c r="AD541" s="5"/>
      <c r="AE541" s="5"/>
      <c r="AF541" s="5"/>
      <c r="AG541" s="5"/>
    </row>
    <row r="542" spans="1:33" x14ac:dyDescent="0.2">
      <c r="A542" s="173">
        <v>22</v>
      </c>
      <c r="B542" s="65" t="str">
        <f t="shared" si="233"/>
        <v>Retired</v>
      </c>
      <c r="C542" s="174">
        <f t="shared" si="234"/>
        <v>0</v>
      </c>
      <c r="D542" s="174">
        <f t="shared" si="235"/>
        <v>0</v>
      </c>
      <c r="E542" s="174">
        <f t="shared" si="236"/>
        <v>0</v>
      </c>
      <c r="F542" s="174">
        <f t="shared" si="237"/>
        <v>0</v>
      </c>
      <c r="G542" s="171">
        <f t="shared" si="238"/>
        <v>0</v>
      </c>
      <c r="H542" s="171">
        <f t="shared" si="239"/>
        <v>98819.023417272037</v>
      </c>
      <c r="I542" s="171">
        <f>IF(B542="Working",MIN(MAX(D542-E542-F542-G542-H542,0),'Tax Assumptions'!$B$20),0)</f>
        <v>0</v>
      </c>
      <c r="J542" s="171">
        <f t="shared" si="240"/>
        <v>-268819.02341727202</v>
      </c>
      <c r="K542" s="174">
        <f t="shared" si="241"/>
        <v>268819.02341727202</v>
      </c>
      <c r="L542" s="174">
        <f t="shared" si="242"/>
        <v>268819.02341727202</v>
      </c>
      <c r="M542" s="174">
        <f t="shared" si="248"/>
        <v>268819.02341727202</v>
      </c>
      <c r="N542" s="174">
        <f t="shared" si="249"/>
        <v>0</v>
      </c>
      <c r="O542" s="174">
        <f t="shared" si="250"/>
        <v>0</v>
      </c>
      <c r="P542" s="174">
        <f t="shared" si="251"/>
        <v>0</v>
      </c>
      <c r="Q542" s="171">
        <f t="shared" si="252"/>
        <v>6206060.6597068487</v>
      </c>
      <c r="R542" s="171">
        <f t="shared" si="253"/>
        <v>649797.55243664479</v>
      </c>
      <c r="S542" s="171">
        <f t="shared" si="254"/>
        <v>198917.6180928504</v>
      </c>
      <c r="T542" s="171">
        <f t="shared" si="255"/>
        <v>0</v>
      </c>
      <c r="U542" s="171">
        <f t="shared" si="243"/>
        <v>7054775.8302363446</v>
      </c>
      <c r="V542" s="171">
        <f t="shared" si="256"/>
        <v>0</v>
      </c>
      <c r="W542" s="171">
        <f>IF(OR(A542&gt;=$C$13,B542="Retired"),IF(V542&gt;0,-V542,U542-'Model Inputs'!$B$18),"")</f>
        <v>6054775.8302363446</v>
      </c>
      <c r="X542" s="171">
        <f t="shared" si="244"/>
        <v>1927833.5163159401</v>
      </c>
      <c r="Y542" s="171">
        <f t="shared" si="245"/>
        <v>579513.60687170736</v>
      </c>
      <c r="Z542" s="171">
        <f t="shared" si="246"/>
        <v>1348319.9094442327</v>
      </c>
      <c r="AA542" s="175">
        <f t="shared" si="247"/>
        <v>8403095.7396805771</v>
      </c>
      <c r="AB542" s="5"/>
      <c r="AC542" s="5"/>
      <c r="AD542" s="5"/>
      <c r="AE542" s="5"/>
      <c r="AF542" s="5"/>
      <c r="AG542" s="5"/>
    </row>
    <row r="543" spans="1:33" x14ac:dyDescent="0.2">
      <c r="A543" s="169">
        <v>23</v>
      </c>
      <c r="B543" s="100" t="str">
        <f t="shared" si="233"/>
        <v>Retired</v>
      </c>
      <c r="C543" s="170">
        <f t="shared" si="234"/>
        <v>0</v>
      </c>
      <c r="D543" s="170">
        <f t="shared" si="235"/>
        <v>0</v>
      </c>
      <c r="E543" s="170">
        <f t="shared" si="236"/>
        <v>0</v>
      </c>
      <c r="F543" s="170">
        <f t="shared" si="237"/>
        <v>0</v>
      </c>
      <c r="G543" s="171">
        <f t="shared" si="238"/>
        <v>0</v>
      </c>
      <c r="H543" s="171">
        <f t="shared" si="239"/>
        <v>100091.39353804055</v>
      </c>
      <c r="I543" s="171">
        <f>IF(B543="Working",MIN(MAX(D543-E543-F543-G543-H543,0),'Tax Assumptions'!$B$20),0)</f>
        <v>0</v>
      </c>
      <c r="J543" s="171">
        <f t="shared" si="240"/>
        <v>-270091.39353804057</v>
      </c>
      <c r="K543" s="170">
        <f t="shared" si="241"/>
        <v>270091.39353804057</v>
      </c>
      <c r="L543" s="170">
        <f t="shared" si="242"/>
        <v>270091.39353804057</v>
      </c>
      <c r="M543" s="170">
        <f t="shared" si="248"/>
        <v>270091.39353804057</v>
      </c>
      <c r="N543" s="170">
        <f t="shared" si="249"/>
        <v>0</v>
      </c>
      <c r="O543" s="170">
        <f t="shared" si="250"/>
        <v>0</v>
      </c>
      <c r="P543" s="170">
        <f t="shared" si="251"/>
        <v>0</v>
      </c>
      <c r="Q543" s="171">
        <f t="shared" si="252"/>
        <v>6308332.905751219</v>
      </c>
      <c r="R543" s="171">
        <f t="shared" si="253"/>
        <v>688785.40558284346</v>
      </c>
      <c r="S543" s="171">
        <f t="shared" si="254"/>
        <v>210852.67517842143</v>
      </c>
      <c r="T543" s="171">
        <f t="shared" si="255"/>
        <v>0</v>
      </c>
      <c r="U543" s="171">
        <f t="shared" si="243"/>
        <v>7207970.986512484</v>
      </c>
      <c r="V543" s="171">
        <f t="shared" si="256"/>
        <v>0</v>
      </c>
      <c r="W543" s="171">
        <f>IF(OR(A543&gt;=$C$13,B543="Retired"),IF(V543&gt;0,-V543,U543-'Model Inputs'!$B$18),"")</f>
        <v>6207970.986512484</v>
      </c>
      <c r="X543" s="171">
        <f t="shared" si="244"/>
        <v>1985668.5218054182</v>
      </c>
      <c r="Y543" s="171">
        <f t="shared" si="245"/>
        <v>560206.85668224399</v>
      </c>
      <c r="Z543" s="171">
        <f t="shared" si="246"/>
        <v>1425461.6651231742</v>
      </c>
      <c r="AA543" s="172">
        <f t="shared" si="247"/>
        <v>8633432.651635658</v>
      </c>
      <c r="AB543" s="5"/>
      <c r="AC543" s="5"/>
      <c r="AD543" s="5"/>
      <c r="AE543" s="5"/>
      <c r="AF543" s="5"/>
      <c r="AG543" s="5"/>
    </row>
    <row r="544" spans="1:33" x14ac:dyDescent="0.2">
      <c r="A544" s="173">
        <v>24</v>
      </c>
      <c r="B544" s="65" t="str">
        <f t="shared" si="233"/>
        <v>Retired</v>
      </c>
      <c r="C544" s="174">
        <f t="shared" si="234"/>
        <v>0</v>
      </c>
      <c r="D544" s="174">
        <f t="shared" si="235"/>
        <v>0</v>
      </c>
      <c r="E544" s="174">
        <f t="shared" si="236"/>
        <v>0</v>
      </c>
      <c r="F544" s="174">
        <f t="shared" si="237"/>
        <v>0</v>
      </c>
      <c r="G544" s="171">
        <f t="shared" si="238"/>
        <v>0</v>
      </c>
      <c r="H544" s="171">
        <f t="shared" si="239"/>
        <v>101401.93476243214</v>
      </c>
      <c r="I544" s="171">
        <f>IF(B544="Working",MIN(MAX(D544-E544-F544-G544-H544,0),'Tax Assumptions'!$B$20),0)</f>
        <v>0</v>
      </c>
      <c r="J544" s="171">
        <f t="shared" si="240"/>
        <v>-271401.93476243212</v>
      </c>
      <c r="K544" s="174">
        <f t="shared" si="241"/>
        <v>271401.93476243212</v>
      </c>
      <c r="L544" s="174">
        <f t="shared" si="242"/>
        <v>271401.93476243212</v>
      </c>
      <c r="M544" s="174">
        <f t="shared" si="248"/>
        <v>271401.93476243212</v>
      </c>
      <c r="N544" s="174">
        <f t="shared" si="249"/>
        <v>0</v>
      </c>
      <c r="O544" s="174">
        <f t="shared" si="250"/>
        <v>0</v>
      </c>
      <c r="P544" s="174">
        <f t="shared" si="251"/>
        <v>0</v>
      </c>
      <c r="Q544" s="171">
        <f t="shared" si="252"/>
        <v>6415430.9453338599</v>
      </c>
      <c r="R544" s="171">
        <f t="shared" si="253"/>
        <v>730112.52991781407</v>
      </c>
      <c r="S544" s="171">
        <f t="shared" si="254"/>
        <v>223503.83568912672</v>
      </c>
      <c r="T544" s="171">
        <f t="shared" si="255"/>
        <v>0</v>
      </c>
      <c r="U544" s="171">
        <f t="shared" si="243"/>
        <v>7369047.3109408002</v>
      </c>
      <c r="V544" s="171">
        <f t="shared" si="256"/>
        <v>0</v>
      </c>
      <c r="W544" s="171">
        <f>IF(OR(A544&gt;=$C$13,B544="Retired"),IF(V544&gt;0,-V544,U544-'Model Inputs'!$B$18),"")</f>
        <v>6369047.3109408002</v>
      </c>
      <c r="X544" s="171">
        <f t="shared" si="244"/>
        <v>2045238.577459581</v>
      </c>
      <c r="Y544" s="171">
        <f t="shared" si="245"/>
        <v>539607.09767644154</v>
      </c>
      <c r="Z544" s="171">
        <f t="shared" si="246"/>
        <v>1505631.4797831394</v>
      </c>
      <c r="AA544" s="175">
        <f t="shared" si="247"/>
        <v>8874678.7907239404</v>
      </c>
      <c r="AB544" s="5"/>
      <c r="AC544" s="5"/>
      <c r="AD544" s="5"/>
      <c r="AE544" s="5"/>
      <c r="AF544" s="5"/>
      <c r="AG544" s="5"/>
    </row>
    <row r="545" spans="1:33" x14ac:dyDescent="0.2">
      <c r="A545" s="169">
        <v>25</v>
      </c>
      <c r="B545" s="100" t="str">
        <f t="shared" si="233"/>
        <v>Retired</v>
      </c>
      <c r="C545" s="170">
        <f t="shared" si="234"/>
        <v>0</v>
      </c>
      <c r="D545" s="170">
        <f t="shared" si="235"/>
        <v>0</v>
      </c>
      <c r="E545" s="170">
        <f t="shared" si="236"/>
        <v>0</v>
      </c>
      <c r="F545" s="170">
        <f t="shared" si="237"/>
        <v>0</v>
      </c>
      <c r="G545" s="171">
        <f t="shared" si="238"/>
        <v>0</v>
      </c>
      <c r="H545" s="171">
        <f t="shared" si="239"/>
        <v>102751.79222355547</v>
      </c>
      <c r="I545" s="171">
        <f>IF(B545="Working",MIN(MAX(D545-E545-F545-G545-H545,0),'Tax Assumptions'!$B$20),0)</f>
        <v>0</v>
      </c>
      <c r="J545" s="171">
        <f t="shared" si="240"/>
        <v>-272751.7922235555</v>
      </c>
      <c r="K545" s="170">
        <f t="shared" si="241"/>
        <v>272751.7922235555</v>
      </c>
      <c r="L545" s="170">
        <f t="shared" si="242"/>
        <v>272751.7922235555</v>
      </c>
      <c r="M545" s="170">
        <f t="shared" si="248"/>
        <v>272751.7922235555</v>
      </c>
      <c r="N545" s="170">
        <f t="shared" si="249"/>
        <v>0</v>
      </c>
      <c r="O545" s="170">
        <f t="shared" si="250"/>
        <v>0</v>
      </c>
      <c r="P545" s="170">
        <f t="shared" si="251"/>
        <v>0</v>
      </c>
      <c r="Q545" s="171">
        <f t="shared" si="252"/>
        <v>6527605.009830337</v>
      </c>
      <c r="R545" s="171">
        <f t="shared" si="253"/>
        <v>773919.28171288292</v>
      </c>
      <c r="S545" s="171">
        <f t="shared" si="254"/>
        <v>236914.06583047434</v>
      </c>
      <c r="T545" s="171">
        <f t="shared" si="255"/>
        <v>0</v>
      </c>
      <c r="U545" s="171">
        <f t="shared" si="243"/>
        <v>7538438.3573736949</v>
      </c>
      <c r="V545" s="171">
        <f t="shared" si="256"/>
        <v>0</v>
      </c>
      <c r="W545" s="171">
        <f>IF(OR(A545&gt;=$C$13,B545="Retired"),IF(V545&gt;0,-V545,U545-'Model Inputs'!$B$18),"")</f>
        <v>6538438.3573736949</v>
      </c>
      <c r="X545" s="171">
        <f t="shared" si="244"/>
        <v>2106595.7347833687</v>
      </c>
      <c r="Y545" s="171">
        <f t="shared" si="245"/>
        <v>517627.7346592145</v>
      </c>
      <c r="Z545" s="171">
        <f t="shared" si="246"/>
        <v>1588968.0001241541</v>
      </c>
      <c r="AA545" s="172">
        <f t="shared" si="247"/>
        <v>9127406.3574978486</v>
      </c>
      <c r="AB545" s="5"/>
      <c r="AC545" s="5"/>
      <c r="AD545" s="5"/>
      <c r="AE545" s="5"/>
      <c r="AF545" s="5"/>
      <c r="AG545" s="5"/>
    </row>
    <row r="546" spans="1:33" x14ac:dyDescent="0.2">
      <c r="A546" s="173">
        <v>26</v>
      </c>
      <c r="B546" s="65" t="str">
        <f t="shared" si="233"/>
        <v>Retired</v>
      </c>
      <c r="C546" s="174">
        <f t="shared" si="234"/>
        <v>0</v>
      </c>
      <c r="D546" s="174">
        <f t="shared" si="235"/>
        <v>0</v>
      </c>
      <c r="E546" s="174">
        <f t="shared" si="236"/>
        <v>0</v>
      </c>
      <c r="F546" s="174">
        <f t="shared" si="237"/>
        <v>0</v>
      </c>
      <c r="G546" s="171">
        <f t="shared" si="238"/>
        <v>0</v>
      </c>
      <c r="H546" s="171">
        <f t="shared" si="239"/>
        <v>104142.14540851247</v>
      </c>
      <c r="I546" s="171">
        <f>IF(B546="Working",MIN(MAX(D546-E546-F546-G546-H546,0),'Tax Assumptions'!$B$20),0)</f>
        <v>0</v>
      </c>
      <c r="J546" s="171">
        <f t="shared" si="240"/>
        <v>-274142.14540851244</v>
      </c>
      <c r="K546" s="174">
        <f t="shared" si="241"/>
        <v>274142.14540851244</v>
      </c>
      <c r="L546" s="174">
        <f t="shared" si="242"/>
        <v>274142.14540851244</v>
      </c>
      <c r="M546" s="174">
        <f t="shared" si="248"/>
        <v>274142.14540851244</v>
      </c>
      <c r="N546" s="174">
        <f t="shared" si="249"/>
        <v>0</v>
      </c>
      <c r="O546" s="174">
        <f t="shared" si="250"/>
        <v>0</v>
      </c>
      <c r="P546" s="174">
        <f t="shared" si="251"/>
        <v>0</v>
      </c>
      <c r="Q546" s="171">
        <f t="shared" si="252"/>
        <v>6645119.1650116453</v>
      </c>
      <c r="R546" s="171">
        <f t="shared" si="253"/>
        <v>820354.43861565599</v>
      </c>
      <c r="S546" s="171">
        <f t="shared" si="254"/>
        <v>251128.90978030281</v>
      </c>
      <c r="T546" s="171">
        <f t="shared" si="255"/>
        <v>0</v>
      </c>
      <c r="U546" s="171">
        <f t="shared" si="243"/>
        <v>7716602.5134076048</v>
      </c>
      <c r="V546" s="171">
        <f t="shared" si="256"/>
        <v>0</v>
      </c>
      <c r="W546" s="171">
        <f>IF(OR(A546&gt;=$C$13,B546="Retired"),IF(V546&gt;0,-V546,U546-'Model Inputs'!$B$18),"")</f>
        <v>6716602.5134076048</v>
      </c>
      <c r="X546" s="171">
        <f t="shared" si="244"/>
        <v>2169793.6068268693</v>
      </c>
      <c r="Y546" s="171">
        <f t="shared" si="245"/>
        <v>494176.37299488741</v>
      </c>
      <c r="Z546" s="171">
        <f t="shared" si="246"/>
        <v>1675617.2338319819</v>
      </c>
      <c r="AA546" s="175">
        <f t="shared" si="247"/>
        <v>9392219.747239586</v>
      </c>
      <c r="AB546" s="5"/>
      <c r="AC546" s="5"/>
      <c r="AD546" s="5"/>
      <c r="AE546" s="5"/>
      <c r="AF546" s="5"/>
      <c r="AG546" s="5"/>
    </row>
    <row r="547" spans="1:33" x14ac:dyDescent="0.2">
      <c r="A547" s="169">
        <v>27</v>
      </c>
      <c r="B547" s="100" t="str">
        <f t="shared" si="233"/>
        <v>Retired</v>
      </c>
      <c r="C547" s="170">
        <f t="shared" si="234"/>
        <v>0</v>
      </c>
      <c r="D547" s="170">
        <f t="shared" si="235"/>
        <v>0</v>
      </c>
      <c r="E547" s="170">
        <f t="shared" si="236"/>
        <v>0</v>
      </c>
      <c r="F547" s="170">
        <f t="shared" si="237"/>
        <v>0</v>
      </c>
      <c r="G547" s="171">
        <f t="shared" si="238"/>
        <v>0</v>
      </c>
      <c r="H547" s="171">
        <f t="shared" si="239"/>
        <v>105574.20918901821</v>
      </c>
      <c r="I547" s="171">
        <f>IF(B547="Working",MIN(MAX(D547-E547-F547-G547-H547,0),'Tax Assumptions'!$B$20),0)</f>
        <v>0</v>
      </c>
      <c r="J547" s="171">
        <f t="shared" si="240"/>
        <v>-275574.20918901823</v>
      </c>
      <c r="K547" s="170">
        <f t="shared" si="241"/>
        <v>275574.20918901823</v>
      </c>
      <c r="L547" s="170">
        <f t="shared" si="242"/>
        <v>275574.20918901823</v>
      </c>
      <c r="M547" s="170">
        <f t="shared" si="248"/>
        <v>275574.20918901823</v>
      </c>
      <c r="N547" s="170">
        <f t="shared" si="249"/>
        <v>0</v>
      </c>
      <c r="O547" s="170">
        <f t="shared" si="250"/>
        <v>0</v>
      </c>
      <c r="P547" s="170">
        <f t="shared" si="251"/>
        <v>0</v>
      </c>
      <c r="Q547" s="171">
        <f t="shared" si="252"/>
        <v>6768252.1057233261</v>
      </c>
      <c r="R547" s="171">
        <f t="shared" si="253"/>
        <v>869575.70493259537</v>
      </c>
      <c r="S547" s="171">
        <f t="shared" si="254"/>
        <v>266196.64436712099</v>
      </c>
      <c r="T547" s="171">
        <f t="shared" si="255"/>
        <v>0</v>
      </c>
      <c r="U547" s="171">
        <f t="shared" si="243"/>
        <v>7904024.4550230429</v>
      </c>
      <c r="V547" s="171">
        <f t="shared" si="256"/>
        <v>0</v>
      </c>
      <c r="W547" s="171">
        <f>IF(OR(A547&gt;=$C$13,B547="Retired"),IF(V547&gt;0,-V547,U547-'Model Inputs'!$B$18),"")</f>
        <v>6904024.4550230429</v>
      </c>
      <c r="X547" s="171">
        <f t="shared" si="244"/>
        <v>2234887.4150316752</v>
      </c>
      <c r="Y547" s="171">
        <f t="shared" si="245"/>
        <v>469154.4302079191</v>
      </c>
      <c r="Z547" s="171">
        <f t="shared" si="246"/>
        <v>1765732.9848237562</v>
      </c>
      <c r="AA547" s="172">
        <f t="shared" si="247"/>
        <v>9669757.4398467988</v>
      </c>
      <c r="AB547" s="5"/>
      <c r="AC547" s="5"/>
      <c r="AD547" s="5"/>
      <c r="AE547" s="5"/>
      <c r="AF547" s="5"/>
      <c r="AG547" s="5"/>
    </row>
    <row r="548" spans="1:33" x14ac:dyDescent="0.2">
      <c r="A548" s="173">
        <v>28</v>
      </c>
      <c r="B548" s="65" t="str">
        <f t="shared" si="233"/>
        <v>Retired</v>
      </c>
      <c r="C548" s="174">
        <f t="shared" si="234"/>
        <v>0</v>
      </c>
      <c r="D548" s="174">
        <f t="shared" si="235"/>
        <v>0</v>
      </c>
      <c r="E548" s="174">
        <f t="shared" si="236"/>
        <v>0</v>
      </c>
      <c r="F548" s="174">
        <f t="shared" si="237"/>
        <v>0</v>
      </c>
      <c r="G548" s="171">
        <f t="shared" si="238"/>
        <v>0</v>
      </c>
      <c r="H548" s="171">
        <f t="shared" si="239"/>
        <v>107049.23488293911</v>
      </c>
      <c r="I548" s="171">
        <f>IF(B548="Working",MIN(MAX(D548-E548-F548-G548-H548,0),'Tax Assumptions'!$B$20),0)</f>
        <v>0</v>
      </c>
      <c r="J548" s="171">
        <f t="shared" si="240"/>
        <v>-277049.23488293914</v>
      </c>
      <c r="K548" s="174">
        <f t="shared" si="241"/>
        <v>277049.23488293914</v>
      </c>
      <c r="L548" s="174">
        <f t="shared" si="242"/>
        <v>277049.23488293914</v>
      </c>
      <c r="M548" s="174">
        <f t="shared" si="248"/>
        <v>277049.23488293914</v>
      </c>
      <c r="N548" s="174">
        <f t="shared" si="249"/>
        <v>0</v>
      </c>
      <c r="O548" s="174">
        <f t="shared" si="250"/>
        <v>0</v>
      </c>
      <c r="P548" s="174">
        <f t="shared" si="251"/>
        <v>0</v>
      </c>
      <c r="Q548" s="171">
        <f t="shared" si="252"/>
        <v>6897297.9971837867</v>
      </c>
      <c r="R548" s="171">
        <f t="shared" si="253"/>
        <v>921750.24722855119</v>
      </c>
      <c r="S548" s="171">
        <f t="shared" si="254"/>
        <v>282168.44302914827</v>
      </c>
      <c r="T548" s="171">
        <f t="shared" si="255"/>
        <v>0</v>
      </c>
      <c r="U548" s="171">
        <f t="shared" si="243"/>
        <v>8101216.6874414869</v>
      </c>
      <c r="V548" s="171">
        <f t="shared" si="256"/>
        <v>0</v>
      </c>
      <c r="W548" s="171">
        <f>IF(OR(A548&gt;=$C$13,B548="Retired"),IF(V548&gt;0,-V548,U548-'Model Inputs'!$B$18),"")</f>
        <v>7101216.6874414869</v>
      </c>
      <c r="X548" s="171">
        <f t="shared" si="244"/>
        <v>2301934.0374826253</v>
      </c>
      <c r="Y548" s="171">
        <f t="shared" si="245"/>
        <v>442456.72157180589</v>
      </c>
      <c r="Z548" s="171">
        <f t="shared" si="246"/>
        <v>1859477.3159108195</v>
      </c>
      <c r="AA548" s="175">
        <f t="shared" si="247"/>
        <v>9960694.0033523068</v>
      </c>
      <c r="AB548" s="5"/>
      <c r="AC548" s="5"/>
      <c r="AD548" s="5"/>
      <c r="AE548" s="5"/>
      <c r="AF548" s="5"/>
      <c r="AG548" s="5"/>
    </row>
    <row r="549" spans="1:33" x14ac:dyDescent="0.2">
      <c r="A549" s="169">
        <v>29</v>
      </c>
      <c r="B549" s="100" t="str">
        <f t="shared" si="233"/>
        <v>Retired</v>
      </c>
      <c r="C549" s="170">
        <f t="shared" si="234"/>
        <v>0</v>
      </c>
      <c r="D549" s="170">
        <f t="shared" si="235"/>
        <v>0</v>
      </c>
      <c r="E549" s="170">
        <f t="shared" si="236"/>
        <v>0</v>
      </c>
      <c r="F549" s="170">
        <f t="shared" si="237"/>
        <v>0</v>
      </c>
      <c r="G549" s="171">
        <f t="shared" si="238"/>
        <v>0</v>
      </c>
      <c r="H549" s="171">
        <f t="shared" si="239"/>
        <v>108568.51134767765</v>
      </c>
      <c r="I549" s="171">
        <f>IF(B549="Working",MIN(MAX(D549-E549-F549-G549-H549,0),'Tax Assumptions'!$B$20),0)</f>
        <v>0</v>
      </c>
      <c r="J549" s="171">
        <f t="shared" si="240"/>
        <v>-278568.51134767768</v>
      </c>
      <c r="K549" s="170">
        <f t="shared" si="241"/>
        <v>278568.51134767768</v>
      </c>
      <c r="L549" s="170">
        <f t="shared" si="242"/>
        <v>278568.51134767768</v>
      </c>
      <c r="M549" s="170">
        <f t="shared" si="248"/>
        <v>278568.51134767768</v>
      </c>
      <c r="N549" s="170">
        <f t="shared" si="249"/>
        <v>0</v>
      </c>
      <c r="O549" s="170">
        <f t="shared" si="250"/>
        <v>0</v>
      </c>
      <c r="P549" s="170">
        <f t="shared" si="251"/>
        <v>0</v>
      </c>
      <c r="Q549" s="171">
        <f t="shared" si="252"/>
        <v>7032567.3656671364</v>
      </c>
      <c r="R549" s="171">
        <f t="shared" si="253"/>
        <v>977055.26206226426</v>
      </c>
      <c r="S549" s="171">
        <f t="shared" si="254"/>
        <v>299098.5496108972</v>
      </c>
      <c r="T549" s="171">
        <f t="shared" si="255"/>
        <v>0</v>
      </c>
      <c r="U549" s="171">
        <f t="shared" si="243"/>
        <v>8308721.177340298</v>
      </c>
      <c r="V549" s="171">
        <f t="shared" si="256"/>
        <v>0</v>
      </c>
      <c r="W549" s="171">
        <f>IF(OR(A549&gt;=$C$13,B549="Retired"),IF(V549&gt;0,-V549,U549-'Model Inputs'!$B$18),"")</f>
        <v>7308721.177340298</v>
      </c>
      <c r="X549" s="171">
        <f t="shared" si="244"/>
        <v>2370992.0586071042</v>
      </c>
      <c r="Y549" s="171">
        <f t="shared" si="245"/>
        <v>413971.01794410776</v>
      </c>
      <c r="Z549" s="171">
        <f t="shared" si="246"/>
        <v>1957021.0406629965</v>
      </c>
      <c r="AA549" s="172">
        <f t="shared" si="247"/>
        <v>10265742.218003295</v>
      </c>
      <c r="AB549" s="5"/>
      <c r="AC549" s="5"/>
      <c r="AD549" s="5"/>
      <c r="AE549" s="5"/>
      <c r="AF549" s="5"/>
      <c r="AG549" s="5"/>
    </row>
    <row r="550" spans="1:33" x14ac:dyDescent="0.2">
      <c r="A550" s="173">
        <v>30</v>
      </c>
      <c r="B550" s="65" t="str">
        <f t="shared" si="233"/>
        <v>Retired</v>
      </c>
      <c r="C550" s="174">
        <f t="shared" si="234"/>
        <v>0</v>
      </c>
      <c r="D550" s="174">
        <f t="shared" si="235"/>
        <v>0</v>
      </c>
      <c r="E550" s="174">
        <f t="shared" si="236"/>
        <v>0</v>
      </c>
      <c r="F550" s="174">
        <f t="shared" si="237"/>
        <v>0</v>
      </c>
      <c r="G550" s="171">
        <f t="shared" si="238"/>
        <v>0</v>
      </c>
      <c r="H550" s="171">
        <f t="shared" si="239"/>
        <v>110133.36610635833</v>
      </c>
      <c r="I550" s="171">
        <f>IF(B550="Working",MIN(MAX(D550-E550-F550-G550-H550,0),'Tax Assumptions'!$B$20),0)</f>
        <v>0</v>
      </c>
      <c r="J550" s="171">
        <f t="shared" si="240"/>
        <v>-280133.36610635836</v>
      </c>
      <c r="K550" s="174">
        <f t="shared" si="241"/>
        <v>280133.36610635836</v>
      </c>
      <c r="L550" s="174">
        <f t="shared" si="242"/>
        <v>280133.36610635836</v>
      </c>
      <c r="M550" s="174">
        <f t="shared" si="248"/>
        <v>280133.36610635836</v>
      </c>
      <c r="N550" s="174">
        <f t="shared" si="249"/>
        <v>0</v>
      </c>
      <c r="O550" s="174">
        <f t="shared" si="250"/>
        <v>0</v>
      </c>
      <c r="P550" s="174">
        <f t="shared" si="251"/>
        <v>0</v>
      </c>
      <c r="Q550" s="171">
        <f t="shared" si="252"/>
        <v>7174388.0415008068</v>
      </c>
      <c r="R550" s="171">
        <f t="shared" si="253"/>
        <v>1035678.5777860002</v>
      </c>
      <c r="S550" s="171">
        <f t="shared" si="254"/>
        <v>317044.46258755104</v>
      </c>
      <c r="T550" s="171">
        <f t="shared" si="255"/>
        <v>0</v>
      </c>
      <c r="U550" s="171">
        <f t="shared" si="243"/>
        <v>8527111.0818743575</v>
      </c>
      <c r="V550" s="171">
        <f t="shared" si="256"/>
        <v>0</v>
      </c>
      <c r="W550" s="171">
        <f>IF(OR(A550&gt;=$C$13,B550="Retired"),IF(V550&gt;0,-V550,U550-'Model Inputs'!$B$18),"")</f>
        <v>7527111.0818743575</v>
      </c>
      <c r="X550" s="171">
        <f t="shared" si="244"/>
        <v>2442121.8203653172</v>
      </c>
      <c r="Y550" s="171">
        <f t="shared" si="245"/>
        <v>383577.57398886699</v>
      </c>
      <c r="Z550" s="171">
        <f t="shared" si="246"/>
        <v>2058544.2463764502</v>
      </c>
      <c r="AA550" s="175">
        <f t="shared" si="247"/>
        <v>10585655.328250807</v>
      </c>
      <c r="AB550" s="5"/>
      <c r="AC550" s="5"/>
      <c r="AD550" s="5"/>
      <c r="AE550" s="5"/>
      <c r="AF550" s="5"/>
      <c r="AG550" s="5"/>
    </row>
    <row r="551" spans="1:33" x14ac:dyDescent="0.2">
      <c r="A551" s="169">
        <v>31</v>
      </c>
      <c r="B551" s="100" t="str">
        <f t="shared" si="233"/>
        <v>Retired</v>
      </c>
      <c r="C551" s="170">
        <f t="shared" si="234"/>
        <v>0</v>
      </c>
      <c r="D551" s="170">
        <f t="shared" si="235"/>
        <v>0</v>
      </c>
      <c r="E551" s="170">
        <f t="shared" si="236"/>
        <v>0</v>
      </c>
      <c r="F551" s="170">
        <f t="shared" si="237"/>
        <v>0</v>
      </c>
      <c r="G551" s="171">
        <f t="shared" si="238"/>
        <v>0</v>
      </c>
      <c r="H551" s="171">
        <f t="shared" si="239"/>
        <v>111745.16650779944</v>
      </c>
      <c r="I551" s="171">
        <f>IF(B551="Working",MIN(MAX(D551-E551-F551-G551-H551,0),'Tax Assumptions'!$B$20),0)</f>
        <v>0</v>
      </c>
      <c r="J551" s="171">
        <f t="shared" si="240"/>
        <v>-281745.16650779941</v>
      </c>
      <c r="K551" s="170">
        <f t="shared" si="241"/>
        <v>281745.16650779941</v>
      </c>
      <c r="L551" s="170">
        <f t="shared" si="242"/>
        <v>281745.16650779941</v>
      </c>
      <c r="M551" s="170">
        <f t="shared" si="248"/>
        <v>281745.16650779941</v>
      </c>
      <c r="N551" s="170">
        <f t="shared" si="249"/>
        <v>0</v>
      </c>
      <c r="O551" s="170">
        <f t="shared" si="250"/>
        <v>0</v>
      </c>
      <c r="P551" s="170">
        <f t="shared" si="251"/>
        <v>0</v>
      </c>
      <c r="Q551" s="171">
        <f t="shared" si="252"/>
        <v>7323106.1574830562</v>
      </c>
      <c r="R551" s="171">
        <f t="shared" si="253"/>
        <v>1097819.2924531603</v>
      </c>
      <c r="S551" s="171">
        <f t="shared" si="254"/>
        <v>336067.13034280413</v>
      </c>
      <c r="T551" s="171">
        <f t="shared" si="255"/>
        <v>0</v>
      </c>
      <c r="U551" s="171">
        <f t="shared" si="243"/>
        <v>8756992.5802790206</v>
      </c>
      <c r="V551" s="171">
        <f t="shared" si="256"/>
        <v>0</v>
      </c>
      <c r="W551" s="171">
        <f>IF(OR(A551&gt;=$C$13,B551="Retired"),IF(V551&gt;0,-V551,U551-'Model Inputs'!$B$18),"")</f>
        <v>7756992.5802790206</v>
      </c>
      <c r="X551" s="171">
        <f t="shared" si="244"/>
        <v>2515385.4749762765</v>
      </c>
      <c r="Y551" s="171">
        <f t="shared" si="245"/>
        <v>351148.62480320875</v>
      </c>
      <c r="Z551" s="171">
        <f t="shared" si="246"/>
        <v>2164236.8501730678</v>
      </c>
      <c r="AA551" s="172">
        <f t="shared" si="247"/>
        <v>10921229.430452088</v>
      </c>
      <c r="AB551" s="5"/>
      <c r="AC551" s="5"/>
      <c r="AD551" s="5"/>
      <c r="AE551" s="5"/>
      <c r="AF551" s="5"/>
      <c r="AG551" s="5"/>
    </row>
    <row r="552" spans="1:33" x14ac:dyDescent="0.2">
      <c r="A552" s="173">
        <v>32</v>
      </c>
      <c r="B552" s="65" t="str">
        <f t="shared" si="233"/>
        <v>Retired</v>
      </c>
      <c r="C552" s="174">
        <f t="shared" si="234"/>
        <v>0</v>
      </c>
      <c r="D552" s="174">
        <f t="shared" si="235"/>
        <v>0</v>
      </c>
      <c r="E552" s="174">
        <f t="shared" si="236"/>
        <v>0</v>
      </c>
      <c r="F552" s="174">
        <f t="shared" si="237"/>
        <v>0</v>
      </c>
      <c r="G552" s="171">
        <f t="shared" si="238"/>
        <v>0</v>
      </c>
      <c r="H552" s="171">
        <f t="shared" si="239"/>
        <v>113405.3209212838</v>
      </c>
      <c r="I552" s="171">
        <f>IF(B552="Working",MIN(MAX(D552-E552-F552-G552-H552,0),'Tax Assumptions'!$B$20),0)</f>
        <v>0</v>
      </c>
      <c r="J552" s="171">
        <f t="shared" si="240"/>
        <v>-283405.3209212838</v>
      </c>
      <c r="K552" s="174">
        <f t="shared" si="241"/>
        <v>283405.3209212838</v>
      </c>
      <c r="L552" s="174">
        <f t="shared" si="242"/>
        <v>283405.3209212838</v>
      </c>
      <c r="M552" s="174">
        <f t="shared" si="248"/>
        <v>283405.3209212838</v>
      </c>
      <c r="N552" s="174">
        <f t="shared" si="249"/>
        <v>0</v>
      </c>
      <c r="O552" s="174">
        <f t="shared" si="250"/>
        <v>0</v>
      </c>
      <c r="P552" s="174">
        <f t="shared" si="251"/>
        <v>0</v>
      </c>
      <c r="Q552" s="171">
        <f t="shared" si="252"/>
        <v>7479087.2060107561</v>
      </c>
      <c r="R552" s="171">
        <f t="shared" si="253"/>
        <v>1163688.4500003499</v>
      </c>
      <c r="S552" s="171">
        <f t="shared" si="254"/>
        <v>356231.15816337237</v>
      </c>
      <c r="T552" s="171">
        <f t="shared" si="255"/>
        <v>0</v>
      </c>
      <c r="U552" s="171">
        <f t="shared" si="243"/>
        <v>8999006.8141744789</v>
      </c>
      <c r="V552" s="171">
        <f t="shared" si="256"/>
        <v>0</v>
      </c>
      <c r="W552" s="171">
        <f>IF(OR(A552&gt;=$C$13,B552="Retired"),IF(V552&gt;0,-V552,U552-'Model Inputs'!$B$18),"")</f>
        <v>7999006.8141744789</v>
      </c>
      <c r="X552" s="171">
        <f t="shared" si="244"/>
        <v>2590847.0392255653</v>
      </c>
      <c r="Y552" s="171">
        <f t="shared" si="245"/>
        <v>316547.84883208992</v>
      </c>
      <c r="Z552" s="171">
        <f t="shared" si="246"/>
        <v>2274299.1903934753</v>
      </c>
      <c r="AA552" s="175">
        <f t="shared" si="247"/>
        <v>11273306.004567955</v>
      </c>
      <c r="AB552" s="5"/>
      <c r="AC552" s="5"/>
      <c r="AD552" s="5"/>
      <c r="AE552" s="5"/>
      <c r="AF552" s="5"/>
      <c r="AG552" s="5"/>
    </row>
    <row r="553" spans="1:33" x14ac:dyDescent="0.2">
      <c r="A553" s="169">
        <v>33</v>
      </c>
      <c r="B553" s="100" t="str">
        <f t="shared" si="233"/>
        <v>Retired</v>
      </c>
      <c r="C553" s="170">
        <f t="shared" si="234"/>
        <v>0</v>
      </c>
      <c r="D553" s="170">
        <f t="shared" si="235"/>
        <v>0</v>
      </c>
      <c r="E553" s="170">
        <f t="shared" si="236"/>
        <v>0</v>
      </c>
      <c r="F553" s="170">
        <f t="shared" si="237"/>
        <v>0</v>
      </c>
      <c r="G553" s="171">
        <f t="shared" si="238"/>
        <v>0</v>
      </c>
      <c r="H553" s="171">
        <f t="shared" si="239"/>
        <v>115115.27996717265</v>
      </c>
      <c r="I553" s="171">
        <f>IF(B553="Working",MIN(MAX(D553-E553-F553-G553-H553,0),'Tax Assumptions'!$B$20),0)</f>
        <v>0</v>
      </c>
      <c r="J553" s="171">
        <f t="shared" si="240"/>
        <v>-285115.27996717265</v>
      </c>
      <c r="K553" s="170">
        <f t="shared" si="241"/>
        <v>285115.27996717265</v>
      </c>
      <c r="L553" s="170">
        <f t="shared" si="242"/>
        <v>285115.27996717265</v>
      </c>
      <c r="M553" s="170">
        <f t="shared" si="248"/>
        <v>285115.27996717265</v>
      </c>
      <c r="N553" s="170">
        <f t="shared" si="249"/>
        <v>0</v>
      </c>
      <c r="O553" s="170">
        <f t="shared" si="250"/>
        <v>0</v>
      </c>
      <c r="P553" s="170">
        <f t="shared" si="251"/>
        <v>0</v>
      </c>
      <c r="Q553" s="171">
        <f t="shared" si="252"/>
        <v>7642717.1584042292</v>
      </c>
      <c r="R553" s="171">
        <f t="shared" si="253"/>
        <v>1233509.7570003709</v>
      </c>
      <c r="S553" s="171">
        <f t="shared" si="254"/>
        <v>377605.02765317471</v>
      </c>
      <c r="T553" s="171">
        <f t="shared" si="255"/>
        <v>0</v>
      </c>
      <c r="U553" s="171">
        <f t="shared" si="243"/>
        <v>9253831.9430577736</v>
      </c>
      <c r="V553" s="171">
        <f t="shared" si="256"/>
        <v>0</v>
      </c>
      <c r="W553" s="171">
        <f>IF(OR(A553&gt;=$C$13,B553="Retired"),IF(V553&gt;0,-V553,U553-'Model Inputs'!$B$18),"")</f>
        <v>8253831.9430577736</v>
      </c>
      <c r="X553" s="171">
        <f t="shared" si="244"/>
        <v>2668572.450402332</v>
      </c>
      <c r="Y553" s="171">
        <f t="shared" si="245"/>
        <v>279629.79481346067</v>
      </c>
      <c r="Z553" s="171">
        <f t="shared" si="246"/>
        <v>2388942.6555888713</v>
      </c>
      <c r="AA553" s="172">
        <f t="shared" si="247"/>
        <v>11642774.598646645</v>
      </c>
      <c r="AB553" s="5"/>
      <c r="AC553" s="5"/>
      <c r="AD553" s="5"/>
      <c r="AE553" s="5"/>
      <c r="AF553" s="5"/>
      <c r="AG553" s="5"/>
    </row>
    <row r="554" spans="1:33" x14ac:dyDescent="0.2">
      <c r="A554" s="173">
        <v>34</v>
      </c>
      <c r="B554" s="65" t="str">
        <f t="shared" si="233"/>
        <v>Retired</v>
      </c>
      <c r="C554" s="174">
        <f t="shared" si="234"/>
        <v>0</v>
      </c>
      <c r="D554" s="174">
        <f t="shared" si="235"/>
        <v>0</v>
      </c>
      <c r="E554" s="174">
        <f t="shared" si="236"/>
        <v>0</v>
      </c>
      <c r="F554" s="174">
        <f t="shared" si="237"/>
        <v>0</v>
      </c>
      <c r="G554" s="171">
        <f t="shared" si="238"/>
        <v>0</v>
      </c>
      <c r="H554" s="171">
        <f t="shared" si="239"/>
        <v>116876.5377844382</v>
      </c>
      <c r="I554" s="171">
        <f>IF(B554="Working",MIN(MAX(D554-E554-F554-G554-H554,0),'Tax Assumptions'!$B$20),0)</f>
        <v>0</v>
      </c>
      <c r="J554" s="171">
        <f t="shared" si="240"/>
        <v>-286876.53778443823</v>
      </c>
      <c r="K554" s="174">
        <f t="shared" si="241"/>
        <v>286876.53778443823</v>
      </c>
      <c r="L554" s="174">
        <f t="shared" si="242"/>
        <v>286876.53778443823</v>
      </c>
      <c r="M554" s="174">
        <f t="shared" si="248"/>
        <v>286876.53778443823</v>
      </c>
      <c r="N554" s="174">
        <f t="shared" si="249"/>
        <v>0</v>
      </c>
      <c r="O554" s="174">
        <f t="shared" si="250"/>
        <v>0</v>
      </c>
      <c r="P554" s="174">
        <f t="shared" si="251"/>
        <v>0</v>
      </c>
      <c r="Q554" s="171">
        <f t="shared" si="252"/>
        <v>7814403.6501240451</v>
      </c>
      <c r="R554" s="171">
        <f t="shared" si="253"/>
        <v>1307520.3424203931</v>
      </c>
      <c r="S554" s="171">
        <f t="shared" si="254"/>
        <v>400261.32931236521</v>
      </c>
      <c r="T554" s="171">
        <f t="shared" si="255"/>
        <v>0</v>
      </c>
      <c r="U554" s="171">
        <f t="shared" si="243"/>
        <v>9522185.3218568042</v>
      </c>
      <c r="V554" s="171">
        <f t="shared" si="256"/>
        <v>0</v>
      </c>
      <c r="W554" s="171">
        <f>IF(OR(A554&gt;=$C$13,B554="Retired"),IF(V554&gt;0,-V554,U554-'Model Inputs'!$B$18),"")</f>
        <v>8522185.3218568042</v>
      </c>
      <c r="X554" s="171">
        <f t="shared" si="244"/>
        <v>2748629.623914402</v>
      </c>
      <c r="Y554" s="171">
        <f t="shared" si="245"/>
        <v>240239.27034487389</v>
      </c>
      <c r="Z554" s="171">
        <f t="shared" si="246"/>
        <v>2508390.3535695281</v>
      </c>
      <c r="AA554" s="175">
        <f t="shared" si="247"/>
        <v>12030575.675426332</v>
      </c>
      <c r="AB554" s="5"/>
      <c r="AC554" s="5"/>
      <c r="AD554" s="5"/>
      <c r="AE554" s="5"/>
      <c r="AF554" s="5"/>
      <c r="AG554" s="5"/>
    </row>
    <row r="555" spans="1:33" x14ac:dyDescent="0.2">
      <c r="A555" s="169">
        <v>35</v>
      </c>
      <c r="B555" s="100" t="str">
        <f t="shared" si="233"/>
        <v>Retired</v>
      </c>
      <c r="C555" s="170">
        <f t="shared" si="234"/>
        <v>0</v>
      </c>
      <c r="D555" s="170">
        <f t="shared" si="235"/>
        <v>0</v>
      </c>
      <c r="E555" s="170">
        <f t="shared" si="236"/>
        <v>0</v>
      </c>
      <c r="F555" s="170">
        <f t="shared" si="237"/>
        <v>0</v>
      </c>
      <c r="G555" s="171">
        <f t="shared" si="238"/>
        <v>0</v>
      </c>
      <c r="H555" s="171">
        <f t="shared" si="239"/>
        <v>118690.63333622168</v>
      </c>
      <c r="I555" s="171">
        <f>IF(B555="Working",MIN(MAX(D555-E555-F555-G555-H555,0),'Tax Assumptions'!$B$20),0)</f>
        <v>0</v>
      </c>
      <c r="J555" s="171">
        <f t="shared" si="240"/>
        <v>-288690.63333622168</v>
      </c>
      <c r="K555" s="170">
        <f t="shared" si="241"/>
        <v>288690.63333622168</v>
      </c>
      <c r="L555" s="170">
        <f t="shared" si="242"/>
        <v>288690.63333622168</v>
      </c>
      <c r="M555" s="170">
        <f t="shared" si="248"/>
        <v>288690.63333622168</v>
      </c>
      <c r="N555" s="170">
        <f t="shared" si="249"/>
        <v>0</v>
      </c>
      <c r="O555" s="170">
        <f t="shared" si="250"/>
        <v>0</v>
      </c>
      <c r="P555" s="170">
        <f t="shared" si="251"/>
        <v>0</v>
      </c>
      <c r="Q555" s="171">
        <f t="shared" si="252"/>
        <v>7994577.235795266</v>
      </c>
      <c r="R555" s="171">
        <f t="shared" si="253"/>
        <v>1385971.5629656168</v>
      </c>
      <c r="S555" s="171">
        <f t="shared" si="254"/>
        <v>424277.00907110714</v>
      </c>
      <c r="T555" s="171">
        <f t="shared" si="255"/>
        <v>0</v>
      </c>
      <c r="U555" s="171">
        <f t="shared" si="243"/>
        <v>9804825.8078319915</v>
      </c>
      <c r="V555" s="171">
        <f t="shared" si="256"/>
        <v>0</v>
      </c>
      <c r="W555" s="171">
        <f>IF(OR(A555&gt;=$C$13,B555="Retired"),IF(V555&gt;0,-V555,U555-'Model Inputs'!$B$18),"")</f>
        <v>8804825.8078319915</v>
      </c>
      <c r="X555" s="171">
        <f t="shared" si="244"/>
        <v>2831088.5126318336</v>
      </c>
      <c r="Y555" s="171">
        <f t="shared" si="245"/>
        <v>198210.68950127438</v>
      </c>
      <c r="Z555" s="171">
        <f t="shared" si="246"/>
        <v>2632877.8231305592</v>
      </c>
      <c r="AA555" s="172">
        <f t="shared" si="247"/>
        <v>12437703.630962551</v>
      </c>
      <c r="AB555" s="5"/>
      <c r="AC555" s="5"/>
      <c r="AD555" s="5"/>
      <c r="AE555" s="5"/>
      <c r="AF555" s="5"/>
      <c r="AG555" s="5"/>
    </row>
    <row r="556" spans="1:33" x14ac:dyDescent="0.2">
      <c r="A556" s="173">
        <v>36</v>
      </c>
      <c r="B556" s="65" t="str">
        <f t="shared" si="233"/>
        <v>Retired</v>
      </c>
      <c r="C556" s="174">
        <f t="shared" si="234"/>
        <v>0</v>
      </c>
      <c r="D556" s="174">
        <f t="shared" si="235"/>
        <v>0</v>
      </c>
      <c r="E556" s="174">
        <f t="shared" si="236"/>
        <v>0</v>
      </c>
      <c r="F556" s="174">
        <f t="shared" si="237"/>
        <v>0</v>
      </c>
      <c r="G556" s="171">
        <f t="shared" si="238"/>
        <v>0</v>
      </c>
      <c r="H556" s="171">
        <f t="shared" si="239"/>
        <v>120559.15175455873</v>
      </c>
      <c r="I556" s="171">
        <f>IF(B556="Working",MIN(MAX(D556-E556-F556-G556-H556,0),'Tax Assumptions'!$B$20),0)</f>
        <v>0</v>
      </c>
      <c r="J556" s="171">
        <f t="shared" si="240"/>
        <v>-290559.15175455873</v>
      </c>
      <c r="K556" s="174">
        <f t="shared" si="241"/>
        <v>290559.15175455873</v>
      </c>
      <c r="L556" s="174">
        <f t="shared" si="242"/>
        <v>290559.15175455873</v>
      </c>
      <c r="M556" s="174">
        <f t="shared" si="248"/>
        <v>290559.15175455873</v>
      </c>
      <c r="N556" s="174">
        <f t="shared" si="249"/>
        <v>0</v>
      </c>
      <c r="O556" s="174">
        <f t="shared" si="250"/>
        <v>0</v>
      </c>
      <c r="P556" s="174">
        <f t="shared" si="251"/>
        <v>0</v>
      </c>
      <c r="Q556" s="171">
        <f t="shared" si="252"/>
        <v>8183692.7181884227</v>
      </c>
      <c r="R556" s="171">
        <f t="shared" si="253"/>
        <v>1469129.8567435539</v>
      </c>
      <c r="S556" s="171">
        <f t="shared" si="254"/>
        <v>449733.62961537362</v>
      </c>
      <c r="T556" s="171">
        <f t="shared" si="255"/>
        <v>0</v>
      </c>
      <c r="U556" s="171">
        <f t="shared" si="243"/>
        <v>10102556.204547351</v>
      </c>
      <c r="V556" s="171">
        <f t="shared" si="256"/>
        <v>0</v>
      </c>
      <c r="W556" s="171">
        <f>IF(OR(A556&gt;=$C$13,B556="Retired"),IF(V556&gt;0,-V556,U556-'Model Inputs'!$B$18),"")</f>
        <v>9102556.2045473512</v>
      </c>
      <c r="X556" s="171">
        <f t="shared" si="244"/>
        <v>2916021.1680107894</v>
      </c>
      <c r="Y556" s="171">
        <f t="shared" si="245"/>
        <v>153367.3767615403</v>
      </c>
      <c r="Z556" s="171">
        <f t="shared" si="246"/>
        <v>2762653.7912492491</v>
      </c>
      <c r="AA556" s="175">
        <f t="shared" si="247"/>
        <v>12865209.9957966</v>
      </c>
      <c r="AB556" s="5"/>
      <c r="AC556" s="5"/>
      <c r="AD556" s="5"/>
      <c r="AE556" s="5"/>
      <c r="AF556" s="5"/>
      <c r="AG556" s="5"/>
    </row>
    <row r="557" spans="1:33" x14ac:dyDescent="0.2">
      <c r="A557" s="169">
        <v>37</v>
      </c>
      <c r="B557" s="100" t="str">
        <f t="shared" si="233"/>
        <v>Retired</v>
      </c>
      <c r="C557" s="170">
        <f t="shared" si="234"/>
        <v>0</v>
      </c>
      <c r="D557" s="170">
        <f t="shared" si="235"/>
        <v>0</v>
      </c>
      <c r="E557" s="170">
        <f t="shared" si="236"/>
        <v>0</v>
      </c>
      <c r="F557" s="170">
        <f t="shared" si="237"/>
        <v>0</v>
      </c>
      <c r="G557" s="171">
        <f t="shared" si="238"/>
        <v>0</v>
      </c>
      <c r="H557" s="171">
        <f t="shared" si="239"/>
        <v>122483.72572544584</v>
      </c>
      <c r="I557" s="171">
        <f>IF(B557="Working",MIN(MAX(D557-E557-F557-G557-H557,0),'Tax Assumptions'!$B$20),0)</f>
        <v>0</v>
      </c>
      <c r="J557" s="171">
        <f t="shared" si="240"/>
        <v>-292483.72572544584</v>
      </c>
      <c r="K557" s="170">
        <f t="shared" si="241"/>
        <v>292483.72572544584</v>
      </c>
      <c r="L557" s="170">
        <f t="shared" si="242"/>
        <v>292483.72572544584</v>
      </c>
      <c r="M557" s="170">
        <f t="shared" si="248"/>
        <v>292483.72572544584</v>
      </c>
      <c r="N557" s="170">
        <f t="shared" si="249"/>
        <v>0</v>
      </c>
      <c r="O557" s="170">
        <f t="shared" si="250"/>
        <v>0</v>
      </c>
      <c r="P557" s="170">
        <f t="shared" si="251"/>
        <v>0</v>
      </c>
      <c r="Q557" s="171">
        <f t="shared" si="252"/>
        <v>8382230.5555542819</v>
      </c>
      <c r="R557" s="171">
        <f t="shared" si="253"/>
        <v>1557277.6481481672</v>
      </c>
      <c r="S557" s="171">
        <f t="shared" si="254"/>
        <v>476717.64739229606</v>
      </c>
      <c r="T557" s="171">
        <f t="shared" si="255"/>
        <v>0</v>
      </c>
      <c r="U557" s="171">
        <f t="shared" si="243"/>
        <v>10416225.851094745</v>
      </c>
      <c r="V557" s="171">
        <f t="shared" si="256"/>
        <v>0</v>
      </c>
      <c r="W557" s="171">
        <f>IF(OR(A557&gt;=$C$13,B557="Retired"),IF(V557&gt;0,-V557,U557-'Model Inputs'!$B$18),"")</f>
        <v>9416225.8510947451</v>
      </c>
      <c r="X557" s="171">
        <f t="shared" si="244"/>
        <v>3003501.8030511127</v>
      </c>
      <c r="Y557" s="171">
        <f t="shared" si="245"/>
        <v>105520.8243176965</v>
      </c>
      <c r="Z557" s="171">
        <f t="shared" si="246"/>
        <v>2897980.9787334162</v>
      </c>
      <c r="AA557" s="172">
        <f t="shared" si="247"/>
        <v>13314206.829828162</v>
      </c>
      <c r="AB557" s="5"/>
      <c r="AC557" s="5"/>
      <c r="AD557" s="5"/>
      <c r="AE557" s="5"/>
      <c r="AF557" s="5"/>
      <c r="AG557" s="5"/>
    </row>
    <row r="558" spans="1:33" x14ac:dyDescent="0.2">
      <c r="A558" s="173">
        <v>38</v>
      </c>
      <c r="B558" s="65" t="str">
        <f t="shared" si="233"/>
        <v>Retired</v>
      </c>
      <c r="C558" s="174">
        <f t="shared" si="234"/>
        <v>0</v>
      </c>
      <c r="D558" s="174">
        <f t="shared" si="235"/>
        <v>0</v>
      </c>
      <c r="E558" s="174">
        <f t="shared" si="236"/>
        <v>0</v>
      </c>
      <c r="F558" s="174">
        <f t="shared" si="237"/>
        <v>0</v>
      </c>
      <c r="G558" s="171">
        <f t="shared" si="238"/>
        <v>0</v>
      </c>
      <c r="H558" s="171">
        <f t="shared" si="239"/>
        <v>124466.03691545957</v>
      </c>
      <c r="I558" s="171">
        <f>IF(B558="Working",MIN(MAX(D558-E558-F558-G558-H558,0),'Tax Assumptions'!$B$20),0)</f>
        <v>0</v>
      </c>
      <c r="J558" s="171">
        <f t="shared" si="240"/>
        <v>-294466.03691545955</v>
      </c>
      <c r="K558" s="174">
        <f t="shared" si="241"/>
        <v>294466.03691545955</v>
      </c>
      <c r="L558" s="174">
        <f t="shared" si="242"/>
        <v>294466.03691545955</v>
      </c>
      <c r="M558" s="174">
        <f t="shared" si="248"/>
        <v>294466.03691545955</v>
      </c>
      <c r="N558" s="174">
        <f t="shared" si="249"/>
        <v>0</v>
      </c>
      <c r="O558" s="174">
        <f t="shared" si="250"/>
        <v>0</v>
      </c>
      <c r="P558" s="174">
        <f t="shared" si="251"/>
        <v>0</v>
      </c>
      <c r="Q558" s="171">
        <f t="shared" si="252"/>
        <v>8590698.3519720808</v>
      </c>
      <c r="R558" s="171">
        <f t="shared" si="253"/>
        <v>1650714.3070370574</v>
      </c>
      <c r="S558" s="171">
        <f t="shared" si="254"/>
        <v>505320.70623583387</v>
      </c>
      <c r="T558" s="171">
        <f t="shared" si="255"/>
        <v>0</v>
      </c>
      <c r="U558" s="171">
        <f t="shared" si="243"/>
        <v>10746733.365244972</v>
      </c>
      <c r="V558" s="171">
        <f t="shared" si="256"/>
        <v>0</v>
      </c>
      <c r="W558" s="171">
        <f>IF(OR(A558&gt;=$C$13,B558="Retired"),IF(V558&gt;0,-V558,U558-'Model Inputs'!$B$18),"")</f>
        <v>9746733.3652449716</v>
      </c>
      <c r="X558" s="171">
        <f t="shared" si="244"/>
        <v>3093606.8571426459</v>
      </c>
      <c r="Y558" s="171">
        <f t="shared" si="245"/>
        <v>54469.899644752033</v>
      </c>
      <c r="Z558" s="171">
        <f t="shared" si="246"/>
        <v>3039136.9574978938</v>
      </c>
      <c r="AA558" s="175">
        <f t="shared" si="247"/>
        <v>13785870.322742864</v>
      </c>
      <c r="AB558" s="5"/>
      <c r="AC558" s="5"/>
      <c r="AD558" s="5"/>
      <c r="AE558" s="5"/>
      <c r="AF558" s="5"/>
      <c r="AG558" s="5"/>
    </row>
    <row r="559" spans="1:33" x14ac:dyDescent="0.2">
      <c r="A559" s="169">
        <v>39</v>
      </c>
      <c r="B559" s="100" t="str">
        <f t="shared" si="233"/>
        <v>Retired</v>
      </c>
      <c r="C559" s="170">
        <f t="shared" si="234"/>
        <v>0</v>
      </c>
      <c r="D559" s="170">
        <f t="shared" si="235"/>
        <v>0</v>
      </c>
      <c r="E559" s="170">
        <f t="shared" si="236"/>
        <v>0</v>
      </c>
      <c r="F559" s="170">
        <f t="shared" si="237"/>
        <v>0</v>
      </c>
      <c r="G559" s="171">
        <f t="shared" si="238"/>
        <v>0</v>
      </c>
      <c r="H559" s="171">
        <f t="shared" si="239"/>
        <v>126507.81744117371</v>
      </c>
      <c r="I559" s="171">
        <f>IF(B559="Working",MIN(MAX(D559-E559-F559-G559-H559,0),'Tax Assumptions'!$B$20),0)</f>
        <v>0</v>
      </c>
      <c r="J559" s="171">
        <f t="shared" si="240"/>
        <v>-296507.81744117371</v>
      </c>
      <c r="K559" s="170">
        <f t="shared" si="241"/>
        <v>296507.81744117371</v>
      </c>
      <c r="L559" s="170">
        <f t="shared" si="242"/>
        <v>296507.81744117371</v>
      </c>
      <c r="M559" s="170">
        <f t="shared" si="248"/>
        <v>296507.81744117371</v>
      </c>
      <c r="N559" s="170">
        <f t="shared" si="249"/>
        <v>0</v>
      </c>
      <c r="O559" s="170">
        <f t="shared" si="250"/>
        <v>0</v>
      </c>
      <c r="P559" s="170">
        <f t="shared" si="251"/>
        <v>0</v>
      </c>
      <c r="Q559" s="171">
        <f t="shared" si="252"/>
        <v>8809632.4356492329</v>
      </c>
      <c r="R559" s="171">
        <f t="shared" si="253"/>
        <v>1749757.1654592808</v>
      </c>
      <c r="S559" s="171">
        <f t="shared" si="254"/>
        <v>535639.9486099839</v>
      </c>
      <c r="T559" s="171">
        <f t="shared" si="255"/>
        <v>0</v>
      </c>
      <c r="U559" s="171">
        <f t="shared" si="243"/>
        <v>11095029.549718497</v>
      </c>
      <c r="V559" s="171">
        <f t="shared" si="256"/>
        <v>0</v>
      </c>
      <c r="W559" s="171">
        <f>IF(OR(A559&gt;=$C$13,B559="Retired"),IF(V559&gt;0,-V559,U559-'Model Inputs'!$B$18),"")</f>
        <v>10095029.549718497</v>
      </c>
      <c r="X559" s="171">
        <f t="shared" si="244"/>
        <v>3186415.0628569252</v>
      </c>
      <c r="Y559" s="171">
        <f t="shared" si="245"/>
        <v>0</v>
      </c>
      <c r="Z559" s="171">
        <f t="shared" si="246"/>
        <v>3186415.0628569252</v>
      </c>
      <c r="AA559" s="172">
        <f t="shared" si="247"/>
        <v>14281444.612575423</v>
      </c>
      <c r="AB559" s="5"/>
      <c r="AC559" s="5"/>
      <c r="AD559" s="5"/>
      <c r="AE559" s="5"/>
      <c r="AF559" s="5"/>
      <c r="AG559" s="5"/>
    </row>
    <row r="560" spans="1:33" x14ac:dyDescent="0.2">
      <c r="A560" s="173">
        <v>40</v>
      </c>
      <c r="B560" s="65" t="str">
        <f t="shared" si="233"/>
        <v>Retired</v>
      </c>
      <c r="C560" s="174">
        <f t="shared" si="234"/>
        <v>0</v>
      </c>
      <c r="D560" s="174">
        <f t="shared" si="235"/>
        <v>0</v>
      </c>
      <c r="E560" s="174">
        <f t="shared" si="236"/>
        <v>0</v>
      </c>
      <c r="F560" s="174">
        <f t="shared" si="237"/>
        <v>0</v>
      </c>
      <c r="G560" s="171">
        <f t="shared" si="238"/>
        <v>0</v>
      </c>
      <c r="H560" s="171">
        <f t="shared" si="239"/>
        <v>72204.165324337926</v>
      </c>
      <c r="I560" s="171">
        <f>IF(B560="Working",MIN(MAX(D560-E560-F560-G560-H560,0),'Tax Assumptions'!$B$20),0)</f>
        <v>0</v>
      </c>
      <c r="J560" s="171">
        <f t="shared" si="240"/>
        <v>-242204.16532433793</v>
      </c>
      <c r="K560" s="174">
        <f t="shared" si="241"/>
        <v>242204.16532433793</v>
      </c>
      <c r="L560" s="174">
        <f t="shared" si="242"/>
        <v>242204.16532433793</v>
      </c>
      <c r="M560" s="174">
        <f t="shared" si="248"/>
        <v>242204.16532433793</v>
      </c>
      <c r="N560" s="174">
        <f t="shared" si="249"/>
        <v>0</v>
      </c>
      <c r="O560" s="174">
        <f t="shared" si="250"/>
        <v>0</v>
      </c>
      <c r="P560" s="174">
        <f t="shared" si="251"/>
        <v>0</v>
      </c>
      <c r="Q560" s="171">
        <f t="shared" si="252"/>
        <v>9096006.2164638489</v>
      </c>
      <c r="R560" s="171">
        <f t="shared" si="253"/>
        <v>1854742.5953868378</v>
      </c>
      <c r="S560" s="171">
        <f t="shared" si="254"/>
        <v>567778.34552658291</v>
      </c>
      <c r="T560" s="171">
        <f t="shared" si="255"/>
        <v>0</v>
      </c>
      <c r="U560" s="171">
        <f t="shared" si="243"/>
        <v>11518527.157377271</v>
      </c>
      <c r="V560" s="171">
        <f t="shared" si="256"/>
        <v>0</v>
      </c>
      <c r="W560" s="171">
        <f>IF(OR(A560&gt;=$C$13,B560="Retired"),IF(V560&gt;0,-V560,U560-'Model Inputs'!$B$18),"")</f>
        <v>10518527.157377271</v>
      </c>
      <c r="X560" s="171">
        <f t="shared" si="244"/>
        <v>3282007.5147426329</v>
      </c>
      <c r="Y560" s="171">
        <f t="shared" si="245"/>
        <v>0</v>
      </c>
      <c r="Z560" s="171">
        <f t="shared" si="246"/>
        <v>3282007.5147426329</v>
      </c>
      <c r="AA560" s="175">
        <f t="shared" si="247"/>
        <v>14800534.672119904</v>
      </c>
      <c r="AB560" s="5"/>
      <c r="AC560" s="5"/>
      <c r="AD560" s="5"/>
      <c r="AE560" s="5"/>
      <c r="AF560" s="5"/>
      <c r="AG560" s="5"/>
    </row>
    <row r="561" spans="1:33" x14ac:dyDescent="0.2">
      <c r="A561" s="176" t="s">
        <v>369</v>
      </c>
      <c r="B561" s="177"/>
      <c r="C561" s="177"/>
      <c r="D561" s="177"/>
      <c r="E561" s="177"/>
      <c r="F561" s="177"/>
      <c r="G561" s="178">
        <f t="shared" ref="G561:P561" si="257">SUM(G521:G560)</f>
        <v>642268.22933519445</v>
      </c>
      <c r="H561" s="178">
        <f t="shared" si="257"/>
        <v>3179638.254701084</v>
      </c>
      <c r="I561" s="178">
        <f t="shared" si="257"/>
        <v>75000</v>
      </c>
      <c r="J561" s="178">
        <f t="shared" si="257"/>
        <v>-4074314.243995755</v>
      </c>
      <c r="K561" s="178">
        <f t="shared" si="257"/>
        <v>8193484.4085472394</v>
      </c>
      <c r="L561" s="178">
        <f t="shared" si="257"/>
        <v>8193484.4085472394</v>
      </c>
      <c r="M561" s="178">
        <f t="shared" si="257"/>
        <v>8193484.4085472394</v>
      </c>
      <c r="N561" s="178">
        <f t="shared" si="257"/>
        <v>0</v>
      </c>
      <c r="O561" s="178">
        <f t="shared" si="257"/>
        <v>0</v>
      </c>
      <c r="P561" s="178">
        <f t="shared" si="257"/>
        <v>0</v>
      </c>
      <c r="Q561" s="178">
        <f>Q560</f>
        <v>9096006.2164638489</v>
      </c>
      <c r="R561" s="178">
        <f>R560</f>
        <v>1854742.5953868378</v>
      </c>
      <c r="S561" s="178">
        <f>S560</f>
        <v>567778.34552658291</v>
      </c>
      <c r="T561" s="178">
        <f>T560</f>
        <v>0</v>
      </c>
      <c r="U561" s="178">
        <f>U560</f>
        <v>11518527.157377271</v>
      </c>
      <c r="V561" s="178">
        <f>SUM(V521:V560)</f>
        <v>0</v>
      </c>
      <c r="W561" s="178">
        <f>MIN(W521:W560)</f>
        <v>4701819.5649748538</v>
      </c>
      <c r="X561" s="178">
        <f>X560</f>
        <v>3282007.5147426329</v>
      </c>
      <c r="Y561" s="178">
        <f>Y560</f>
        <v>0</v>
      </c>
      <c r="Z561" s="178">
        <f>Z560</f>
        <v>3282007.5147426329</v>
      </c>
      <c r="AA561" s="179">
        <f>AA560</f>
        <v>14800534.672119904</v>
      </c>
      <c r="AB561" s="5"/>
      <c r="AC561" s="5"/>
      <c r="AD561" s="5"/>
      <c r="AE561" s="5"/>
      <c r="AF561" s="5"/>
      <c r="AG561" s="5"/>
    </row>
    <row r="562" spans="1:33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x14ac:dyDescent="0.2">
      <c r="A563" s="319" t="str">
        <f>J234&amp;" | House "&amp;TEXT($L$234,"$#,##0")&amp;" | Spend "&amp;TEXT($N$234,"$#,##0")</f>
        <v>Case 08 | House $1,352,144 | Spend $200,000</v>
      </c>
      <c r="B563" s="288"/>
      <c r="C563" s="288"/>
      <c r="D563" s="288"/>
      <c r="E563" s="288"/>
      <c r="F563" s="288"/>
      <c r="G563" s="288"/>
      <c r="H563" s="288"/>
      <c r="I563" s="288"/>
      <c r="J563" s="288"/>
      <c r="K563" s="288"/>
      <c r="L563" s="288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  <c r="AA563" s="289"/>
      <c r="AB563" s="5"/>
      <c r="AC563" s="5"/>
      <c r="AD563" s="5"/>
      <c r="AE563" s="5"/>
      <c r="AF563" s="5"/>
      <c r="AG563" s="5"/>
    </row>
    <row r="564" spans="1:33" ht="34" customHeight="1" x14ac:dyDescent="0.2">
      <c r="A564" s="167" t="s">
        <v>224</v>
      </c>
      <c r="B564" s="112" t="s">
        <v>106</v>
      </c>
      <c r="C564" s="112" t="s">
        <v>357</v>
      </c>
      <c r="D564" s="112" t="s">
        <v>66</v>
      </c>
      <c r="E564" s="112" t="s">
        <v>300</v>
      </c>
      <c r="F564" s="112" t="s">
        <v>301</v>
      </c>
      <c r="G564" s="112" t="s">
        <v>358</v>
      </c>
      <c r="H564" s="112" t="s">
        <v>359</v>
      </c>
      <c r="I564" s="112" t="s">
        <v>69</v>
      </c>
      <c r="J564" s="112" t="s">
        <v>360</v>
      </c>
      <c r="K564" s="112" t="s">
        <v>361</v>
      </c>
      <c r="L564" s="112" t="s">
        <v>362</v>
      </c>
      <c r="M564" s="112" t="s">
        <v>304</v>
      </c>
      <c r="N564" s="112" t="s">
        <v>305</v>
      </c>
      <c r="O564" s="112" t="s">
        <v>306</v>
      </c>
      <c r="P564" s="112" t="s">
        <v>307</v>
      </c>
      <c r="Q564" s="112" t="s">
        <v>363</v>
      </c>
      <c r="R564" s="112" t="s">
        <v>364</v>
      </c>
      <c r="S564" s="112" t="s">
        <v>365</v>
      </c>
      <c r="T564" s="112" t="s">
        <v>366</v>
      </c>
      <c r="U564" s="112" t="s">
        <v>308</v>
      </c>
      <c r="V564" s="112" t="s">
        <v>309</v>
      </c>
      <c r="W564" s="112" t="s">
        <v>367</v>
      </c>
      <c r="X564" s="112" t="s">
        <v>311</v>
      </c>
      <c r="Y564" s="112" t="s">
        <v>312</v>
      </c>
      <c r="Z564" s="112" t="s">
        <v>313</v>
      </c>
      <c r="AA564" s="168" t="s">
        <v>368</v>
      </c>
      <c r="AB564" s="5"/>
      <c r="AC564" s="5"/>
      <c r="AD564" s="5"/>
      <c r="AE564" s="5"/>
      <c r="AF564" s="5"/>
      <c r="AG564" s="5"/>
    </row>
    <row r="565" spans="1:33" x14ac:dyDescent="0.2">
      <c r="A565" s="169">
        <v>1</v>
      </c>
      <c r="B565" s="100" t="str">
        <f t="shared" ref="B565:B604" si="258">B80</f>
        <v>Working</v>
      </c>
      <c r="C565" s="170">
        <f t="shared" ref="C565:C604" si="259">D80</f>
        <v>550000</v>
      </c>
      <c r="D565" s="170">
        <f t="shared" ref="D565:D604" si="260">I80</f>
        <v>302665.46999999997</v>
      </c>
      <c r="E565" s="170">
        <f t="shared" ref="E565:E604" si="261">J80</f>
        <v>78000</v>
      </c>
      <c r="F565" s="170">
        <f t="shared" ref="F565:F604" si="262">K80</f>
        <v>40000</v>
      </c>
      <c r="G565" s="171">
        <f t="shared" ref="G565:G604" si="263">IF(AND($L$234&gt;0,A565=$C$13),$L$234*($C$15+$C$18),0)+IF(AND($L$234&gt;0,A565=$C$13),$C$24,0)</f>
        <v>0</v>
      </c>
      <c r="H565" s="171">
        <f t="shared" ref="H565:H604" si="264">IF(OR($L$234&lt;=0,A565&lt;$C$13),0,IF(AND($L$234&gt;0,$C$17&gt;0,A565&gt;=$C$13,A565&lt;($C$13+$C$17)),IF($C$17&lt;=0,0,IF($C$16=0,MAX($L$234*(1-$C$15),0)/$C$17,-PMT($C$16/12,$C$17*12,MAX($L$234*(1-$C$15),0))*12)),0)+X565*($C$19+$C$20+$C$21)+$C$22+$C$23)</f>
        <v>0</v>
      </c>
      <c r="I565" s="171">
        <f>IF(B565="Working",MIN(MAX(D565-E565-F565-G565-H565,0),'Tax Assumptions'!$B$20),0)</f>
        <v>7500</v>
      </c>
      <c r="J565" s="171">
        <f t="shared" ref="J565:J604" si="265">IF(B565="Working",D565-E565-F565-I565-G565-H565,-L565)</f>
        <v>177165.46999999997</v>
      </c>
      <c r="K565" s="170">
        <f t="shared" ref="K565:K604" si="266">IF(B565="Retired",$N$234+G565+H565,0)</f>
        <v>0</v>
      </c>
      <c r="L565" s="170">
        <f t="shared" ref="L565:L604" si="267">M565+N565+O565+P565</f>
        <v>0</v>
      </c>
      <c r="M565" s="170">
        <f>IF(B565="Retired",MIN((('Savings Projection'!$B$7)*(1+$C$10)+IF(B565="Working",J565,0)),K565),0)</f>
        <v>0</v>
      </c>
      <c r="N565" s="170">
        <f>IF(B565="Retired",MIN(MAX(K565-M565,0),(('Savings Projection'!$B$8)*(1+$C$10)+IF(B565="Working",E80,0))),0)</f>
        <v>0</v>
      </c>
      <c r="O565" s="170">
        <f>IF(B565="Retired",MIN(MAX(K565-M565-N565,0),(('Savings Projection'!$B$9)*(1+$C$10)+IF(B565="Working",I565,0))),0)</f>
        <v>0</v>
      </c>
      <c r="P565" s="170">
        <f>IF(B565="Retired",MIN(MAX(K565-M565-N565-O565,0),(('Savings Projection'!$B$10)*(1+$C$10)+IF(B565="Working",F80,0))),0)</f>
        <v>0</v>
      </c>
      <c r="Q565" s="171">
        <f>MAX((('Savings Projection'!$B$7)*(1+$C$10)+IF(B565="Working",J565,0))-M565,0)</f>
        <v>336165.47</v>
      </c>
      <c r="R565" s="171">
        <f>MAX((('Savings Projection'!$B$8)*(1+$C$10)+IF(B565="Working",E80,0))-N565,0)</f>
        <v>24500</v>
      </c>
      <c r="S565" s="171">
        <f>MAX((('Savings Projection'!$B$9)*(1+$C$10)+IF(B565="Working",I565,0))-O565,0)</f>
        <v>7500</v>
      </c>
      <c r="T565" s="171">
        <f>MAX((('Savings Projection'!$B$10)*(1+$C$10)+IF(B565="Working",F80,0))-P565,0)</f>
        <v>0</v>
      </c>
      <c r="U565" s="171">
        <f t="shared" ref="U565:U604" si="268">Q565+R565+S565+T565</f>
        <v>368165.47</v>
      </c>
      <c r="V565" s="171">
        <f>IF(B565="Working",MAX(-((('Savings Projection'!$B$7)*(1+$C$10)+IF(B565="Working",J565,0))),0),MAX(K565-L565,0))</f>
        <v>0</v>
      </c>
      <c r="W565" s="171" t="str">
        <f>IF(OR(A565&gt;=$C$13,B565="Retired"),IF(V565&gt;0,-V565,U565-'Model Inputs'!$B$18),"")</f>
        <v/>
      </c>
      <c r="X565" s="171">
        <f t="shared" ref="X565:X604" si="269">IF(AND($L$234&gt;0,A565&gt;=$C$13),$L$234*(1+$C$25)^(A565-$C$13),0)</f>
        <v>0</v>
      </c>
      <c r="Y565" s="171">
        <f t="shared" ref="Y565:Y604" si="270">IF(OR($L$234&lt;=0,$C$17&lt;=0,A565&lt;$C$13,MIN(MAX((A565-$C$13+1)*12,0),$C$17*12)&gt;=$C$17*12),0,IF($C$16=0,MAX(MAX($L$234*(1-$C$15),0)-(IF($C$17&lt;=0,0,IF($C$16=0,MAX($L$234*(1-$C$15),0)/$C$17,-PMT($C$16/12,$C$17*12,MAX($L$234*(1-$C$15),0))*12))/12)*MIN(MAX((A565-$C$13+1)*12,0),$C$17*12),0),MAX(MAX($L$234*(1-$C$15),0)*(1+$C$16/12)^MIN(MAX((A565-$C$13+1)*12,0),$C$17*12)-(IF($C$17&lt;=0,0,IF($C$16=0,MAX($L$234*(1-$C$15),0)/$C$17,-PMT($C$16/12,$C$17*12,MAX($L$234*(1-$C$15),0))*12))/12)*(((1+$C$16/12)^MIN(MAX((A565-$C$13+1)*12,0),$C$17*12)-1)/($C$16/12)),0)))</f>
        <v>0</v>
      </c>
      <c r="Z565" s="171">
        <f t="shared" ref="Z565:Z604" si="271">MAX(X565-Y565,0)</f>
        <v>0</v>
      </c>
      <c r="AA565" s="172">
        <f t="shared" ref="AA565:AA604" si="272">U565+Z565</f>
        <v>368165.47</v>
      </c>
      <c r="AB565" s="5"/>
      <c r="AC565" s="5"/>
      <c r="AD565" s="5"/>
      <c r="AE565" s="5"/>
      <c r="AF565" s="5"/>
      <c r="AG565" s="5"/>
    </row>
    <row r="566" spans="1:33" x14ac:dyDescent="0.2">
      <c r="A566" s="173">
        <v>2</v>
      </c>
      <c r="B566" s="65" t="str">
        <f t="shared" si="258"/>
        <v>Working</v>
      </c>
      <c r="C566" s="174">
        <f t="shared" si="259"/>
        <v>412500</v>
      </c>
      <c r="D566" s="174">
        <f t="shared" si="260"/>
        <v>231269.97</v>
      </c>
      <c r="E566" s="174">
        <f t="shared" si="261"/>
        <v>80340</v>
      </c>
      <c r="F566" s="174">
        <f t="shared" si="262"/>
        <v>41200</v>
      </c>
      <c r="G566" s="171">
        <f t="shared" si="263"/>
        <v>0</v>
      </c>
      <c r="H566" s="171">
        <f t="shared" si="264"/>
        <v>0</v>
      </c>
      <c r="I566" s="171">
        <f>IF(B566="Working",MIN(MAX(D566-E566-F566-G566-H566,0),'Tax Assumptions'!$B$20),0)</f>
        <v>7500</v>
      </c>
      <c r="J566" s="171">
        <f t="shared" si="265"/>
        <v>102229.97</v>
      </c>
      <c r="K566" s="174">
        <f t="shared" si="266"/>
        <v>0</v>
      </c>
      <c r="L566" s="174">
        <f t="shared" si="267"/>
        <v>0</v>
      </c>
      <c r="M566" s="174">
        <f t="shared" ref="M566:M604" si="273">IF(B566="Retired",MIN(((Q565)*(1+$C$10)+IF(B566="Working",J566,0)),K566),0)</f>
        <v>0</v>
      </c>
      <c r="N566" s="174">
        <f t="shared" ref="N566:N604" si="274">IF(B566="Retired",MIN(MAX(K566-M566,0),((R565)*(1+$C$10)+IF(B566="Working",E81,0))),0)</f>
        <v>0</v>
      </c>
      <c r="O566" s="174">
        <f t="shared" ref="O566:O604" si="275">IF(B566="Retired",MIN(MAX(K566-M566-N566,0),((S565)*(1+$C$10)+IF(B566="Working",I566,0))),0)</f>
        <v>0</v>
      </c>
      <c r="P566" s="174">
        <f t="shared" ref="P566:P604" si="276">IF(B566="Retired",MIN(MAX(K566-M566-N566-O566,0),((T565)*(1+$C$10)+IF(B566="Working",F81,0))),0)</f>
        <v>0</v>
      </c>
      <c r="Q566" s="171">
        <f t="shared" ref="Q566:Q604" si="277">MAX(((Q565)*(1+$C$10)+IF(B566="Working",J566,0))-M566,0)</f>
        <v>458565.36820000003</v>
      </c>
      <c r="R566" s="171">
        <f t="shared" ref="R566:R604" si="278">MAX(((R565)*(1+$C$10)+IF(B566="Working",E81,0))-N566,0)</f>
        <v>50470</v>
      </c>
      <c r="S566" s="171">
        <f t="shared" ref="S566:S604" si="279">MAX(((S565)*(1+$C$10)+IF(B566="Working",I566,0))-O566,0)</f>
        <v>15450</v>
      </c>
      <c r="T566" s="171">
        <f t="shared" ref="T566:T604" si="280">MAX(((T565)*(1+$C$10)+IF(B566="Working",F81,0))-P566,0)</f>
        <v>0</v>
      </c>
      <c r="U566" s="171">
        <f t="shared" si="268"/>
        <v>524485.36820000003</v>
      </c>
      <c r="V566" s="171">
        <f t="shared" ref="V566:V604" si="281">IF(B566="Working",MAX(-(((Q565)*(1+$C$10)+IF(B566="Working",J566,0))),0),MAX(K566-L566,0))</f>
        <v>0</v>
      </c>
      <c r="W566" s="171" t="str">
        <f>IF(OR(A566&gt;=$C$13,B566="Retired"),IF(V566&gt;0,-V566,U566-'Model Inputs'!$B$18),"")</f>
        <v/>
      </c>
      <c r="X566" s="171">
        <f t="shared" si="269"/>
        <v>0</v>
      </c>
      <c r="Y566" s="171">
        <f t="shared" si="270"/>
        <v>0</v>
      </c>
      <c r="Z566" s="171">
        <f t="shared" si="271"/>
        <v>0</v>
      </c>
      <c r="AA566" s="175">
        <f t="shared" si="272"/>
        <v>524485.36820000003</v>
      </c>
      <c r="AB566" s="5"/>
      <c r="AC566" s="5"/>
      <c r="AD566" s="5"/>
      <c r="AE566" s="5"/>
      <c r="AF566" s="5"/>
      <c r="AG566" s="5"/>
    </row>
    <row r="567" spans="1:33" x14ac:dyDescent="0.2">
      <c r="A567" s="169">
        <v>3</v>
      </c>
      <c r="B567" s="100" t="str">
        <f t="shared" si="258"/>
        <v>Working</v>
      </c>
      <c r="C567" s="170">
        <f t="shared" si="259"/>
        <v>675000</v>
      </c>
      <c r="D567" s="170">
        <f t="shared" si="260"/>
        <v>367570.47</v>
      </c>
      <c r="E567" s="170">
        <f t="shared" si="261"/>
        <v>82750.2</v>
      </c>
      <c r="F567" s="170">
        <f t="shared" si="262"/>
        <v>53045</v>
      </c>
      <c r="G567" s="171">
        <f t="shared" si="263"/>
        <v>0</v>
      </c>
      <c r="H567" s="171">
        <f t="shared" si="264"/>
        <v>0</v>
      </c>
      <c r="I567" s="171">
        <f>IF(B567="Working",MIN(MAX(D567-E567-F567-G567-H567,0),'Tax Assumptions'!$B$20),0)</f>
        <v>7500</v>
      </c>
      <c r="J567" s="171">
        <f t="shared" si="265"/>
        <v>224275.26999999996</v>
      </c>
      <c r="K567" s="170">
        <f t="shared" si="266"/>
        <v>0</v>
      </c>
      <c r="L567" s="170">
        <f t="shared" si="267"/>
        <v>0</v>
      </c>
      <c r="M567" s="170">
        <f t="shared" si="273"/>
        <v>0</v>
      </c>
      <c r="N567" s="170">
        <f t="shared" si="274"/>
        <v>0</v>
      </c>
      <c r="O567" s="170">
        <f t="shared" si="275"/>
        <v>0</v>
      </c>
      <c r="P567" s="170">
        <f t="shared" si="276"/>
        <v>0</v>
      </c>
      <c r="Q567" s="171">
        <f t="shared" si="277"/>
        <v>710354.56029199995</v>
      </c>
      <c r="R567" s="171">
        <f t="shared" si="278"/>
        <v>77998.200000000012</v>
      </c>
      <c r="S567" s="171">
        <f t="shared" si="279"/>
        <v>23877</v>
      </c>
      <c r="T567" s="171">
        <f t="shared" si="280"/>
        <v>0</v>
      </c>
      <c r="U567" s="171">
        <f t="shared" si="268"/>
        <v>812229.7602919999</v>
      </c>
      <c r="V567" s="171">
        <f t="shared" si="281"/>
        <v>0</v>
      </c>
      <c r="W567" s="171" t="str">
        <f>IF(OR(A567&gt;=$C$13,B567="Retired"),IF(V567&gt;0,-V567,U567-'Model Inputs'!$B$18),"")</f>
        <v/>
      </c>
      <c r="X567" s="171">
        <f t="shared" si="269"/>
        <v>0</v>
      </c>
      <c r="Y567" s="171">
        <f t="shared" si="270"/>
        <v>0</v>
      </c>
      <c r="Z567" s="171">
        <f t="shared" si="271"/>
        <v>0</v>
      </c>
      <c r="AA567" s="172">
        <f t="shared" si="272"/>
        <v>812229.7602919999</v>
      </c>
      <c r="AB567" s="5"/>
      <c r="AC567" s="5"/>
      <c r="AD567" s="5"/>
      <c r="AE567" s="5"/>
      <c r="AF567" s="5"/>
      <c r="AG567" s="5"/>
    </row>
    <row r="568" spans="1:33" x14ac:dyDescent="0.2">
      <c r="A568" s="173">
        <v>4</v>
      </c>
      <c r="B568" s="65" t="str">
        <f t="shared" si="258"/>
        <v>Working</v>
      </c>
      <c r="C568" s="174">
        <f t="shared" si="259"/>
        <v>750000</v>
      </c>
      <c r="D568" s="174">
        <f t="shared" si="260"/>
        <v>405137.47</v>
      </c>
      <c r="E568" s="174">
        <f t="shared" si="261"/>
        <v>85232.706000000006</v>
      </c>
      <c r="F568" s="174">
        <f t="shared" si="262"/>
        <v>54636.35</v>
      </c>
      <c r="G568" s="171">
        <f t="shared" si="263"/>
        <v>0</v>
      </c>
      <c r="H568" s="171">
        <f t="shared" si="264"/>
        <v>0</v>
      </c>
      <c r="I568" s="171">
        <f>IF(B568="Working",MIN(MAX(D568-E568-F568-G568-H568,0),'Tax Assumptions'!$B$20),0)</f>
        <v>7500</v>
      </c>
      <c r="J568" s="171">
        <f t="shared" si="265"/>
        <v>257768.41399999999</v>
      </c>
      <c r="K568" s="174">
        <f t="shared" si="266"/>
        <v>0</v>
      </c>
      <c r="L568" s="174">
        <f t="shared" si="267"/>
        <v>0</v>
      </c>
      <c r="M568" s="174">
        <f t="shared" si="273"/>
        <v>0</v>
      </c>
      <c r="N568" s="174">
        <f t="shared" si="274"/>
        <v>0</v>
      </c>
      <c r="O568" s="174">
        <f t="shared" si="275"/>
        <v>0</v>
      </c>
      <c r="P568" s="174">
        <f t="shared" si="276"/>
        <v>0</v>
      </c>
      <c r="Q568" s="171">
        <f t="shared" si="277"/>
        <v>1010744.2479095199</v>
      </c>
      <c r="R568" s="171">
        <f t="shared" si="278"/>
        <v>107178.09200000002</v>
      </c>
      <c r="S568" s="171">
        <f t="shared" si="279"/>
        <v>32809.620000000003</v>
      </c>
      <c r="T568" s="171">
        <f t="shared" si="280"/>
        <v>0</v>
      </c>
      <c r="U568" s="171">
        <f t="shared" si="268"/>
        <v>1150731.9599095201</v>
      </c>
      <c r="V568" s="171">
        <f t="shared" si="281"/>
        <v>0</v>
      </c>
      <c r="W568" s="171" t="str">
        <f>IF(OR(A568&gt;=$C$13,B568="Retired"),IF(V568&gt;0,-V568,U568-'Model Inputs'!$B$18),"")</f>
        <v/>
      </c>
      <c r="X568" s="171">
        <f t="shared" si="269"/>
        <v>0</v>
      </c>
      <c r="Y568" s="171">
        <f t="shared" si="270"/>
        <v>0</v>
      </c>
      <c r="Z568" s="171">
        <f t="shared" si="271"/>
        <v>0</v>
      </c>
      <c r="AA568" s="175">
        <f t="shared" si="272"/>
        <v>1150731.9599095201</v>
      </c>
      <c r="AB568" s="5"/>
      <c r="AC568" s="5"/>
      <c r="AD568" s="5"/>
      <c r="AE568" s="5"/>
      <c r="AF568" s="5"/>
      <c r="AG568" s="5"/>
    </row>
    <row r="569" spans="1:33" x14ac:dyDescent="0.2">
      <c r="A569" s="169">
        <v>5</v>
      </c>
      <c r="B569" s="100" t="str">
        <f t="shared" si="258"/>
        <v>Working</v>
      </c>
      <c r="C569" s="170">
        <f t="shared" si="259"/>
        <v>953837.51358640334</v>
      </c>
      <c r="D569" s="170">
        <f t="shared" si="260"/>
        <v>506901.31028287602</v>
      </c>
      <c r="E569" s="170">
        <f t="shared" si="261"/>
        <v>87789.687179999994</v>
      </c>
      <c r="F569" s="170">
        <f t="shared" si="262"/>
        <v>56275.440499999997</v>
      </c>
      <c r="G569" s="171">
        <f t="shared" si="263"/>
        <v>0</v>
      </c>
      <c r="H569" s="171">
        <f t="shared" si="264"/>
        <v>0</v>
      </c>
      <c r="I569" s="171">
        <f>IF(B569="Working",MIN(MAX(D569-E569-F569-G569-H569,0),'Tax Assumptions'!$B$20),0)</f>
        <v>7500</v>
      </c>
      <c r="J569" s="171">
        <f t="shared" si="265"/>
        <v>355336.18260287598</v>
      </c>
      <c r="K569" s="170">
        <f t="shared" si="266"/>
        <v>0</v>
      </c>
      <c r="L569" s="170">
        <f t="shared" si="267"/>
        <v>0</v>
      </c>
      <c r="M569" s="170">
        <f t="shared" si="273"/>
        <v>0</v>
      </c>
      <c r="N569" s="170">
        <f t="shared" si="274"/>
        <v>0</v>
      </c>
      <c r="O569" s="170">
        <f t="shared" si="275"/>
        <v>0</v>
      </c>
      <c r="P569" s="170">
        <f t="shared" si="276"/>
        <v>0</v>
      </c>
      <c r="Q569" s="171">
        <f t="shared" si="277"/>
        <v>1426725.0853869673</v>
      </c>
      <c r="R569" s="171">
        <f t="shared" si="278"/>
        <v>138108.77752000003</v>
      </c>
      <c r="S569" s="171">
        <f t="shared" si="279"/>
        <v>42278.197200000002</v>
      </c>
      <c r="T569" s="171">
        <f t="shared" si="280"/>
        <v>0</v>
      </c>
      <c r="U569" s="171">
        <f t="shared" si="268"/>
        <v>1607112.0601069673</v>
      </c>
      <c r="V569" s="171">
        <f t="shared" si="281"/>
        <v>0</v>
      </c>
      <c r="W569" s="171" t="str">
        <f>IF(OR(A569&gt;=$C$13,B569="Retired"),IF(V569&gt;0,-V569,U569-'Model Inputs'!$B$18),"")</f>
        <v/>
      </c>
      <c r="X569" s="171">
        <f t="shared" si="269"/>
        <v>0</v>
      </c>
      <c r="Y569" s="171">
        <f t="shared" si="270"/>
        <v>0</v>
      </c>
      <c r="Z569" s="171">
        <f t="shared" si="271"/>
        <v>0</v>
      </c>
      <c r="AA569" s="172">
        <f t="shared" si="272"/>
        <v>1607112.0601069673</v>
      </c>
      <c r="AB569" s="5"/>
      <c r="AC569" s="5"/>
      <c r="AD569" s="5"/>
      <c r="AE569" s="5"/>
      <c r="AF569" s="5"/>
      <c r="AG569" s="5"/>
    </row>
    <row r="570" spans="1:33" x14ac:dyDescent="0.2">
      <c r="A570" s="173">
        <v>6</v>
      </c>
      <c r="B570" s="65" t="str">
        <f t="shared" si="258"/>
        <v>Working</v>
      </c>
      <c r="C570" s="174">
        <f t="shared" si="259"/>
        <v>1118900.665838565</v>
      </c>
      <c r="D570" s="174">
        <f t="shared" si="260"/>
        <v>589060.11476976541</v>
      </c>
      <c r="E570" s="174">
        <f t="shared" si="261"/>
        <v>92741.925943999988</v>
      </c>
      <c r="F570" s="174">
        <f t="shared" si="262"/>
        <v>57963.703714999989</v>
      </c>
      <c r="G570" s="171">
        <f t="shared" si="263"/>
        <v>0</v>
      </c>
      <c r="H570" s="171">
        <f t="shared" si="264"/>
        <v>0</v>
      </c>
      <c r="I570" s="171">
        <f>IF(B570="Working",MIN(MAX(D570-E570-F570-G570-H570,0),'Tax Assumptions'!$B$20),0)</f>
        <v>7500</v>
      </c>
      <c r="J570" s="171">
        <f t="shared" si="265"/>
        <v>430854.48511076538</v>
      </c>
      <c r="K570" s="174">
        <f t="shared" si="266"/>
        <v>0</v>
      </c>
      <c r="L570" s="174">
        <f t="shared" si="267"/>
        <v>0</v>
      </c>
      <c r="M570" s="174">
        <f t="shared" si="273"/>
        <v>0</v>
      </c>
      <c r="N570" s="174">
        <f t="shared" si="274"/>
        <v>0</v>
      </c>
      <c r="O570" s="174">
        <f t="shared" si="275"/>
        <v>0</v>
      </c>
      <c r="P570" s="174">
        <f t="shared" si="276"/>
        <v>0</v>
      </c>
      <c r="Q570" s="171">
        <f t="shared" si="277"/>
        <v>1943183.0756209507</v>
      </c>
      <c r="R570" s="171">
        <f t="shared" si="278"/>
        <v>170895.30417120006</v>
      </c>
      <c r="S570" s="171">
        <f t="shared" si="279"/>
        <v>52314.889032000006</v>
      </c>
      <c r="T570" s="171">
        <f t="shared" si="280"/>
        <v>0</v>
      </c>
      <c r="U570" s="171">
        <f t="shared" si="268"/>
        <v>2166393.2688241508</v>
      </c>
      <c r="V570" s="171">
        <f t="shared" si="281"/>
        <v>0</v>
      </c>
      <c r="W570" s="171" t="str">
        <f>IF(OR(A570&gt;=$C$13,B570="Retired"),IF(V570&gt;0,-V570,U570-'Model Inputs'!$B$18),"")</f>
        <v/>
      </c>
      <c r="X570" s="171">
        <f t="shared" si="269"/>
        <v>0</v>
      </c>
      <c r="Y570" s="171">
        <f t="shared" si="270"/>
        <v>0</v>
      </c>
      <c r="Z570" s="171">
        <f t="shared" si="271"/>
        <v>0</v>
      </c>
      <c r="AA570" s="175">
        <f t="shared" si="272"/>
        <v>2166393.2688241508</v>
      </c>
      <c r="AB570" s="5"/>
      <c r="AC570" s="5"/>
      <c r="AD570" s="5"/>
      <c r="AE570" s="5"/>
      <c r="AF570" s="5"/>
      <c r="AG570" s="5"/>
    </row>
    <row r="571" spans="1:33" x14ac:dyDescent="0.2">
      <c r="A571" s="169">
        <v>7</v>
      </c>
      <c r="B571" s="100" t="str">
        <f t="shared" si="258"/>
        <v>Working</v>
      </c>
      <c r="C571" s="170">
        <f t="shared" si="259"/>
        <v>1418318.448466131</v>
      </c>
      <c r="D571" s="170">
        <f t="shared" si="260"/>
        <v>730157.75065517949</v>
      </c>
      <c r="E571" s="170">
        <f t="shared" si="261"/>
        <v>95524.183722319998</v>
      </c>
      <c r="F571" s="170">
        <f t="shared" si="262"/>
        <v>59702.614826449993</v>
      </c>
      <c r="G571" s="171">
        <f t="shared" si="263"/>
        <v>0</v>
      </c>
      <c r="H571" s="171">
        <f t="shared" si="264"/>
        <v>0</v>
      </c>
      <c r="I571" s="171">
        <f>IF(B571="Working",MIN(MAX(D571-E571-F571-G571-H571,0),'Tax Assumptions'!$B$20),0)</f>
        <v>7500</v>
      </c>
      <c r="J571" s="171">
        <f t="shared" si="265"/>
        <v>567430.95210640947</v>
      </c>
      <c r="K571" s="170">
        <f t="shared" si="266"/>
        <v>0</v>
      </c>
      <c r="L571" s="170">
        <f t="shared" si="267"/>
        <v>0</v>
      </c>
      <c r="M571" s="170">
        <f t="shared" si="273"/>
        <v>0</v>
      </c>
      <c r="N571" s="170">
        <f t="shared" si="274"/>
        <v>0</v>
      </c>
      <c r="O571" s="170">
        <f t="shared" si="275"/>
        <v>0</v>
      </c>
      <c r="P571" s="170">
        <f t="shared" si="276"/>
        <v>0</v>
      </c>
      <c r="Q571" s="171">
        <f t="shared" si="277"/>
        <v>2627205.0122646173</v>
      </c>
      <c r="R571" s="171">
        <f t="shared" si="278"/>
        <v>205649.02242147207</v>
      </c>
      <c r="S571" s="171">
        <f t="shared" si="279"/>
        <v>62953.78237392001</v>
      </c>
      <c r="T571" s="171">
        <f t="shared" si="280"/>
        <v>0</v>
      </c>
      <c r="U571" s="171">
        <f t="shared" si="268"/>
        <v>2895807.8170600096</v>
      </c>
      <c r="V571" s="171">
        <f t="shared" si="281"/>
        <v>0</v>
      </c>
      <c r="W571" s="171" t="str">
        <f>IF(OR(A571&gt;=$C$13,B571="Retired"),IF(V571&gt;0,-V571,U571-'Model Inputs'!$B$18),"")</f>
        <v/>
      </c>
      <c r="X571" s="171">
        <f t="shared" si="269"/>
        <v>0</v>
      </c>
      <c r="Y571" s="171">
        <f t="shared" si="270"/>
        <v>0</v>
      </c>
      <c r="Z571" s="171">
        <f t="shared" si="271"/>
        <v>0</v>
      </c>
      <c r="AA571" s="172">
        <f t="shared" si="272"/>
        <v>2895807.8170600096</v>
      </c>
      <c r="AB571" s="5"/>
      <c r="AC571" s="5"/>
      <c r="AD571" s="5"/>
      <c r="AE571" s="5"/>
      <c r="AF571" s="5"/>
      <c r="AG571" s="5"/>
    </row>
    <row r="572" spans="1:33" x14ac:dyDescent="0.2">
      <c r="A572" s="173">
        <v>8</v>
      </c>
      <c r="B572" s="65" t="str">
        <f t="shared" si="258"/>
        <v>Working</v>
      </c>
      <c r="C572" s="174">
        <f t="shared" si="259"/>
        <v>1872205.6657868917</v>
      </c>
      <c r="D572" s="174">
        <f t="shared" si="260"/>
        <v>944047.5629454148</v>
      </c>
      <c r="E572" s="174">
        <f t="shared" si="261"/>
        <v>98389.909233989601</v>
      </c>
      <c r="F572" s="174">
        <f t="shared" si="262"/>
        <v>61493.693271243501</v>
      </c>
      <c r="G572" s="171">
        <f t="shared" si="263"/>
        <v>0</v>
      </c>
      <c r="H572" s="171">
        <f t="shared" si="264"/>
        <v>0</v>
      </c>
      <c r="I572" s="171">
        <f>IF(B572="Working",MIN(MAX(D572-E572-F572-G572-H572,0),'Tax Assumptions'!$B$20),0)</f>
        <v>7500</v>
      </c>
      <c r="J572" s="171">
        <f t="shared" si="265"/>
        <v>776663.96044018166</v>
      </c>
      <c r="K572" s="174">
        <f t="shared" si="266"/>
        <v>0</v>
      </c>
      <c r="L572" s="174">
        <f t="shared" si="267"/>
        <v>0</v>
      </c>
      <c r="M572" s="174">
        <f t="shared" si="273"/>
        <v>0</v>
      </c>
      <c r="N572" s="174">
        <f t="shared" si="274"/>
        <v>0</v>
      </c>
      <c r="O572" s="174">
        <f t="shared" si="275"/>
        <v>0</v>
      </c>
      <c r="P572" s="174">
        <f t="shared" si="276"/>
        <v>0</v>
      </c>
      <c r="Q572" s="171">
        <f t="shared" si="277"/>
        <v>3561501.2734406763</v>
      </c>
      <c r="R572" s="171">
        <f t="shared" si="278"/>
        <v>242487.9637667604</v>
      </c>
      <c r="S572" s="171">
        <f t="shared" si="279"/>
        <v>74231.009316355208</v>
      </c>
      <c r="T572" s="171">
        <f t="shared" si="280"/>
        <v>0</v>
      </c>
      <c r="U572" s="171">
        <f t="shared" si="268"/>
        <v>3878220.2465237915</v>
      </c>
      <c r="V572" s="171">
        <f t="shared" si="281"/>
        <v>0</v>
      </c>
      <c r="W572" s="171" t="str">
        <f>IF(OR(A572&gt;=$C$13,B572="Retired"),IF(V572&gt;0,-V572,U572-'Model Inputs'!$B$18),"")</f>
        <v/>
      </c>
      <c r="X572" s="171">
        <f t="shared" si="269"/>
        <v>0</v>
      </c>
      <c r="Y572" s="171">
        <f t="shared" si="270"/>
        <v>0</v>
      </c>
      <c r="Z572" s="171">
        <f t="shared" si="271"/>
        <v>0</v>
      </c>
      <c r="AA572" s="175">
        <f t="shared" si="272"/>
        <v>3878220.2465237915</v>
      </c>
      <c r="AB572" s="5"/>
      <c r="AC572" s="5"/>
      <c r="AD572" s="5"/>
      <c r="AE572" s="5"/>
      <c r="AF572" s="5"/>
      <c r="AG572" s="5"/>
    </row>
    <row r="573" spans="1:33" x14ac:dyDescent="0.2">
      <c r="A573" s="169">
        <v>9</v>
      </c>
      <c r="B573" s="100" t="str">
        <f t="shared" si="258"/>
        <v>Working</v>
      </c>
      <c r="C573" s="170">
        <f t="shared" si="259"/>
        <v>2033969.9666232408</v>
      </c>
      <c r="D573" s="170">
        <f t="shared" si="260"/>
        <v>1020277.372071536</v>
      </c>
      <c r="E573" s="170">
        <f t="shared" si="261"/>
        <v>101341.60651100927</v>
      </c>
      <c r="F573" s="170">
        <f t="shared" si="262"/>
        <v>63338.504069380797</v>
      </c>
      <c r="G573" s="171">
        <f t="shared" si="263"/>
        <v>0</v>
      </c>
      <c r="H573" s="171">
        <f t="shared" si="264"/>
        <v>0</v>
      </c>
      <c r="I573" s="171">
        <f>IF(B573="Working",MIN(MAX(D573-E573-F573-G573-H573,0),'Tax Assumptions'!$B$20),0)</f>
        <v>7500</v>
      </c>
      <c r="J573" s="171">
        <f t="shared" si="265"/>
        <v>848097.26149114594</v>
      </c>
      <c r="K573" s="170">
        <f t="shared" si="266"/>
        <v>0</v>
      </c>
      <c r="L573" s="170">
        <f t="shared" si="267"/>
        <v>0</v>
      </c>
      <c r="M573" s="170">
        <f t="shared" si="273"/>
        <v>0</v>
      </c>
      <c r="N573" s="170">
        <f t="shared" si="274"/>
        <v>0</v>
      </c>
      <c r="O573" s="170">
        <f t="shared" si="275"/>
        <v>0</v>
      </c>
      <c r="P573" s="170">
        <f t="shared" si="276"/>
        <v>0</v>
      </c>
      <c r="Q573" s="171">
        <f t="shared" si="277"/>
        <v>4623288.6113382634</v>
      </c>
      <c r="R573" s="171">
        <f t="shared" si="278"/>
        <v>281537.24159276602</v>
      </c>
      <c r="S573" s="171">
        <f t="shared" si="279"/>
        <v>86184.869875336532</v>
      </c>
      <c r="T573" s="171">
        <f t="shared" si="280"/>
        <v>0</v>
      </c>
      <c r="U573" s="171">
        <f t="shared" si="268"/>
        <v>4991010.7228063662</v>
      </c>
      <c r="V573" s="171">
        <f t="shared" si="281"/>
        <v>0</v>
      </c>
      <c r="W573" s="171" t="str">
        <f>IF(OR(A573&gt;=$C$13,B573="Retired"),IF(V573&gt;0,-V573,U573-'Model Inputs'!$B$18),"")</f>
        <v/>
      </c>
      <c r="X573" s="171">
        <f t="shared" si="269"/>
        <v>0</v>
      </c>
      <c r="Y573" s="171">
        <f t="shared" si="270"/>
        <v>0</v>
      </c>
      <c r="Z573" s="171">
        <f t="shared" si="271"/>
        <v>0</v>
      </c>
      <c r="AA573" s="172">
        <f t="shared" si="272"/>
        <v>4991010.7228063662</v>
      </c>
      <c r="AB573" s="5"/>
      <c r="AC573" s="5"/>
      <c r="AD573" s="5"/>
      <c r="AE573" s="5"/>
      <c r="AF573" s="5"/>
      <c r="AG573" s="5"/>
    </row>
    <row r="574" spans="1:33" x14ac:dyDescent="0.2">
      <c r="A574" s="173">
        <v>10</v>
      </c>
      <c r="B574" s="65" t="str">
        <f t="shared" si="258"/>
        <v>Working</v>
      </c>
      <c r="C574" s="174">
        <f t="shared" si="259"/>
        <v>2595495.7626410057</v>
      </c>
      <c r="D574" s="174">
        <f t="shared" si="260"/>
        <v>1284890.7881869476</v>
      </c>
      <c r="E574" s="174">
        <f t="shared" si="261"/>
        <v>104381.85470633955</v>
      </c>
      <c r="F574" s="174">
        <f t="shared" si="262"/>
        <v>65238.659191462226</v>
      </c>
      <c r="G574" s="171">
        <f t="shared" si="263"/>
        <v>642268.22933519445</v>
      </c>
      <c r="H574" s="171">
        <f t="shared" si="264"/>
        <v>86153.846153846142</v>
      </c>
      <c r="I574" s="171">
        <f>IF(B574="Working",MIN(MAX(D574-E574-F574-G574-H574,0),'Tax Assumptions'!$B$20),0)</f>
        <v>7500</v>
      </c>
      <c r="J574" s="171">
        <f t="shared" si="265"/>
        <v>379348.19880010525</v>
      </c>
      <c r="K574" s="174">
        <f t="shared" si="266"/>
        <v>0</v>
      </c>
      <c r="L574" s="174">
        <f t="shared" si="267"/>
        <v>0</v>
      </c>
      <c r="M574" s="174">
        <f t="shared" si="273"/>
        <v>0</v>
      </c>
      <c r="N574" s="174">
        <f t="shared" si="274"/>
        <v>0</v>
      </c>
      <c r="O574" s="174">
        <f t="shared" si="275"/>
        <v>0</v>
      </c>
      <c r="P574" s="174">
        <f t="shared" si="276"/>
        <v>0</v>
      </c>
      <c r="Q574" s="171">
        <f t="shared" si="277"/>
        <v>5280034.1268186653</v>
      </c>
      <c r="R574" s="171">
        <f t="shared" si="278"/>
        <v>322929.47608833201</v>
      </c>
      <c r="S574" s="171">
        <f t="shared" si="279"/>
        <v>98855.96206785673</v>
      </c>
      <c r="T574" s="171">
        <f t="shared" si="280"/>
        <v>0</v>
      </c>
      <c r="U574" s="171">
        <f t="shared" si="268"/>
        <v>5701819.5649748538</v>
      </c>
      <c r="V574" s="171">
        <f t="shared" si="281"/>
        <v>0</v>
      </c>
      <c r="W574" s="171">
        <f>IF(OR(A574&gt;=$C$13,B574="Retired"),IF(V574&gt;0,-V574,U574-'Model Inputs'!$B$18),"")</f>
        <v>4701819.5649748538</v>
      </c>
      <c r="X574" s="171">
        <f t="shared" si="269"/>
        <v>1352143.6407056723</v>
      </c>
      <c r="Y574" s="171">
        <f t="shared" si="270"/>
        <v>735366.71277112036</v>
      </c>
      <c r="Z574" s="171">
        <f t="shared" si="271"/>
        <v>616776.92793455196</v>
      </c>
      <c r="AA574" s="175">
        <f t="shared" si="272"/>
        <v>6318596.4929094054</v>
      </c>
      <c r="AB574" s="5"/>
      <c r="AC574" s="5"/>
      <c r="AD574" s="5"/>
      <c r="AE574" s="5"/>
      <c r="AF574" s="5"/>
      <c r="AG574" s="5"/>
    </row>
    <row r="575" spans="1:33" x14ac:dyDescent="0.2">
      <c r="A575" s="169">
        <v>11</v>
      </c>
      <c r="B575" s="100" t="str">
        <f t="shared" si="258"/>
        <v>Retired</v>
      </c>
      <c r="C575" s="170">
        <f t="shared" si="259"/>
        <v>0</v>
      </c>
      <c r="D575" s="170">
        <f t="shared" si="260"/>
        <v>0</v>
      </c>
      <c r="E575" s="170">
        <f t="shared" si="261"/>
        <v>0</v>
      </c>
      <c r="F575" s="170">
        <f t="shared" si="262"/>
        <v>0</v>
      </c>
      <c r="G575" s="171">
        <f t="shared" si="263"/>
        <v>0</v>
      </c>
      <c r="H575" s="171">
        <f t="shared" si="264"/>
        <v>87046.260956711893</v>
      </c>
      <c r="I575" s="171">
        <f>IF(B575="Working",MIN(MAX(D575-E575-F575-G575-H575,0),'Tax Assumptions'!$B$20),0)</f>
        <v>0</v>
      </c>
      <c r="J575" s="171">
        <f t="shared" si="265"/>
        <v>-287046.26095671189</v>
      </c>
      <c r="K575" s="170">
        <f t="shared" si="266"/>
        <v>287046.26095671189</v>
      </c>
      <c r="L575" s="170">
        <f t="shared" si="267"/>
        <v>287046.26095671189</v>
      </c>
      <c r="M575" s="170">
        <f t="shared" si="273"/>
        <v>287046.26095671189</v>
      </c>
      <c r="N575" s="170">
        <f t="shared" si="274"/>
        <v>0</v>
      </c>
      <c r="O575" s="170">
        <f t="shared" si="275"/>
        <v>0</v>
      </c>
      <c r="P575" s="170">
        <f t="shared" si="276"/>
        <v>0</v>
      </c>
      <c r="Q575" s="171">
        <f t="shared" si="277"/>
        <v>5309789.9134710738</v>
      </c>
      <c r="R575" s="171">
        <f t="shared" si="278"/>
        <v>342305.24465363193</v>
      </c>
      <c r="S575" s="171">
        <f t="shared" si="279"/>
        <v>104787.31979192814</v>
      </c>
      <c r="T575" s="171">
        <f t="shared" si="280"/>
        <v>0</v>
      </c>
      <c r="U575" s="171">
        <f t="shared" si="268"/>
        <v>5756882.4779166337</v>
      </c>
      <c r="V575" s="171">
        <f t="shared" si="281"/>
        <v>0</v>
      </c>
      <c r="W575" s="171">
        <f>IF(OR(A575&gt;=$C$13,B575="Retired"),IF(V575&gt;0,-V575,U575-'Model Inputs'!$B$18),"")</f>
        <v>4756882.4779166337</v>
      </c>
      <c r="X575" s="171">
        <f t="shared" si="269"/>
        <v>1392707.9499268425</v>
      </c>
      <c r="Y575" s="171">
        <f t="shared" si="270"/>
        <v>726497.73372408887</v>
      </c>
      <c r="Z575" s="171">
        <f t="shared" si="271"/>
        <v>666210.2162027536</v>
      </c>
      <c r="AA575" s="172">
        <f t="shared" si="272"/>
        <v>6423092.6941193873</v>
      </c>
      <c r="AB575" s="5"/>
      <c r="AC575" s="5"/>
      <c r="AD575" s="5"/>
      <c r="AE575" s="5"/>
      <c r="AF575" s="5"/>
      <c r="AG575" s="5"/>
    </row>
    <row r="576" spans="1:33" x14ac:dyDescent="0.2">
      <c r="A576" s="173">
        <v>12</v>
      </c>
      <c r="B576" s="65" t="str">
        <f t="shared" si="258"/>
        <v>Retired</v>
      </c>
      <c r="C576" s="174">
        <f t="shared" si="259"/>
        <v>0</v>
      </c>
      <c r="D576" s="174">
        <f t="shared" si="260"/>
        <v>0</v>
      </c>
      <c r="E576" s="174">
        <f t="shared" si="261"/>
        <v>0</v>
      </c>
      <c r="F576" s="174">
        <f t="shared" si="262"/>
        <v>0</v>
      </c>
      <c r="G576" s="171">
        <f t="shared" si="263"/>
        <v>0</v>
      </c>
      <c r="H576" s="171">
        <f t="shared" si="264"/>
        <v>87965.448203663604</v>
      </c>
      <c r="I576" s="171">
        <f>IF(B576="Working",MIN(MAX(D576-E576-F576-G576-H576,0),'Tax Assumptions'!$B$20),0)</f>
        <v>0</v>
      </c>
      <c r="J576" s="171">
        <f t="shared" si="265"/>
        <v>-287965.44820366357</v>
      </c>
      <c r="K576" s="174">
        <f t="shared" si="266"/>
        <v>287965.44820366357</v>
      </c>
      <c r="L576" s="174">
        <f t="shared" si="267"/>
        <v>287965.44820366357</v>
      </c>
      <c r="M576" s="174">
        <f t="shared" si="273"/>
        <v>287965.44820366357</v>
      </c>
      <c r="N576" s="174">
        <f t="shared" si="274"/>
        <v>0</v>
      </c>
      <c r="O576" s="174">
        <f t="shared" si="275"/>
        <v>0</v>
      </c>
      <c r="P576" s="174">
        <f t="shared" si="276"/>
        <v>0</v>
      </c>
      <c r="Q576" s="171">
        <f t="shared" si="277"/>
        <v>5340411.860075675</v>
      </c>
      <c r="R576" s="171">
        <f t="shared" si="278"/>
        <v>362843.55933284987</v>
      </c>
      <c r="S576" s="171">
        <f t="shared" si="279"/>
        <v>111074.55897944383</v>
      </c>
      <c r="T576" s="171">
        <f t="shared" si="280"/>
        <v>0</v>
      </c>
      <c r="U576" s="171">
        <f t="shared" si="268"/>
        <v>5814329.9783879686</v>
      </c>
      <c r="V576" s="171">
        <f t="shared" si="281"/>
        <v>0</v>
      </c>
      <c r="W576" s="171">
        <f>IF(OR(A576&gt;=$C$13,B576="Retired"),IF(V576&gt;0,-V576,U576-'Model Inputs'!$B$18),"")</f>
        <v>4814329.9783879686</v>
      </c>
      <c r="X576" s="171">
        <f t="shared" si="269"/>
        <v>1434489.1884246478</v>
      </c>
      <c r="Y576" s="171">
        <f t="shared" si="270"/>
        <v>717034.78272490599</v>
      </c>
      <c r="Z576" s="171">
        <f t="shared" si="271"/>
        <v>717454.40569974179</v>
      </c>
      <c r="AA576" s="175">
        <f t="shared" si="272"/>
        <v>6531784.3840877106</v>
      </c>
      <c r="AB576" s="5"/>
      <c r="AC576" s="5"/>
      <c r="AD576" s="5"/>
      <c r="AE576" s="5"/>
      <c r="AF576" s="5"/>
      <c r="AG576" s="5"/>
    </row>
    <row r="577" spans="1:33" x14ac:dyDescent="0.2">
      <c r="A577" s="169">
        <v>13</v>
      </c>
      <c r="B577" s="100" t="str">
        <f t="shared" si="258"/>
        <v>Retired</v>
      </c>
      <c r="C577" s="170">
        <f t="shared" si="259"/>
        <v>0</v>
      </c>
      <c r="D577" s="170">
        <f t="shared" si="260"/>
        <v>0</v>
      </c>
      <c r="E577" s="170">
        <f t="shared" si="261"/>
        <v>0</v>
      </c>
      <c r="F577" s="170">
        <f t="shared" si="262"/>
        <v>0</v>
      </c>
      <c r="G577" s="171">
        <f t="shared" si="263"/>
        <v>0</v>
      </c>
      <c r="H577" s="171">
        <f t="shared" si="264"/>
        <v>88912.211068023869</v>
      </c>
      <c r="I577" s="171">
        <f>IF(B577="Working",MIN(MAX(D577-E577-F577-G577-H577,0),'Tax Assumptions'!$B$20),0)</f>
        <v>0</v>
      </c>
      <c r="J577" s="171">
        <f t="shared" si="265"/>
        <v>-288912.21106802387</v>
      </c>
      <c r="K577" s="170">
        <f t="shared" si="266"/>
        <v>288912.21106802387</v>
      </c>
      <c r="L577" s="170">
        <f t="shared" si="267"/>
        <v>288912.21106802387</v>
      </c>
      <c r="M577" s="170">
        <f t="shared" si="273"/>
        <v>288912.21106802387</v>
      </c>
      <c r="N577" s="170">
        <f t="shared" si="274"/>
        <v>0</v>
      </c>
      <c r="O577" s="170">
        <f t="shared" si="275"/>
        <v>0</v>
      </c>
      <c r="P577" s="170">
        <f t="shared" si="276"/>
        <v>0</v>
      </c>
      <c r="Q577" s="171">
        <f t="shared" si="277"/>
        <v>5371924.3606121922</v>
      </c>
      <c r="R577" s="171">
        <f t="shared" si="278"/>
        <v>384614.1728928209</v>
      </c>
      <c r="S577" s="171">
        <f t="shared" si="279"/>
        <v>117739.03251821046</v>
      </c>
      <c r="T577" s="171">
        <f t="shared" si="280"/>
        <v>0</v>
      </c>
      <c r="U577" s="171">
        <f t="shared" si="268"/>
        <v>5874277.566023224</v>
      </c>
      <c r="V577" s="171">
        <f t="shared" si="281"/>
        <v>0</v>
      </c>
      <c r="W577" s="171">
        <f>IF(OR(A577&gt;=$C$13,B577="Retired"),IF(V577&gt;0,-V577,U577-'Model Inputs'!$B$18),"")</f>
        <v>4874277.566023224</v>
      </c>
      <c r="X577" s="171">
        <f t="shared" si="269"/>
        <v>1477523.8640773871</v>
      </c>
      <c r="Y577" s="171">
        <f t="shared" si="270"/>
        <v>706938.0803718986</v>
      </c>
      <c r="Z577" s="171">
        <f t="shared" si="271"/>
        <v>770585.78370548855</v>
      </c>
      <c r="AA577" s="172">
        <f t="shared" si="272"/>
        <v>6644863.3497287128</v>
      </c>
      <c r="AB577" s="5"/>
      <c r="AC577" s="5"/>
      <c r="AD577" s="5"/>
      <c r="AE577" s="5"/>
      <c r="AF577" s="5"/>
      <c r="AG577" s="5"/>
    </row>
    <row r="578" spans="1:33" x14ac:dyDescent="0.2">
      <c r="A578" s="173">
        <v>14</v>
      </c>
      <c r="B578" s="65" t="str">
        <f t="shared" si="258"/>
        <v>Retired</v>
      </c>
      <c r="C578" s="174">
        <f t="shared" si="259"/>
        <v>0</v>
      </c>
      <c r="D578" s="174">
        <f t="shared" si="260"/>
        <v>0</v>
      </c>
      <c r="E578" s="174">
        <f t="shared" si="261"/>
        <v>0</v>
      </c>
      <c r="F578" s="174">
        <f t="shared" si="262"/>
        <v>0</v>
      </c>
      <c r="G578" s="171">
        <f t="shared" si="263"/>
        <v>0</v>
      </c>
      <c r="H578" s="171">
        <f t="shared" si="264"/>
        <v>89887.376818314951</v>
      </c>
      <c r="I578" s="171">
        <f>IF(B578="Working",MIN(MAX(D578-E578-F578-G578-H578,0),'Tax Assumptions'!$B$20),0)</f>
        <v>0</v>
      </c>
      <c r="J578" s="171">
        <f t="shared" si="265"/>
        <v>-289887.37681831495</v>
      </c>
      <c r="K578" s="174">
        <f t="shared" si="266"/>
        <v>289887.37681831495</v>
      </c>
      <c r="L578" s="174">
        <f t="shared" si="267"/>
        <v>289887.37681831495</v>
      </c>
      <c r="M578" s="174">
        <f t="shared" si="273"/>
        <v>289887.37681831495</v>
      </c>
      <c r="N578" s="174">
        <f t="shared" si="274"/>
        <v>0</v>
      </c>
      <c r="O578" s="174">
        <f t="shared" si="275"/>
        <v>0</v>
      </c>
      <c r="P578" s="174">
        <f t="shared" si="276"/>
        <v>0</v>
      </c>
      <c r="Q578" s="171">
        <f t="shared" si="277"/>
        <v>5404352.4454306085</v>
      </c>
      <c r="R578" s="171">
        <f t="shared" si="278"/>
        <v>407691.0232663902</v>
      </c>
      <c r="S578" s="171">
        <f t="shared" si="279"/>
        <v>124803.37446930309</v>
      </c>
      <c r="T578" s="171">
        <f t="shared" si="280"/>
        <v>0</v>
      </c>
      <c r="U578" s="171">
        <f t="shared" si="268"/>
        <v>5936846.843166302</v>
      </c>
      <c r="V578" s="171">
        <f t="shared" si="281"/>
        <v>0</v>
      </c>
      <c r="W578" s="171">
        <f>IF(OR(A578&gt;=$C$13,B578="Retired"),IF(V578&gt;0,-V578,U578-'Model Inputs'!$B$18),"")</f>
        <v>4936846.843166302</v>
      </c>
      <c r="X578" s="171">
        <f t="shared" si="269"/>
        <v>1521849.5799997088</v>
      </c>
      <c r="Y578" s="171">
        <f t="shared" si="270"/>
        <v>696165.18316319177</v>
      </c>
      <c r="Z578" s="171">
        <f t="shared" si="271"/>
        <v>825684.39683651703</v>
      </c>
      <c r="AA578" s="175">
        <f t="shared" si="272"/>
        <v>6762531.2400028193</v>
      </c>
      <c r="AB578" s="5"/>
      <c r="AC578" s="5"/>
      <c r="AD578" s="5"/>
      <c r="AE578" s="5"/>
      <c r="AF578" s="5"/>
      <c r="AG578" s="5"/>
    </row>
    <row r="579" spans="1:33" x14ac:dyDescent="0.2">
      <c r="A579" s="169">
        <v>15</v>
      </c>
      <c r="B579" s="100" t="str">
        <f t="shared" si="258"/>
        <v>Retired</v>
      </c>
      <c r="C579" s="170">
        <f t="shared" si="259"/>
        <v>0</v>
      </c>
      <c r="D579" s="170">
        <f t="shared" si="260"/>
        <v>0</v>
      </c>
      <c r="E579" s="170">
        <f t="shared" si="261"/>
        <v>0</v>
      </c>
      <c r="F579" s="170">
        <f t="shared" si="262"/>
        <v>0</v>
      </c>
      <c r="G579" s="171">
        <f t="shared" si="263"/>
        <v>0</v>
      </c>
      <c r="H579" s="171">
        <f t="shared" si="264"/>
        <v>90891.797541114764</v>
      </c>
      <c r="I579" s="171">
        <f>IF(B579="Working",MIN(MAX(D579-E579-F579-G579-H579,0),'Tax Assumptions'!$B$20),0)</f>
        <v>0</v>
      </c>
      <c r="J579" s="171">
        <f t="shared" si="265"/>
        <v>-290891.79754111473</v>
      </c>
      <c r="K579" s="170">
        <f t="shared" si="266"/>
        <v>290891.79754111473</v>
      </c>
      <c r="L579" s="170">
        <f t="shared" si="267"/>
        <v>290891.79754111473</v>
      </c>
      <c r="M579" s="170">
        <f t="shared" si="273"/>
        <v>290891.79754111473</v>
      </c>
      <c r="N579" s="170">
        <f t="shared" si="274"/>
        <v>0</v>
      </c>
      <c r="O579" s="170">
        <f t="shared" si="275"/>
        <v>0</v>
      </c>
      <c r="P579" s="170">
        <f t="shared" si="276"/>
        <v>0</v>
      </c>
      <c r="Q579" s="171">
        <f t="shared" si="277"/>
        <v>5437721.7946153311</v>
      </c>
      <c r="R579" s="171">
        <f t="shared" si="278"/>
        <v>432152.48466237361</v>
      </c>
      <c r="S579" s="171">
        <f t="shared" si="279"/>
        <v>132291.57693746127</v>
      </c>
      <c r="T579" s="171">
        <f t="shared" si="280"/>
        <v>0</v>
      </c>
      <c r="U579" s="171">
        <f t="shared" si="268"/>
        <v>6002165.8562151659</v>
      </c>
      <c r="V579" s="171">
        <f t="shared" si="281"/>
        <v>0</v>
      </c>
      <c r="W579" s="171">
        <f>IF(OR(A579&gt;=$C$13,B579="Retired"),IF(V579&gt;0,-V579,U579-'Model Inputs'!$B$18),"")</f>
        <v>5002165.8562151659</v>
      </c>
      <c r="X579" s="171">
        <f t="shared" si="269"/>
        <v>1567505.0673996999</v>
      </c>
      <c r="Y579" s="171">
        <f t="shared" si="270"/>
        <v>684670.80507698469</v>
      </c>
      <c r="Z579" s="171">
        <f t="shared" si="271"/>
        <v>882834.26232271525</v>
      </c>
      <c r="AA579" s="172">
        <f t="shared" si="272"/>
        <v>6885000.1185378814</v>
      </c>
      <c r="AB579" s="5"/>
      <c r="AC579" s="5"/>
      <c r="AD579" s="5"/>
      <c r="AE579" s="5"/>
      <c r="AF579" s="5"/>
      <c r="AG579" s="5"/>
    </row>
    <row r="580" spans="1:33" x14ac:dyDescent="0.2">
      <c r="A580" s="173">
        <v>16</v>
      </c>
      <c r="B580" s="65" t="str">
        <f t="shared" si="258"/>
        <v>Retired</v>
      </c>
      <c r="C580" s="174">
        <f t="shared" si="259"/>
        <v>0</v>
      </c>
      <c r="D580" s="174">
        <f t="shared" si="260"/>
        <v>0</v>
      </c>
      <c r="E580" s="174">
        <f t="shared" si="261"/>
        <v>0</v>
      </c>
      <c r="F580" s="174">
        <f t="shared" si="262"/>
        <v>0</v>
      </c>
      <c r="G580" s="171">
        <f t="shared" si="263"/>
        <v>0</v>
      </c>
      <c r="H580" s="171">
        <f t="shared" si="264"/>
        <v>91926.350885598556</v>
      </c>
      <c r="I580" s="171">
        <f>IF(B580="Working",MIN(MAX(D580-E580-F580-G580-H580,0),'Tax Assumptions'!$B$20),0)</f>
        <v>0</v>
      </c>
      <c r="J580" s="171">
        <f t="shared" si="265"/>
        <v>-291926.35088559857</v>
      </c>
      <c r="K580" s="174">
        <f t="shared" si="266"/>
        <v>291926.35088559857</v>
      </c>
      <c r="L580" s="174">
        <f t="shared" si="267"/>
        <v>291926.35088559857</v>
      </c>
      <c r="M580" s="174">
        <f t="shared" si="273"/>
        <v>291926.35088559857</v>
      </c>
      <c r="N580" s="174">
        <f t="shared" si="274"/>
        <v>0</v>
      </c>
      <c r="O580" s="174">
        <f t="shared" si="275"/>
        <v>0</v>
      </c>
      <c r="P580" s="174">
        <f t="shared" si="276"/>
        <v>0</v>
      </c>
      <c r="Q580" s="171">
        <f t="shared" si="277"/>
        <v>5472058.7514066519</v>
      </c>
      <c r="R580" s="171">
        <f t="shared" si="278"/>
        <v>458081.63374211604</v>
      </c>
      <c r="S580" s="171">
        <f t="shared" si="279"/>
        <v>140229.07155370896</v>
      </c>
      <c r="T580" s="171">
        <f t="shared" si="280"/>
        <v>0</v>
      </c>
      <c r="U580" s="171">
        <f t="shared" si="268"/>
        <v>6070369.4567024773</v>
      </c>
      <c r="V580" s="171">
        <f t="shared" si="281"/>
        <v>0</v>
      </c>
      <c r="W580" s="171">
        <f>IF(OR(A580&gt;=$C$13,B580="Retired"),IF(V580&gt;0,-V580,U580-'Model Inputs'!$B$18),"")</f>
        <v>5070369.4567024773</v>
      </c>
      <c r="X580" s="171">
        <f t="shared" si="269"/>
        <v>1614530.219421691</v>
      </c>
      <c r="Y580" s="171">
        <f t="shared" si="270"/>
        <v>672406.62720272737</v>
      </c>
      <c r="Z580" s="171">
        <f t="shared" si="271"/>
        <v>942123.59221896366</v>
      </c>
      <c r="AA580" s="175">
        <f t="shared" si="272"/>
        <v>7012493.0489214407</v>
      </c>
      <c r="AB580" s="5"/>
      <c r="AC580" s="5"/>
      <c r="AD580" s="5"/>
      <c r="AE580" s="5"/>
      <c r="AF580" s="5"/>
      <c r="AG580" s="5"/>
    </row>
    <row r="581" spans="1:33" x14ac:dyDescent="0.2">
      <c r="A581" s="169">
        <v>17</v>
      </c>
      <c r="B581" s="100" t="str">
        <f t="shared" si="258"/>
        <v>Retired</v>
      </c>
      <c r="C581" s="170">
        <f t="shared" si="259"/>
        <v>0</v>
      </c>
      <c r="D581" s="170">
        <f t="shared" si="260"/>
        <v>0</v>
      </c>
      <c r="E581" s="170">
        <f t="shared" si="261"/>
        <v>0</v>
      </c>
      <c r="F581" s="170">
        <f t="shared" si="262"/>
        <v>0</v>
      </c>
      <c r="G581" s="171">
        <f t="shared" si="263"/>
        <v>0</v>
      </c>
      <c r="H581" s="171">
        <f t="shared" si="264"/>
        <v>92991.940830416876</v>
      </c>
      <c r="I581" s="171">
        <f>IF(B581="Working",MIN(MAX(D581-E581-F581-G581-H581,0),'Tax Assumptions'!$B$20),0)</f>
        <v>0</v>
      </c>
      <c r="J581" s="171">
        <f t="shared" si="265"/>
        <v>-292991.94083041686</v>
      </c>
      <c r="K581" s="170">
        <f t="shared" si="266"/>
        <v>292991.94083041686</v>
      </c>
      <c r="L581" s="170">
        <f t="shared" si="267"/>
        <v>292991.94083041686</v>
      </c>
      <c r="M581" s="170">
        <f t="shared" si="273"/>
        <v>292991.94083041686</v>
      </c>
      <c r="N581" s="170">
        <f t="shared" si="274"/>
        <v>0</v>
      </c>
      <c r="O581" s="170">
        <f t="shared" si="275"/>
        <v>0</v>
      </c>
      <c r="P581" s="170">
        <f t="shared" si="276"/>
        <v>0</v>
      </c>
      <c r="Q581" s="171">
        <f t="shared" si="277"/>
        <v>5507390.3356606346</v>
      </c>
      <c r="R581" s="171">
        <f t="shared" si="278"/>
        <v>485566.53176664305</v>
      </c>
      <c r="S581" s="171">
        <f t="shared" si="279"/>
        <v>148642.81584693151</v>
      </c>
      <c r="T581" s="171">
        <f t="shared" si="280"/>
        <v>0</v>
      </c>
      <c r="U581" s="171">
        <f t="shared" si="268"/>
        <v>6141599.6832742086</v>
      </c>
      <c r="V581" s="171">
        <f t="shared" si="281"/>
        <v>0</v>
      </c>
      <c r="W581" s="171">
        <f>IF(OR(A581&gt;=$C$13,B581="Retired"),IF(V581&gt;0,-V581,U581-'Model Inputs'!$B$18),"")</f>
        <v>5141599.6832742086</v>
      </c>
      <c r="X581" s="171">
        <f t="shared" si="269"/>
        <v>1662966.1260043418</v>
      </c>
      <c r="Y581" s="171">
        <f t="shared" si="270"/>
        <v>659321.09462294192</v>
      </c>
      <c r="Z581" s="171">
        <f t="shared" si="271"/>
        <v>1003645.0313813998</v>
      </c>
      <c r="AA581" s="172">
        <f t="shared" si="272"/>
        <v>7145244.7146556079</v>
      </c>
      <c r="AB581" s="5"/>
      <c r="AC581" s="5"/>
      <c r="AD581" s="5"/>
      <c r="AE581" s="5"/>
      <c r="AF581" s="5"/>
      <c r="AG581" s="5"/>
    </row>
    <row r="582" spans="1:33" x14ac:dyDescent="0.2">
      <c r="A582" s="173">
        <v>18</v>
      </c>
      <c r="B582" s="65" t="str">
        <f t="shared" si="258"/>
        <v>Retired</v>
      </c>
      <c r="C582" s="174">
        <f t="shared" si="259"/>
        <v>0</v>
      </c>
      <c r="D582" s="174">
        <f t="shared" si="260"/>
        <v>0</v>
      </c>
      <c r="E582" s="174">
        <f t="shared" si="261"/>
        <v>0</v>
      </c>
      <c r="F582" s="174">
        <f t="shared" si="262"/>
        <v>0</v>
      </c>
      <c r="G582" s="171">
        <f t="shared" si="263"/>
        <v>0</v>
      </c>
      <c r="H582" s="171">
        <f t="shared" si="264"/>
        <v>94089.498473579733</v>
      </c>
      <c r="I582" s="171">
        <f>IF(B582="Working",MIN(MAX(D582-E582-F582-G582-H582,0),'Tax Assumptions'!$B$20),0)</f>
        <v>0</v>
      </c>
      <c r="J582" s="171">
        <f t="shared" si="265"/>
        <v>-294089.49847357976</v>
      </c>
      <c r="K582" s="174">
        <f t="shared" si="266"/>
        <v>294089.49847357976</v>
      </c>
      <c r="L582" s="174">
        <f t="shared" si="267"/>
        <v>294089.49847357976</v>
      </c>
      <c r="M582" s="174">
        <f t="shared" si="273"/>
        <v>294089.49847357976</v>
      </c>
      <c r="N582" s="174">
        <f t="shared" si="274"/>
        <v>0</v>
      </c>
      <c r="O582" s="174">
        <f t="shared" si="275"/>
        <v>0</v>
      </c>
      <c r="P582" s="174">
        <f t="shared" si="276"/>
        <v>0</v>
      </c>
      <c r="Q582" s="171">
        <f t="shared" si="277"/>
        <v>5543744.2573266933</v>
      </c>
      <c r="R582" s="171">
        <f t="shared" si="278"/>
        <v>514700.52367264166</v>
      </c>
      <c r="S582" s="171">
        <f t="shared" si="279"/>
        <v>157561.38479774742</v>
      </c>
      <c r="T582" s="171">
        <f t="shared" si="280"/>
        <v>0</v>
      </c>
      <c r="U582" s="171">
        <f t="shared" si="268"/>
        <v>6216006.1657970818</v>
      </c>
      <c r="V582" s="171">
        <f t="shared" si="281"/>
        <v>0</v>
      </c>
      <c r="W582" s="171">
        <f>IF(OR(A582&gt;=$C$13,B582="Retired"),IF(V582&gt;0,-V582,U582-'Model Inputs'!$B$18),"")</f>
        <v>5216006.1657970818</v>
      </c>
      <c r="X582" s="171">
        <f t="shared" si="269"/>
        <v>1712855.1097844718</v>
      </c>
      <c r="Y582" s="171">
        <f t="shared" si="270"/>
        <v>645359.19969184883</v>
      </c>
      <c r="Z582" s="171">
        <f t="shared" si="271"/>
        <v>1067495.910092623</v>
      </c>
      <c r="AA582" s="175">
        <f t="shared" si="272"/>
        <v>7283502.0758897047</v>
      </c>
      <c r="AB582" s="5"/>
      <c r="AC582" s="5"/>
      <c r="AD582" s="5"/>
      <c r="AE582" s="5"/>
      <c r="AF582" s="5"/>
      <c r="AG582" s="5"/>
    </row>
    <row r="583" spans="1:33" x14ac:dyDescent="0.2">
      <c r="A583" s="169">
        <v>19</v>
      </c>
      <c r="B583" s="100" t="str">
        <f t="shared" si="258"/>
        <v>Retired</v>
      </c>
      <c r="C583" s="170">
        <f t="shared" si="259"/>
        <v>0</v>
      </c>
      <c r="D583" s="170">
        <f t="shared" si="260"/>
        <v>0</v>
      </c>
      <c r="E583" s="170">
        <f t="shared" si="261"/>
        <v>0</v>
      </c>
      <c r="F583" s="170">
        <f t="shared" si="262"/>
        <v>0</v>
      </c>
      <c r="G583" s="171">
        <f t="shared" si="263"/>
        <v>0</v>
      </c>
      <c r="H583" s="171">
        <f t="shared" si="264"/>
        <v>95219.982846037485</v>
      </c>
      <c r="I583" s="171">
        <f>IF(B583="Working",MIN(MAX(D583-E583-F583-G583-H583,0),'Tax Assumptions'!$B$20),0)</f>
        <v>0</v>
      </c>
      <c r="J583" s="171">
        <f t="shared" si="265"/>
        <v>-295219.98284603748</v>
      </c>
      <c r="K583" s="170">
        <f t="shared" si="266"/>
        <v>295219.98284603748</v>
      </c>
      <c r="L583" s="170">
        <f t="shared" si="267"/>
        <v>295219.98284603748</v>
      </c>
      <c r="M583" s="170">
        <f t="shared" si="273"/>
        <v>295219.98284603748</v>
      </c>
      <c r="N583" s="170">
        <f t="shared" si="274"/>
        <v>0</v>
      </c>
      <c r="O583" s="170">
        <f t="shared" si="275"/>
        <v>0</v>
      </c>
      <c r="P583" s="170">
        <f t="shared" si="276"/>
        <v>0</v>
      </c>
      <c r="Q583" s="171">
        <f t="shared" si="277"/>
        <v>5581148.929920258</v>
      </c>
      <c r="R583" s="171">
        <f t="shared" si="278"/>
        <v>545582.55509300018</v>
      </c>
      <c r="S583" s="171">
        <f t="shared" si="279"/>
        <v>167015.06788561228</v>
      </c>
      <c r="T583" s="171">
        <f t="shared" si="280"/>
        <v>0</v>
      </c>
      <c r="U583" s="171">
        <f t="shared" si="268"/>
        <v>6293746.5528988698</v>
      </c>
      <c r="V583" s="171">
        <f t="shared" si="281"/>
        <v>0</v>
      </c>
      <c r="W583" s="171">
        <f>IF(OR(A583&gt;=$C$13,B583="Retired"),IF(V583&gt;0,-V583,U583-'Model Inputs'!$B$18),"")</f>
        <v>5293746.5528988698</v>
      </c>
      <c r="X583" s="171">
        <f t="shared" si="269"/>
        <v>1764240.763078006</v>
      </c>
      <c r="Y583" s="171">
        <f t="shared" si="270"/>
        <v>630462.25079975545</v>
      </c>
      <c r="Z583" s="171">
        <f t="shared" si="271"/>
        <v>1133778.5122782504</v>
      </c>
      <c r="AA583" s="172">
        <f t="shared" si="272"/>
        <v>7427525.0651771203</v>
      </c>
      <c r="AB583" s="5"/>
      <c r="AC583" s="5"/>
      <c r="AD583" s="5"/>
      <c r="AE583" s="5"/>
      <c r="AF583" s="5"/>
      <c r="AG583" s="5"/>
    </row>
    <row r="584" spans="1:33" x14ac:dyDescent="0.2">
      <c r="A584" s="173">
        <v>20</v>
      </c>
      <c r="B584" s="65" t="str">
        <f t="shared" si="258"/>
        <v>Retired</v>
      </c>
      <c r="C584" s="174">
        <f t="shared" si="259"/>
        <v>0</v>
      </c>
      <c r="D584" s="174">
        <f t="shared" si="260"/>
        <v>0</v>
      </c>
      <c r="E584" s="174">
        <f t="shared" si="261"/>
        <v>0</v>
      </c>
      <c r="F584" s="174">
        <f t="shared" si="262"/>
        <v>0</v>
      </c>
      <c r="G584" s="171">
        <f t="shared" si="263"/>
        <v>0</v>
      </c>
      <c r="H584" s="171">
        <f t="shared" si="264"/>
        <v>96384.381749668973</v>
      </c>
      <c r="I584" s="171">
        <f>IF(B584="Working",MIN(MAX(D584-E584-F584-G584-H584,0),'Tax Assumptions'!$B$20),0)</f>
        <v>0</v>
      </c>
      <c r="J584" s="171">
        <f t="shared" si="265"/>
        <v>-296384.38174966897</v>
      </c>
      <c r="K584" s="174">
        <f t="shared" si="266"/>
        <v>296384.38174966897</v>
      </c>
      <c r="L584" s="174">
        <f t="shared" si="267"/>
        <v>296384.38174966897</v>
      </c>
      <c r="M584" s="174">
        <f t="shared" si="273"/>
        <v>296384.38174966897</v>
      </c>
      <c r="N584" s="174">
        <f t="shared" si="274"/>
        <v>0</v>
      </c>
      <c r="O584" s="174">
        <f t="shared" si="275"/>
        <v>0</v>
      </c>
      <c r="P584" s="174">
        <f t="shared" si="276"/>
        <v>0</v>
      </c>
      <c r="Q584" s="171">
        <f t="shared" si="277"/>
        <v>5619633.4839658048</v>
      </c>
      <c r="R584" s="171">
        <f t="shared" si="278"/>
        <v>578317.50839858025</v>
      </c>
      <c r="S584" s="171">
        <f t="shared" si="279"/>
        <v>177035.97195874903</v>
      </c>
      <c r="T584" s="171">
        <f t="shared" si="280"/>
        <v>0</v>
      </c>
      <c r="U584" s="171">
        <f t="shared" si="268"/>
        <v>6374986.9643231342</v>
      </c>
      <c r="V584" s="171">
        <f t="shared" si="281"/>
        <v>0</v>
      </c>
      <c r="W584" s="171">
        <f>IF(OR(A584&gt;=$C$13,B584="Retired"),IF(V584&gt;0,-V584,U584-'Model Inputs'!$B$18),"")</f>
        <v>5374986.9643231342</v>
      </c>
      <c r="X584" s="171">
        <f t="shared" si="269"/>
        <v>1817167.9859703463</v>
      </c>
      <c r="Y584" s="171">
        <f t="shared" si="270"/>
        <v>614567.62565117143</v>
      </c>
      <c r="Z584" s="171">
        <f t="shared" si="271"/>
        <v>1202600.3603191748</v>
      </c>
      <c r="AA584" s="175">
        <f t="shared" si="272"/>
        <v>7577587.324642309</v>
      </c>
      <c r="AB584" s="5"/>
      <c r="AC584" s="5"/>
      <c r="AD584" s="5"/>
      <c r="AE584" s="5"/>
      <c r="AF584" s="5"/>
      <c r="AG584" s="5"/>
    </row>
    <row r="585" spans="1:33" x14ac:dyDescent="0.2">
      <c r="A585" s="169">
        <v>21</v>
      </c>
      <c r="B585" s="100" t="str">
        <f t="shared" si="258"/>
        <v>Retired</v>
      </c>
      <c r="C585" s="170">
        <f t="shared" si="259"/>
        <v>0</v>
      </c>
      <c r="D585" s="170">
        <f t="shared" si="260"/>
        <v>0</v>
      </c>
      <c r="E585" s="170">
        <f t="shared" si="261"/>
        <v>0</v>
      </c>
      <c r="F585" s="170">
        <f t="shared" si="262"/>
        <v>0</v>
      </c>
      <c r="G585" s="171">
        <f t="shared" si="263"/>
        <v>0</v>
      </c>
      <c r="H585" s="171">
        <f t="shared" si="264"/>
        <v>97583.712620409409</v>
      </c>
      <c r="I585" s="171">
        <f>IF(B585="Working",MIN(MAX(D585-E585-F585-G585-H585,0),'Tax Assumptions'!$B$20),0)</f>
        <v>0</v>
      </c>
      <c r="J585" s="171">
        <f t="shared" si="265"/>
        <v>-297583.71262040944</v>
      </c>
      <c r="K585" s="170">
        <f t="shared" si="266"/>
        <v>297583.71262040944</v>
      </c>
      <c r="L585" s="170">
        <f t="shared" si="267"/>
        <v>297583.71262040944</v>
      </c>
      <c r="M585" s="170">
        <f t="shared" si="273"/>
        <v>297583.71262040944</v>
      </c>
      <c r="N585" s="170">
        <f t="shared" si="274"/>
        <v>0</v>
      </c>
      <c r="O585" s="170">
        <f t="shared" si="275"/>
        <v>0</v>
      </c>
      <c r="P585" s="170">
        <f t="shared" si="276"/>
        <v>0</v>
      </c>
      <c r="Q585" s="171">
        <f t="shared" si="277"/>
        <v>5659227.7803833438</v>
      </c>
      <c r="R585" s="171">
        <f t="shared" si="278"/>
        <v>613016.55890249508</v>
      </c>
      <c r="S585" s="171">
        <f t="shared" si="279"/>
        <v>187658.13027627397</v>
      </c>
      <c r="T585" s="171">
        <f t="shared" si="280"/>
        <v>0</v>
      </c>
      <c r="U585" s="171">
        <f t="shared" si="268"/>
        <v>6459902.4695621133</v>
      </c>
      <c r="V585" s="171">
        <f t="shared" si="281"/>
        <v>0</v>
      </c>
      <c r="W585" s="171">
        <f>IF(OR(A585&gt;=$C$13,B585="Retired"),IF(V585&gt;0,-V585,U585-'Model Inputs'!$B$18),"")</f>
        <v>5459902.4695621133</v>
      </c>
      <c r="X585" s="171">
        <f t="shared" si="269"/>
        <v>1871683.0255494567</v>
      </c>
      <c r="Y585" s="171">
        <f t="shared" si="270"/>
        <v>597608.5080195003</v>
      </c>
      <c r="Z585" s="171">
        <f t="shared" si="271"/>
        <v>1274074.5175299565</v>
      </c>
      <c r="AA585" s="172">
        <f t="shared" si="272"/>
        <v>7733976.9870920703</v>
      </c>
      <c r="AB585" s="5"/>
      <c r="AC585" s="5"/>
      <c r="AD585" s="5"/>
      <c r="AE585" s="5"/>
      <c r="AF585" s="5"/>
      <c r="AG585" s="5"/>
    </row>
    <row r="586" spans="1:33" x14ac:dyDescent="0.2">
      <c r="A586" s="173">
        <v>22</v>
      </c>
      <c r="B586" s="65" t="str">
        <f t="shared" si="258"/>
        <v>Retired</v>
      </c>
      <c r="C586" s="174">
        <f t="shared" si="259"/>
        <v>0</v>
      </c>
      <c r="D586" s="174">
        <f t="shared" si="260"/>
        <v>0</v>
      </c>
      <c r="E586" s="174">
        <f t="shared" si="261"/>
        <v>0</v>
      </c>
      <c r="F586" s="174">
        <f t="shared" si="262"/>
        <v>0</v>
      </c>
      <c r="G586" s="171">
        <f t="shared" si="263"/>
        <v>0</v>
      </c>
      <c r="H586" s="171">
        <f t="shared" si="264"/>
        <v>98819.023417272037</v>
      </c>
      <c r="I586" s="171">
        <f>IF(B586="Working",MIN(MAX(D586-E586-F586-G586-H586,0),'Tax Assumptions'!$B$20),0)</f>
        <v>0</v>
      </c>
      <c r="J586" s="171">
        <f t="shared" si="265"/>
        <v>-298819.02341727202</v>
      </c>
      <c r="K586" s="174">
        <f t="shared" si="266"/>
        <v>298819.02341727202</v>
      </c>
      <c r="L586" s="174">
        <f t="shared" si="267"/>
        <v>298819.02341727202</v>
      </c>
      <c r="M586" s="174">
        <f t="shared" si="273"/>
        <v>298819.02341727202</v>
      </c>
      <c r="N586" s="174">
        <f t="shared" si="274"/>
        <v>0</v>
      </c>
      <c r="O586" s="174">
        <f t="shared" si="275"/>
        <v>0</v>
      </c>
      <c r="P586" s="174">
        <f t="shared" si="276"/>
        <v>0</v>
      </c>
      <c r="Q586" s="171">
        <f t="shared" si="277"/>
        <v>5699962.4237890728</v>
      </c>
      <c r="R586" s="171">
        <f t="shared" si="278"/>
        <v>649797.55243664479</v>
      </c>
      <c r="S586" s="171">
        <f t="shared" si="279"/>
        <v>198917.6180928504</v>
      </c>
      <c r="T586" s="171">
        <f t="shared" si="280"/>
        <v>0</v>
      </c>
      <c r="U586" s="171">
        <f t="shared" si="268"/>
        <v>6548677.5943185687</v>
      </c>
      <c r="V586" s="171">
        <f t="shared" si="281"/>
        <v>0</v>
      </c>
      <c r="W586" s="171">
        <f>IF(OR(A586&gt;=$C$13,B586="Retired"),IF(V586&gt;0,-V586,U586-'Model Inputs'!$B$18),"")</f>
        <v>5548677.5943185687</v>
      </c>
      <c r="X586" s="171">
        <f t="shared" si="269"/>
        <v>1927833.5163159401</v>
      </c>
      <c r="Y586" s="171">
        <f t="shared" si="270"/>
        <v>579513.60687170736</v>
      </c>
      <c r="Z586" s="171">
        <f t="shared" si="271"/>
        <v>1348319.9094442327</v>
      </c>
      <c r="AA586" s="175">
        <f t="shared" si="272"/>
        <v>7896997.5037628012</v>
      </c>
      <c r="AB586" s="5"/>
      <c r="AC586" s="5"/>
      <c r="AD586" s="5"/>
      <c r="AE586" s="5"/>
      <c r="AF586" s="5"/>
      <c r="AG586" s="5"/>
    </row>
    <row r="587" spans="1:33" x14ac:dyDescent="0.2">
      <c r="A587" s="169">
        <v>23</v>
      </c>
      <c r="B587" s="100" t="str">
        <f t="shared" si="258"/>
        <v>Retired</v>
      </c>
      <c r="C587" s="170">
        <f t="shared" si="259"/>
        <v>0</v>
      </c>
      <c r="D587" s="170">
        <f t="shared" si="260"/>
        <v>0</v>
      </c>
      <c r="E587" s="170">
        <f t="shared" si="261"/>
        <v>0</v>
      </c>
      <c r="F587" s="170">
        <f t="shared" si="262"/>
        <v>0</v>
      </c>
      <c r="G587" s="171">
        <f t="shared" si="263"/>
        <v>0</v>
      </c>
      <c r="H587" s="171">
        <f t="shared" si="264"/>
        <v>100091.39353804055</v>
      </c>
      <c r="I587" s="171">
        <f>IF(B587="Working",MIN(MAX(D587-E587-F587-G587-H587,0),'Tax Assumptions'!$B$20),0)</f>
        <v>0</v>
      </c>
      <c r="J587" s="171">
        <f t="shared" si="265"/>
        <v>-300091.39353804057</v>
      </c>
      <c r="K587" s="170">
        <f t="shared" si="266"/>
        <v>300091.39353804057</v>
      </c>
      <c r="L587" s="170">
        <f t="shared" si="267"/>
        <v>300091.39353804057</v>
      </c>
      <c r="M587" s="170">
        <f t="shared" si="273"/>
        <v>300091.39353804057</v>
      </c>
      <c r="N587" s="170">
        <f t="shared" si="274"/>
        <v>0</v>
      </c>
      <c r="O587" s="170">
        <f t="shared" si="275"/>
        <v>0</v>
      </c>
      <c r="P587" s="170">
        <f t="shared" si="276"/>
        <v>0</v>
      </c>
      <c r="Q587" s="171">
        <f t="shared" si="277"/>
        <v>5741868.7756783776</v>
      </c>
      <c r="R587" s="171">
        <f t="shared" si="278"/>
        <v>688785.40558284346</v>
      </c>
      <c r="S587" s="171">
        <f t="shared" si="279"/>
        <v>210852.67517842143</v>
      </c>
      <c r="T587" s="171">
        <f t="shared" si="280"/>
        <v>0</v>
      </c>
      <c r="U587" s="171">
        <f t="shared" si="268"/>
        <v>6641506.8564396426</v>
      </c>
      <c r="V587" s="171">
        <f t="shared" si="281"/>
        <v>0</v>
      </c>
      <c r="W587" s="171">
        <f>IF(OR(A587&gt;=$C$13,B587="Retired"),IF(V587&gt;0,-V587,U587-'Model Inputs'!$B$18),"")</f>
        <v>5641506.8564396426</v>
      </c>
      <c r="X587" s="171">
        <f t="shared" si="269"/>
        <v>1985668.5218054182</v>
      </c>
      <c r="Y587" s="171">
        <f t="shared" si="270"/>
        <v>560206.85668224399</v>
      </c>
      <c r="Z587" s="171">
        <f t="shared" si="271"/>
        <v>1425461.6651231742</v>
      </c>
      <c r="AA587" s="172">
        <f t="shared" si="272"/>
        <v>8066968.5215628166</v>
      </c>
      <c r="AB587" s="5"/>
      <c r="AC587" s="5"/>
      <c r="AD587" s="5"/>
      <c r="AE587" s="5"/>
      <c r="AF587" s="5"/>
      <c r="AG587" s="5"/>
    </row>
    <row r="588" spans="1:33" x14ac:dyDescent="0.2">
      <c r="A588" s="173">
        <v>24</v>
      </c>
      <c r="B588" s="65" t="str">
        <f t="shared" si="258"/>
        <v>Retired</v>
      </c>
      <c r="C588" s="174">
        <f t="shared" si="259"/>
        <v>0</v>
      </c>
      <c r="D588" s="174">
        <f t="shared" si="260"/>
        <v>0</v>
      </c>
      <c r="E588" s="174">
        <f t="shared" si="261"/>
        <v>0</v>
      </c>
      <c r="F588" s="174">
        <f t="shared" si="262"/>
        <v>0</v>
      </c>
      <c r="G588" s="171">
        <f t="shared" si="263"/>
        <v>0</v>
      </c>
      <c r="H588" s="171">
        <f t="shared" si="264"/>
        <v>101401.93476243214</v>
      </c>
      <c r="I588" s="171">
        <f>IF(B588="Working",MIN(MAX(D588-E588-F588-G588-H588,0),'Tax Assumptions'!$B$20),0)</f>
        <v>0</v>
      </c>
      <c r="J588" s="171">
        <f t="shared" si="265"/>
        <v>-301401.93476243212</v>
      </c>
      <c r="K588" s="174">
        <f t="shared" si="266"/>
        <v>301401.93476243212</v>
      </c>
      <c r="L588" s="174">
        <f t="shared" si="267"/>
        <v>301401.93476243212</v>
      </c>
      <c r="M588" s="174">
        <f t="shared" si="273"/>
        <v>301401.93476243212</v>
      </c>
      <c r="N588" s="174">
        <f t="shared" si="274"/>
        <v>0</v>
      </c>
      <c r="O588" s="174">
        <f t="shared" si="275"/>
        <v>0</v>
      </c>
      <c r="P588" s="174">
        <f t="shared" si="276"/>
        <v>0</v>
      </c>
      <c r="Q588" s="171">
        <f t="shared" si="277"/>
        <v>5784978.9674566481</v>
      </c>
      <c r="R588" s="171">
        <f t="shared" si="278"/>
        <v>730112.52991781407</v>
      </c>
      <c r="S588" s="171">
        <f t="shared" si="279"/>
        <v>223503.83568912672</v>
      </c>
      <c r="T588" s="171">
        <f t="shared" si="280"/>
        <v>0</v>
      </c>
      <c r="U588" s="171">
        <f t="shared" si="268"/>
        <v>6738595.3330635885</v>
      </c>
      <c r="V588" s="171">
        <f t="shared" si="281"/>
        <v>0</v>
      </c>
      <c r="W588" s="171">
        <f>IF(OR(A588&gt;=$C$13,B588="Retired"),IF(V588&gt;0,-V588,U588-'Model Inputs'!$B$18),"")</f>
        <v>5738595.3330635885</v>
      </c>
      <c r="X588" s="171">
        <f t="shared" si="269"/>
        <v>2045238.577459581</v>
      </c>
      <c r="Y588" s="171">
        <f t="shared" si="270"/>
        <v>539607.09767644154</v>
      </c>
      <c r="Z588" s="171">
        <f t="shared" si="271"/>
        <v>1505631.4797831394</v>
      </c>
      <c r="AA588" s="175">
        <f t="shared" si="272"/>
        <v>8244226.8128467277</v>
      </c>
      <c r="AB588" s="5"/>
      <c r="AC588" s="5"/>
      <c r="AD588" s="5"/>
      <c r="AE588" s="5"/>
      <c r="AF588" s="5"/>
      <c r="AG588" s="5"/>
    </row>
    <row r="589" spans="1:33" x14ac:dyDescent="0.2">
      <c r="A589" s="169">
        <v>25</v>
      </c>
      <c r="B589" s="100" t="str">
        <f t="shared" si="258"/>
        <v>Retired</v>
      </c>
      <c r="C589" s="170">
        <f t="shared" si="259"/>
        <v>0</v>
      </c>
      <c r="D589" s="170">
        <f t="shared" si="260"/>
        <v>0</v>
      </c>
      <c r="E589" s="170">
        <f t="shared" si="261"/>
        <v>0</v>
      </c>
      <c r="F589" s="170">
        <f t="shared" si="262"/>
        <v>0</v>
      </c>
      <c r="G589" s="171">
        <f t="shared" si="263"/>
        <v>0</v>
      </c>
      <c r="H589" s="171">
        <f t="shared" si="264"/>
        <v>102751.79222355547</v>
      </c>
      <c r="I589" s="171">
        <f>IF(B589="Working",MIN(MAX(D589-E589-F589-G589-H589,0),'Tax Assumptions'!$B$20),0)</f>
        <v>0</v>
      </c>
      <c r="J589" s="171">
        <f t="shared" si="265"/>
        <v>-302751.7922235555</v>
      </c>
      <c r="K589" s="170">
        <f t="shared" si="266"/>
        <v>302751.7922235555</v>
      </c>
      <c r="L589" s="170">
        <f t="shared" si="267"/>
        <v>302751.7922235555</v>
      </c>
      <c r="M589" s="170">
        <f t="shared" si="273"/>
        <v>302751.7922235555</v>
      </c>
      <c r="N589" s="170">
        <f t="shared" si="274"/>
        <v>0</v>
      </c>
      <c r="O589" s="170">
        <f t="shared" si="275"/>
        <v>0</v>
      </c>
      <c r="P589" s="170">
        <f t="shared" si="276"/>
        <v>0</v>
      </c>
      <c r="Q589" s="171">
        <f t="shared" si="277"/>
        <v>5829325.9132804926</v>
      </c>
      <c r="R589" s="171">
        <f t="shared" si="278"/>
        <v>773919.28171288292</v>
      </c>
      <c r="S589" s="171">
        <f t="shared" si="279"/>
        <v>236914.06583047434</v>
      </c>
      <c r="T589" s="171">
        <f t="shared" si="280"/>
        <v>0</v>
      </c>
      <c r="U589" s="171">
        <f t="shared" si="268"/>
        <v>6840159.2608238505</v>
      </c>
      <c r="V589" s="171">
        <f t="shared" si="281"/>
        <v>0</v>
      </c>
      <c r="W589" s="171">
        <f>IF(OR(A589&gt;=$C$13,B589="Retired"),IF(V589&gt;0,-V589,U589-'Model Inputs'!$B$18),"")</f>
        <v>5840159.2608238505</v>
      </c>
      <c r="X589" s="171">
        <f t="shared" si="269"/>
        <v>2106595.7347833687</v>
      </c>
      <c r="Y589" s="171">
        <f t="shared" si="270"/>
        <v>517627.7346592145</v>
      </c>
      <c r="Z589" s="171">
        <f t="shared" si="271"/>
        <v>1588968.0001241541</v>
      </c>
      <c r="AA589" s="172">
        <f t="shared" si="272"/>
        <v>8429127.2609480042</v>
      </c>
      <c r="AB589" s="5"/>
      <c r="AC589" s="5"/>
      <c r="AD589" s="5"/>
      <c r="AE589" s="5"/>
      <c r="AF589" s="5"/>
      <c r="AG589" s="5"/>
    </row>
    <row r="590" spans="1:33" x14ac:dyDescent="0.2">
      <c r="A590" s="173">
        <v>26</v>
      </c>
      <c r="B590" s="65" t="str">
        <f t="shared" si="258"/>
        <v>Retired</v>
      </c>
      <c r="C590" s="174">
        <f t="shared" si="259"/>
        <v>0</v>
      </c>
      <c r="D590" s="174">
        <f t="shared" si="260"/>
        <v>0</v>
      </c>
      <c r="E590" s="174">
        <f t="shared" si="261"/>
        <v>0</v>
      </c>
      <c r="F590" s="174">
        <f t="shared" si="262"/>
        <v>0</v>
      </c>
      <c r="G590" s="171">
        <f t="shared" si="263"/>
        <v>0</v>
      </c>
      <c r="H590" s="171">
        <f t="shared" si="264"/>
        <v>104142.14540851247</v>
      </c>
      <c r="I590" s="171">
        <f>IF(B590="Working",MIN(MAX(D590-E590-F590-G590-H590,0),'Tax Assumptions'!$B$20),0)</f>
        <v>0</v>
      </c>
      <c r="J590" s="171">
        <f t="shared" si="265"/>
        <v>-304142.14540851244</v>
      </c>
      <c r="K590" s="174">
        <f t="shared" si="266"/>
        <v>304142.14540851244</v>
      </c>
      <c r="L590" s="174">
        <f t="shared" si="267"/>
        <v>304142.14540851244</v>
      </c>
      <c r="M590" s="174">
        <f t="shared" si="273"/>
        <v>304142.14540851244</v>
      </c>
      <c r="N590" s="174">
        <f t="shared" si="274"/>
        <v>0</v>
      </c>
      <c r="O590" s="174">
        <f t="shared" si="275"/>
        <v>0</v>
      </c>
      <c r="P590" s="174">
        <f t="shared" si="276"/>
        <v>0</v>
      </c>
      <c r="Q590" s="171">
        <f t="shared" si="277"/>
        <v>5874943.3226688104</v>
      </c>
      <c r="R590" s="171">
        <f t="shared" si="278"/>
        <v>820354.43861565599</v>
      </c>
      <c r="S590" s="171">
        <f t="shared" si="279"/>
        <v>251128.90978030281</v>
      </c>
      <c r="T590" s="171">
        <f t="shared" si="280"/>
        <v>0</v>
      </c>
      <c r="U590" s="171">
        <f t="shared" si="268"/>
        <v>6946426.6710647698</v>
      </c>
      <c r="V590" s="171">
        <f t="shared" si="281"/>
        <v>0</v>
      </c>
      <c r="W590" s="171">
        <f>IF(OR(A590&gt;=$C$13,B590="Retired"),IF(V590&gt;0,-V590,U590-'Model Inputs'!$B$18),"")</f>
        <v>5946426.6710647698</v>
      </c>
      <c r="X590" s="171">
        <f t="shared" si="269"/>
        <v>2169793.6068268693</v>
      </c>
      <c r="Y590" s="171">
        <f t="shared" si="270"/>
        <v>494176.37299488741</v>
      </c>
      <c r="Z590" s="171">
        <f t="shared" si="271"/>
        <v>1675617.2338319819</v>
      </c>
      <c r="AA590" s="175">
        <f t="shared" si="272"/>
        <v>8622043.904896751</v>
      </c>
      <c r="AB590" s="5"/>
      <c r="AC590" s="5"/>
      <c r="AD590" s="5"/>
      <c r="AE590" s="5"/>
      <c r="AF590" s="5"/>
      <c r="AG590" s="5"/>
    </row>
    <row r="591" spans="1:33" x14ac:dyDescent="0.2">
      <c r="A591" s="169">
        <v>27</v>
      </c>
      <c r="B591" s="100" t="str">
        <f t="shared" si="258"/>
        <v>Retired</v>
      </c>
      <c r="C591" s="170">
        <f t="shared" si="259"/>
        <v>0</v>
      </c>
      <c r="D591" s="170">
        <f t="shared" si="260"/>
        <v>0</v>
      </c>
      <c r="E591" s="170">
        <f t="shared" si="261"/>
        <v>0</v>
      </c>
      <c r="F591" s="170">
        <f t="shared" si="262"/>
        <v>0</v>
      </c>
      <c r="G591" s="171">
        <f t="shared" si="263"/>
        <v>0</v>
      </c>
      <c r="H591" s="171">
        <f t="shared" si="264"/>
        <v>105574.20918901821</v>
      </c>
      <c r="I591" s="171">
        <f>IF(B591="Working",MIN(MAX(D591-E591-F591-G591-H591,0),'Tax Assumptions'!$B$20),0)</f>
        <v>0</v>
      </c>
      <c r="J591" s="171">
        <f t="shared" si="265"/>
        <v>-305574.20918901823</v>
      </c>
      <c r="K591" s="170">
        <f t="shared" si="266"/>
        <v>305574.20918901823</v>
      </c>
      <c r="L591" s="170">
        <f t="shared" si="267"/>
        <v>305574.20918901823</v>
      </c>
      <c r="M591" s="170">
        <f t="shared" si="273"/>
        <v>305574.20918901823</v>
      </c>
      <c r="N591" s="170">
        <f t="shared" si="274"/>
        <v>0</v>
      </c>
      <c r="O591" s="170">
        <f t="shared" si="275"/>
        <v>0</v>
      </c>
      <c r="P591" s="170">
        <f t="shared" si="276"/>
        <v>0</v>
      </c>
      <c r="Q591" s="171">
        <f t="shared" si="277"/>
        <v>5921865.712839921</v>
      </c>
      <c r="R591" s="171">
        <f t="shared" si="278"/>
        <v>869575.70493259537</v>
      </c>
      <c r="S591" s="171">
        <f t="shared" si="279"/>
        <v>266196.64436712099</v>
      </c>
      <c r="T591" s="171">
        <f t="shared" si="280"/>
        <v>0</v>
      </c>
      <c r="U591" s="171">
        <f t="shared" si="268"/>
        <v>7057638.0621396378</v>
      </c>
      <c r="V591" s="171">
        <f t="shared" si="281"/>
        <v>0</v>
      </c>
      <c r="W591" s="171">
        <f>IF(OR(A591&gt;=$C$13,B591="Retired"),IF(V591&gt;0,-V591,U591-'Model Inputs'!$B$18),"")</f>
        <v>6057638.0621396378</v>
      </c>
      <c r="X591" s="171">
        <f t="shared" si="269"/>
        <v>2234887.4150316752</v>
      </c>
      <c r="Y591" s="171">
        <f t="shared" si="270"/>
        <v>469154.4302079191</v>
      </c>
      <c r="Z591" s="171">
        <f t="shared" si="271"/>
        <v>1765732.9848237562</v>
      </c>
      <c r="AA591" s="172">
        <f t="shared" si="272"/>
        <v>8823371.0469633937</v>
      </c>
      <c r="AB591" s="5"/>
      <c r="AC591" s="5"/>
      <c r="AD591" s="5"/>
      <c r="AE591" s="5"/>
      <c r="AF591" s="5"/>
      <c r="AG591" s="5"/>
    </row>
    <row r="592" spans="1:33" x14ac:dyDescent="0.2">
      <c r="A592" s="173">
        <v>28</v>
      </c>
      <c r="B592" s="65" t="str">
        <f t="shared" si="258"/>
        <v>Retired</v>
      </c>
      <c r="C592" s="174">
        <f t="shared" si="259"/>
        <v>0</v>
      </c>
      <c r="D592" s="174">
        <f t="shared" si="260"/>
        <v>0</v>
      </c>
      <c r="E592" s="174">
        <f t="shared" si="261"/>
        <v>0</v>
      </c>
      <c r="F592" s="174">
        <f t="shared" si="262"/>
        <v>0</v>
      </c>
      <c r="G592" s="171">
        <f t="shared" si="263"/>
        <v>0</v>
      </c>
      <c r="H592" s="171">
        <f t="shared" si="264"/>
        <v>107049.23488293911</v>
      </c>
      <c r="I592" s="171">
        <f>IF(B592="Working",MIN(MAX(D592-E592-F592-G592-H592,0),'Tax Assumptions'!$B$20),0)</f>
        <v>0</v>
      </c>
      <c r="J592" s="171">
        <f t="shared" si="265"/>
        <v>-307049.23488293914</v>
      </c>
      <c r="K592" s="174">
        <f t="shared" si="266"/>
        <v>307049.23488293914</v>
      </c>
      <c r="L592" s="174">
        <f t="shared" si="267"/>
        <v>307049.23488293914</v>
      </c>
      <c r="M592" s="174">
        <f t="shared" si="273"/>
        <v>307049.23488293914</v>
      </c>
      <c r="N592" s="174">
        <f t="shared" si="274"/>
        <v>0</v>
      </c>
      <c r="O592" s="174">
        <f t="shared" si="275"/>
        <v>0</v>
      </c>
      <c r="P592" s="174">
        <f t="shared" si="276"/>
        <v>0</v>
      </c>
      <c r="Q592" s="171">
        <f t="shared" si="277"/>
        <v>5970128.4207273778</v>
      </c>
      <c r="R592" s="171">
        <f t="shared" si="278"/>
        <v>921750.24722855119</v>
      </c>
      <c r="S592" s="171">
        <f t="shared" si="279"/>
        <v>282168.44302914827</v>
      </c>
      <c r="T592" s="171">
        <f t="shared" si="280"/>
        <v>0</v>
      </c>
      <c r="U592" s="171">
        <f t="shared" si="268"/>
        <v>7174047.1109850779</v>
      </c>
      <c r="V592" s="171">
        <f t="shared" si="281"/>
        <v>0</v>
      </c>
      <c r="W592" s="171">
        <f>IF(OR(A592&gt;=$C$13,B592="Retired"),IF(V592&gt;0,-V592,U592-'Model Inputs'!$B$18),"")</f>
        <v>6174047.1109850779</v>
      </c>
      <c r="X592" s="171">
        <f t="shared" si="269"/>
        <v>2301934.0374826253</v>
      </c>
      <c r="Y592" s="171">
        <f t="shared" si="270"/>
        <v>442456.72157180589</v>
      </c>
      <c r="Z592" s="171">
        <f t="shared" si="271"/>
        <v>1859477.3159108195</v>
      </c>
      <c r="AA592" s="175">
        <f t="shared" si="272"/>
        <v>9033524.4268958978</v>
      </c>
      <c r="AB592" s="5"/>
      <c r="AC592" s="5"/>
      <c r="AD592" s="5"/>
      <c r="AE592" s="5"/>
      <c r="AF592" s="5"/>
      <c r="AG592" s="5"/>
    </row>
    <row r="593" spans="1:33" x14ac:dyDescent="0.2">
      <c r="A593" s="169">
        <v>29</v>
      </c>
      <c r="B593" s="100" t="str">
        <f t="shared" si="258"/>
        <v>Retired</v>
      </c>
      <c r="C593" s="170">
        <f t="shared" si="259"/>
        <v>0</v>
      </c>
      <c r="D593" s="170">
        <f t="shared" si="260"/>
        <v>0</v>
      </c>
      <c r="E593" s="170">
        <f t="shared" si="261"/>
        <v>0</v>
      </c>
      <c r="F593" s="170">
        <f t="shared" si="262"/>
        <v>0</v>
      </c>
      <c r="G593" s="171">
        <f t="shared" si="263"/>
        <v>0</v>
      </c>
      <c r="H593" s="171">
        <f t="shared" si="264"/>
        <v>108568.51134767765</v>
      </c>
      <c r="I593" s="171">
        <f>IF(B593="Working",MIN(MAX(D593-E593-F593-G593-H593,0),'Tax Assumptions'!$B$20),0)</f>
        <v>0</v>
      </c>
      <c r="J593" s="171">
        <f t="shared" si="265"/>
        <v>-308568.51134767768</v>
      </c>
      <c r="K593" s="170">
        <f t="shared" si="266"/>
        <v>308568.51134767768</v>
      </c>
      <c r="L593" s="170">
        <f t="shared" si="267"/>
        <v>308568.51134767768</v>
      </c>
      <c r="M593" s="170">
        <f t="shared" si="273"/>
        <v>308568.51134767768</v>
      </c>
      <c r="N593" s="170">
        <f t="shared" si="274"/>
        <v>0</v>
      </c>
      <c r="O593" s="170">
        <f t="shared" si="275"/>
        <v>0</v>
      </c>
      <c r="P593" s="170">
        <f t="shared" si="276"/>
        <v>0</v>
      </c>
      <c r="Q593" s="171">
        <f t="shared" si="277"/>
        <v>6019767.6146233436</v>
      </c>
      <c r="R593" s="171">
        <f t="shared" si="278"/>
        <v>977055.26206226426</v>
      </c>
      <c r="S593" s="171">
        <f t="shared" si="279"/>
        <v>299098.5496108972</v>
      </c>
      <c r="T593" s="171">
        <f t="shared" si="280"/>
        <v>0</v>
      </c>
      <c r="U593" s="171">
        <f t="shared" si="268"/>
        <v>7295921.4262965051</v>
      </c>
      <c r="V593" s="171">
        <f t="shared" si="281"/>
        <v>0</v>
      </c>
      <c r="W593" s="171">
        <f>IF(OR(A593&gt;=$C$13,B593="Retired"),IF(V593&gt;0,-V593,U593-'Model Inputs'!$B$18),"")</f>
        <v>6295921.4262965051</v>
      </c>
      <c r="X593" s="171">
        <f t="shared" si="269"/>
        <v>2370992.0586071042</v>
      </c>
      <c r="Y593" s="171">
        <f t="shared" si="270"/>
        <v>413971.01794410776</v>
      </c>
      <c r="Z593" s="171">
        <f t="shared" si="271"/>
        <v>1957021.0406629965</v>
      </c>
      <c r="AA593" s="172">
        <f t="shared" si="272"/>
        <v>9252942.4669595025</v>
      </c>
      <c r="AB593" s="5"/>
      <c r="AC593" s="5"/>
      <c r="AD593" s="5"/>
      <c r="AE593" s="5"/>
      <c r="AF593" s="5"/>
      <c r="AG593" s="5"/>
    </row>
    <row r="594" spans="1:33" x14ac:dyDescent="0.2">
      <c r="A594" s="173">
        <v>30</v>
      </c>
      <c r="B594" s="65" t="str">
        <f t="shared" si="258"/>
        <v>Retired</v>
      </c>
      <c r="C594" s="174">
        <f t="shared" si="259"/>
        <v>0</v>
      </c>
      <c r="D594" s="174">
        <f t="shared" si="260"/>
        <v>0</v>
      </c>
      <c r="E594" s="174">
        <f t="shared" si="261"/>
        <v>0</v>
      </c>
      <c r="F594" s="174">
        <f t="shared" si="262"/>
        <v>0</v>
      </c>
      <c r="G594" s="171">
        <f t="shared" si="263"/>
        <v>0</v>
      </c>
      <c r="H594" s="171">
        <f t="shared" si="264"/>
        <v>110133.36610635833</v>
      </c>
      <c r="I594" s="171">
        <f>IF(B594="Working",MIN(MAX(D594-E594-F594-G594-H594,0),'Tax Assumptions'!$B$20),0)</f>
        <v>0</v>
      </c>
      <c r="J594" s="171">
        <f t="shared" si="265"/>
        <v>-310133.36610635836</v>
      </c>
      <c r="K594" s="174">
        <f t="shared" si="266"/>
        <v>310133.36610635836</v>
      </c>
      <c r="L594" s="174">
        <f t="shared" si="267"/>
        <v>310133.36610635836</v>
      </c>
      <c r="M594" s="174">
        <f t="shared" si="273"/>
        <v>310133.36610635836</v>
      </c>
      <c r="N594" s="174">
        <f t="shared" si="274"/>
        <v>0</v>
      </c>
      <c r="O594" s="174">
        <f t="shared" si="275"/>
        <v>0</v>
      </c>
      <c r="P594" s="174">
        <f t="shared" si="276"/>
        <v>0</v>
      </c>
      <c r="Q594" s="171">
        <f t="shared" si="277"/>
        <v>6070820.3053943859</v>
      </c>
      <c r="R594" s="171">
        <f t="shared" si="278"/>
        <v>1035678.5777860002</v>
      </c>
      <c r="S594" s="171">
        <f t="shared" si="279"/>
        <v>317044.46258755104</v>
      </c>
      <c r="T594" s="171">
        <f t="shared" si="280"/>
        <v>0</v>
      </c>
      <c r="U594" s="171">
        <f t="shared" si="268"/>
        <v>7423543.3457679376</v>
      </c>
      <c r="V594" s="171">
        <f t="shared" si="281"/>
        <v>0</v>
      </c>
      <c r="W594" s="171">
        <f>IF(OR(A594&gt;=$C$13,B594="Retired"),IF(V594&gt;0,-V594,U594-'Model Inputs'!$B$18),"")</f>
        <v>6423543.3457679376</v>
      </c>
      <c r="X594" s="171">
        <f t="shared" si="269"/>
        <v>2442121.8203653172</v>
      </c>
      <c r="Y594" s="171">
        <f t="shared" si="270"/>
        <v>383577.57398886699</v>
      </c>
      <c r="Z594" s="171">
        <f t="shared" si="271"/>
        <v>2058544.2463764502</v>
      </c>
      <c r="AA594" s="175">
        <f t="shared" si="272"/>
        <v>9482087.5921443887</v>
      </c>
      <c r="AB594" s="5"/>
      <c r="AC594" s="5"/>
      <c r="AD594" s="5"/>
      <c r="AE594" s="5"/>
      <c r="AF594" s="5"/>
      <c r="AG594" s="5"/>
    </row>
    <row r="595" spans="1:33" x14ac:dyDescent="0.2">
      <c r="A595" s="169">
        <v>31</v>
      </c>
      <c r="B595" s="100" t="str">
        <f t="shared" si="258"/>
        <v>Retired</v>
      </c>
      <c r="C595" s="170">
        <f t="shared" si="259"/>
        <v>0</v>
      </c>
      <c r="D595" s="170">
        <f t="shared" si="260"/>
        <v>0</v>
      </c>
      <c r="E595" s="170">
        <f t="shared" si="261"/>
        <v>0</v>
      </c>
      <c r="F595" s="170">
        <f t="shared" si="262"/>
        <v>0</v>
      </c>
      <c r="G595" s="171">
        <f t="shared" si="263"/>
        <v>0</v>
      </c>
      <c r="H595" s="171">
        <f t="shared" si="264"/>
        <v>111745.16650779944</v>
      </c>
      <c r="I595" s="171">
        <f>IF(B595="Working",MIN(MAX(D595-E595-F595-G595-H595,0),'Tax Assumptions'!$B$20),0)</f>
        <v>0</v>
      </c>
      <c r="J595" s="171">
        <f t="shared" si="265"/>
        <v>-311745.16650779941</v>
      </c>
      <c r="K595" s="170">
        <f t="shared" si="266"/>
        <v>311745.16650779941</v>
      </c>
      <c r="L595" s="170">
        <f t="shared" si="267"/>
        <v>311745.16650779941</v>
      </c>
      <c r="M595" s="170">
        <f t="shared" si="273"/>
        <v>311745.16650779941</v>
      </c>
      <c r="N595" s="170">
        <f t="shared" si="274"/>
        <v>0</v>
      </c>
      <c r="O595" s="170">
        <f t="shared" si="275"/>
        <v>0</v>
      </c>
      <c r="P595" s="170">
        <f t="shared" si="276"/>
        <v>0</v>
      </c>
      <c r="Q595" s="171">
        <f t="shared" si="277"/>
        <v>6123324.3572102506</v>
      </c>
      <c r="R595" s="171">
        <f t="shared" si="278"/>
        <v>1097819.2924531603</v>
      </c>
      <c r="S595" s="171">
        <f t="shared" si="279"/>
        <v>336067.13034280413</v>
      </c>
      <c r="T595" s="171">
        <f t="shared" si="280"/>
        <v>0</v>
      </c>
      <c r="U595" s="171">
        <f t="shared" si="268"/>
        <v>7557210.780006215</v>
      </c>
      <c r="V595" s="171">
        <f t="shared" si="281"/>
        <v>0</v>
      </c>
      <c r="W595" s="171">
        <f>IF(OR(A595&gt;=$C$13,B595="Retired"),IF(V595&gt;0,-V595,U595-'Model Inputs'!$B$18),"")</f>
        <v>6557210.780006215</v>
      </c>
      <c r="X595" s="171">
        <f t="shared" si="269"/>
        <v>2515385.4749762765</v>
      </c>
      <c r="Y595" s="171">
        <f t="shared" si="270"/>
        <v>351148.62480320875</v>
      </c>
      <c r="Z595" s="171">
        <f t="shared" si="271"/>
        <v>2164236.8501730678</v>
      </c>
      <c r="AA595" s="172">
        <f t="shared" si="272"/>
        <v>9721447.6301792823</v>
      </c>
      <c r="AB595" s="5"/>
      <c r="AC595" s="5"/>
      <c r="AD595" s="5"/>
      <c r="AE595" s="5"/>
      <c r="AF595" s="5"/>
      <c r="AG595" s="5"/>
    </row>
    <row r="596" spans="1:33" x14ac:dyDescent="0.2">
      <c r="A596" s="173">
        <v>32</v>
      </c>
      <c r="B596" s="65" t="str">
        <f t="shared" si="258"/>
        <v>Retired</v>
      </c>
      <c r="C596" s="174">
        <f t="shared" si="259"/>
        <v>0</v>
      </c>
      <c r="D596" s="174">
        <f t="shared" si="260"/>
        <v>0</v>
      </c>
      <c r="E596" s="174">
        <f t="shared" si="261"/>
        <v>0</v>
      </c>
      <c r="F596" s="174">
        <f t="shared" si="262"/>
        <v>0</v>
      </c>
      <c r="G596" s="171">
        <f t="shared" si="263"/>
        <v>0</v>
      </c>
      <c r="H596" s="171">
        <f t="shared" si="264"/>
        <v>113405.3209212838</v>
      </c>
      <c r="I596" s="171">
        <f>IF(B596="Working",MIN(MAX(D596-E596-F596-G596-H596,0),'Tax Assumptions'!$B$20),0)</f>
        <v>0</v>
      </c>
      <c r="J596" s="171">
        <f t="shared" si="265"/>
        <v>-313405.3209212838</v>
      </c>
      <c r="K596" s="174">
        <f t="shared" si="266"/>
        <v>313405.3209212838</v>
      </c>
      <c r="L596" s="174">
        <f t="shared" si="267"/>
        <v>313405.3209212838</v>
      </c>
      <c r="M596" s="174">
        <f t="shared" si="273"/>
        <v>313405.3209212838</v>
      </c>
      <c r="N596" s="174">
        <f t="shared" si="274"/>
        <v>0</v>
      </c>
      <c r="O596" s="174">
        <f t="shared" si="275"/>
        <v>0</v>
      </c>
      <c r="P596" s="174">
        <f t="shared" si="276"/>
        <v>0</v>
      </c>
      <c r="Q596" s="171">
        <f t="shared" si="277"/>
        <v>6177318.4977215817</v>
      </c>
      <c r="R596" s="171">
        <f t="shared" si="278"/>
        <v>1163688.4500003499</v>
      </c>
      <c r="S596" s="171">
        <f t="shared" si="279"/>
        <v>356231.15816337237</v>
      </c>
      <c r="T596" s="171">
        <f t="shared" si="280"/>
        <v>0</v>
      </c>
      <c r="U596" s="171">
        <f t="shared" si="268"/>
        <v>7697238.1058853045</v>
      </c>
      <c r="V596" s="171">
        <f t="shared" si="281"/>
        <v>0</v>
      </c>
      <c r="W596" s="171">
        <f>IF(OR(A596&gt;=$C$13,B596="Retired"),IF(V596&gt;0,-V596,U596-'Model Inputs'!$B$18),"")</f>
        <v>6697238.1058853045</v>
      </c>
      <c r="X596" s="171">
        <f t="shared" si="269"/>
        <v>2590847.0392255653</v>
      </c>
      <c r="Y596" s="171">
        <f t="shared" si="270"/>
        <v>316547.84883208992</v>
      </c>
      <c r="Z596" s="171">
        <f t="shared" si="271"/>
        <v>2274299.1903934753</v>
      </c>
      <c r="AA596" s="175">
        <f t="shared" si="272"/>
        <v>9971537.2962787803</v>
      </c>
      <c r="AB596" s="5"/>
      <c r="AC596" s="5"/>
      <c r="AD596" s="5"/>
      <c r="AE596" s="5"/>
      <c r="AF596" s="5"/>
      <c r="AG596" s="5"/>
    </row>
    <row r="597" spans="1:33" x14ac:dyDescent="0.2">
      <c r="A597" s="169">
        <v>33</v>
      </c>
      <c r="B597" s="100" t="str">
        <f t="shared" si="258"/>
        <v>Retired</v>
      </c>
      <c r="C597" s="170">
        <f t="shared" si="259"/>
        <v>0</v>
      </c>
      <c r="D597" s="170">
        <f t="shared" si="260"/>
        <v>0</v>
      </c>
      <c r="E597" s="170">
        <f t="shared" si="261"/>
        <v>0</v>
      </c>
      <c r="F597" s="170">
        <f t="shared" si="262"/>
        <v>0</v>
      </c>
      <c r="G597" s="171">
        <f t="shared" si="263"/>
        <v>0</v>
      </c>
      <c r="H597" s="171">
        <f t="shared" si="264"/>
        <v>115115.27996717265</v>
      </c>
      <c r="I597" s="171">
        <f>IF(B597="Working",MIN(MAX(D597-E597-F597-G597-H597,0),'Tax Assumptions'!$B$20),0)</f>
        <v>0</v>
      </c>
      <c r="J597" s="171">
        <f t="shared" si="265"/>
        <v>-315115.27996717265</v>
      </c>
      <c r="K597" s="170">
        <f t="shared" si="266"/>
        <v>315115.27996717265</v>
      </c>
      <c r="L597" s="170">
        <f t="shared" si="267"/>
        <v>315115.27996717265</v>
      </c>
      <c r="M597" s="170">
        <f t="shared" si="273"/>
        <v>315115.27996717265</v>
      </c>
      <c r="N597" s="170">
        <f t="shared" si="274"/>
        <v>0</v>
      </c>
      <c r="O597" s="170">
        <f t="shared" si="275"/>
        <v>0</v>
      </c>
      <c r="P597" s="170">
        <f t="shared" si="276"/>
        <v>0</v>
      </c>
      <c r="Q597" s="171">
        <f t="shared" si="277"/>
        <v>6232842.3276177039</v>
      </c>
      <c r="R597" s="171">
        <f t="shared" si="278"/>
        <v>1233509.7570003709</v>
      </c>
      <c r="S597" s="171">
        <f t="shared" si="279"/>
        <v>377605.02765317471</v>
      </c>
      <c r="T597" s="171">
        <f t="shared" si="280"/>
        <v>0</v>
      </c>
      <c r="U597" s="171">
        <f t="shared" si="268"/>
        <v>7843957.1122712493</v>
      </c>
      <c r="V597" s="171">
        <f t="shared" si="281"/>
        <v>0</v>
      </c>
      <c r="W597" s="171">
        <f>IF(OR(A597&gt;=$C$13,B597="Retired"),IF(V597&gt;0,-V597,U597-'Model Inputs'!$B$18),"")</f>
        <v>6843957.1122712493</v>
      </c>
      <c r="X597" s="171">
        <f t="shared" si="269"/>
        <v>2668572.450402332</v>
      </c>
      <c r="Y597" s="171">
        <f t="shared" si="270"/>
        <v>279629.79481346067</v>
      </c>
      <c r="Z597" s="171">
        <f t="shared" si="271"/>
        <v>2388942.6555888713</v>
      </c>
      <c r="AA597" s="172">
        <f t="shared" si="272"/>
        <v>10232899.76786012</v>
      </c>
      <c r="AB597" s="5"/>
      <c r="AC597" s="5"/>
      <c r="AD597" s="5"/>
      <c r="AE597" s="5"/>
      <c r="AF597" s="5"/>
      <c r="AG597" s="5"/>
    </row>
    <row r="598" spans="1:33" x14ac:dyDescent="0.2">
      <c r="A598" s="173">
        <v>34</v>
      </c>
      <c r="B598" s="65" t="str">
        <f t="shared" si="258"/>
        <v>Retired</v>
      </c>
      <c r="C598" s="174">
        <f t="shared" si="259"/>
        <v>0</v>
      </c>
      <c r="D598" s="174">
        <f t="shared" si="260"/>
        <v>0</v>
      </c>
      <c r="E598" s="174">
        <f t="shared" si="261"/>
        <v>0</v>
      </c>
      <c r="F598" s="174">
        <f t="shared" si="262"/>
        <v>0</v>
      </c>
      <c r="G598" s="171">
        <f t="shared" si="263"/>
        <v>0</v>
      </c>
      <c r="H598" s="171">
        <f t="shared" si="264"/>
        <v>116876.5377844382</v>
      </c>
      <c r="I598" s="171">
        <f>IF(B598="Working",MIN(MAX(D598-E598-F598-G598-H598,0),'Tax Assumptions'!$B$20),0)</f>
        <v>0</v>
      </c>
      <c r="J598" s="171">
        <f t="shared" si="265"/>
        <v>-316876.53778443823</v>
      </c>
      <c r="K598" s="174">
        <f t="shared" si="266"/>
        <v>316876.53778443823</v>
      </c>
      <c r="L598" s="174">
        <f t="shared" si="267"/>
        <v>316876.53778443823</v>
      </c>
      <c r="M598" s="174">
        <f t="shared" si="273"/>
        <v>316876.53778443823</v>
      </c>
      <c r="N598" s="174">
        <f t="shared" si="274"/>
        <v>0</v>
      </c>
      <c r="O598" s="174">
        <f t="shared" si="275"/>
        <v>0</v>
      </c>
      <c r="P598" s="174">
        <f t="shared" si="276"/>
        <v>0</v>
      </c>
      <c r="Q598" s="171">
        <f t="shared" si="277"/>
        <v>6289936.3294903282</v>
      </c>
      <c r="R598" s="171">
        <f t="shared" si="278"/>
        <v>1307520.3424203931</v>
      </c>
      <c r="S598" s="171">
        <f t="shared" si="279"/>
        <v>400261.32931236521</v>
      </c>
      <c r="T598" s="171">
        <f t="shared" si="280"/>
        <v>0</v>
      </c>
      <c r="U598" s="171">
        <f t="shared" si="268"/>
        <v>7997718.0012230873</v>
      </c>
      <c r="V598" s="171">
        <f t="shared" si="281"/>
        <v>0</v>
      </c>
      <c r="W598" s="171">
        <f>IF(OR(A598&gt;=$C$13,B598="Retired"),IF(V598&gt;0,-V598,U598-'Model Inputs'!$B$18),"")</f>
        <v>6997718.0012230873</v>
      </c>
      <c r="X598" s="171">
        <f t="shared" si="269"/>
        <v>2748629.623914402</v>
      </c>
      <c r="Y598" s="171">
        <f t="shared" si="270"/>
        <v>240239.27034487389</v>
      </c>
      <c r="Z598" s="171">
        <f t="shared" si="271"/>
        <v>2508390.3535695281</v>
      </c>
      <c r="AA598" s="175">
        <f t="shared" si="272"/>
        <v>10506108.354792615</v>
      </c>
      <c r="AB598" s="5"/>
      <c r="AC598" s="5"/>
      <c r="AD598" s="5"/>
      <c r="AE598" s="5"/>
      <c r="AF598" s="5"/>
      <c r="AG598" s="5"/>
    </row>
    <row r="599" spans="1:33" x14ac:dyDescent="0.2">
      <c r="A599" s="169">
        <v>35</v>
      </c>
      <c r="B599" s="100" t="str">
        <f t="shared" si="258"/>
        <v>Retired</v>
      </c>
      <c r="C599" s="170">
        <f t="shared" si="259"/>
        <v>0</v>
      </c>
      <c r="D599" s="170">
        <f t="shared" si="260"/>
        <v>0</v>
      </c>
      <c r="E599" s="170">
        <f t="shared" si="261"/>
        <v>0</v>
      </c>
      <c r="F599" s="170">
        <f t="shared" si="262"/>
        <v>0</v>
      </c>
      <c r="G599" s="171">
        <f t="shared" si="263"/>
        <v>0</v>
      </c>
      <c r="H599" s="171">
        <f t="shared" si="264"/>
        <v>118690.63333622168</v>
      </c>
      <c r="I599" s="171">
        <f>IF(B599="Working",MIN(MAX(D599-E599-F599-G599-H599,0),'Tax Assumptions'!$B$20),0)</f>
        <v>0</v>
      </c>
      <c r="J599" s="171">
        <f t="shared" si="265"/>
        <v>-318690.63333622168</v>
      </c>
      <c r="K599" s="170">
        <f t="shared" si="266"/>
        <v>318690.63333622168</v>
      </c>
      <c r="L599" s="170">
        <f t="shared" si="267"/>
        <v>318690.63333622168</v>
      </c>
      <c r="M599" s="170">
        <f t="shared" si="273"/>
        <v>318690.63333622168</v>
      </c>
      <c r="N599" s="170">
        <f t="shared" si="274"/>
        <v>0</v>
      </c>
      <c r="O599" s="170">
        <f t="shared" si="275"/>
        <v>0</v>
      </c>
      <c r="P599" s="170">
        <f t="shared" si="276"/>
        <v>0</v>
      </c>
      <c r="Q599" s="171">
        <f t="shared" si="277"/>
        <v>6348641.8759235265</v>
      </c>
      <c r="R599" s="171">
        <f t="shared" si="278"/>
        <v>1385971.5629656168</v>
      </c>
      <c r="S599" s="171">
        <f t="shared" si="279"/>
        <v>424277.00907110714</v>
      </c>
      <c r="T599" s="171">
        <f t="shared" si="280"/>
        <v>0</v>
      </c>
      <c r="U599" s="171">
        <f t="shared" si="268"/>
        <v>8158890.4479602501</v>
      </c>
      <c r="V599" s="171">
        <f t="shared" si="281"/>
        <v>0</v>
      </c>
      <c r="W599" s="171">
        <f>IF(OR(A599&gt;=$C$13,B599="Retired"),IF(V599&gt;0,-V599,U599-'Model Inputs'!$B$18),"")</f>
        <v>7158890.4479602501</v>
      </c>
      <c r="X599" s="171">
        <f t="shared" si="269"/>
        <v>2831088.5126318336</v>
      </c>
      <c r="Y599" s="171">
        <f t="shared" si="270"/>
        <v>198210.68950127438</v>
      </c>
      <c r="Z599" s="171">
        <f t="shared" si="271"/>
        <v>2632877.8231305592</v>
      </c>
      <c r="AA599" s="172">
        <f t="shared" si="272"/>
        <v>10791768.271090809</v>
      </c>
      <c r="AB599" s="5"/>
      <c r="AC599" s="5"/>
      <c r="AD599" s="5"/>
      <c r="AE599" s="5"/>
      <c r="AF599" s="5"/>
      <c r="AG599" s="5"/>
    </row>
    <row r="600" spans="1:33" x14ac:dyDescent="0.2">
      <c r="A600" s="173">
        <v>36</v>
      </c>
      <c r="B600" s="65" t="str">
        <f t="shared" si="258"/>
        <v>Retired</v>
      </c>
      <c r="C600" s="174">
        <f t="shared" si="259"/>
        <v>0</v>
      </c>
      <c r="D600" s="174">
        <f t="shared" si="260"/>
        <v>0</v>
      </c>
      <c r="E600" s="174">
        <f t="shared" si="261"/>
        <v>0</v>
      </c>
      <c r="F600" s="174">
        <f t="shared" si="262"/>
        <v>0</v>
      </c>
      <c r="G600" s="171">
        <f t="shared" si="263"/>
        <v>0</v>
      </c>
      <c r="H600" s="171">
        <f t="shared" si="264"/>
        <v>120559.15175455873</v>
      </c>
      <c r="I600" s="171">
        <f>IF(B600="Working",MIN(MAX(D600-E600-F600-G600-H600,0),'Tax Assumptions'!$B$20),0)</f>
        <v>0</v>
      </c>
      <c r="J600" s="171">
        <f t="shared" si="265"/>
        <v>-320559.15175455873</v>
      </c>
      <c r="K600" s="174">
        <f t="shared" si="266"/>
        <v>320559.15175455873</v>
      </c>
      <c r="L600" s="174">
        <f t="shared" si="267"/>
        <v>320559.15175455873</v>
      </c>
      <c r="M600" s="174">
        <f t="shared" si="273"/>
        <v>320559.15175455873</v>
      </c>
      <c r="N600" s="174">
        <f t="shared" si="274"/>
        <v>0</v>
      </c>
      <c r="O600" s="174">
        <f t="shared" si="275"/>
        <v>0</v>
      </c>
      <c r="P600" s="174">
        <f t="shared" si="276"/>
        <v>0</v>
      </c>
      <c r="Q600" s="171">
        <f t="shared" si="277"/>
        <v>6409001.2367243795</v>
      </c>
      <c r="R600" s="171">
        <f t="shared" si="278"/>
        <v>1469129.8567435539</v>
      </c>
      <c r="S600" s="171">
        <f t="shared" si="279"/>
        <v>449733.62961537362</v>
      </c>
      <c r="T600" s="171">
        <f t="shared" si="280"/>
        <v>0</v>
      </c>
      <c r="U600" s="171">
        <f t="shared" si="268"/>
        <v>8327864.723083307</v>
      </c>
      <c r="V600" s="171">
        <f t="shared" si="281"/>
        <v>0</v>
      </c>
      <c r="W600" s="171">
        <f>IF(OR(A600&gt;=$C$13,B600="Retired"),IF(V600&gt;0,-V600,U600-'Model Inputs'!$B$18),"")</f>
        <v>7327864.723083307</v>
      </c>
      <c r="X600" s="171">
        <f t="shared" si="269"/>
        <v>2916021.1680107894</v>
      </c>
      <c r="Y600" s="171">
        <f t="shared" si="270"/>
        <v>153367.3767615403</v>
      </c>
      <c r="Z600" s="171">
        <f t="shared" si="271"/>
        <v>2762653.7912492491</v>
      </c>
      <c r="AA600" s="175">
        <f t="shared" si="272"/>
        <v>11090518.514332555</v>
      </c>
      <c r="AB600" s="5"/>
      <c r="AC600" s="5"/>
      <c r="AD600" s="5"/>
      <c r="AE600" s="5"/>
      <c r="AF600" s="5"/>
      <c r="AG600" s="5"/>
    </row>
    <row r="601" spans="1:33" x14ac:dyDescent="0.2">
      <c r="A601" s="169">
        <v>37</v>
      </c>
      <c r="B601" s="100" t="str">
        <f t="shared" si="258"/>
        <v>Retired</v>
      </c>
      <c r="C601" s="170">
        <f t="shared" si="259"/>
        <v>0</v>
      </c>
      <c r="D601" s="170">
        <f t="shared" si="260"/>
        <v>0</v>
      </c>
      <c r="E601" s="170">
        <f t="shared" si="261"/>
        <v>0</v>
      </c>
      <c r="F601" s="170">
        <f t="shared" si="262"/>
        <v>0</v>
      </c>
      <c r="G601" s="171">
        <f t="shared" si="263"/>
        <v>0</v>
      </c>
      <c r="H601" s="171">
        <f t="shared" si="264"/>
        <v>122483.72572544584</v>
      </c>
      <c r="I601" s="171">
        <f>IF(B601="Working",MIN(MAX(D601-E601-F601-G601-H601,0),'Tax Assumptions'!$B$20),0)</f>
        <v>0</v>
      </c>
      <c r="J601" s="171">
        <f t="shared" si="265"/>
        <v>-322483.72572544584</v>
      </c>
      <c r="K601" s="170">
        <f t="shared" si="266"/>
        <v>322483.72572544584</v>
      </c>
      <c r="L601" s="170">
        <f t="shared" si="267"/>
        <v>322483.72572544584</v>
      </c>
      <c r="M601" s="170">
        <f t="shared" si="273"/>
        <v>322483.72572544584</v>
      </c>
      <c r="N601" s="170">
        <f t="shared" si="274"/>
        <v>0</v>
      </c>
      <c r="O601" s="170">
        <f t="shared" si="275"/>
        <v>0</v>
      </c>
      <c r="P601" s="170">
        <f t="shared" si="276"/>
        <v>0</v>
      </c>
      <c r="Q601" s="171">
        <f t="shared" si="277"/>
        <v>6471057.5852023968</v>
      </c>
      <c r="R601" s="171">
        <f t="shared" si="278"/>
        <v>1557277.6481481672</v>
      </c>
      <c r="S601" s="171">
        <f t="shared" si="279"/>
        <v>476717.64739229606</v>
      </c>
      <c r="T601" s="171">
        <f t="shared" si="280"/>
        <v>0</v>
      </c>
      <c r="U601" s="171">
        <f t="shared" si="268"/>
        <v>8505052.8807428591</v>
      </c>
      <c r="V601" s="171">
        <f t="shared" si="281"/>
        <v>0</v>
      </c>
      <c r="W601" s="171">
        <f>IF(OR(A601&gt;=$C$13,B601="Retired"),IF(V601&gt;0,-V601,U601-'Model Inputs'!$B$18),"")</f>
        <v>7505052.8807428591</v>
      </c>
      <c r="X601" s="171">
        <f t="shared" si="269"/>
        <v>3003501.8030511127</v>
      </c>
      <c r="Y601" s="171">
        <f t="shared" si="270"/>
        <v>105520.8243176965</v>
      </c>
      <c r="Z601" s="171">
        <f t="shared" si="271"/>
        <v>2897980.9787334162</v>
      </c>
      <c r="AA601" s="172">
        <f t="shared" si="272"/>
        <v>11403033.859476276</v>
      </c>
      <c r="AB601" s="5"/>
      <c r="AC601" s="5"/>
      <c r="AD601" s="5"/>
      <c r="AE601" s="5"/>
      <c r="AF601" s="5"/>
      <c r="AG601" s="5"/>
    </row>
    <row r="602" spans="1:33" x14ac:dyDescent="0.2">
      <c r="A602" s="173">
        <v>38</v>
      </c>
      <c r="B602" s="65" t="str">
        <f t="shared" si="258"/>
        <v>Retired</v>
      </c>
      <c r="C602" s="174">
        <f t="shared" si="259"/>
        <v>0</v>
      </c>
      <c r="D602" s="174">
        <f t="shared" si="260"/>
        <v>0</v>
      </c>
      <c r="E602" s="174">
        <f t="shared" si="261"/>
        <v>0</v>
      </c>
      <c r="F602" s="174">
        <f t="shared" si="262"/>
        <v>0</v>
      </c>
      <c r="G602" s="171">
        <f t="shared" si="263"/>
        <v>0</v>
      </c>
      <c r="H602" s="171">
        <f t="shared" si="264"/>
        <v>124466.03691545957</v>
      </c>
      <c r="I602" s="171">
        <f>IF(B602="Working",MIN(MAX(D602-E602-F602-G602-H602,0),'Tax Assumptions'!$B$20),0)</f>
        <v>0</v>
      </c>
      <c r="J602" s="171">
        <f t="shared" si="265"/>
        <v>-324466.03691545955</v>
      </c>
      <c r="K602" s="174">
        <f t="shared" si="266"/>
        <v>324466.03691545955</v>
      </c>
      <c r="L602" s="174">
        <f t="shared" si="267"/>
        <v>324466.03691545955</v>
      </c>
      <c r="M602" s="174">
        <f t="shared" si="273"/>
        <v>324466.03691545955</v>
      </c>
      <c r="N602" s="174">
        <f t="shared" si="274"/>
        <v>0</v>
      </c>
      <c r="O602" s="174">
        <f t="shared" si="275"/>
        <v>0</v>
      </c>
      <c r="P602" s="174">
        <f t="shared" si="276"/>
        <v>0</v>
      </c>
      <c r="Q602" s="171">
        <f t="shared" si="277"/>
        <v>6534855.0033990815</v>
      </c>
      <c r="R602" s="171">
        <f t="shared" si="278"/>
        <v>1650714.3070370574</v>
      </c>
      <c r="S602" s="171">
        <f t="shared" si="279"/>
        <v>505320.70623583387</v>
      </c>
      <c r="T602" s="171">
        <f t="shared" si="280"/>
        <v>0</v>
      </c>
      <c r="U602" s="171">
        <f t="shared" si="268"/>
        <v>8690890.0166719723</v>
      </c>
      <c r="V602" s="171">
        <f t="shared" si="281"/>
        <v>0</v>
      </c>
      <c r="W602" s="171">
        <f>IF(OR(A602&gt;=$C$13,B602="Retired"),IF(V602&gt;0,-V602,U602-'Model Inputs'!$B$18),"")</f>
        <v>7690890.0166719723</v>
      </c>
      <c r="X602" s="171">
        <f t="shared" si="269"/>
        <v>3093606.8571426459</v>
      </c>
      <c r="Y602" s="171">
        <f t="shared" si="270"/>
        <v>54469.899644752033</v>
      </c>
      <c r="Z602" s="171">
        <f t="shared" si="271"/>
        <v>3039136.9574978938</v>
      </c>
      <c r="AA602" s="175">
        <f t="shared" si="272"/>
        <v>11730026.974169865</v>
      </c>
      <c r="AB602" s="5"/>
      <c r="AC602" s="5"/>
      <c r="AD602" s="5"/>
      <c r="AE602" s="5"/>
      <c r="AF602" s="5"/>
      <c r="AG602" s="5"/>
    </row>
    <row r="603" spans="1:33" x14ac:dyDescent="0.2">
      <c r="A603" s="169">
        <v>39</v>
      </c>
      <c r="B603" s="100" t="str">
        <f t="shared" si="258"/>
        <v>Retired</v>
      </c>
      <c r="C603" s="170">
        <f t="shared" si="259"/>
        <v>0</v>
      </c>
      <c r="D603" s="170">
        <f t="shared" si="260"/>
        <v>0</v>
      </c>
      <c r="E603" s="170">
        <f t="shared" si="261"/>
        <v>0</v>
      </c>
      <c r="F603" s="170">
        <f t="shared" si="262"/>
        <v>0</v>
      </c>
      <c r="G603" s="171">
        <f t="shared" si="263"/>
        <v>0</v>
      </c>
      <c r="H603" s="171">
        <f t="shared" si="264"/>
        <v>126507.81744117371</v>
      </c>
      <c r="I603" s="171">
        <f>IF(B603="Working",MIN(MAX(D603-E603-F603-G603-H603,0),'Tax Assumptions'!$B$20),0)</f>
        <v>0</v>
      </c>
      <c r="J603" s="171">
        <f t="shared" si="265"/>
        <v>-326507.81744117371</v>
      </c>
      <c r="K603" s="170">
        <f t="shared" si="266"/>
        <v>326507.81744117371</v>
      </c>
      <c r="L603" s="170">
        <f t="shared" si="267"/>
        <v>326507.81744117371</v>
      </c>
      <c r="M603" s="170">
        <f t="shared" si="273"/>
        <v>326507.81744117371</v>
      </c>
      <c r="N603" s="170">
        <f t="shared" si="274"/>
        <v>0</v>
      </c>
      <c r="O603" s="170">
        <f t="shared" si="275"/>
        <v>0</v>
      </c>
      <c r="P603" s="170">
        <f t="shared" si="276"/>
        <v>0</v>
      </c>
      <c r="Q603" s="171">
        <f t="shared" si="277"/>
        <v>6600438.4861618532</v>
      </c>
      <c r="R603" s="171">
        <f t="shared" si="278"/>
        <v>1749757.1654592808</v>
      </c>
      <c r="S603" s="171">
        <f t="shared" si="279"/>
        <v>535639.9486099839</v>
      </c>
      <c r="T603" s="171">
        <f t="shared" si="280"/>
        <v>0</v>
      </c>
      <c r="U603" s="171">
        <f t="shared" si="268"/>
        <v>8885835.6002311185</v>
      </c>
      <c r="V603" s="171">
        <f t="shared" si="281"/>
        <v>0</v>
      </c>
      <c r="W603" s="171">
        <f>IF(OR(A603&gt;=$C$13,B603="Retired"),IF(V603&gt;0,-V603,U603-'Model Inputs'!$B$18),"")</f>
        <v>7885835.6002311185</v>
      </c>
      <c r="X603" s="171">
        <f t="shared" si="269"/>
        <v>3186415.0628569252</v>
      </c>
      <c r="Y603" s="171">
        <f t="shared" si="270"/>
        <v>0</v>
      </c>
      <c r="Z603" s="171">
        <f t="shared" si="271"/>
        <v>3186415.0628569252</v>
      </c>
      <c r="AA603" s="172">
        <f t="shared" si="272"/>
        <v>12072250.663088044</v>
      </c>
      <c r="AB603" s="5"/>
      <c r="AC603" s="5"/>
      <c r="AD603" s="5"/>
      <c r="AE603" s="5"/>
      <c r="AF603" s="5"/>
      <c r="AG603" s="5"/>
    </row>
    <row r="604" spans="1:33" x14ac:dyDescent="0.2">
      <c r="A604" s="173">
        <v>40</v>
      </c>
      <c r="B604" s="65" t="str">
        <f t="shared" si="258"/>
        <v>Retired</v>
      </c>
      <c r="C604" s="174">
        <f t="shared" si="259"/>
        <v>0</v>
      </c>
      <c r="D604" s="174">
        <f t="shared" si="260"/>
        <v>0</v>
      </c>
      <c r="E604" s="174">
        <f t="shared" si="261"/>
        <v>0</v>
      </c>
      <c r="F604" s="174">
        <f t="shared" si="262"/>
        <v>0</v>
      </c>
      <c r="G604" s="171">
        <f t="shared" si="263"/>
        <v>0</v>
      </c>
      <c r="H604" s="171">
        <f t="shared" si="264"/>
        <v>72204.165324337926</v>
      </c>
      <c r="I604" s="171">
        <f>IF(B604="Working",MIN(MAX(D604-E604-F604-G604-H604,0),'Tax Assumptions'!$B$20),0)</f>
        <v>0</v>
      </c>
      <c r="J604" s="171">
        <f t="shared" si="265"/>
        <v>-272204.1653243379</v>
      </c>
      <c r="K604" s="174">
        <f t="shared" si="266"/>
        <v>272204.1653243379</v>
      </c>
      <c r="L604" s="174">
        <f t="shared" si="267"/>
        <v>272204.1653243379</v>
      </c>
      <c r="M604" s="174">
        <f t="shared" si="273"/>
        <v>272204.1653243379</v>
      </c>
      <c r="N604" s="174">
        <f t="shared" si="274"/>
        <v>0</v>
      </c>
      <c r="O604" s="174">
        <f t="shared" si="275"/>
        <v>0</v>
      </c>
      <c r="P604" s="174">
        <f t="shared" si="276"/>
        <v>0</v>
      </c>
      <c r="Q604" s="171">
        <f t="shared" si="277"/>
        <v>6724260.630007227</v>
      </c>
      <c r="R604" s="171">
        <f t="shared" si="278"/>
        <v>1854742.5953868378</v>
      </c>
      <c r="S604" s="171">
        <f t="shared" si="279"/>
        <v>567778.34552658291</v>
      </c>
      <c r="T604" s="171">
        <f t="shared" si="280"/>
        <v>0</v>
      </c>
      <c r="U604" s="171">
        <f t="shared" si="268"/>
        <v>9146781.5709206481</v>
      </c>
      <c r="V604" s="171">
        <f t="shared" si="281"/>
        <v>0</v>
      </c>
      <c r="W604" s="171">
        <f>IF(OR(A604&gt;=$C$13,B604="Retired"),IF(V604&gt;0,-V604,U604-'Model Inputs'!$B$18),"")</f>
        <v>8146781.5709206481</v>
      </c>
      <c r="X604" s="171">
        <f t="shared" si="269"/>
        <v>3282007.5147426329</v>
      </c>
      <c r="Y604" s="171">
        <f t="shared" si="270"/>
        <v>0</v>
      </c>
      <c r="Z604" s="171">
        <f t="shared" si="271"/>
        <v>3282007.5147426329</v>
      </c>
      <c r="AA604" s="175">
        <f t="shared" si="272"/>
        <v>12428789.085663281</v>
      </c>
      <c r="AB604" s="5"/>
      <c r="AC604" s="5"/>
      <c r="AD604" s="5"/>
      <c r="AE604" s="5"/>
      <c r="AF604" s="5"/>
      <c r="AG604" s="5"/>
    </row>
    <row r="605" spans="1:33" x14ac:dyDescent="0.2">
      <c r="A605" s="176" t="s">
        <v>369</v>
      </c>
      <c r="B605" s="177"/>
      <c r="C605" s="177"/>
      <c r="D605" s="177"/>
      <c r="E605" s="177"/>
      <c r="F605" s="177"/>
      <c r="G605" s="178">
        <f t="shared" ref="G605:P605" si="282">SUM(G565:G604)</f>
        <v>642268.22933519445</v>
      </c>
      <c r="H605" s="178">
        <f t="shared" si="282"/>
        <v>3179638.254701084</v>
      </c>
      <c r="I605" s="178">
        <f t="shared" si="282"/>
        <v>75000</v>
      </c>
      <c r="J605" s="178">
        <f t="shared" si="282"/>
        <v>-4974314.243995754</v>
      </c>
      <c r="K605" s="178">
        <f t="shared" si="282"/>
        <v>9093484.4085472357</v>
      </c>
      <c r="L605" s="178">
        <f t="shared" si="282"/>
        <v>9093484.4085472357</v>
      </c>
      <c r="M605" s="178">
        <f t="shared" si="282"/>
        <v>9093484.4085472357</v>
      </c>
      <c r="N605" s="178">
        <f t="shared" si="282"/>
        <v>0</v>
      </c>
      <c r="O605" s="178">
        <f t="shared" si="282"/>
        <v>0</v>
      </c>
      <c r="P605" s="178">
        <f t="shared" si="282"/>
        <v>0</v>
      </c>
      <c r="Q605" s="178">
        <f>Q604</f>
        <v>6724260.630007227</v>
      </c>
      <c r="R605" s="178">
        <f>R604</f>
        <v>1854742.5953868378</v>
      </c>
      <c r="S605" s="178">
        <f>S604</f>
        <v>567778.34552658291</v>
      </c>
      <c r="T605" s="178">
        <f>T604</f>
        <v>0</v>
      </c>
      <c r="U605" s="178">
        <f>U604</f>
        <v>9146781.5709206481</v>
      </c>
      <c r="V605" s="178">
        <f>SUM(V565:V604)</f>
        <v>0</v>
      </c>
      <c r="W605" s="178">
        <f>MIN(W565:W604)</f>
        <v>4701819.5649748538</v>
      </c>
      <c r="X605" s="178">
        <f>X604</f>
        <v>3282007.5147426329</v>
      </c>
      <c r="Y605" s="178">
        <f>Y604</f>
        <v>0</v>
      </c>
      <c r="Z605" s="178">
        <f>Z604</f>
        <v>3282007.5147426329</v>
      </c>
      <c r="AA605" s="179">
        <f>AA604</f>
        <v>12428789.085663281</v>
      </c>
      <c r="AB605" s="5"/>
      <c r="AC605" s="5"/>
      <c r="AD605" s="5"/>
      <c r="AE605" s="5"/>
      <c r="AF605" s="5"/>
      <c r="AG605" s="5"/>
    </row>
    <row r="606" spans="1:33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x14ac:dyDescent="0.2">
      <c r="A607" s="319" t="str">
        <f>J235&amp;" | House "&amp;TEXT($L$235,"$#,##0")&amp;" | Spend "&amp;TEXT($N$235,"$#,##0")</f>
        <v>Case 09 | House $1,352,144 | Spend $230,000</v>
      </c>
      <c r="B607" s="288"/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  <c r="AA607" s="289"/>
      <c r="AB607" s="5"/>
      <c r="AC607" s="5"/>
      <c r="AD607" s="5"/>
      <c r="AE607" s="5"/>
      <c r="AF607" s="5"/>
      <c r="AG607" s="5"/>
    </row>
    <row r="608" spans="1:33" ht="34" customHeight="1" x14ac:dyDescent="0.2">
      <c r="A608" s="167" t="s">
        <v>224</v>
      </c>
      <c r="B608" s="112" t="s">
        <v>106</v>
      </c>
      <c r="C608" s="112" t="s">
        <v>357</v>
      </c>
      <c r="D608" s="112" t="s">
        <v>66</v>
      </c>
      <c r="E608" s="112" t="s">
        <v>300</v>
      </c>
      <c r="F608" s="112" t="s">
        <v>301</v>
      </c>
      <c r="G608" s="112" t="s">
        <v>358</v>
      </c>
      <c r="H608" s="112" t="s">
        <v>359</v>
      </c>
      <c r="I608" s="112" t="s">
        <v>69</v>
      </c>
      <c r="J608" s="112" t="s">
        <v>360</v>
      </c>
      <c r="K608" s="112" t="s">
        <v>361</v>
      </c>
      <c r="L608" s="112" t="s">
        <v>362</v>
      </c>
      <c r="M608" s="112" t="s">
        <v>304</v>
      </c>
      <c r="N608" s="112" t="s">
        <v>305</v>
      </c>
      <c r="O608" s="112" t="s">
        <v>306</v>
      </c>
      <c r="P608" s="112" t="s">
        <v>307</v>
      </c>
      <c r="Q608" s="112" t="s">
        <v>363</v>
      </c>
      <c r="R608" s="112" t="s">
        <v>364</v>
      </c>
      <c r="S608" s="112" t="s">
        <v>365</v>
      </c>
      <c r="T608" s="112" t="s">
        <v>366</v>
      </c>
      <c r="U608" s="112" t="s">
        <v>308</v>
      </c>
      <c r="V608" s="112" t="s">
        <v>309</v>
      </c>
      <c r="W608" s="112" t="s">
        <v>367</v>
      </c>
      <c r="X608" s="112" t="s">
        <v>311</v>
      </c>
      <c r="Y608" s="112" t="s">
        <v>312</v>
      </c>
      <c r="Z608" s="112" t="s">
        <v>313</v>
      </c>
      <c r="AA608" s="168" t="s">
        <v>368</v>
      </c>
      <c r="AB608" s="5"/>
      <c r="AC608" s="5"/>
      <c r="AD608" s="5"/>
      <c r="AE608" s="5"/>
      <c r="AF608" s="5"/>
      <c r="AG608" s="5"/>
    </row>
    <row r="609" spans="1:33" x14ac:dyDescent="0.2">
      <c r="A609" s="169">
        <v>1</v>
      </c>
      <c r="B609" s="100" t="str">
        <f t="shared" ref="B609:B648" si="283">B80</f>
        <v>Working</v>
      </c>
      <c r="C609" s="170">
        <f t="shared" ref="C609:C648" si="284">D80</f>
        <v>550000</v>
      </c>
      <c r="D609" s="170">
        <f t="shared" ref="D609:D648" si="285">I80</f>
        <v>302665.46999999997</v>
      </c>
      <c r="E609" s="170">
        <f t="shared" ref="E609:E648" si="286">J80</f>
        <v>78000</v>
      </c>
      <c r="F609" s="170">
        <f t="shared" ref="F609:F648" si="287">K80</f>
        <v>40000</v>
      </c>
      <c r="G609" s="171">
        <f t="shared" ref="G609:G648" si="288">IF(AND($L$235&gt;0,A609=$C$13),$L$235*($C$15+$C$18),0)+IF(AND($L$235&gt;0,A609=$C$13),$C$24,0)</f>
        <v>0</v>
      </c>
      <c r="H609" s="171">
        <f t="shared" ref="H609:H648" si="289">IF(OR($L$235&lt;=0,A609&lt;$C$13),0,IF(AND($L$235&gt;0,$C$17&gt;0,A609&gt;=$C$13,A609&lt;($C$13+$C$17)),IF($C$17&lt;=0,0,IF($C$16=0,MAX($L$235*(1-$C$15),0)/$C$17,-PMT($C$16/12,$C$17*12,MAX($L$235*(1-$C$15),0))*12)),0)+X609*($C$19+$C$20+$C$21)+$C$22+$C$23)</f>
        <v>0</v>
      </c>
      <c r="I609" s="171">
        <f>IF(B609="Working",MIN(MAX(D609-E609-F609-G609-H609,0),'Tax Assumptions'!$B$20),0)</f>
        <v>7500</v>
      </c>
      <c r="J609" s="171">
        <f t="shared" ref="J609:J648" si="290">IF(B609="Working",D609-E609-F609-I609-G609-H609,-L609)</f>
        <v>177165.46999999997</v>
      </c>
      <c r="K609" s="170">
        <f t="shared" ref="K609:K648" si="291">IF(B609="Retired",$N$235+G609+H609,0)</f>
        <v>0</v>
      </c>
      <c r="L609" s="170">
        <f t="shared" ref="L609:L648" si="292">M609+N609+O609+P609</f>
        <v>0</v>
      </c>
      <c r="M609" s="170">
        <f>IF(B609="Retired",MIN((('Savings Projection'!$B$7)*(1+$C$10)+IF(B609="Working",J609,0)),K609),0)</f>
        <v>0</v>
      </c>
      <c r="N609" s="170">
        <f>IF(B609="Retired",MIN(MAX(K609-M609,0),(('Savings Projection'!$B$8)*(1+$C$10)+IF(B609="Working",E80,0))),0)</f>
        <v>0</v>
      </c>
      <c r="O609" s="170">
        <f>IF(B609="Retired",MIN(MAX(K609-M609-N609,0),(('Savings Projection'!$B$9)*(1+$C$10)+IF(B609="Working",I609,0))),0)</f>
        <v>0</v>
      </c>
      <c r="P609" s="170">
        <f>IF(B609="Retired",MIN(MAX(K609-M609-N609-O609,0),(('Savings Projection'!$B$10)*(1+$C$10)+IF(B609="Working",F80,0))),0)</f>
        <v>0</v>
      </c>
      <c r="Q609" s="171">
        <f>MAX((('Savings Projection'!$B$7)*(1+$C$10)+IF(B609="Working",J609,0))-M609,0)</f>
        <v>336165.47</v>
      </c>
      <c r="R609" s="171">
        <f>MAX((('Savings Projection'!$B$8)*(1+$C$10)+IF(B609="Working",E80,0))-N609,0)</f>
        <v>24500</v>
      </c>
      <c r="S609" s="171">
        <f>MAX((('Savings Projection'!$B$9)*(1+$C$10)+IF(B609="Working",I609,0))-O609,0)</f>
        <v>7500</v>
      </c>
      <c r="T609" s="171">
        <f>MAX((('Savings Projection'!$B$10)*(1+$C$10)+IF(B609="Working",F80,0))-P609,0)</f>
        <v>0</v>
      </c>
      <c r="U609" s="171">
        <f t="shared" ref="U609:U648" si="293">Q609+R609+S609+T609</f>
        <v>368165.47</v>
      </c>
      <c r="V609" s="171">
        <f>IF(B609="Working",MAX(-((('Savings Projection'!$B$7)*(1+$C$10)+IF(B609="Working",J609,0))),0),MAX(K609-L609,0))</f>
        <v>0</v>
      </c>
      <c r="W609" s="171" t="str">
        <f>IF(OR(A609&gt;=$C$13,B609="Retired"),IF(V609&gt;0,-V609,U609-'Model Inputs'!$B$18),"")</f>
        <v/>
      </c>
      <c r="X609" s="171">
        <f t="shared" ref="X609:X648" si="294">IF(AND($L$235&gt;0,A609&gt;=$C$13),$L$235*(1+$C$25)^(A609-$C$13),0)</f>
        <v>0</v>
      </c>
      <c r="Y609" s="171">
        <f t="shared" ref="Y609:Y648" si="295">IF(OR($L$235&lt;=0,$C$17&lt;=0,A609&lt;$C$13,MIN(MAX((A609-$C$13+1)*12,0),$C$17*12)&gt;=$C$17*12),0,IF($C$16=0,MAX(MAX($L$235*(1-$C$15),0)-(IF($C$17&lt;=0,0,IF($C$16=0,MAX($L$235*(1-$C$15),0)/$C$17,-PMT($C$16/12,$C$17*12,MAX($L$235*(1-$C$15),0))*12))/12)*MIN(MAX((A609-$C$13+1)*12,0),$C$17*12),0),MAX(MAX($L$235*(1-$C$15),0)*(1+$C$16/12)^MIN(MAX((A609-$C$13+1)*12,0),$C$17*12)-(IF($C$17&lt;=0,0,IF($C$16=0,MAX($L$235*(1-$C$15),0)/$C$17,-PMT($C$16/12,$C$17*12,MAX($L$235*(1-$C$15),0))*12))/12)*(((1+$C$16/12)^MIN(MAX((A609-$C$13+1)*12,0),$C$17*12)-1)/($C$16/12)),0)))</f>
        <v>0</v>
      </c>
      <c r="Z609" s="171">
        <f t="shared" ref="Z609:Z648" si="296">MAX(X609-Y609,0)</f>
        <v>0</v>
      </c>
      <c r="AA609" s="172">
        <f t="shared" ref="AA609:AA648" si="297">U609+Z609</f>
        <v>368165.47</v>
      </c>
      <c r="AB609" s="5"/>
      <c r="AC609" s="5"/>
      <c r="AD609" s="5"/>
      <c r="AE609" s="5"/>
      <c r="AF609" s="5"/>
      <c r="AG609" s="5"/>
    </row>
    <row r="610" spans="1:33" x14ac:dyDescent="0.2">
      <c r="A610" s="173">
        <v>2</v>
      </c>
      <c r="B610" s="65" t="str">
        <f t="shared" si="283"/>
        <v>Working</v>
      </c>
      <c r="C610" s="174">
        <f t="shared" si="284"/>
        <v>412500</v>
      </c>
      <c r="D610" s="174">
        <f t="shared" si="285"/>
        <v>231269.97</v>
      </c>
      <c r="E610" s="174">
        <f t="shared" si="286"/>
        <v>80340</v>
      </c>
      <c r="F610" s="174">
        <f t="shared" si="287"/>
        <v>41200</v>
      </c>
      <c r="G610" s="171">
        <f t="shared" si="288"/>
        <v>0</v>
      </c>
      <c r="H610" s="171">
        <f t="shared" si="289"/>
        <v>0</v>
      </c>
      <c r="I610" s="171">
        <f>IF(B610="Working",MIN(MAX(D610-E610-F610-G610-H610,0),'Tax Assumptions'!$B$20),0)</f>
        <v>7500</v>
      </c>
      <c r="J610" s="171">
        <f t="shared" si="290"/>
        <v>102229.97</v>
      </c>
      <c r="K610" s="174">
        <f t="shared" si="291"/>
        <v>0</v>
      </c>
      <c r="L610" s="174">
        <f t="shared" si="292"/>
        <v>0</v>
      </c>
      <c r="M610" s="174">
        <f t="shared" ref="M610:M648" si="298">IF(B610="Retired",MIN(((Q609)*(1+$C$10)+IF(B610="Working",J610,0)),K610),0)</f>
        <v>0</v>
      </c>
      <c r="N610" s="174">
        <f t="shared" ref="N610:N648" si="299">IF(B610="Retired",MIN(MAX(K610-M610,0),((R609)*(1+$C$10)+IF(B610="Working",E81,0))),0)</f>
        <v>0</v>
      </c>
      <c r="O610" s="174">
        <f t="shared" ref="O610:O648" si="300">IF(B610="Retired",MIN(MAX(K610-M610-N610,0),((S609)*(1+$C$10)+IF(B610="Working",I610,0))),0)</f>
        <v>0</v>
      </c>
      <c r="P610" s="174">
        <f t="shared" ref="P610:P648" si="301">IF(B610="Retired",MIN(MAX(K610-M610-N610-O610,0),((T609)*(1+$C$10)+IF(B610="Working",F81,0))),0)</f>
        <v>0</v>
      </c>
      <c r="Q610" s="171">
        <f t="shared" ref="Q610:Q648" si="302">MAX(((Q609)*(1+$C$10)+IF(B610="Working",J610,0))-M610,0)</f>
        <v>458565.36820000003</v>
      </c>
      <c r="R610" s="171">
        <f t="shared" ref="R610:R648" si="303">MAX(((R609)*(1+$C$10)+IF(B610="Working",E81,0))-N610,0)</f>
        <v>50470</v>
      </c>
      <c r="S610" s="171">
        <f t="shared" ref="S610:S648" si="304">MAX(((S609)*(1+$C$10)+IF(B610="Working",I610,0))-O610,0)</f>
        <v>15450</v>
      </c>
      <c r="T610" s="171">
        <f t="shared" ref="T610:T648" si="305">MAX(((T609)*(1+$C$10)+IF(B610="Working",F81,0))-P610,0)</f>
        <v>0</v>
      </c>
      <c r="U610" s="171">
        <f t="shared" si="293"/>
        <v>524485.36820000003</v>
      </c>
      <c r="V610" s="171">
        <f t="shared" ref="V610:V648" si="306">IF(B610="Working",MAX(-(((Q609)*(1+$C$10)+IF(B610="Working",J610,0))),0),MAX(K610-L610,0))</f>
        <v>0</v>
      </c>
      <c r="W610" s="171" t="str">
        <f>IF(OR(A610&gt;=$C$13,B610="Retired"),IF(V610&gt;0,-V610,U610-'Model Inputs'!$B$18),"")</f>
        <v/>
      </c>
      <c r="X610" s="171">
        <f t="shared" si="294"/>
        <v>0</v>
      </c>
      <c r="Y610" s="171">
        <f t="shared" si="295"/>
        <v>0</v>
      </c>
      <c r="Z610" s="171">
        <f t="shared" si="296"/>
        <v>0</v>
      </c>
      <c r="AA610" s="175">
        <f t="shared" si="297"/>
        <v>524485.36820000003</v>
      </c>
      <c r="AB610" s="5"/>
      <c r="AC610" s="5"/>
      <c r="AD610" s="5"/>
      <c r="AE610" s="5"/>
      <c r="AF610" s="5"/>
      <c r="AG610" s="5"/>
    </row>
    <row r="611" spans="1:33" x14ac:dyDescent="0.2">
      <c r="A611" s="169">
        <v>3</v>
      </c>
      <c r="B611" s="100" t="str">
        <f t="shared" si="283"/>
        <v>Working</v>
      </c>
      <c r="C611" s="170">
        <f t="shared" si="284"/>
        <v>675000</v>
      </c>
      <c r="D611" s="170">
        <f t="shared" si="285"/>
        <v>367570.47</v>
      </c>
      <c r="E611" s="170">
        <f t="shared" si="286"/>
        <v>82750.2</v>
      </c>
      <c r="F611" s="170">
        <f t="shared" si="287"/>
        <v>53045</v>
      </c>
      <c r="G611" s="171">
        <f t="shared" si="288"/>
        <v>0</v>
      </c>
      <c r="H611" s="171">
        <f t="shared" si="289"/>
        <v>0</v>
      </c>
      <c r="I611" s="171">
        <f>IF(B611="Working",MIN(MAX(D611-E611-F611-G611-H611,0),'Tax Assumptions'!$B$20),0)</f>
        <v>7500</v>
      </c>
      <c r="J611" s="171">
        <f t="shared" si="290"/>
        <v>224275.26999999996</v>
      </c>
      <c r="K611" s="170">
        <f t="shared" si="291"/>
        <v>0</v>
      </c>
      <c r="L611" s="170">
        <f t="shared" si="292"/>
        <v>0</v>
      </c>
      <c r="M611" s="170">
        <f t="shared" si="298"/>
        <v>0</v>
      </c>
      <c r="N611" s="170">
        <f t="shared" si="299"/>
        <v>0</v>
      </c>
      <c r="O611" s="170">
        <f t="shared" si="300"/>
        <v>0</v>
      </c>
      <c r="P611" s="170">
        <f t="shared" si="301"/>
        <v>0</v>
      </c>
      <c r="Q611" s="171">
        <f t="shared" si="302"/>
        <v>710354.56029199995</v>
      </c>
      <c r="R611" s="171">
        <f t="shared" si="303"/>
        <v>77998.200000000012</v>
      </c>
      <c r="S611" s="171">
        <f t="shared" si="304"/>
        <v>23877</v>
      </c>
      <c r="T611" s="171">
        <f t="shared" si="305"/>
        <v>0</v>
      </c>
      <c r="U611" s="171">
        <f t="shared" si="293"/>
        <v>812229.7602919999</v>
      </c>
      <c r="V611" s="171">
        <f t="shared" si="306"/>
        <v>0</v>
      </c>
      <c r="W611" s="171" t="str">
        <f>IF(OR(A611&gt;=$C$13,B611="Retired"),IF(V611&gt;0,-V611,U611-'Model Inputs'!$B$18),"")</f>
        <v/>
      </c>
      <c r="X611" s="171">
        <f t="shared" si="294"/>
        <v>0</v>
      </c>
      <c r="Y611" s="171">
        <f t="shared" si="295"/>
        <v>0</v>
      </c>
      <c r="Z611" s="171">
        <f t="shared" si="296"/>
        <v>0</v>
      </c>
      <c r="AA611" s="172">
        <f t="shared" si="297"/>
        <v>812229.7602919999</v>
      </c>
      <c r="AB611" s="5"/>
      <c r="AC611" s="5"/>
      <c r="AD611" s="5"/>
      <c r="AE611" s="5"/>
      <c r="AF611" s="5"/>
      <c r="AG611" s="5"/>
    </row>
    <row r="612" spans="1:33" x14ac:dyDescent="0.2">
      <c r="A612" s="173">
        <v>4</v>
      </c>
      <c r="B612" s="65" t="str">
        <f t="shared" si="283"/>
        <v>Working</v>
      </c>
      <c r="C612" s="174">
        <f t="shared" si="284"/>
        <v>750000</v>
      </c>
      <c r="D612" s="174">
        <f t="shared" si="285"/>
        <v>405137.47</v>
      </c>
      <c r="E612" s="174">
        <f t="shared" si="286"/>
        <v>85232.706000000006</v>
      </c>
      <c r="F612" s="174">
        <f t="shared" si="287"/>
        <v>54636.35</v>
      </c>
      <c r="G612" s="171">
        <f t="shared" si="288"/>
        <v>0</v>
      </c>
      <c r="H612" s="171">
        <f t="shared" si="289"/>
        <v>0</v>
      </c>
      <c r="I612" s="171">
        <f>IF(B612="Working",MIN(MAX(D612-E612-F612-G612-H612,0),'Tax Assumptions'!$B$20),0)</f>
        <v>7500</v>
      </c>
      <c r="J612" s="171">
        <f t="shared" si="290"/>
        <v>257768.41399999999</v>
      </c>
      <c r="K612" s="174">
        <f t="shared" si="291"/>
        <v>0</v>
      </c>
      <c r="L612" s="174">
        <f t="shared" si="292"/>
        <v>0</v>
      </c>
      <c r="M612" s="174">
        <f t="shared" si="298"/>
        <v>0</v>
      </c>
      <c r="N612" s="174">
        <f t="shared" si="299"/>
        <v>0</v>
      </c>
      <c r="O612" s="174">
        <f t="shared" si="300"/>
        <v>0</v>
      </c>
      <c r="P612" s="174">
        <f t="shared" si="301"/>
        <v>0</v>
      </c>
      <c r="Q612" s="171">
        <f t="shared" si="302"/>
        <v>1010744.2479095199</v>
      </c>
      <c r="R612" s="171">
        <f t="shared" si="303"/>
        <v>107178.09200000002</v>
      </c>
      <c r="S612" s="171">
        <f t="shared" si="304"/>
        <v>32809.620000000003</v>
      </c>
      <c r="T612" s="171">
        <f t="shared" si="305"/>
        <v>0</v>
      </c>
      <c r="U612" s="171">
        <f t="shared" si="293"/>
        <v>1150731.9599095201</v>
      </c>
      <c r="V612" s="171">
        <f t="shared" si="306"/>
        <v>0</v>
      </c>
      <c r="W612" s="171" t="str">
        <f>IF(OR(A612&gt;=$C$13,B612="Retired"),IF(V612&gt;0,-V612,U612-'Model Inputs'!$B$18),"")</f>
        <v/>
      </c>
      <c r="X612" s="171">
        <f t="shared" si="294"/>
        <v>0</v>
      </c>
      <c r="Y612" s="171">
        <f t="shared" si="295"/>
        <v>0</v>
      </c>
      <c r="Z612" s="171">
        <f t="shared" si="296"/>
        <v>0</v>
      </c>
      <c r="AA612" s="175">
        <f t="shared" si="297"/>
        <v>1150731.9599095201</v>
      </c>
      <c r="AB612" s="5"/>
      <c r="AC612" s="5"/>
      <c r="AD612" s="5"/>
      <c r="AE612" s="5"/>
      <c r="AF612" s="5"/>
      <c r="AG612" s="5"/>
    </row>
    <row r="613" spans="1:33" x14ac:dyDescent="0.2">
      <c r="A613" s="169">
        <v>5</v>
      </c>
      <c r="B613" s="100" t="str">
        <f t="shared" si="283"/>
        <v>Working</v>
      </c>
      <c r="C613" s="170">
        <f t="shared" si="284"/>
        <v>953837.51358640334</v>
      </c>
      <c r="D613" s="170">
        <f t="shared" si="285"/>
        <v>506901.31028287602</v>
      </c>
      <c r="E613" s="170">
        <f t="shared" si="286"/>
        <v>87789.687179999994</v>
      </c>
      <c r="F613" s="170">
        <f t="shared" si="287"/>
        <v>56275.440499999997</v>
      </c>
      <c r="G613" s="171">
        <f t="shared" si="288"/>
        <v>0</v>
      </c>
      <c r="H613" s="171">
        <f t="shared" si="289"/>
        <v>0</v>
      </c>
      <c r="I613" s="171">
        <f>IF(B613="Working",MIN(MAX(D613-E613-F613-G613-H613,0),'Tax Assumptions'!$B$20),0)</f>
        <v>7500</v>
      </c>
      <c r="J613" s="171">
        <f t="shared" si="290"/>
        <v>355336.18260287598</v>
      </c>
      <c r="K613" s="170">
        <f t="shared" si="291"/>
        <v>0</v>
      </c>
      <c r="L613" s="170">
        <f t="shared" si="292"/>
        <v>0</v>
      </c>
      <c r="M613" s="170">
        <f t="shared" si="298"/>
        <v>0</v>
      </c>
      <c r="N613" s="170">
        <f t="shared" si="299"/>
        <v>0</v>
      </c>
      <c r="O613" s="170">
        <f t="shared" si="300"/>
        <v>0</v>
      </c>
      <c r="P613" s="170">
        <f t="shared" si="301"/>
        <v>0</v>
      </c>
      <c r="Q613" s="171">
        <f t="shared" si="302"/>
        <v>1426725.0853869673</v>
      </c>
      <c r="R613" s="171">
        <f t="shared" si="303"/>
        <v>138108.77752000003</v>
      </c>
      <c r="S613" s="171">
        <f t="shared" si="304"/>
        <v>42278.197200000002</v>
      </c>
      <c r="T613" s="171">
        <f t="shared" si="305"/>
        <v>0</v>
      </c>
      <c r="U613" s="171">
        <f t="shared" si="293"/>
        <v>1607112.0601069673</v>
      </c>
      <c r="V613" s="171">
        <f t="shared" si="306"/>
        <v>0</v>
      </c>
      <c r="W613" s="171" t="str">
        <f>IF(OR(A613&gt;=$C$13,B613="Retired"),IF(V613&gt;0,-V613,U613-'Model Inputs'!$B$18),"")</f>
        <v/>
      </c>
      <c r="X613" s="171">
        <f t="shared" si="294"/>
        <v>0</v>
      </c>
      <c r="Y613" s="171">
        <f t="shared" si="295"/>
        <v>0</v>
      </c>
      <c r="Z613" s="171">
        <f t="shared" si="296"/>
        <v>0</v>
      </c>
      <c r="AA613" s="172">
        <f t="shared" si="297"/>
        <v>1607112.0601069673</v>
      </c>
      <c r="AB613" s="5"/>
      <c r="AC613" s="5"/>
      <c r="AD613" s="5"/>
      <c r="AE613" s="5"/>
      <c r="AF613" s="5"/>
      <c r="AG613" s="5"/>
    </row>
    <row r="614" spans="1:33" x14ac:dyDescent="0.2">
      <c r="A614" s="173">
        <v>6</v>
      </c>
      <c r="B614" s="65" t="str">
        <f t="shared" si="283"/>
        <v>Working</v>
      </c>
      <c r="C614" s="174">
        <f t="shared" si="284"/>
        <v>1118900.665838565</v>
      </c>
      <c r="D614" s="174">
        <f t="shared" si="285"/>
        <v>589060.11476976541</v>
      </c>
      <c r="E614" s="174">
        <f t="shared" si="286"/>
        <v>92741.925943999988</v>
      </c>
      <c r="F614" s="174">
        <f t="shared" si="287"/>
        <v>57963.703714999989</v>
      </c>
      <c r="G614" s="171">
        <f t="shared" si="288"/>
        <v>0</v>
      </c>
      <c r="H614" s="171">
        <f t="shared" si="289"/>
        <v>0</v>
      </c>
      <c r="I614" s="171">
        <f>IF(B614="Working",MIN(MAX(D614-E614-F614-G614-H614,0),'Tax Assumptions'!$B$20),0)</f>
        <v>7500</v>
      </c>
      <c r="J614" s="171">
        <f t="shared" si="290"/>
        <v>430854.48511076538</v>
      </c>
      <c r="K614" s="174">
        <f t="shared" si="291"/>
        <v>0</v>
      </c>
      <c r="L614" s="174">
        <f t="shared" si="292"/>
        <v>0</v>
      </c>
      <c r="M614" s="174">
        <f t="shared" si="298"/>
        <v>0</v>
      </c>
      <c r="N614" s="174">
        <f t="shared" si="299"/>
        <v>0</v>
      </c>
      <c r="O614" s="174">
        <f t="shared" si="300"/>
        <v>0</v>
      </c>
      <c r="P614" s="174">
        <f t="shared" si="301"/>
        <v>0</v>
      </c>
      <c r="Q614" s="171">
        <f t="shared" si="302"/>
        <v>1943183.0756209507</v>
      </c>
      <c r="R614" s="171">
        <f t="shared" si="303"/>
        <v>170895.30417120006</v>
      </c>
      <c r="S614" s="171">
        <f t="shared" si="304"/>
        <v>52314.889032000006</v>
      </c>
      <c r="T614" s="171">
        <f t="shared" si="305"/>
        <v>0</v>
      </c>
      <c r="U614" s="171">
        <f t="shared" si="293"/>
        <v>2166393.2688241508</v>
      </c>
      <c r="V614" s="171">
        <f t="shared" si="306"/>
        <v>0</v>
      </c>
      <c r="W614" s="171" t="str">
        <f>IF(OR(A614&gt;=$C$13,B614="Retired"),IF(V614&gt;0,-V614,U614-'Model Inputs'!$B$18),"")</f>
        <v/>
      </c>
      <c r="X614" s="171">
        <f t="shared" si="294"/>
        <v>0</v>
      </c>
      <c r="Y614" s="171">
        <f t="shared" si="295"/>
        <v>0</v>
      </c>
      <c r="Z614" s="171">
        <f t="shared" si="296"/>
        <v>0</v>
      </c>
      <c r="AA614" s="175">
        <f t="shared" si="297"/>
        <v>2166393.2688241508</v>
      </c>
      <c r="AB614" s="5"/>
      <c r="AC614" s="5"/>
      <c r="AD614" s="5"/>
      <c r="AE614" s="5"/>
      <c r="AF614" s="5"/>
      <c r="AG614" s="5"/>
    </row>
    <row r="615" spans="1:33" x14ac:dyDescent="0.2">
      <c r="A615" s="169">
        <v>7</v>
      </c>
      <c r="B615" s="100" t="str">
        <f t="shared" si="283"/>
        <v>Working</v>
      </c>
      <c r="C615" s="170">
        <f t="shared" si="284"/>
        <v>1418318.448466131</v>
      </c>
      <c r="D615" s="170">
        <f t="shared" si="285"/>
        <v>730157.75065517949</v>
      </c>
      <c r="E615" s="170">
        <f t="shared" si="286"/>
        <v>95524.183722319998</v>
      </c>
      <c r="F615" s="170">
        <f t="shared" si="287"/>
        <v>59702.614826449993</v>
      </c>
      <c r="G615" s="171">
        <f t="shared" si="288"/>
        <v>0</v>
      </c>
      <c r="H615" s="171">
        <f t="shared" si="289"/>
        <v>0</v>
      </c>
      <c r="I615" s="171">
        <f>IF(B615="Working",MIN(MAX(D615-E615-F615-G615-H615,0),'Tax Assumptions'!$B$20),0)</f>
        <v>7500</v>
      </c>
      <c r="J615" s="171">
        <f t="shared" si="290"/>
        <v>567430.95210640947</v>
      </c>
      <c r="K615" s="170">
        <f t="shared" si="291"/>
        <v>0</v>
      </c>
      <c r="L615" s="170">
        <f t="shared" si="292"/>
        <v>0</v>
      </c>
      <c r="M615" s="170">
        <f t="shared" si="298"/>
        <v>0</v>
      </c>
      <c r="N615" s="170">
        <f t="shared" si="299"/>
        <v>0</v>
      </c>
      <c r="O615" s="170">
        <f t="shared" si="300"/>
        <v>0</v>
      </c>
      <c r="P615" s="170">
        <f t="shared" si="301"/>
        <v>0</v>
      </c>
      <c r="Q615" s="171">
        <f t="shared" si="302"/>
        <v>2627205.0122646173</v>
      </c>
      <c r="R615" s="171">
        <f t="shared" si="303"/>
        <v>205649.02242147207</v>
      </c>
      <c r="S615" s="171">
        <f t="shared" si="304"/>
        <v>62953.78237392001</v>
      </c>
      <c r="T615" s="171">
        <f t="shared" si="305"/>
        <v>0</v>
      </c>
      <c r="U615" s="171">
        <f t="shared" si="293"/>
        <v>2895807.8170600096</v>
      </c>
      <c r="V615" s="171">
        <f t="shared" si="306"/>
        <v>0</v>
      </c>
      <c r="W615" s="171" t="str">
        <f>IF(OR(A615&gt;=$C$13,B615="Retired"),IF(V615&gt;0,-V615,U615-'Model Inputs'!$B$18),"")</f>
        <v/>
      </c>
      <c r="X615" s="171">
        <f t="shared" si="294"/>
        <v>0</v>
      </c>
      <c r="Y615" s="171">
        <f t="shared" si="295"/>
        <v>0</v>
      </c>
      <c r="Z615" s="171">
        <f t="shared" si="296"/>
        <v>0</v>
      </c>
      <c r="AA615" s="172">
        <f t="shared" si="297"/>
        <v>2895807.8170600096</v>
      </c>
      <c r="AB615" s="5"/>
      <c r="AC615" s="5"/>
      <c r="AD615" s="5"/>
      <c r="AE615" s="5"/>
      <c r="AF615" s="5"/>
      <c r="AG615" s="5"/>
    </row>
    <row r="616" spans="1:33" x14ac:dyDescent="0.2">
      <c r="A616" s="173">
        <v>8</v>
      </c>
      <c r="B616" s="65" t="str">
        <f t="shared" si="283"/>
        <v>Working</v>
      </c>
      <c r="C616" s="174">
        <f t="shared" si="284"/>
        <v>1872205.6657868917</v>
      </c>
      <c r="D616" s="174">
        <f t="shared" si="285"/>
        <v>944047.5629454148</v>
      </c>
      <c r="E616" s="174">
        <f t="shared" si="286"/>
        <v>98389.909233989601</v>
      </c>
      <c r="F616" s="174">
        <f t="shared" si="287"/>
        <v>61493.693271243501</v>
      </c>
      <c r="G616" s="171">
        <f t="shared" si="288"/>
        <v>0</v>
      </c>
      <c r="H616" s="171">
        <f t="shared" si="289"/>
        <v>0</v>
      </c>
      <c r="I616" s="171">
        <f>IF(B616="Working",MIN(MAX(D616-E616-F616-G616-H616,0),'Tax Assumptions'!$B$20),0)</f>
        <v>7500</v>
      </c>
      <c r="J616" s="171">
        <f t="shared" si="290"/>
        <v>776663.96044018166</v>
      </c>
      <c r="K616" s="174">
        <f t="shared" si="291"/>
        <v>0</v>
      </c>
      <c r="L616" s="174">
        <f t="shared" si="292"/>
        <v>0</v>
      </c>
      <c r="M616" s="174">
        <f t="shared" si="298"/>
        <v>0</v>
      </c>
      <c r="N616" s="174">
        <f t="shared" si="299"/>
        <v>0</v>
      </c>
      <c r="O616" s="174">
        <f t="shared" si="300"/>
        <v>0</v>
      </c>
      <c r="P616" s="174">
        <f t="shared" si="301"/>
        <v>0</v>
      </c>
      <c r="Q616" s="171">
        <f t="shared" si="302"/>
        <v>3561501.2734406763</v>
      </c>
      <c r="R616" s="171">
        <f t="shared" si="303"/>
        <v>242487.9637667604</v>
      </c>
      <c r="S616" s="171">
        <f t="shared" si="304"/>
        <v>74231.009316355208</v>
      </c>
      <c r="T616" s="171">
        <f t="shared" si="305"/>
        <v>0</v>
      </c>
      <c r="U616" s="171">
        <f t="shared" si="293"/>
        <v>3878220.2465237915</v>
      </c>
      <c r="V616" s="171">
        <f t="shared" si="306"/>
        <v>0</v>
      </c>
      <c r="W616" s="171" t="str">
        <f>IF(OR(A616&gt;=$C$13,B616="Retired"),IF(V616&gt;0,-V616,U616-'Model Inputs'!$B$18),"")</f>
        <v/>
      </c>
      <c r="X616" s="171">
        <f t="shared" si="294"/>
        <v>0</v>
      </c>
      <c r="Y616" s="171">
        <f t="shared" si="295"/>
        <v>0</v>
      </c>
      <c r="Z616" s="171">
        <f t="shared" si="296"/>
        <v>0</v>
      </c>
      <c r="AA616" s="175">
        <f t="shared" si="297"/>
        <v>3878220.2465237915</v>
      </c>
      <c r="AB616" s="5"/>
      <c r="AC616" s="5"/>
      <c r="AD616" s="5"/>
      <c r="AE616" s="5"/>
      <c r="AF616" s="5"/>
      <c r="AG616" s="5"/>
    </row>
    <row r="617" spans="1:33" x14ac:dyDescent="0.2">
      <c r="A617" s="169">
        <v>9</v>
      </c>
      <c r="B617" s="100" t="str">
        <f t="shared" si="283"/>
        <v>Working</v>
      </c>
      <c r="C617" s="170">
        <f t="shared" si="284"/>
        <v>2033969.9666232408</v>
      </c>
      <c r="D617" s="170">
        <f t="shared" si="285"/>
        <v>1020277.372071536</v>
      </c>
      <c r="E617" s="170">
        <f t="shared" si="286"/>
        <v>101341.60651100927</v>
      </c>
      <c r="F617" s="170">
        <f t="shared" si="287"/>
        <v>63338.504069380797</v>
      </c>
      <c r="G617" s="171">
        <f t="shared" si="288"/>
        <v>0</v>
      </c>
      <c r="H617" s="171">
        <f t="shared" si="289"/>
        <v>0</v>
      </c>
      <c r="I617" s="171">
        <f>IF(B617="Working",MIN(MAX(D617-E617-F617-G617-H617,0),'Tax Assumptions'!$B$20),0)</f>
        <v>7500</v>
      </c>
      <c r="J617" s="171">
        <f t="shared" si="290"/>
        <v>848097.26149114594</v>
      </c>
      <c r="K617" s="170">
        <f t="shared" si="291"/>
        <v>0</v>
      </c>
      <c r="L617" s="170">
        <f t="shared" si="292"/>
        <v>0</v>
      </c>
      <c r="M617" s="170">
        <f t="shared" si="298"/>
        <v>0</v>
      </c>
      <c r="N617" s="170">
        <f t="shared" si="299"/>
        <v>0</v>
      </c>
      <c r="O617" s="170">
        <f t="shared" si="300"/>
        <v>0</v>
      </c>
      <c r="P617" s="170">
        <f t="shared" si="301"/>
        <v>0</v>
      </c>
      <c r="Q617" s="171">
        <f t="shared" si="302"/>
        <v>4623288.6113382634</v>
      </c>
      <c r="R617" s="171">
        <f t="shared" si="303"/>
        <v>281537.24159276602</v>
      </c>
      <c r="S617" s="171">
        <f t="shared" si="304"/>
        <v>86184.869875336532</v>
      </c>
      <c r="T617" s="171">
        <f t="shared" si="305"/>
        <v>0</v>
      </c>
      <c r="U617" s="171">
        <f t="shared" si="293"/>
        <v>4991010.7228063662</v>
      </c>
      <c r="V617" s="171">
        <f t="shared" si="306"/>
        <v>0</v>
      </c>
      <c r="W617" s="171" t="str">
        <f>IF(OR(A617&gt;=$C$13,B617="Retired"),IF(V617&gt;0,-V617,U617-'Model Inputs'!$B$18),"")</f>
        <v/>
      </c>
      <c r="X617" s="171">
        <f t="shared" si="294"/>
        <v>0</v>
      </c>
      <c r="Y617" s="171">
        <f t="shared" si="295"/>
        <v>0</v>
      </c>
      <c r="Z617" s="171">
        <f t="shared" si="296"/>
        <v>0</v>
      </c>
      <c r="AA617" s="172">
        <f t="shared" si="297"/>
        <v>4991010.7228063662</v>
      </c>
      <c r="AB617" s="5"/>
      <c r="AC617" s="5"/>
      <c r="AD617" s="5"/>
      <c r="AE617" s="5"/>
      <c r="AF617" s="5"/>
      <c r="AG617" s="5"/>
    </row>
    <row r="618" spans="1:33" x14ac:dyDescent="0.2">
      <c r="A618" s="173">
        <v>10</v>
      </c>
      <c r="B618" s="65" t="str">
        <f t="shared" si="283"/>
        <v>Working</v>
      </c>
      <c r="C618" s="174">
        <f t="shared" si="284"/>
        <v>2595495.7626410057</v>
      </c>
      <c r="D618" s="174">
        <f t="shared" si="285"/>
        <v>1284890.7881869476</v>
      </c>
      <c r="E618" s="174">
        <f t="shared" si="286"/>
        <v>104381.85470633955</v>
      </c>
      <c r="F618" s="174">
        <f t="shared" si="287"/>
        <v>65238.659191462226</v>
      </c>
      <c r="G618" s="171">
        <f t="shared" si="288"/>
        <v>642268.22933519445</v>
      </c>
      <c r="H618" s="171">
        <f t="shared" si="289"/>
        <v>86153.846153846142</v>
      </c>
      <c r="I618" s="171">
        <f>IF(B618="Working",MIN(MAX(D618-E618-F618-G618-H618,0),'Tax Assumptions'!$B$20),0)</f>
        <v>7500</v>
      </c>
      <c r="J618" s="171">
        <f t="shared" si="290"/>
        <v>379348.19880010525</v>
      </c>
      <c r="K618" s="174">
        <f t="shared" si="291"/>
        <v>0</v>
      </c>
      <c r="L618" s="174">
        <f t="shared" si="292"/>
        <v>0</v>
      </c>
      <c r="M618" s="174">
        <f t="shared" si="298"/>
        <v>0</v>
      </c>
      <c r="N618" s="174">
        <f t="shared" si="299"/>
        <v>0</v>
      </c>
      <c r="O618" s="174">
        <f t="shared" si="300"/>
        <v>0</v>
      </c>
      <c r="P618" s="174">
        <f t="shared" si="301"/>
        <v>0</v>
      </c>
      <c r="Q618" s="171">
        <f t="shared" si="302"/>
        <v>5280034.1268186653</v>
      </c>
      <c r="R618" s="171">
        <f t="shared" si="303"/>
        <v>322929.47608833201</v>
      </c>
      <c r="S618" s="171">
        <f t="shared" si="304"/>
        <v>98855.96206785673</v>
      </c>
      <c r="T618" s="171">
        <f t="shared" si="305"/>
        <v>0</v>
      </c>
      <c r="U618" s="171">
        <f t="shared" si="293"/>
        <v>5701819.5649748538</v>
      </c>
      <c r="V618" s="171">
        <f t="shared" si="306"/>
        <v>0</v>
      </c>
      <c r="W618" s="171">
        <f>IF(OR(A618&gt;=$C$13,B618="Retired"),IF(V618&gt;0,-V618,U618-'Model Inputs'!$B$18),"")</f>
        <v>4701819.5649748538</v>
      </c>
      <c r="X618" s="171">
        <f t="shared" si="294"/>
        <v>1352143.6407056723</v>
      </c>
      <c r="Y618" s="171">
        <f t="shared" si="295"/>
        <v>735366.71277112036</v>
      </c>
      <c r="Z618" s="171">
        <f t="shared" si="296"/>
        <v>616776.92793455196</v>
      </c>
      <c r="AA618" s="175">
        <f t="shared" si="297"/>
        <v>6318596.4929094054</v>
      </c>
      <c r="AB618" s="5"/>
      <c r="AC618" s="5"/>
      <c r="AD618" s="5"/>
      <c r="AE618" s="5"/>
      <c r="AF618" s="5"/>
      <c r="AG618" s="5"/>
    </row>
    <row r="619" spans="1:33" x14ac:dyDescent="0.2">
      <c r="A619" s="169">
        <v>11</v>
      </c>
      <c r="B619" s="100" t="str">
        <f t="shared" si="283"/>
        <v>Retired</v>
      </c>
      <c r="C619" s="170">
        <f t="shared" si="284"/>
        <v>0</v>
      </c>
      <c r="D619" s="170">
        <f t="shared" si="285"/>
        <v>0</v>
      </c>
      <c r="E619" s="170">
        <f t="shared" si="286"/>
        <v>0</v>
      </c>
      <c r="F619" s="170">
        <f t="shared" si="287"/>
        <v>0</v>
      </c>
      <c r="G619" s="171">
        <f t="shared" si="288"/>
        <v>0</v>
      </c>
      <c r="H619" s="171">
        <f t="shared" si="289"/>
        <v>87046.260956711893</v>
      </c>
      <c r="I619" s="171">
        <f>IF(B619="Working",MIN(MAX(D619-E619-F619-G619-H619,0),'Tax Assumptions'!$B$20),0)</f>
        <v>0</v>
      </c>
      <c r="J619" s="171">
        <f t="shared" si="290"/>
        <v>-317046.26095671183</v>
      </c>
      <c r="K619" s="170">
        <f t="shared" si="291"/>
        <v>317046.26095671183</v>
      </c>
      <c r="L619" s="170">
        <f t="shared" si="292"/>
        <v>317046.26095671183</v>
      </c>
      <c r="M619" s="170">
        <f t="shared" si="298"/>
        <v>317046.26095671183</v>
      </c>
      <c r="N619" s="170">
        <f t="shared" si="299"/>
        <v>0</v>
      </c>
      <c r="O619" s="170">
        <f t="shared" si="300"/>
        <v>0</v>
      </c>
      <c r="P619" s="170">
        <f t="shared" si="301"/>
        <v>0</v>
      </c>
      <c r="Q619" s="171">
        <f t="shared" si="302"/>
        <v>5279789.9134710738</v>
      </c>
      <c r="R619" s="171">
        <f t="shared" si="303"/>
        <v>342305.24465363193</v>
      </c>
      <c r="S619" s="171">
        <f t="shared" si="304"/>
        <v>104787.31979192814</v>
      </c>
      <c r="T619" s="171">
        <f t="shared" si="305"/>
        <v>0</v>
      </c>
      <c r="U619" s="171">
        <f t="shared" si="293"/>
        <v>5726882.4779166337</v>
      </c>
      <c r="V619" s="171">
        <f t="shared" si="306"/>
        <v>0</v>
      </c>
      <c r="W619" s="171">
        <f>IF(OR(A619&gt;=$C$13,B619="Retired"),IF(V619&gt;0,-V619,U619-'Model Inputs'!$B$18),"")</f>
        <v>4726882.4779166337</v>
      </c>
      <c r="X619" s="171">
        <f t="shared" si="294"/>
        <v>1392707.9499268425</v>
      </c>
      <c r="Y619" s="171">
        <f t="shared" si="295"/>
        <v>726497.73372408887</v>
      </c>
      <c r="Z619" s="171">
        <f t="shared" si="296"/>
        <v>666210.2162027536</v>
      </c>
      <c r="AA619" s="172">
        <f t="shared" si="297"/>
        <v>6393092.6941193873</v>
      </c>
      <c r="AB619" s="5"/>
      <c r="AC619" s="5"/>
      <c r="AD619" s="5"/>
      <c r="AE619" s="5"/>
      <c r="AF619" s="5"/>
      <c r="AG619" s="5"/>
    </row>
    <row r="620" spans="1:33" x14ac:dyDescent="0.2">
      <c r="A620" s="173">
        <v>12</v>
      </c>
      <c r="B620" s="65" t="str">
        <f t="shared" si="283"/>
        <v>Retired</v>
      </c>
      <c r="C620" s="174">
        <f t="shared" si="284"/>
        <v>0</v>
      </c>
      <c r="D620" s="174">
        <f t="shared" si="285"/>
        <v>0</v>
      </c>
      <c r="E620" s="174">
        <f t="shared" si="286"/>
        <v>0</v>
      </c>
      <c r="F620" s="174">
        <f t="shared" si="287"/>
        <v>0</v>
      </c>
      <c r="G620" s="171">
        <f t="shared" si="288"/>
        <v>0</v>
      </c>
      <c r="H620" s="171">
        <f t="shared" si="289"/>
        <v>87965.448203663604</v>
      </c>
      <c r="I620" s="171">
        <f>IF(B620="Working",MIN(MAX(D620-E620-F620-G620-H620,0),'Tax Assumptions'!$B$20),0)</f>
        <v>0</v>
      </c>
      <c r="J620" s="171">
        <f t="shared" si="290"/>
        <v>-317965.44820366357</v>
      </c>
      <c r="K620" s="174">
        <f t="shared" si="291"/>
        <v>317965.44820366357</v>
      </c>
      <c r="L620" s="174">
        <f t="shared" si="292"/>
        <v>317965.44820366357</v>
      </c>
      <c r="M620" s="174">
        <f t="shared" si="298"/>
        <v>317965.44820366357</v>
      </c>
      <c r="N620" s="174">
        <f t="shared" si="299"/>
        <v>0</v>
      </c>
      <c r="O620" s="174">
        <f t="shared" si="300"/>
        <v>0</v>
      </c>
      <c r="P620" s="174">
        <f t="shared" si="301"/>
        <v>0</v>
      </c>
      <c r="Q620" s="171">
        <f t="shared" si="302"/>
        <v>5278611.860075675</v>
      </c>
      <c r="R620" s="171">
        <f t="shared" si="303"/>
        <v>362843.55933284987</v>
      </c>
      <c r="S620" s="171">
        <f t="shared" si="304"/>
        <v>111074.55897944383</v>
      </c>
      <c r="T620" s="171">
        <f t="shared" si="305"/>
        <v>0</v>
      </c>
      <c r="U620" s="171">
        <f t="shared" si="293"/>
        <v>5752529.9783879686</v>
      </c>
      <c r="V620" s="171">
        <f t="shared" si="306"/>
        <v>0</v>
      </c>
      <c r="W620" s="171">
        <f>IF(OR(A620&gt;=$C$13,B620="Retired"),IF(V620&gt;0,-V620,U620-'Model Inputs'!$B$18),"")</f>
        <v>4752529.9783879686</v>
      </c>
      <c r="X620" s="171">
        <f t="shared" si="294"/>
        <v>1434489.1884246478</v>
      </c>
      <c r="Y620" s="171">
        <f t="shared" si="295"/>
        <v>717034.78272490599</v>
      </c>
      <c r="Z620" s="171">
        <f t="shared" si="296"/>
        <v>717454.40569974179</v>
      </c>
      <c r="AA620" s="175">
        <f t="shared" si="297"/>
        <v>6469984.3840877106</v>
      </c>
      <c r="AB620" s="5"/>
      <c r="AC620" s="5"/>
      <c r="AD620" s="5"/>
      <c r="AE620" s="5"/>
      <c r="AF620" s="5"/>
      <c r="AG620" s="5"/>
    </row>
    <row r="621" spans="1:33" x14ac:dyDescent="0.2">
      <c r="A621" s="169">
        <v>13</v>
      </c>
      <c r="B621" s="100" t="str">
        <f t="shared" si="283"/>
        <v>Retired</v>
      </c>
      <c r="C621" s="170">
        <f t="shared" si="284"/>
        <v>0</v>
      </c>
      <c r="D621" s="170">
        <f t="shared" si="285"/>
        <v>0</v>
      </c>
      <c r="E621" s="170">
        <f t="shared" si="286"/>
        <v>0</v>
      </c>
      <c r="F621" s="170">
        <f t="shared" si="287"/>
        <v>0</v>
      </c>
      <c r="G621" s="171">
        <f t="shared" si="288"/>
        <v>0</v>
      </c>
      <c r="H621" s="171">
        <f t="shared" si="289"/>
        <v>88912.211068023869</v>
      </c>
      <c r="I621" s="171">
        <f>IF(B621="Working",MIN(MAX(D621-E621-F621-G621-H621,0),'Tax Assumptions'!$B$20),0)</f>
        <v>0</v>
      </c>
      <c r="J621" s="171">
        <f t="shared" si="290"/>
        <v>-318912.21106802381</v>
      </c>
      <c r="K621" s="170">
        <f t="shared" si="291"/>
        <v>318912.21106802381</v>
      </c>
      <c r="L621" s="170">
        <f t="shared" si="292"/>
        <v>318912.21106802381</v>
      </c>
      <c r="M621" s="170">
        <f t="shared" si="298"/>
        <v>318912.21106802381</v>
      </c>
      <c r="N621" s="170">
        <f t="shared" si="299"/>
        <v>0</v>
      </c>
      <c r="O621" s="170">
        <f t="shared" si="300"/>
        <v>0</v>
      </c>
      <c r="P621" s="170">
        <f t="shared" si="301"/>
        <v>0</v>
      </c>
      <c r="Q621" s="171">
        <f t="shared" si="302"/>
        <v>5276416.3606121922</v>
      </c>
      <c r="R621" s="171">
        <f t="shared" si="303"/>
        <v>384614.1728928209</v>
      </c>
      <c r="S621" s="171">
        <f t="shared" si="304"/>
        <v>117739.03251821046</v>
      </c>
      <c r="T621" s="171">
        <f t="shared" si="305"/>
        <v>0</v>
      </c>
      <c r="U621" s="171">
        <f t="shared" si="293"/>
        <v>5778769.566023224</v>
      </c>
      <c r="V621" s="171">
        <f t="shared" si="306"/>
        <v>0</v>
      </c>
      <c r="W621" s="171">
        <f>IF(OR(A621&gt;=$C$13,B621="Retired"),IF(V621&gt;0,-V621,U621-'Model Inputs'!$B$18),"")</f>
        <v>4778769.566023224</v>
      </c>
      <c r="X621" s="171">
        <f t="shared" si="294"/>
        <v>1477523.8640773871</v>
      </c>
      <c r="Y621" s="171">
        <f t="shared" si="295"/>
        <v>706938.0803718986</v>
      </c>
      <c r="Z621" s="171">
        <f t="shared" si="296"/>
        <v>770585.78370548855</v>
      </c>
      <c r="AA621" s="172">
        <f t="shared" si="297"/>
        <v>6549355.3497287128</v>
      </c>
      <c r="AB621" s="5"/>
      <c r="AC621" s="5"/>
      <c r="AD621" s="5"/>
      <c r="AE621" s="5"/>
      <c r="AF621" s="5"/>
      <c r="AG621" s="5"/>
    </row>
    <row r="622" spans="1:33" x14ac:dyDescent="0.2">
      <c r="A622" s="173">
        <v>14</v>
      </c>
      <c r="B622" s="65" t="str">
        <f t="shared" si="283"/>
        <v>Retired</v>
      </c>
      <c r="C622" s="174">
        <f t="shared" si="284"/>
        <v>0</v>
      </c>
      <c r="D622" s="174">
        <f t="shared" si="285"/>
        <v>0</v>
      </c>
      <c r="E622" s="174">
        <f t="shared" si="286"/>
        <v>0</v>
      </c>
      <c r="F622" s="174">
        <f t="shared" si="287"/>
        <v>0</v>
      </c>
      <c r="G622" s="171">
        <f t="shared" si="288"/>
        <v>0</v>
      </c>
      <c r="H622" s="171">
        <f t="shared" si="289"/>
        <v>89887.376818314951</v>
      </c>
      <c r="I622" s="171">
        <f>IF(B622="Working",MIN(MAX(D622-E622-F622-G622-H622,0),'Tax Assumptions'!$B$20),0)</f>
        <v>0</v>
      </c>
      <c r="J622" s="171">
        <f t="shared" si="290"/>
        <v>-319887.37681831489</v>
      </c>
      <c r="K622" s="174">
        <f t="shared" si="291"/>
        <v>319887.37681831489</v>
      </c>
      <c r="L622" s="174">
        <f t="shared" si="292"/>
        <v>319887.37681831489</v>
      </c>
      <c r="M622" s="174">
        <f t="shared" si="298"/>
        <v>319887.37681831489</v>
      </c>
      <c r="N622" s="174">
        <f t="shared" si="299"/>
        <v>0</v>
      </c>
      <c r="O622" s="174">
        <f t="shared" si="300"/>
        <v>0</v>
      </c>
      <c r="P622" s="174">
        <f t="shared" si="301"/>
        <v>0</v>
      </c>
      <c r="Q622" s="171">
        <f t="shared" si="302"/>
        <v>5273113.965430609</v>
      </c>
      <c r="R622" s="171">
        <f t="shared" si="303"/>
        <v>407691.0232663902</v>
      </c>
      <c r="S622" s="171">
        <f t="shared" si="304"/>
        <v>124803.37446930309</v>
      </c>
      <c r="T622" s="171">
        <f t="shared" si="305"/>
        <v>0</v>
      </c>
      <c r="U622" s="171">
        <f t="shared" si="293"/>
        <v>5805608.3631663024</v>
      </c>
      <c r="V622" s="171">
        <f t="shared" si="306"/>
        <v>0</v>
      </c>
      <c r="W622" s="171">
        <f>IF(OR(A622&gt;=$C$13,B622="Retired"),IF(V622&gt;0,-V622,U622-'Model Inputs'!$B$18),"")</f>
        <v>4805608.3631663024</v>
      </c>
      <c r="X622" s="171">
        <f t="shared" si="294"/>
        <v>1521849.5799997088</v>
      </c>
      <c r="Y622" s="171">
        <f t="shared" si="295"/>
        <v>696165.18316319177</v>
      </c>
      <c r="Z622" s="171">
        <f t="shared" si="296"/>
        <v>825684.39683651703</v>
      </c>
      <c r="AA622" s="175">
        <f t="shared" si="297"/>
        <v>6631292.7600028198</v>
      </c>
      <c r="AB622" s="5"/>
      <c r="AC622" s="5"/>
      <c r="AD622" s="5"/>
      <c r="AE622" s="5"/>
      <c r="AF622" s="5"/>
      <c r="AG622" s="5"/>
    </row>
    <row r="623" spans="1:33" x14ac:dyDescent="0.2">
      <c r="A623" s="169">
        <v>15</v>
      </c>
      <c r="B623" s="100" t="str">
        <f t="shared" si="283"/>
        <v>Retired</v>
      </c>
      <c r="C623" s="170">
        <f t="shared" si="284"/>
        <v>0</v>
      </c>
      <c r="D623" s="170">
        <f t="shared" si="285"/>
        <v>0</v>
      </c>
      <c r="E623" s="170">
        <f t="shared" si="286"/>
        <v>0</v>
      </c>
      <c r="F623" s="170">
        <f t="shared" si="287"/>
        <v>0</v>
      </c>
      <c r="G623" s="171">
        <f t="shared" si="288"/>
        <v>0</v>
      </c>
      <c r="H623" s="171">
        <f t="shared" si="289"/>
        <v>90891.797541114764</v>
      </c>
      <c r="I623" s="171">
        <f>IF(B623="Working",MIN(MAX(D623-E623-F623-G623-H623,0),'Tax Assumptions'!$B$20),0)</f>
        <v>0</v>
      </c>
      <c r="J623" s="171">
        <f t="shared" si="290"/>
        <v>-320891.79754111473</v>
      </c>
      <c r="K623" s="170">
        <f t="shared" si="291"/>
        <v>320891.79754111473</v>
      </c>
      <c r="L623" s="170">
        <f t="shared" si="292"/>
        <v>320891.79754111473</v>
      </c>
      <c r="M623" s="170">
        <f t="shared" si="298"/>
        <v>320891.79754111473</v>
      </c>
      <c r="N623" s="170">
        <f t="shared" si="299"/>
        <v>0</v>
      </c>
      <c r="O623" s="170">
        <f t="shared" si="300"/>
        <v>0</v>
      </c>
      <c r="P623" s="170">
        <f t="shared" si="301"/>
        <v>0</v>
      </c>
      <c r="Q623" s="171">
        <f t="shared" si="302"/>
        <v>5268609.0058153309</v>
      </c>
      <c r="R623" s="171">
        <f t="shared" si="303"/>
        <v>432152.48466237361</v>
      </c>
      <c r="S623" s="171">
        <f t="shared" si="304"/>
        <v>132291.57693746127</v>
      </c>
      <c r="T623" s="171">
        <f t="shared" si="305"/>
        <v>0</v>
      </c>
      <c r="U623" s="171">
        <f t="shared" si="293"/>
        <v>5833053.0674151657</v>
      </c>
      <c r="V623" s="171">
        <f t="shared" si="306"/>
        <v>0</v>
      </c>
      <c r="W623" s="171">
        <f>IF(OR(A623&gt;=$C$13,B623="Retired"),IF(V623&gt;0,-V623,U623-'Model Inputs'!$B$18),"")</f>
        <v>4833053.0674151657</v>
      </c>
      <c r="X623" s="171">
        <f t="shared" si="294"/>
        <v>1567505.0673996999</v>
      </c>
      <c r="Y623" s="171">
        <f t="shared" si="295"/>
        <v>684670.80507698469</v>
      </c>
      <c r="Z623" s="171">
        <f t="shared" si="296"/>
        <v>882834.26232271525</v>
      </c>
      <c r="AA623" s="172">
        <f t="shared" si="297"/>
        <v>6715887.3297378812</v>
      </c>
      <c r="AB623" s="5"/>
      <c r="AC623" s="5"/>
      <c r="AD623" s="5"/>
      <c r="AE623" s="5"/>
      <c r="AF623" s="5"/>
      <c r="AG623" s="5"/>
    </row>
    <row r="624" spans="1:33" x14ac:dyDescent="0.2">
      <c r="A624" s="173">
        <v>16</v>
      </c>
      <c r="B624" s="65" t="str">
        <f t="shared" si="283"/>
        <v>Retired</v>
      </c>
      <c r="C624" s="174">
        <f t="shared" si="284"/>
        <v>0</v>
      </c>
      <c r="D624" s="174">
        <f t="shared" si="285"/>
        <v>0</v>
      </c>
      <c r="E624" s="174">
        <f t="shared" si="286"/>
        <v>0</v>
      </c>
      <c r="F624" s="174">
        <f t="shared" si="287"/>
        <v>0</v>
      </c>
      <c r="G624" s="171">
        <f t="shared" si="288"/>
        <v>0</v>
      </c>
      <c r="H624" s="171">
        <f t="shared" si="289"/>
        <v>91926.350885598556</v>
      </c>
      <c r="I624" s="171">
        <f>IF(B624="Working",MIN(MAX(D624-E624-F624-G624-H624,0),'Tax Assumptions'!$B$20),0)</f>
        <v>0</v>
      </c>
      <c r="J624" s="171">
        <f t="shared" si="290"/>
        <v>-321926.35088559851</v>
      </c>
      <c r="K624" s="174">
        <f t="shared" si="291"/>
        <v>321926.35088559851</v>
      </c>
      <c r="L624" s="174">
        <f t="shared" si="292"/>
        <v>321926.35088559851</v>
      </c>
      <c r="M624" s="174">
        <f t="shared" si="298"/>
        <v>321926.35088559851</v>
      </c>
      <c r="N624" s="174">
        <f t="shared" si="299"/>
        <v>0</v>
      </c>
      <c r="O624" s="174">
        <f t="shared" si="300"/>
        <v>0</v>
      </c>
      <c r="P624" s="174">
        <f t="shared" si="301"/>
        <v>0</v>
      </c>
      <c r="Q624" s="171">
        <f t="shared" si="302"/>
        <v>5262799.195278652</v>
      </c>
      <c r="R624" s="171">
        <f t="shared" si="303"/>
        <v>458081.63374211604</v>
      </c>
      <c r="S624" s="171">
        <f t="shared" si="304"/>
        <v>140229.07155370896</v>
      </c>
      <c r="T624" s="171">
        <f t="shared" si="305"/>
        <v>0</v>
      </c>
      <c r="U624" s="171">
        <f t="shared" si="293"/>
        <v>5861109.9005744774</v>
      </c>
      <c r="V624" s="171">
        <f t="shared" si="306"/>
        <v>0</v>
      </c>
      <c r="W624" s="171">
        <f>IF(OR(A624&gt;=$C$13,B624="Retired"),IF(V624&gt;0,-V624,U624-'Model Inputs'!$B$18),"")</f>
        <v>4861109.9005744774</v>
      </c>
      <c r="X624" s="171">
        <f t="shared" si="294"/>
        <v>1614530.219421691</v>
      </c>
      <c r="Y624" s="171">
        <f t="shared" si="295"/>
        <v>672406.62720272737</v>
      </c>
      <c r="Z624" s="171">
        <f t="shared" si="296"/>
        <v>942123.59221896366</v>
      </c>
      <c r="AA624" s="175">
        <f t="shared" si="297"/>
        <v>6803233.4927934408</v>
      </c>
      <c r="AB624" s="5"/>
      <c r="AC624" s="5"/>
      <c r="AD624" s="5"/>
      <c r="AE624" s="5"/>
      <c r="AF624" s="5"/>
      <c r="AG624" s="5"/>
    </row>
    <row r="625" spans="1:33" x14ac:dyDescent="0.2">
      <c r="A625" s="169">
        <v>17</v>
      </c>
      <c r="B625" s="100" t="str">
        <f t="shared" si="283"/>
        <v>Retired</v>
      </c>
      <c r="C625" s="170">
        <f t="shared" si="284"/>
        <v>0</v>
      </c>
      <c r="D625" s="170">
        <f t="shared" si="285"/>
        <v>0</v>
      </c>
      <c r="E625" s="170">
        <f t="shared" si="286"/>
        <v>0</v>
      </c>
      <c r="F625" s="170">
        <f t="shared" si="287"/>
        <v>0</v>
      </c>
      <c r="G625" s="171">
        <f t="shared" si="288"/>
        <v>0</v>
      </c>
      <c r="H625" s="171">
        <f t="shared" si="289"/>
        <v>92991.940830416876</v>
      </c>
      <c r="I625" s="171">
        <f>IF(B625="Working",MIN(MAX(D625-E625-F625-G625-H625,0),'Tax Assumptions'!$B$20),0)</f>
        <v>0</v>
      </c>
      <c r="J625" s="171">
        <f t="shared" si="290"/>
        <v>-322991.94083041686</v>
      </c>
      <c r="K625" s="170">
        <f t="shared" si="291"/>
        <v>322991.94083041686</v>
      </c>
      <c r="L625" s="170">
        <f t="shared" si="292"/>
        <v>322991.94083041686</v>
      </c>
      <c r="M625" s="170">
        <f t="shared" si="298"/>
        <v>322991.94083041686</v>
      </c>
      <c r="N625" s="170">
        <f t="shared" si="299"/>
        <v>0</v>
      </c>
      <c r="O625" s="170">
        <f t="shared" si="300"/>
        <v>0</v>
      </c>
      <c r="P625" s="170">
        <f t="shared" si="301"/>
        <v>0</v>
      </c>
      <c r="Q625" s="171">
        <f t="shared" si="302"/>
        <v>5255575.2061649542</v>
      </c>
      <c r="R625" s="171">
        <f t="shared" si="303"/>
        <v>485566.53176664305</v>
      </c>
      <c r="S625" s="171">
        <f t="shared" si="304"/>
        <v>148642.81584693151</v>
      </c>
      <c r="T625" s="171">
        <f t="shared" si="305"/>
        <v>0</v>
      </c>
      <c r="U625" s="171">
        <f t="shared" si="293"/>
        <v>5889784.5537785282</v>
      </c>
      <c r="V625" s="171">
        <f t="shared" si="306"/>
        <v>0</v>
      </c>
      <c r="W625" s="171">
        <f>IF(OR(A625&gt;=$C$13,B625="Retired"),IF(V625&gt;0,-V625,U625-'Model Inputs'!$B$18),"")</f>
        <v>4889784.5537785282</v>
      </c>
      <c r="X625" s="171">
        <f t="shared" si="294"/>
        <v>1662966.1260043418</v>
      </c>
      <c r="Y625" s="171">
        <f t="shared" si="295"/>
        <v>659321.09462294192</v>
      </c>
      <c r="Z625" s="171">
        <f t="shared" si="296"/>
        <v>1003645.0313813998</v>
      </c>
      <c r="AA625" s="172">
        <f t="shared" si="297"/>
        <v>6893429.5851599276</v>
      </c>
      <c r="AB625" s="5"/>
      <c r="AC625" s="5"/>
      <c r="AD625" s="5"/>
      <c r="AE625" s="5"/>
      <c r="AF625" s="5"/>
      <c r="AG625" s="5"/>
    </row>
    <row r="626" spans="1:33" x14ac:dyDescent="0.2">
      <c r="A626" s="173">
        <v>18</v>
      </c>
      <c r="B626" s="65" t="str">
        <f t="shared" si="283"/>
        <v>Retired</v>
      </c>
      <c r="C626" s="174">
        <f t="shared" si="284"/>
        <v>0</v>
      </c>
      <c r="D626" s="174">
        <f t="shared" si="285"/>
        <v>0</v>
      </c>
      <c r="E626" s="174">
        <f t="shared" si="286"/>
        <v>0</v>
      </c>
      <c r="F626" s="174">
        <f t="shared" si="287"/>
        <v>0</v>
      </c>
      <c r="G626" s="171">
        <f t="shared" si="288"/>
        <v>0</v>
      </c>
      <c r="H626" s="171">
        <f t="shared" si="289"/>
        <v>94089.498473579733</v>
      </c>
      <c r="I626" s="171">
        <f>IF(B626="Working",MIN(MAX(D626-E626-F626-G626-H626,0),'Tax Assumptions'!$B$20),0)</f>
        <v>0</v>
      </c>
      <c r="J626" s="171">
        <f t="shared" si="290"/>
        <v>-324089.4984735797</v>
      </c>
      <c r="K626" s="174">
        <f t="shared" si="291"/>
        <v>324089.4984735797</v>
      </c>
      <c r="L626" s="174">
        <f t="shared" si="292"/>
        <v>324089.4984735797</v>
      </c>
      <c r="M626" s="174">
        <f t="shared" si="298"/>
        <v>324089.4984735797</v>
      </c>
      <c r="N626" s="174">
        <f t="shared" si="299"/>
        <v>0</v>
      </c>
      <c r="O626" s="174">
        <f t="shared" si="300"/>
        <v>0</v>
      </c>
      <c r="P626" s="174">
        <f t="shared" si="301"/>
        <v>0</v>
      </c>
      <c r="Q626" s="171">
        <f t="shared" si="302"/>
        <v>5246820.2200612715</v>
      </c>
      <c r="R626" s="171">
        <f t="shared" si="303"/>
        <v>514700.52367264166</v>
      </c>
      <c r="S626" s="171">
        <f t="shared" si="304"/>
        <v>157561.38479774742</v>
      </c>
      <c r="T626" s="171">
        <f t="shared" si="305"/>
        <v>0</v>
      </c>
      <c r="U626" s="171">
        <f t="shared" si="293"/>
        <v>5919082.12853166</v>
      </c>
      <c r="V626" s="171">
        <f t="shared" si="306"/>
        <v>0</v>
      </c>
      <c r="W626" s="171">
        <f>IF(OR(A626&gt;=$C$13,B626="Retired"),IF(V626&gt;0,-V626,U626-'Model Inputs'!$B$18),"")</f>
        <v>4919082.12853166</v>
      </c>
      <c r="X626" s="171">
        <f t="shared" si="294"/>
        <v>1712855.1097844718</v>
      </c>
      <c r="Y626" s="171">
        <f t="shared" si="295"/>
        <v>645359.19969184883</v>
      </c>
      <c r="Z626" s="171">
        <f t="shared" si="296"/>
        <v>1067495.910092623</v>
      </c>
      <c r="AA626" s="175">
        <f t="shared" si="297"/>
        <v>6986578.0386242829</v>
      </c>
      <c r="AB626" s="5"/>
      <c r="AC626" s="5"/>
      <c r="AD626" s="5"/>
      <c r="AE626" s="5"/>
      <c r="AF626" s="5"/>
      <c r="AG626" s="5"/>
    </row>
    <row r="627" spans="1:33" x14ac:dyDescent="0.2">
      <c r="A627" s="169">
        <v>19</v>
      </c>
      <c r="B627" s="100" t="str">
        <f t="shared" si="283"/>
        <v>Retired</v>
      </c>
      <c r="C627" s="170">
        <f t="shared" si="284"/>
        <v>0</v>
      </c>
      <c r="D627" s="170">
        <f t="shared" si="285"/>
        <v>0</v>
      </c>
      <c r="E627" s="170">
        <f t="shared" si="286"/>
        <v>0</v>
      </c>
      <c r="F627" s="170">
        <f t="shared" si="287"/>
        <v>0</v>
      </c>
      <c r="G627" s="171">
        <f t="shared" si="288"/>
        <v>0</v>
      </c>
      <c r="H627" s="171">
        <f t="shared" si="289"/>
        <v>95219.982846037485</v>
      </c>
      <c r="I627" s="171">
        <f>IF(B627="Working",MIN(MAX(D627-E627-F627-G627-H627,0),'Tax Assumptions'!$B$20),0)</f>
        <v>0</v>
      </c>
      <c r="J627" s="171">
        <f t="shared" si="290"/>
        <v>-325219.98284603748</v>
      </c>
      <c r="K627" s="170">
        <f t="shared" si="291"/>
        <v>325219.98284603748</v>
      </c>
      <c r="L627" s="170">
        <f t="shared" si="292"/>
        <v>325219.98284603748</v>
      </c>
      <c r="M627" s="170">
        <f t="shared" si="298"/>
        <v>325219.98284603748</v>
      </c>
      <c r="N627" s="170">
        <f t="shared" si="299"/>
        <v>0</v>
      </c>
      <c r="O627" s="170">
        <f t="shared" si="300"/>
        <v>0</v>
      </c>
      <c r="P627" s="170">
        <f t="shared" si="301"/>
        <v>0</v>
      </c>
      <c r="Q627" s="171">
        <f t="shared" si="302"/>
        <v>5236409.4504189109</v>
      </c>
      <c r="R627" s="171">
        <f t="shared" si="303"/>
        <v>545582.55509300018</v>
      </c>
      <c r="S627" s="171">
        <f t="shared" si="304"/>
        <v>167015.06788561228</v>
      </c>
      <c r="T627" s="171">
        <f t="shared" si="305"/>
        <v>0</v>
      </c>
      <c r="U627" s="171">
        <f t="shared" si="293"/>
        <v>5949007.0733975237</v>
      </c>
      <c r="V627" s="171">
        <f t="shared" si="306"/>
        <v>0</v>
      </c>
      <c r="W627" s="171">
        <f>IF(OR(A627&gt;=$C$13,B627="Retired"),IF(V627&gt;0,-V627,U627-'Model Inputs'!$B$18),"")</f>
        <v>4949007.0733975237</v>
      </c>
      <c r="X627" s="171">
        <f t="shared" si="294"/>
        <v>1764240.763078006</v>
      </c>
      <c r="Y627" s="171">
        <f t="shared" si="295"/>
        <v>630462.25079975545</v>
      </c>
      <c r="Z627" s="171">
        <f t="shared" si="296"/>
        <v>1133778.5122782504</v>
      </c>
      <c r="AA627" s="172">
        <f t="shared" si="297"/>
        <v>7082785.5856757741</v>
      </c>
      <c r="AB627" s="5"/>
      <c r="AC627" s="5"/>
      <c r="AD627" s="5"/>
      <c r="AE627" s="5"/>
      <c r="AF627" s="5"/>
      <c r="AG627" s="5"/>
    </row>
    <row r="628" spans="1:33" x14ac:dyDescent="0.2">
      <c r="A628" s="173">
        <v>20</v>
      </c>
      <c r="B628" s="65" t="str">
        <f t="shared" si="283"/>
        <v>Retired</v>
      </c>
      <c r="C628" s="174">
        <f t="shared" si="284"/>
        <v>0</v>
      </c>
      <c r="D628" s="174">
        <f t="shared" si="285"/>
        <v>0</v>
      </c>
      <c r="E628" s="174">
        <f t="shared" si="286"/>
        <v>0</v>
      </c>
      <c r="F628" s="174">
        <f t="shared" si="287"/>
        <v>0</v>
      </c>
      <c r="G628" s="171">
        <f t="shared" si="288"/>
        <v>0</v>
      </c>
      <c r="H628" s="171">
        <f t="shared" si="289"/>
        <v>96384.381749668973</v>
      </c>
      <c r="I628" s="171">
        <f>IF(B628="Working",MIN(MAX(D628-E628-F628-G628-H628,0),'Tax Assumptions'!$B$20),0)</f>
        <v>0</v>
      </c>
      <c r="J628" s="171">
        <f t="shared" si="290"/>
        <v>-326384.38174966897</v>
      </c>
      <c r="K628" s="174">
        <f t="shared" si="291"/>
        <v>326384.38174966897</v>
      </c>
      <c r="L628" s="174">
        <f t="shared" si="292"/>
        <v>326384.38174966897</v>
      </c>
      <c r="M628" s="174">
        <f t="shared" si="298"/>
        <v>326384.38174966897</v>
      </c>
      <c r="N628" s="174">
        <f t="shared" si="299"/>
        <v>0</v>
      </c>
      <c r="O628" s="174">
        <f t="shared" si="300"/>
        <v>0</v>
      </c>
      <c r="P628" s="174">
        <f t="shared" si="301"/>
        <v>0</v>
      </c>
      <c r="Q628" s="171">
        <f t="shared" si="302"/>
        <v>5224209.6356943771</v>
      </c>
      <c r="R628" s="171">
        <f t="shared" si="303"/>
        <v>578317.50839858025</v>
      </c>
      <c r="S628" s="171">
        <f t="shared" si="304"/>
        <v>177035.97195874903</v>
      </c>
      <c r="T628" s="171">
        <f t="shared" si="305"/>
        <v>0</v>
      </c>
      <c r="U628" s="171">
        <f t="shared" si="293"/>
        <v>5979563.1160517065</v>
      </c>
      <c r="V628" s="171">
        <f t="shared" si="306"/>
        <v>0</v>
      </c>
      <c r="W628" s="171">
        <f>IF(OR(A628&gt;=$C$13,B628="Retired"),IF(V628&gt;0,-V628,U628-'Model Inputs'!$B$18),"")</f>
        <v>4979563.1160517065</v>
      </c>
      <c r="X628" s="171">
        <f t="shared" si="294"/>
        <v>1817167.9859703463</v>
      </c>
      <c r="Y628" s="171">
        <f t="shared" si="295"/>
        <v>614567.62565117143</v>
      </c>
      <c r="Z628" s="171">
        <f t="shared" si="296"/>
        <v>1202600.3603191748</v>
      </c>
      <c r="AA628" s="175">
        <f t="shared" si="297"/>
        <v>7182163.4763708813</v>
      </c>
      <c r="AB628" s="5"/>
      <c r="AC628" s="5"/>
      <c r="AD628" s="5"/>
      <c r="AE628" s="5"/>
      <c r="AF628" s="5"/>
      <c r="AG628" s="5"/>
    </row>
    <row r="629" spans="1:33" x14ac:dyDescent="0.2">
      <c r="A629" s="169">
        <v>21</v>
      </c>
      <c r="B629" s="100" t="str">
        <f t="shared" si="283"/>
        <v>Retired</v>
      </c>
      <c r="C629" s="170">
        <f t="shared" si="284"/>
        <v>0</v>
      </c>
      <c r="D629" s="170">
        <f t="shared" si="285"/>
        <v>0</v>
      </c>
      <c r="E629" s="170">
        <f t="shared" si="286"/>
        <v>0</v>
      </c>
      <c r="F629" s="170">
        <f t="shared" si="287"/>
        <v>0</v>
      </c>
      <c r="G629" s="171">
        <f t="shared" si="288"/>
        <v>0</v>
      </c>
      <c r="H629" s="171">
        <f t="shared" si="289"/>
        <v>97583.712620409409</v>
      </c>
      <c r="I629" s="171">
        <f>IF(B629="Working",MIN(MAX(D629-E629-F629-G629-H629,0),'Tax Assumptions'!$B$20),0)</f>
        <v>0</v>
      </c>
      <c r="J629" s="171">
        <f t="shared" si="290"/>
        <v>-327583.71262040938</v>
      </c>
      <c r="K629" s="170">
        <f t="shared" si="291"/>
        <v>327583.71262040938</v>
      </c>
      <c r="L629" s="170">
        <f t="shared" si="292"/>
        <v>327583.71262040938</v>
      </c>
      <c r="M629" s="170">
        <f t="shared" si="298"/>
        <v>327583.71262040938</v>
      </c>
      <c r="N629" s="170">
        <f t="shared" si="299"/>
        <v>0</v>
      </c>
      <c r="O629" s="170">
        <f t="shared" si="300"/>
        <v>0</v>
      </c>
      <c r="P629" s="170">
        <f t="shared" si="301"/>
        <v>0</v>
      </c>
      <c r="Q629" s="171">
        <f t="shared" si="302"/>
        <v>5210078.5012156311</v>
      </c>
      <c r="R629" s="171">
        <f t="shared" si="303"/>
        <v>613016.55890249508</v>
      </c>
      <c r="S629" s="171">
        <f t="shared" si="304"/>
        <v>187658.13027627397</v>
      </c>
      <c r="T629" s="171">
        <f t="shared" si="305"/>
        <v>0</v>
      </c>
      <c r="U629" s="171">
        <f t="shared" si="293"/>
        <v>6010753.1903943997</v>
      </c>
      <c r="V629" s="171">
        <f t="shared" si="306"/>
        <v>0</v>
      </c>
      <c r="W629" s="171">
        <f>IF(OR(A629&gt;=$C$13,B629="Retired"),IF(V629&gt;0,-V629,U629-'Model Inputs'!$B$18),"")</f>
        <v>5010753.1903943997</v>
      </c>
      <c r="X629" s="171">
        <f t="shared" si="294"/>
        <v>1871683.0255494567</v>
      </c>
      <c r="Y629" s="171">
        <f t="shared" si="295"/>
        <v>597608.5080195003</v>
      </c>
      <c r="Z629" s="171">
        <f t="shared" si="296"/>
        <v>1274074.5175299565</v>
      </c>
      <c r="AA629" s="172">
        <f t="shared" si="297"/>
        <v>7284827.7079243567</v>
      </c>
      <c r="AB629" s="5"/>
      <c r="AC629" s="5"/>
      <c r="AD629" s="5"/>
      <c r="AE629" s="5"/>
      <c r="AF629" s="5"/>
      <c r="AG629" s="5"/>
    </row>
    <row r="630" spans="1:33" x14ac:dyDescent="0.2">
      <c r="A630" s="173">
        <v>22</v>
      </c>
      <c r="B630" s="65" t="str">
        <f t="shared" si="283"/>
        <v>Retired</v>
      </c>
      <c r="C630" s="174">
        <f t="shared" si="284"/>
        <v>0</v>
      </c>
      <c r="D630" s="174">
        <f t="shared" si="285"/>
        <v>0</v>
      </c>
      <c r="E630" s="174">
        <f t="shared" si="286"/>
        <v>0</v>
      </c>
      <c r="F630" s="174">
        <f t="shared" si="287"/>
        <v>0</v>
      </c>
      <c r="G630" s="171">
        <f t="shared" si="288"/>
        <v>0</v>
      </c>
      <c r="H630" s="171">
        <f t="shared" si="289"/>
        <v>98819.023417272037</v>
      </c>
      <c r="I630" s="171">
        <f>IF(B630="Working",MIN(MAX(D630-E630-F630-G630-H630,0),'Tax Assumptions'!$B$20),0)</f>
        <v>0</v>
      </c>
      <c r="J630" s="171">
        <f t="shared" si="290"/>
        <v>-328819.02341727202</v>
      </c>
      <c r="K630" s="174">
        <f t="shared" si="291"/>
        <v>328819.02341727202</v>
      </c>
      <c r="L630" s="174">
        <f t="shared" si="292"/>
        <v>328819.02341727202</v>
      </c>
      <c r="M630" s="174">
        <f t="shared" si="298"/>
        <v>328819.02341727202</v>
      </c>
      <c r="N630" s="174">
        <f t="shared" si="299"/>
        <v>0</v>
      </c>
      <c r="O630" s="174">
        <f t="shared" si="300"/>
        <v>0</v>
      </c>
      <c r="P630" s="174">
        <f t="shared" si="301"/>
        <v>0</v>
      </c>
      <c r="Q630" s="171">
        <f t="shared" si="302"/>
        <v>5193864.1878712978</v>
      </c>
      <c r="R630" s="171">
        <f t="shared" si="303"/>
        <v>649797.55243664479</v>
      </c>
      <c r="S630" s="171">
        <f t="shared" si="304"/>
        <v>198917.6180928504</v>
      </c>
      <c r="T630" s="171">
        <f t="shared" si="305"/>
        <v>0</v>
      </c>
      <c r="U630" s="171">
        <f t="shared" si="293"/>
        <v>6042579.3584007937</v>
      </c>
      <c r="V630" s="171">
        <f t="shared" si="306"/>
        <v>0</v>
      </c>
      <c r="W630" s="171">
        <f>IF(OR(A630&gt;=$C$13,B630="Retired"),IF(V630&gt;0,-V630,U630-'Model Inputs'!$B$18),"")</f>
        <v>5042579.3584007937</v>
      </c>
      <c r="X630" s="171">
        <f t="shared" si="294"/>
        <v>1927833.5163159401</v>
      </c>
      <c r="Y630" s="171">
        <f t="shared" si="295"/>
        <v>579513.60687170736</v>
      </c>
      <c r="Z630" s="171">
        <f t="shared" si="296"/>
        <v>1348319.9094442327</v>
      </c>
      <c r="AA630" s="175">
        <f t="shared" si="297"/>
        <v>7390899.2678450262</v>
      </c>
      <c r="AB630" s="5"/>
      <c r="AC630" s="5"/>
      <c r="AD630" s="5"/>
      <c r="AE630" s="5"/>
      <c r="AF630" s="5"/>
      <c r="AG630" s="5"/>
    </row>
    <row r="631" spans="1:33" x14ac:dyDescent="0.2">
      <c r="A631" s="169">
        <v>23</v>
      </c>
      <c r="B631" s="100" t="str">
        <f t="shared" si="283"/>
        <v>Retired</v>
      </c>
      <c r="C631" s="170">
        <f t="shared" si="284"/>
        <v>0</v>
      </c>
      <c r="D631" s="170">
        <f t="shared" si="285"/>
        <v>0</v>
      </c>
      <c r="E631" s="170">
        <f t="shared" si="286"/>
        <v>0</v>
      </c>
      <c r="F631" s="170">
        <f t="shared" si="287"/>
        <v>0</v>
      </c>
      <c r="G631" s="171">
        <f t="shared" si="288"/>
        <v>0</v>
      </c>
      <c r="H631" s="171">
        <f t="shared" si="289"/>
        <v>100091.39353804055</v>
      </c>
      <c r="I631" s="171">
        <f>IF(B631="Working",MIN(MAX(D631-E631-F631-G631-H631,0),'Tax Assumptions'!$B$20),0)</f>
        <v>0</v>
      </c>
      <c r="J631" s="171">
        <f t="shared" si="290"/>
        <v>-330091.39353804052</v>
      </c>
      <c r="K631" s="170">
        <f t="shared" si="291"/>
        <v>330091.39353804052</v>
      </c>
      <c r="L631" s="170">
        <f t="shared" si="292"/>
        <v>330091.39353804052</v>
      </c>
      <c r="M631" s="170">
        <f t="shared" si="298"/>
        <v>330091.39353804052</v>
      </c>
      <c r="N631" s="170">
        <f t="shared" si="299"/>
        <v>0</v>
      </c>
      <c r="O631" s="170">
        <f t="shared" si="300"/>
        <v>0</v>
      </c>
      <c r="P631" s="170">
        <f t="shared" si="301"/>
        <v>0</v>
      </c>
      <c r="Q631" s="171">
        <f t="shared" si="302"/>
        <v>5175404.6456055362</v>
      </c>
      <c r="R631" s="171">
        <f t="shared" si="303"/>
        <v>688785.40558284346</v>
      </c>
      <c r="S631" s="171">
        <f t="shared" si="304"/>
        <v>210852.67517842143</v>
      </c>
      <c r="T631" s="171">
        <f t="shared" si="305"/>
        <v>0</v>
      </c>
      <c r="U631" s="171">
        <f t="shared" si="293"/>
        <v>6075042.7263668012</v>
      </c>
      <c r="V631" s="171">
        <f t="shared" si="306"/>
        <v>0</v>
      </c>
      <c r="W631" s="171">
        <f>IF(OR(A631&gt;=$C$13,B631="Retired"),IF(V631&gt;0,-V631,U631-'Model Inputs'!$B$18),"")</f>
        <v>5075042.7263668012</v>
      </c>
      <c r="X631" s="171">
        <f t="shared" si="294"/>
        <v>1985668.5218054182</v>
      </c>
      <c r="Y631" s="171">
        <f t="shared" si="295"/>
        <v>560206.85668224399</v>
      </c>
      <c r="Z631" s="171">
        <f t="shared" si="296"/>
        <v>1425461.6651231742</v>
      </c>
      <c r="AA631" s="172">
        <f t="shared" si="297"/>
        <v>7500504.3914899752</v>
      </c>
      <c r="AB631" s="5"/>
      <c r="AC631" s="5"/>
      <c r="AD631" s="5"/>
      <c r="AE631" s="5"/>
      <c r="AF631" s="5"/>
      <c r="AG631" s="5"/>
    </row>
    <row r="632" spans="1:33" x14ac:dyDescent="0.2">
      <c r="A632" s="173">
        <v>24</v>
      </c>
      <c r="B632" s="65" t="str">
        <f t="shared" si="283"/>
        <v>Retired</v>
      </c>
      <c r="C632" s="174">
        <f t="shared" si="284"/>
        <v>0</v>
      </c>
      <c r="D632" s="174">
        <f t="shared" si="285"/>
        <v>0</v>
      </c>
      <c r="E632" s="174">
        <f t="shared" si="286"/>
        <v>0</v>
      </c>
      <c r="F632" s="174">
        <f t="shared" si="287"/>
        <v>0</v>
      </c>
      <c r="G632" s="171">
        <f t="shared" si="288"/>
        <v>0</v>
      </c>
      <c r="H632" s="171">
        <f t="shared" si="289"/>
        <v>101401.93476243214</v>
      </c>
      <c r="I632" s="171">
        <f>IF(B632="Working",MIN(MAX(D632-E632-F632-G632-H632,0),'Tax Assumptions'!$B$20),0)</f>
        <v>0</v>
      </c>
      <c r="J632" s="171">
        <f t="shared" si="290"/>
        <v>-331401.93476243212</v>
      </c>
      <c r="K632" s="174">
        <f t="shared" si="291"/>
        <v>331401.93476243212</v>
      </c>
      <c r="L632" s="174">
        <f t="shared" si="292"/>
        <v>331401.93476243212</v>
      </c>
      <c r="M632" s="174">
        <f t="shared" si="298"/>
        <v>331401.93476243212</v>
      </c>
      <c r="N632" s="174">
        <f t="shared" si="299"/>
        <v>0</v>
      </c>
      <c r="O632" s="174">
        <f t="shared" si="300"/>
        <v>0</v>
      </c>
      <c r="P632" s="174">
        <f t="shared" si="301"/>
        <v>0</v>
      </c>
      <c r="Q632" s="171">
        <f t="shared" si="302"/>
        <v>5154526.9895794364</v>
      </c>
      <c r="R632" s="171">
        <f t="shared" si="303"/>
        <v>730112.52991781407</v>
      </c>
      <c r="S632" s="171">
        <f t="shared" si="304"/>
        <v>223503.83568912672</v>
      </c>
      <c r="T632" s="171">
        <f t="shared" si="305"/>
        <v>0</v>
      </c>
      <c r="U632" s="171">
        <f t="shared" si="293"/>
        <v>6108143.3551863767</v>
      </c>
      <c r="V632" s="171">
        <f t="shared" si="306"/>
        <v>0</v>
      </c>
      <c r="W632" s="171">
        <f>IF(OR(A632&gt;=$C$13,B632="Retired"),IF(V632&gt;0,-V632,U632-'Model Inputs'!$B$18),"")</f>
        <v>5108143.3551863767</v>
      </c>
      <c r="X632" s="171">
        <f t="shared" si="294"/>
        <v>2045238.577459581</v>
      </c>
      <c r="Y632" s="171">
        <f t="shared" si="295"/>
        <v>539607.09767644154</v>
      </c>
      <c r="Z632" s="171">
        <f t="shared" si="296"/>
        <v>1505631.4797831394</v>
      </c>
      <c r="AA632" s="175">
        <f t="shared" si="297"/>
        <v>7613774.8349695159</v>
      </c>
      <c r="AB632" s="5"/>
      <c r="AC632" s="5"/>
      <c r="AD632" s="5"/>
      <c r="AE632" s="5"/>
      <c r="AF632" s="5"/>
      <c r="AG632" s="5"/>
    </row>
    <row r="633" spans="1:33" x14ac:dyDescent="0.2">
      <c r="A633" s="169">
        <v>25</v>
      </c>
      <c r="B633" s="100" t="str">
        <f t="shared" si="283"/>
        <v>Retired</v>
      </c>
      <c r="C633" s="170">
        <f t="shared" si="284"/>
        <v>0</v>
      </c>
      <c r="D633" s="170">
        <f t="shared" si="285"/>
        <v>0</v>
      </c>
      <c r="E633" s="170">
        <f t="shared" si="286"/>
        <v>0</v>
      </c>
      <c r="F633" s="170">
        <f t="shared" si="287"/>
        <v>0</v>
      </c>
      <c r="G633" s="171">
        <f t="shared" si="288"/>
        <v>0</v>
      </c>
      <c r="H633" s="171">
        <f t="shared" si="289"/>
        <v>102751.79222355547</v>
      </c>
      <c r="I633" s="171">
        <f>IF(B633="Working",MIN(MAX(D633-E633-F633-G633-H633,0),'Tax Assumptions'!$B$20),0)</f>
        <v>0</v>
      </c>
      <c r="J633" s="171">
        <f t="shared" si="290"/>
        <v>-332751.79222355544</v>
      </c>
      <c r="K633" s="170">
        <f t="shared" si="291"/>
        <v>332751.79222355544</v>
      </c>
      <c r="L633" s="170">
        <f t="shared" si="292"/>
        <v>332751.79222355544</v>
      </c>
      <c r="M633" s="170">
        <f t="shared" si="298"/>
        <v>332751.79222355544</v>
      </c>
      <c r="N633" s="170">
        <f t="shared" si="299"/>
        <v>0</v>
      </c>
      <c r="O633" s="170">
        <f t="shared" si="300"/>
        <v>0</v>
      </c>
      <c r="P633" s="170">
        <f t="shared" si="301"/>
        <v>0</v>
      </c>
      <c r="Q633" s="171">
        <f t="shared" si="302"/>
        <v>5131046.8167306473</v>
      </c>
      <c r="R633" s="171">
        <f t="shared" si="303"/>
        <v>773919.28171288292</v>
      </c>
      <c r="S633" s="171">
        <f t="shared" si="304"/>
        <v>236914.06583047434</v>
      </c>
      <c r="T633" s="171">
        <f t="shared" si="305"/>
        <v>0</v>
      </c>
      <c r="U633" s="171">
        <f t="shared" si="293"/>
        <v>6141880.1642740052</v>
      </c>
      <c r="V633" s="171">
        <f t="shared" si="306"/>
        <v>0</v>
      </c>
      <c r="W633" s="171">
        <f>IF(OR(A633&gt;=$C$13,B633="Retired"),IF(V633&gt;0,-V633,U633-'Model Inputs'!$B$18),"")</f>
        <v>5141880.1642740052</v>
      </c>
      <c r="X633" s="171">
        <f t="shared" si="294"/>
        <v>2106595.7347833687</v>
      </c>
      <c r="Y633" s="171">
        <f t="shared" si="295"/>
        <v>517627.7346592145</v>
      </c>
      <c r="Z633" s="171">
        <f t="shared" si="296"/>
        <v>1588968.0001241541</v>
      </c>
      <c r="AA633" s="172">
        <f t="shared" si="297"/>
        <v>7730848.1643981598</v>
      </c>
      <c r="AB633" s="5"/>
      <c r="AC633" s="5"/>
      <c r="AD633" s="5"/>
      <c r="AE633" s="5"/>
      <c r="AF633" s="5"/>
      <c r="AG633" s="5"/>
    </row>
    <row r="634" spans="1:33" x14ac:dyDescent="0.2">
      <c r="A634" s="173">
        <v>26</v>
      </c>
      <c r="B634" s="65" t="str">
        <f t="shared" si="283"/>
        <v>Retired</v>
      </c>
      <c r="C634" s="174">
        <f t="shared" si="284"/>
        <v>0</v>
      </c>
      <c r="D634" s="174">
        <f t="shared" si="285"/>
        <v>0</v>
      </c>
      <c r="E634" s="174">
        <f t="shared" si="286"/>
        <v>0</v>
      </c>
      <c r="F634" s="174">
        <f t="shared" si="287"/>
        <v>0</v>
      </c>
      <c r="G634" s="171">
        <f t="shared" si="288"/>
        <v>0</v>
      </c>
      <c r="H634" s="171">
        <f t="shared" si="289"/>
        <v>104142.14540851247</v>
      </c>
      <c r="I634" s="171">
        <f>IF(B634="Working",MIN(MAX(D634-E634-F634-G634-H634,0),'Tax Assumptions'!$B$20),0)</f>
        <v>0</v>
      </c>
      <c r="J634" s="171">
        <f t="shared" si="290"/>
        <v>-334142.14540851244</v>
      </c>
      <c r="K634" s="174">
        <f t="shared" si="291"/>
        <v>334142.14540851244</v>
      </c>
      <c r="L634" s="174">
        <f t="shared" si="292"/>
        <v>334142.14540851244</v>
      </c>
      <c r="M634" s="174">
        <f t="shared" si="298"/>
        <v>334142.14540851244</v>
      </c>
      <c r="N634" s="174">
        <f t="shared" si="299"/>
        <v>0</v>
      </c>
      <c r="O634" s="174">
        <f t="shared" si="300"/>
        <v>0</v>
      </c>
      <c r="P634" s="174">
        <f t="shared" si="301"/>
        <v>0</v>
      </c>
      <c r="Q634" s="171">
        <f t="shared" si="302"/>
        <v>5104767.4803259745</v>
      </c>
      <c r="R634" s="171">
        <f t="shared" si="303"/>
        <v>820354.43861565599</v>
      </c>
      <c r="S634" s="171">
        <f t="shared" si="304"/>
        <v>251128.90978030281</v>
      </c>
      <c r="T634" s="171">
        <f t="shared" si="305"/>
        <v>0</v>
      </c>
      <c r="U634" s="171">
        <f t="shared" si="293"/>
        <v>6176250.8287219331</v>
      </c>
      <c r="V634" s="171">
        <f t="shared" si="306"/>
        <v>0</v>
      </c>
      <c r="W634" s="171">
        <f>IF(OR(A634&gt;=$C$13,B634="Retired"),IF(V634&gt;0,-V634,U634-'Model Inputs'!$B$18),"")</f>
        <v>5176250.8287219331</v>
      </c>
      <c r="X634" s="171">
        <f t="shared" si="294"/>
        <v>2169793.6068268693</v>
      </c>
      <c r="Y634" s="171">
        <f t="shared" si="295"/>
        <v>494176.37299488741</v>
      </c>
      <c r="Z634" s="171">
        <f t="shared" si="296"/>
        <v>1675617.2338319819</v>
      </c>
      <c r="AA634" s="175">
        <f t="shared" si="297"/>
        <v>7851868.0625539152</v>
      </c>
      <c r="AB634" s="5"/>
      <c r="AC634" s="5"/>
      <c r="AD634" s="5"/>
      <c r="AE634" s="5"/>
      <c r="AF634" s="5"/>
      <c r="AG634" s="5"/>
    </row>
    <row r="635" spans="1:33" x14ac:dyDescent="0.2">
      <c r="A635" s="169">
        <v>27</v>
      </c>
      <c r="B635" s="100" t="str">
        <f t="shared" si="283"/>
        <v>Retired</v>
      </c>
      <c r="C635" s="170">
        <f t="shared" si="284"/>
        <v>0</v>
      </c>
      <c r="D635" s="170">
        <f t="shared" si="285"/>
        <v>0</v>
      </c>
      <c r="E635" s="170">
        <f t="shared" si="286"/>
        <v>0</v>
      </c>
      <c r="F635" s="170">
        <f t="shared" si="287"/>
        <v>0</v>
      </c>
      <c r="G635" s="171">
        <f t="shared" si="288"/>
        <v>0</v>
      </c>
      <c r="H635" s="171">
        <f t="shared" si="289"/>
        <v>105574.20918901821</v>
      </c>
      <c r="I635" s="171">
        <f>IF(B635="Working",MIN(MAX(D635-E635-F635-G635-H635,0),'Tax Assumptions'!$B$20),0)</f>
        <v>0</v>
      </c>
      <c r="J635" s="171">
        <f t="shared" si="290"/>
        <v>-335574.20918901818</v>
      </c>
      <c r="K635" s="170">
        <f t="shared" si="291"/>
        <v>335574.20918901818</v>
      </c>
      <c r="L635" s="170">
        <f t="shared" si="292"/>
        <v>335574.20918901818</v>
      </c>
      <c r="M635" s="170">
        <f t="shared" si="298"/>
        <v>335574.20918901818</v>
      </c>
      <c r="N635" s="170">
        <f t="shared" si="299"/>
        <v>0</v>
      </c>
      <c r="O635" s="170">
        <f t="shared" si="300"/>
        <v>0</v>
      </c>
      <c r="P635" s="170">
        <f t="shared" si="301"/>
        <v>0</v>
      </c>
      <c r="Q635" s="171">
        <f t="shared" si="302"/>
        <v>5075479.319956515</v>
      </c>
      <c r="R635" s="171">
        <f t="shared" si="303"/>
        <v>869575.70493259537</v>
      </c>
      <c r="S635" s="171">
        <f t="shared" si="304"/>
        <v>266196.64436712099</v>
      </c>
      <c r="T635" s="171">
        <f t="shared" si="305"/>
        <v>0</v>
      </c>
      <c r="U635" s="171">
        <f t="shared" si="293"/>
        <v>6211251.6692562317</v>
      </c>
      <c r="V635" s="171">
        <f t="shared" si="306"/>
        <v>0</v>
      </c>
      <c r="W635" s="171">
        <f>IF(OR(A635&gt;=$C$13,B635="Retired"),IF(V635&gt;0,-V635,U635-'Model Inputs'!$B$18),"")</f>
        <v>5211251.6692562317</v>
      </c>
      <c r="X635" s="171">
        <f t="shared" si="294"/>
        <v>2234887.4150316752</v>
      </c>
      <c r="Y635" s="171">
        <f t="shared" si="295"/>
        <v>469154.4302079191</v>
      </c>
      <c r="Z635" s="171">
        <f t="shared" si="296"/>
        <v>1765732.9848237562</v>
      </c>
      <c r="AA635" s="172">
        <f t="shared" si="297"/>
        <v>7976984.6540799877</v>
      </c>
      <c r="AB635" s="5"/>
      <c r="AC635" s="5"/>
      <c r="AD635" s="5"/>
      <c r="AE635" s="5"/>
      <c r="AF635" s="5"/>
      <c r="AG635" s="5"/>
    </row>
    <row r="636" spans="1:33" x14ac:dyDescent="0.2">
      <c r="A636" s="173">
        <v>28</v>
      </c>
      <c r="B636" s="65" t="str">
        <f t="shared" si="283"/>
        <v>Retired</v>
      </c>
      <c r="C636" s="174">
        <f t="shared" si="284"/>
        <v>0</v>
      </c>
      <c r="D636" s="174">
        <f t="shared" si="285"/>
        <v>0</v>
      </c>
      <c r="E636" s="174">
        <f t="shared" si="286"/>
        <v>0</v>
      </c>
      <c r="F636" s="174">
        <f t="shared" si="287"/>
        <v>0</v>
      </c>
      <c r="G636" s="171">
        <f t="shared" si="288"/>
        <v>0</v>
      </c>
      <c r="H636" s="171">
        <f t="shared" si="289"/>
        <v>107049.23488293911</v>
      </c>
      <c r="I636" s="171">
        <f>IF(B636="Working",MIN(MAX(D636-E636-F636-G636-H636,0),'Tax Assumptions'!$B$20),0)</f>
        <v>0</v>
      </c>
      <c r="J636" s="171">
        <f t="shared" si="290"/>
        <v>-337049.23488293908</v>
      </c>
      <c r="K636" s="174">
        <f t="shared" si="291"/>
        <v>337049.23488293908</v>
      </c>
      <c r="L636" s="174">
        <f t="shared" si="292"/>
        <v>337049.23488293908</v>
      </c>
      <c r="M636" s="174">
        <f t="shared" si="298"/>
        <v>337049.23488293908</v>
      </c>
      <c r="N636" s="174">
        <f t="shared" si="299"/>
        <v>0</v>
      </c>
      <c r="O636" s="174">
        <f t="shared" si="300"/>
        <v>0</v>
      </c>
      <c r="P636" s="174">
        <f t="shared" si="301"/>
        <v>0</v>
      </c>
      <c r="Q636" s="171">
        <f t="shared" si="302"/>
        <v>5042958.8442709679</v>
      </c>
      <c r="R636" s="171">
        <f t="shared" si="303"/>
        <v>921750.24722855119</v>
      </c>
      <c r="S636" s="171">
        <f t="shared" si="304"/>
        <v>282168.44302914827</v>
      </c>
      <c r="T636" s="171">
        <f t="shared" si="305"/>
        <v>0</v>
      </c>
      <c r="U636" s="171">
        <f t="shared" si="293"/>
        <v>6246877.5345286671</v>
      </c>
      <c r="V636" s="171">
        <f t="shared" si="306"/>
        <v>0</v>
      </c>
      <c r="W636" s="171">
        <f>IF(OR(A636&gt;=$C$13,B636="Retired"),IF(V636&gt;0,-V636,U636-'Model Inputs'!$B$18),"")</f>
        <v>5246877.5345286671</v>
      </c>
      <c r="X636" s="171">
        <f t="shared" si="294"/>
        <v>2301934.0374826253</v>
      </c>
      <c r="Y636" s="171">
        <f t="shared" si="295"/>
        <v>442456.72157180589</v>
      </c>
      <c r="Z636" s="171">
        <f t="shared" si="296"/>
        <v>1859477.3159108195</v>
      </c>
      <c r="AA636" s="175">
        <f t="shared" si="297"/>
        <v>8106354.850439487</v>
      </c>
      <c r="AB636" s="5"/>
      <c r="AC636" s="5"/>
      <c r="AD636" s="5"/>
      <c r="AE636" s="5"/>
      <c r="AF636" s="5"/>
      <c r="AG636" s="5"/>
    </row>
    <row r="637" spans="1:33" x14ac:dyDescent="0.2">
      <c r="A637" s="169">
        <v>29</v>
      </c>
      <c r="B637" s="100" t="str">
        <f t="shared" si="283"/>
        <v>Retired</v>
      </c>
      <c r="C637" s="170">
        <f t="shared" si="284"/>
        <v>0</v>
      </c>
      <c r="D637" s="170">
        <f t="shared" si="285"/>
        <v>0</v>
      </c>
      <c r="E637" s="170">
        <f t="shared" si="286"/>
        <v>0</v>
      </c>
      <c r="F637" s="170">
        <f t="shared" si="287"/>
        <v>0</v>
      </c>
      <c r="G637" s="171">
        <f t="shared" si="288"/>
        <v>0</v>
      </c>
      <c r="H637" s="171">
        <f t="shared" si="289"/>
        <v>108568.51134767765</v>
      </c>
      <c r="I637" s="171">
        <f>IF(B637="Working",MIN(MAX(D637-E637-F637-G637-H637,0),'Tax Assumptions'!$B$20),0)</f>
        <v>0</v>
      </c>
      <c r="J637" s="171">
        <f t="shared" si="290"/>
        <v>-338568.51134767762</v>
      </c>
      <c r="K637" s="170">
        <f t="shared" si="291"/>
        <v>338568.51134767762</v>
      </c>
      <c r="L637" s="170">
        <f t="shared" si="292"/>
        <v>338568.51134767762</v>
      </c>
      <c r="M637" s="170">
        <f t="shared" si="298"/>
        <v>338568.51134767762</v>
      </c>
      <c r="N637" s="170">
        <f t="shared" si="299"/>
        <v>0</v>
      </c>
      <c r="O637" s="170">
        <f t="shared" si="300"/>
        <v>0</v>
      </c>
      <c r="P637" s="170">
        <f t="shared" si="301"/>
        <v>0</v>
      </c>
      <c r="Q637" s="171">
        <f t="shared" si="302"/>
        <v>5006967.8635795489</v>
      </c>
      <c r="R637" s="171">
        <f t="shared" si="303"/>
        <v>977055.26206226426</v>
      </c>
      <c r="S637" s="171">
        <f t="shared" si="304"/>
        <v>299098.5496108972</v>
      </c>
      <c r="T637" s="171">
        <f t="shared" si="305"/>
        <v>0</v>
      </c>
      <c r="U637" s="171">
        <f t="shared" si="293"/>
        <v>6283121.6752527105</v>
      </c>
      <c r="V637" s="171">
        <f t="shared" si="306"/>
        <v>0</v>
      </c>
      <c r="W637" s="171">
        <f>IF(OR(A637&gt;=$C$13,B637="Retired"),IF(V637&gt;0,-V637,U637-'Model Inputs'!$B$18),"")</f>
        <v>5283121.6752527105</v>
      </c>
      <c r="X637" s="171">
        <f t="shared" si="294"/>
        <v>2370992.0586071042</v>
      </c>
      <c r="Y637" s="171">
        <f t="shared" si="295"/>
        <v>413971.01794410776</v>
      </c>
      <c r="Z637" s="171">
        <f t="shared" si="296"/>
        <v>1957021.0406629965</v>
      </c>
      <c r="AA637" s="172">
        <f t="shared" si="297"/>
        <v>8240142.7159157069</v>
      </c>
      <c r="AB637" s="5"/>
      <c r="AC637" s="5"/>
      <c r="AD637" s="5"/>
      <c r="AE637" s="5"/>
      <c r="AF637" s="5"/>
      <c r="AG637" s="5"/>
    </row>
    <row r="638" spans="1:33" x14ac:dyDescent="0.2">
      <c r="A638" s="173">
        <v>30</v>
      </c>
      <c r="B638" s="65" t="str">
        <f t="shared" si="283"/>
        <v>Retired</v>
      </c>
      <c r="C638" s="174">
        <f t="shared" si="284"/>
        <v>0</v>
      </c>
      <c r="D638" s="174">
        <f t="shared" si="285"/>
        <v>0</v>
      </c>
      <c r="E638" s="174">
        <f t="shared" si="286"/>
        <v>0</v>
      </c>
      <c r="F638" s="174">
        <f t="shared" si="287"/>
        <v>0</v>
      </c>
      <c r="G638" s="171">
        <f t="shared" si="288"/>
        <v>0</v>
      </c>
      <c r="H638" s="171">
        <f t="shared" si="289"/>
        <v>110133.36610635833</v>
      </c>
      <c r="I638" s="171">
        <f>IF(B638="Working",MIN(MAX(D638-E638-F638-G638-H638,0),'Tax Assumptions'!$B$20),0)</f>
        <v>0</v>
      </c>
      <c r="J638" s="171">
        <f t="shared" si="290"/>
        <v>-340133.3661063583</v>
      </c>
      <c r="K638" s="174">
        <f t="shared" si="291"/>
        <v>340133.3661063583</v>
      </c>
      <c r="L638" s="174">
        <f t="shared" si="292"/>
        <v>340133.3661063583</v>
      </c>
      <c r="M638" s="174">
        <f t="shared" si="298"/>
        <v>340133.3661063583</v>
      </c>
      <c r="N638" s="174">
        <f t="shared" si="299"/>
        <v>0</v>
      </c>
      <c r="O638" s="174">
        <f t="shared" si="300"/>
        <v>0</v>
      </c>
      <c r="P638" s="174">
        <f t="shared" si="301"/>
        <v>0</v>
      </c>
      <c r="Q638" s="171">
        <f t="shared" si="302"/>
        <v>4967252.5692879641</v>
      </c>
      <c r="R638" s="171">
        <f t="shared" si="303"/>
        <v>1035678.5777860002</v>
      </c>
      <c r="S638" s="171">
        <f t="shared" si="304"/>
        <v>317044.46258755104</v>
      </c>
      <c r="T638" s="171">
        <f t="shared" si="305"/>
        <v>0</v>
      </c>
      <c r="U638" s="171">
        <f t="shared" si="293"/>
        <v>6319975.6096615158</v>
      </c>
      <c r="V638" s="171">
        <f t="shared" si="306"/>
        <v>0</v>
      </c>
      <c r="W638" s="171">
        <f>IF(OR(A638&gt;=$C$13,B638="Retired"),IF(V638&gt;0,-V638,U638-'Model Inputs'!$B$18),"")</f>
        <v>5319975.6096615158</v>
      </c>
      <c r="X638" s="171">
        <f t="shared" si="294"/>
        <v>2442121.8203653172</v>
      </c>
      <c r="Y638" s="171">
        <f t="shared" si="295"/>
        <v>383577.57398886699</v>
      </c>
      <c r="Z638" s="171">
        <f t="shared" si="296"/>
        <v>2058544.2463764502</v>
      </c>
      <c r="AA638" s="175">
        <f t="shared" si="297"/>
        <v>8378519.856037966</v>
      </c>
      <c r="AB638" s="5"/>
      <c r="AC638" s="5"/>
      <c r="AD638" s="5"/>
      <c r="AE638" s="5"/>
      <c r="AF638" s="5"/>
      <c r="AG638" s="5"/>
    </row>
    <row r="639" spans="1:33" x14ac:dyDescent="0.2">
      <c r="A639" s="169">
        <v>31</v>
      </c>
      <c r="B639" s="100" t="str">
        <f t="shared" si="283"/>
        <v>Retired</v>
      </c>
      <c r="C639" s="170">
        <f t="shared" si="284"/>
        <v>0</v>
      </c>
      <c r="D639" s="170">
        <f t="shared" si="285"/>
        <v>0</v>
      </c>
      <c r="E639" s="170">
        <f t="shared" si="286"/>
        <v>0</v>
      </c>
      <c r="F639" s="170">
        <f t="shared" si="287"/>
        <v>0</v>
      </c>
      <c r="G639" s="171">
        <f t="shared" si="288"/>
        <v>0</v>
      </c>
      <c r="H639" s="171">
        <f t="shared" si="289"/>
        <v>111745.16650779944</v>
      </c>
      <c r="I639" s="171">
        <f>IF(B639="Working",MIN(MAX(D639-E639-F639-G639-H639,0),'Tax Assumptions'!$B$20),0)</f>
        <v>0</v>
      </c>
      <c r="J639" s="171">
        <f t="shared" si="290"/>
        <v>-341745.16650779941</v>
      </c>
      <c r="K639" s="170">
        <f t="shared" si="291"/>
        <v>341745.16650779941</v>
      </c>
      <c r="L639" s="170">
        <f t="shared" si="292"/>
        <v>341745.16650779941</v>
      </c>
      <c r="M639" s="170">
        <f t="shared" si="298"/>
        <v>341745.16650779941</v>
      </c>
      <c r="N639" s="170">
        <f t="shared" si="299"/>
        <v>0</v>
      </c>
      <c r="O639" s="170">
        <f t="shared" si="300"/>
        <v>0</v>
      </c>
      <c r="P639" s="170">
        <f t="shared" si="301"/>
        <v>0</v>
      </c>
      <c r="Q639" s="171">
        <f t="shared" si="302"/>
        <v>4923542.5569374431</v>
      </c>
      <c r="R639" s="171">
        <f t="shared" si="303"/>
        <v>1097819.2924531603</v>
      </c>
      <c r="S639" s="171">
        <f t="shared" si="304"/>
        <v>336067.13034280413</v>
      </c>
      <c r="T639" s="171">
        <f t="shared" si="305"/>
        <v>0</v>
      </c>
      <c r="U639" s="171">
        <f t="shared" si="293"/>
        <v>6357428.9797334075</v>
      </c>
      <c r="V639" s="171">
        <f t="shared" si="306"/>
        <v>0</v>
      </c>
      <c r="W639" s="171">
        <f>IF(OR(A639&gt;=$C$13,B639="Retired"),IF(V639&gt;0,-V639,U639-'Model Inputs'!$B$18),"")</f>
        <v>5357428.9797334075</v>
      </c>
      <c r="X639" s="171">
        <f t="shared" si="294"/>
        <v>2515385.4749762765</v>
      </c>
      <c r="Y639" s="171">
        <f t="shared" si="295"/>
        <v>351148.62480320875</v>
      </c>
      <c r="Z639" s="171">
        <f t="shared" si="296"/>
        <v>2164236.8501730678</v>
      </c>
      <c r="AA639" s="172">
        <f t="shared" si="297"/>
        <v>8521665.8299064748</v>
      </c>
      <c r="AB639" s="5"/>
      <c r="AC639" s="5"/>
      <c r="AD639" s="5"/>
      <c r="AE639" s="5"/>
      <c r="AF639" s="5"/>
      <c r="AG639" s="5"/>
    </row>
    <row r="640" spans="1:33" x14ac:dyDescent="0.2">
      <c r="A640" s="173">
        <v>32</v>
      </c>
      <c r="B640" s="65" t="str">
        <f t="shared" si="283"/>
        <v>Retired</v>
      </c>
      <c r="C640" s="174">
        <f t="shared" si="284"/>
        <v>0</v>
      </c>
      <c r="D640" s="174">
        <f t="shared" si="285"/>
        <v>0</v>
      </c>
      <c r="E640" s="174">
        <f t="shared" si="286"/>
        <v>0</v>
      </c>
      <c r="F640" s="174">
        <f t="shared" si="287"/>
        <v>0</v>
      </c>
      <c r="G640" s="171">
        <f t="shared" si="288"/>
        <v>0</v>
      </c>
      <c r="H640" s="171">
        <f t="shared" si="289"/>
        <v>113405.3209212838</v>
      </c>
      <c r="I640" s="171">
        <f>IF(B640="Working",MIN(MAX(D640-E640-F640-G640-H640,0),'Tax Assumptions'!$B$20),0)</f>
        <v>0</v>
      </c>
      <c r="J640" s="171">
        <f t="shared" si="290"/>
        <v>-343405.3209212838</v>
      </c>
      <c r="K640" s="174">
        <f t="shared" si="291"/>
        <v>343405.3209212838</v>
      </c>
      <c r="L640" s="174">
        <f t="shared" si="292"/>
        <v>343405.3209212838</v>
      </c>
      <c r="M640" s="174">
        <f t="shared" si="298"/>
        <v>343405.3209212838</v>
      </c>
      <c r="N640" s="174">
        <f t="shared" si="299"/>
        <v>0</v>
      </c>
      <c r="O640" s="174">
        <f t="shared" si="300"/>
        <v>0</v>
      </c>
      <c r="P640" s="174">
        <f t="shared" si="301"/>
        <v>0</v>
      </c>
      <c r="Q640" s="171">
        <f t="shared" si="302"/>
        <v>4875549.7894324055</v>
      </c>
      <c r="R640" s="171">
        <f t="shared" si="303"/>
        <v>1163688.4500003499</v>
      </c>
      <c r="S640" s="171">
        <f t="shared" si="304"/>
        <v>356231.15816337237</v>
      </c>
      <c r="T640" s="171">
        <f t="shared" si="305"/>
        <v>0</v>
      </c>
      <c r="U640" s="171">
        <f t="shared" si="293"/>
        <v>6395469.3975961283</v>
      </c>
      <c r="V640" s="171">
        <f t="shared" si="306"/>
        <v>0</v>
      </c>
      <c r="W640" s="171">
        <f>IF(OR(A640&gt;=$C$13,B640="Retired"),IF(V640&gt;0,-V640,U640-'Model Inputs'!$B$18),"")</f>
        <v>5395469.3975961283</v>
      </c>
      <c r="X640" s="171">
        <f t="shared" si="294"/>
        <v>2590847.0392255653</v>
      </c>
      <c r="Y640" s="171">
        <f t="shared" si="295"/>
        <v>316547.84883208992</v>
      </c>
      <c r="Z640" s="171">
        <f t="shared" si="296"/>
        <v>2274299.1903934753</v>
      </c>
      <c r="AA640" s="175">
        <f t="shared" si="297"/>
        <v>8669768.5879896041</v>
      </c>
      <c r="AB640" s="5"/>
      <c r="AC640" s="5"/>
      <c r="AD640" s="5"/>
      <c r="AE640" s="5"/>
      <c r="AF640" s="5"/>
      <c r="AG640" s="5"/>
    </row>
    <row r="641" spans="1:33" x14ac:dyDescent="0.2">
      <c r="A641" s="169">
        <v>33</v>
      </c>
      <c r="B641" s="100" t="str">
        <f t="shared" si="283"/>
        <v>Retired</v>
      </c>
      <c r="C641" s="170">
        <f t="shared" si="284"/>
        <v>0</v>
      </c>
      <c r="D641" s="170">
        <f t="shared" si="285"/>
        <v>0</v>
      </c>
      <c r="E641" s="170">
        <f t="shared" si="286"/>
        <v>0</v>
      </c>
      <c r="F641" s="170">
        <f t="shared" si="287"/>
        <v>0</v>
      </c>
      <c r="G641" s="171">
        <f t="shared" si="288"/>
        <v>0</v>
      </c>
      <c r="H641" s="171">
        <f t="shared" si="289"/>
        <v>115115.27996717265</v>
      </c>
      <c r="I641" s="171">
        <f>IF(B641="Working",MIN(MAX(D641-E641-F641-G641-H641,0),'Tax Assumptions'!$B$20),0)</f>
        <v>0</v>
      </c>
      <c r="J641" s="171">
        <f t="shared" si="290"/>
        <v>-345115.27996717265</v>
      </c>
      <c r="K641" s="170">
        <f t="shared" si="291"/>
        <v>345115.27996717265</v>
      </c>
      <c r="L641" s="170">
        <f t="shared" si="292"/>
        <v>345115.27996717265</v>
      </c>
      <c r="M641" s="170">
        <f t="shared" si="298"/>
        <v>345115.27996717265</v>
      </c>
      <c r="N641" s="170">
        <f t="shared" si="299"/>
        <v>0</v>
      </c>
      <c r="O641" s="170">
        <f t="shared" si="300"/>
        <v>0</v>
      </c>
      <c r="P641" s="170">
        <f t="shared" si="301"/>
        <v>0</v>
      </c>
      <c r="Q641" s="171">
        <f t="shared" si="302"/>
        <v>4822967.4968311768</v>
      </c>
      <c r="R641" s="171">
        <f t="shared" si="303"/>
        <v>1233509.7570003709</v>
      </c>
      <c r="S641" s="171">
        <f t="shared" si="304"/>
        <v>377605.02765317471</v>
      </c>
      <c r="T641" s="171">
        <f t="shared" si="305"/>
        <v>0</v>
      </c>
      <c r="U641" s="171">
        <f t="shared" si="293"/>
        <v>6434082.2814847222</v>
      </c>
      <c r="V641" s="171">
        <f t="shared" si="306"/>
        <v>0</v>
      </c>
      <c r="W641" s="171">
        <f>IF(OR(A641&gt;=$C$13,B641="Retired"),IF(V641&gt;0,-V641,U641-'Model Inputs'!$B$18),"")</f>
        <v>5434082.2814847222</v>
      </c>
      <c r="X641" s="171">
        <f t="shared" si="294"/>
        <v>2668572.450402332</v>
      </c>
      <c r="Y641" s="171">
        <f t="shared" si="295"/>
        <v>279629.79481346067</v>
      </c>
      <c r="Z641" s="171">
        <f t="shared" si="296"/>
        <v>2388942.6555888713</v>
      </c>
      <c r="AA641" s="172">
        <f t="shared" si="297"/>
        <v>8823024.937073594</v>
      </c>
      <c r="AB641" s="5"/>
      <c r="AC641" s="5"/>
      <c r="AD641" s="5"/>
      <c r="AE641" s="5"/>
      <c r="AF641" s="5"/>
      <c r="AG641" s="5"/>
    </row>
    <row r="642" spans="1:33" x14ac:dyDescent="0.2">
      <c r="A642" s="173">
        <v>34</v>
      </c>
      <c r="B642" s="65" t="str">
        <f t="shared" si="283"/>
        <v>Retired</v>
      </c>
      <c r="C642" s="174">
        <f t="shared" si="284"/>
        <v>0</v>
      </c>
      <c r="D642" s="174">
        <f t="shared" si="285"/>
        <v>0</v>
      </c>
      <c r="E642" s="174">
        <f t="shared" si="286"/>
        <v>0</v>
      </c>
      <c r="F642" s="174">
        <f t="shared" si="287"/>
        <v>0</v>
      </c>
      <c r="G642" s="171">
        <f t="shared" si="288"/>
        <v>0</v>
      </c>
      <c r="H642" s="171">
        <f t="shared" si="289"/>
        <v>116876.5377844382</v>
      </c>
      <c r="I642" s="171">
        <f>IF(B642="Working",MIN(MAX(D642-E642-F642-G642-H642,0),'Tax Assumptions'!$B$20),0)</f>
        <v>0</v>
      </c>
      <c r="J642" s="171">
        <f t="shared" si="290"/>
        <v>-346876.53778443817</v>
      </c>
      <c r="K642" s="174">
        <f t="shared" si="291"/>
        <v>346876.53778443817</v>
      </c>
      <c r="L642" s="174">
        <f t="shared" si="292"/>
        <v>346876.53778443817</v>
      </c>
      <c r="M642" s="174">
        <f t="shared" si="298"/>
        <v>346876.53778443817</v>
      </c>
      <c r="N642" s="174">
        <f t="shared" si="299"/>
        <v>0</v>
      </c>
      <c r="O642" s="174">
        <f t="shared" si="300"/>
        <v>0</v>
      </c>
      <c r="P642" s="174">
        <f t="shared" si="301"/>
        <v>0</v>
      </c>
      <c r="Q642" s="171">
        <f t="shared" si="302"/>
        <v>4765469.0088566095</v>
      </c>
      <c r="R642" s="171">
        <f t="shared" si="303"/>
        <v>1307520.3424203931</v>
      </c>
      <c r="S642" s="171">
        <f t="shared" si="304"/>
        <v>400261.32931236521</v>
      </c>
      <c r="T642" s="171">
        <f t="shared" si="305"/>
        <v>0</v>
      </c>
      <c r="U642" s="171">
        <f t="shared" si="293"/>
        <v>6473250.6805893686</v>
      </c>
      <c r="V642" s="171">
        <f t="shared" si="306"/>
        <v>0</v>
      </c>
      <c r="W642" s="171">
        <f>IF(OR(A642&gt;=$C$13,B642="Retired"),IF(V642&gt;0,-V642,U642-'Model Inputs'!$B$18),"")</f>
        <v>5473250.6805893686</v>
      </c>
      <c r="X642" s="171">
        <f t="shared" si="294"/>
        <v>2748629.623914402</v>
      </c>
      <c r="Y642" s="171">
        <f t="shared" si="295"/>
        <v>240239.27034487389</v>
      </c>
      <c r="Z642" s="171">
        <f t="shared" si="296"/>
        <v>2508390.3535695281</v>
      </c>
      <c r="AA642" s="175">
        <f t="shared" si="297"/>
        <v>8981641.0341588967</v>
      </c>
      <c r="AB642" s="5"/>
      <c r="AC642" s="5"/>
      <c r="AD642" s="5"/>
      <c r="AE642" s="5"/>
      <c r="AF642" s="5"/>
      <c r="AG642" s="5"/>
    </row>
    <row r="643" spans="1:33" x14ac:dyDescent="0.2">
      <c r="A643" s="169">
        <v>35</v>
      </c>
      <c r="B643" s="100" t="str">
        <f t="shared" si="283"/>
        <v>Retired</v>
      </c>
      <c r="C643" s="170">
        <f t="shared" si="284"/>
        <v>0</v>
      </c>
      <c r="D643" s="170">
        <f t="shared" si="285"/>
        <v>0</v>
      </c>
      <c r="E643" s="170">
        <f t="shared" si="286"/>
        <v>0</v>
      </c>
      <c r="F643" s="170">
        <f t="shared" si="287"/>
        <v>0</v>
      </c>
      <c r="G643" s="171">
        <f t="shared" si="288"/>
        <v>0</v>
      </c>
      <c r="H643" s="171">
        <f t="shared" si="289"/>
        <v>118690.63333622168</v>
      </c>
      <c r="I643" s="171">
        <f>IF(B643="Working",MIN(MAX(D643-E643-F643-G643-H643,0),'Tax Assumptions'!$B$20),0)</f>
        <v>0</v>
      </c>
      <c r="J643" s="171">
        <f t="shared" si="290"/>
        <v>-348690.63333622168</v>
      </c>
      <c r="K643" s="170">
        <f t="shared" si="291"/>
        <v>348690.63333622168</v>
      </c>
      <c r="L643" s="170">
        <f t="shared" si="292"/>
        <v>348690.63333622168</v>
      </c>
      <c r="M643" s="170">
        <f t="shared" si="298"/>
        <v>348690.63333622168</v>
      </c>
      <c r="N643" s="170">
        <f t="shared" si="299"/>
        <v>0</v>
      </c>
      <c r="O643" s="170">
        <f t="shared" si="300"/>
        <v>0</v>
      </c>
      <c r="P643" s="170">
        <f t="shared" si="301"/>
        <v>0</v>
      </c>
      <c r="Q643" s="171">
        <f t="shared" si="302"/>
        <v>4702706.5160517842</v>
      </c>
      <c r="R643" s="171">
        <f t="shared" si="303"/>
        <v>1385971.5629656168</v>
      </c>
      <c r="S643" s="171">
        <f t="shared" si="304"/>
        <v>424277.00907110714</v>
      </c>
      <c r="T643" s="171">
        <f t="shared" si="305"/>
        <v>0</v>
      </c>
      <c r="U643" s="171">
        <f t="shared" si="293"/>
        <v>6512955.0880885078</v>
      </c>
      <c r="V643" s="171">
        <f t="shared" si="306"/>
        <v>0</v>
      </c>
      <c r="W643" s="171">
        <f>IF(OR(A643&gt;=$C$13,B643="Retired"),IF(V643&gt;0,-V643,U643-'Model Inputs'!$B$18),"")</f>
        <v>5512955.0880885078</v>
      </c>
      <c r="X643" s="171">
        <f t="shared" si="294"/>
        <v>2831088.5126318336</v>
      </c>
      <c r="Y643" s="171">
        <f t="shared" si="295"/>
        <v>198210.68950127438</v>
      </c>
      <c r="Z643" s="171">
        <f t="shared" si="296"/>
        <v>2632877.8231305592</v>
      </c>
      <c r="AA643" s="172">
        <f t="shared" si="297"/>
        <v>9145832.9112190679</v>
      </c>
      <c r="AB643" s="5"/>
      <c r="AC643" s="5"/>
      <c r="AD643" s="5"/>
      <c r="AE643" s="5"/>
      <c r="AF643" s="5"/>
      <c r="AG643" s="5"/>
    </row>
    <row r="644" spans="1:33" x14ac:dyDescent="0.2">
      <c r="A644" s="173">
        <v>36</v>
      </c>
      <c r="B644" s="65" t="str">
        <f t="shared" si="283"/>
        <v>Retired</v>
      </c>
      <c r="C644" s="174">
        <f t="shared" si="284"/>
        <v>0</v>
      </c>
      <c r="D644" s="174">
        <f t="shared" si="285"/>
        <v>0</v>
      </c>
      <c r="E644" s="174">
        <f t="shared" si="286"/>
        <v>0</v>
      </c>
      <c r="F644" s="174">
        <f t="shared" si="287"/>
        <v>0</v>
      </c>
      <c r="G644" s="171">
        <f t="shared" si="288"/>
        <v>0</v>
      </c>
      <c r="H644" s="171">
        <f t="shared" si="289"/>
        <v>120559.15175455873</v>
      </c>
      <c r="I644" s="171">
        <f>IF(B644="Working",MIN(MAX(D644-E644-F644-G644-H644,0),'Tax Assumptions'!$B$20),0)</f>
        <v>0</v>
      </c>
      <c r="J644" s="171">
        <f t="shared" si="290"/>
        <v>-350559.15175455867</v>
      </c>
      <c r="K644" s="174">
        <f t="shared" si="291"/>
        <v>350559.15175455867</v>
      </c>
      <c r="L644" s="174">
        <f t="shared" si="292"/>
        <v>350559.15175455867</v>
      </c>
      <c r="M644" s="174">
        <f t="shared" si="298"/>
        <v>350559.15175455867</v>
      </c>
      <c r="N644" s="174">
        <f t="shared" si="299"/>
        <v>0</v>
      </c>
      <c r="O644" s="174">
        <f t="shared" si="300"/>
        <v>0</v>
      </c>
      <c r="P644" s="174">
        <f t="shared" si="301"/>
        <v>0</v>
      </c>
      <c r="Q644" s="171">
        <f t="shared" si="302"/>
        <v>4634309.7552603325</v>
      </c>
      <c r="R644" s="171">
        <f t="shared" si="303"/>
        <v>1469129.8567435539</v>
      </c>
      <c r="S644" s="171">
        <f t="shared" si="304"/>
        <v>449733.62961537362</v>
      </c>
      <c r="T644" s="171">
        <f t="shared" si="305"/>
        <v>0</v>
      </c>
      <c r="U644" s="171">
        <f t="shared" si="293"/>
        <v>6553173.2416192601</v>
      </c>
      <c r="V644" s="171">
        <f t="shared" si="306"/>
        <v>0</v>
      </c>
      <c r="W644" s="171">
        <f>IF(OR(A644&gt;=$C$13,B644="Retired"),IF(V644&gt;0,-V644,U644-'Model Inputs'!$B$18),"")</f>
        <v>5553173.2416192601</v>
      </c>
      <c r="X644" s="171">
        <f t="shared" si="294"/>
        <v>2916021.1680107894</v>
      </c>
      <c r="Y644" s="171">
        <f t="shared" si="295"/>
        <v>153367.3767615403</v>
      </c>
      <c r="Z644" s="171">
        <f t="shared" si="296"/>
        <v>2762653.7912492491</v>
      </c>
      <c r="AA644" s="175">
        <f t="shared" si="297"/>
        <v>9315827.0328685082</v>
      </c>
      <c r="AB644" s="5"/>
      <c r="AC644" s="5"/>
      <c r="AD644" s="5"/>
      <c r="AE644" s="5"/>
      <c r="AF644" s="5"/>
      <c r="AG644" s="5"/>
    </row>
    <row r="645" spans="1:33" x14ac:dyDescent="0.2">
      <c r="A645" s="169">
        <v>37</v>
      </c>
      <c r="B645" s="100" t="str">
        <f t="shared" si="283"/>
        <v>Retired</v>
      </c>
      <c r="C645" s="170">
        <f t="shared" si="284"/>
        <v>0</v>
      </c>
      <c r="D645" s="170">
        <f t="shared" si="285"/>
        <v>0</v>
      </c>
      <c r="E645" s="170">
        <f t="shared" si="286"/>
        <v>0</v>
      </c>
      <c r="F645" s="170">
        <f t="shared" si="287"/>
        <v>0</v>
      </c>
      <c r="G645" s="171">
        <f t="shared" si="288"/>
        <v>0</v>
      </c>
      <c r="H645" s="171">
        <f t="shared" si="289"/>
        <v>122483.72572544584</v>
      </c>
      <c r="I645" s="171">
        <f>IF(B645="Working",MIN(MAX(D645-E645-F645-G645-H645,0),'Tax Assumptions'!$B$20),0)</f>
        <v>0</v>
      </c>
      <c r="J645" s="171">
        <f t="shared" si="290"/>
        <v>-352483.72572544578</v>
      </c>
      <c r="K645" s="170">
        <f t="shared" si="291"/>
        <v>352483.72572544578</v>
      </c>
      <c r="L645" s="170">
        <f t="shared" si="292"/>
        <v>352483.72572544578</v>
      </c>
      <c r="M645" s="170">
        <f t="shared" si="298"/>
        <v>352483.72572544578</v>
      </c>
      <c r="N645" s="170">
        <f t="shared" si="299"/>
        <v>0</v>
      </c>
      <c r="O645" s="170">
        <f t="shared" si="300"/>
        <v>0</v>
      </c>
      <c r="P645" s="170">
        <f t="shared" si="301"/>
        <v>0</v>
      </c>
      <c r="Q645" s="171">
        <f t="shared" si="302"/>
        <v>4559884.6148505071</v>
      </c>
      <c r="R645" s="171">
        <f t="shared" si="303"/>
        <v>1557277.6481481672</v>
      </c>
      <c r="S645" s="171">
        <f t="shared" si="304"/>
        <v>476717.64739229606</v>
      </c>
      <c r="T645" s="171">
        <f t="shared" si="305"/>
        <v>0</v>
      </c>
      <c r="U645" s="171">
        <f t="shared" si="293"/>
        <v>6593879.9103909703</v>
      </c>
      <c r="V645" s="171">
        <f t="shared" si="306"/>
        <v>0</v>
      </c>
      <c r="W645" s="171">
        <f>IF(OR(A645&gt;=$C$13,B645="Retired"),IF(V645&gt;0,-V645,U645-'Model Inputs'!$B$18),"")</f>
        <v>5593879.9103909703</v>
      </c>
      <c r="X645" s="171">
        <f t="shared" si="294"/>
        <v>3003501.8030511127</v>
      </c>
      <c r="Y645" s="171">
        <f t="shared" si="295"/>
        <v>105520.8243176965</v>
      </c>
      <c r="Z645" s="171">
        <f t="shared" si="296"/>
        <v>2897980.9787334162</v>
      </c>
      <c r="AA645" s="172">
        <f t="shared" si="297"/>
        <v>9491860.889124386</v>
      </c>
      <c r="AB645" s="5"/>
      <c r="AC645" s="5"/>
      <c r="AD645" s="5"/>
      <c r="AE645" s="5"/>
      <c r="AF645" s="5"/>
      <c r="AG645" s="5"/>
    </row>
    <row r="646" spans="1:33" x14ac:dyDescent="0.2">
      <c r="A646" s="173">
        <v>38</v>
      </c>
      <c r="B646" s="65" t="str">
        <f t="shared" si="283"/>
        <v>Retired</v>
      </c>
      <c r="C646" s="174">
        <f t="shared" si="284"/>
        <v>0</v>
      </c>
      <c r="D646" s="174">
        <f t="shared" si="285"/>
        <v>0</v>
      </c>
      <c r="E646" s="174">
        <f t="shared" si="286"/>
        <v>0</v>
      </c>
      <c r="F646" s="174">
        <f t="shared" si="287"/>
        <v>0</v>
      </c>
      <c r="G646" s="171">
        <f t="shared" si="288"/>
        <v>0</v>
      </c>
      <c r="H646" s="171">
        <f t="shared" si="289"/>
        <v>124466.03691545957</v>
      </c>
      <c r="I646" s="171">
        <f>IF(B646="Working",MIN(MAX(D646-E646-F646-G646-H646,0),'Tax Assumptions'!$B$20),0)</f>
        <v>0</v>
      </c>
      <c r="J646" s="171">
        <f t="shared" si="290"/>
        <v>-354466.03691545955</v>
      </c>
      <c r="K646" s="174">
        <f t="shared" si="291"/>
        <v>354466.03691545955</v>
      </c>
      <c r="L646" s="174">
        <f t="shared" si="292"/>
        <v>354466.03691545955</v>
      </c>
      <c r="M646" s="174">
        <f t="shared" si="298"/>
        <v>354466.03691545955</v>
      </c>
      <c r="N646" s="174">
        <f t="shared" si="299"/>
        <v>0</v>
      </c>
      <c r="O646" s="174">
        <f t="shared" si="300"/>
        <v>0</v>
      </c>
      <c r="P646" s="174">
        <f t="shared" si="301"/>
        <v>0</v>
      </c>
      <c r="Q646" s="171">
        <f t="shared" si="302"/>
        <v>4479011.6548260786</v>
      </c>
      <c r="R646" s="171">
        <f t="shared" si="303"/>
        <v>1650714.3070370574</v>
      </c>
      <c r="S646" s="171">
        <f t="shared" si="304"/>
        <v>505320.70623583387</v>
      </c>
      <c r="T646" s="171">
        <f t="shared" si="305"/>
        <v>0</v>
      </c>
      <c r="U646" s="171">
        <f t="shared" si="293"/>
        <v>6635046.6680989694</v>
      </c>
      <c r="V646" s="171">
        <f t="shared" si="306"/>
        <v>0</v>
      </c>
      <c r="W646" s="171">
        <f>IF(OR(A646&gt;=$C$13,B646="Retired"),IF(V646&gt;0,-V646,U646-'Model Inputs'!$B$18),"")</f>
        <v>5635046.6680989694</v>
      </c>
      <c r="X646" s="171">
        <f t="shared" si="294"/>
        <v>3093606.8571426459</v>
      </c>
      <c r="Y646" s="171">
        <f t="shared" si="295"/>
        <v>54469.899644752033</v>
      </c>
      <c r="Z646" s="171">
        <f t="shared" si="296"/>
        <v>3039136.9574978938</v>
      </c>
      <c r="AA646" s="175">
        <f t="shared" si="297"/>
        <v>9674183.6255968623</v>
      </c>
      <c r="AB646" s="5"/>
      <c r="AC646" s="5"/>
      <c r="AD646" s="5"/>
      <c r="AE646" s="5"/>
      <c r="AF646" s="5"/>
      <c r="AG646" s="5"/>
    </row>
    <row r="647" spans="1:33" x14ac:dyDescent="0.2">
      <c r="A647" s="169">
        <v>39</v>
      </c>
      <c r="B647" s="100" t="str">
        <f t="shared" si="283"/>
        <v>Retired</v>
      </c>
      <c r="C647" s="170">
        <f t="shared" si="284"/>
        <v>0</v>
      </c>
      <c r="D647" s="170">
        <f t="shared" si="285"/>
        <v>0</v>
      </c>
      <c r="E647" s="170">
        <f t="shared" si="286"/>
        <v>0</v>
      </c>
      <c r="F647" s="170">
        <f t="shared" si="287"/>
        <v>0</v>
      </c>
      <c r="G647" s="171">
        <f t="shared" si="288"/>
        <v>0</v>
      </c>
      <c r="H647" s="171">
        <f t="shared" si="289"/>
        <v>126507.81744117371</v>
      </c>
      <c r="I647" s="171">
        <f>IF(B647="Working",MIN(MAX(D647-E647-F647-G647-H647,0),'Tax Assumptions'!$B$20),0)</f>
        <v>0</v>
      </c>
      <c r="J647" s="171">
        <f t="shared" si="290"/>
        <v>-356507.81744117371</v>
      </c>
      <c r="K647" s="170">
        <f t="shared" si="291"/>
        <v>356507.81744117371</v>
      </c>
      <c r="L647" s="170">
        <f t="shared" si="292"/>
        <v>356507.81744117371</v>
      </c>
      <c r="M647" s="170">
        <f t="shared" si="298"/>
        <v>356507.81744117371</v>
      </c>
      <c r="N647" s="170">
        <f t="shared" si="299"/>
        <v>0</v>
      </c>
      <c r="O647" s="170">
        <f t="shared" si="300"/>
        <v>0</v>
      </c>
      <c r="P647" s="170">
        <f t="shared" si="301"/>
        <v>0</v>
      </c>
      <c r="Q647" s="171">
        <f t="shared" si="302"/>
        <v>4391244.5366744697</v>
      </c>
      <c r="R647" s="171">
        <f t="shared" si="303"/>
        <v>1749757.1654592808</v>
      </c>
      <c r="S647" s="171">
        <f t="shared" si="304"/>
        <v>535639.9486099839</v>
      </c>
      <c r="T647" s="171">
        <f t="shared" si="305"/>
        <v>0</v>
      </c>
      <c r="U647" s="171">
        <f t="shared" si="293"/>
        <v>6676641.6507437341</v>
      </c>
      <c r="V647" s="171">
        <f t="shared" si="306"/>
        <v>0</v>
      </c>
      <c r="W647" s="171">
        <f>IF(OR(A647&gt;=$C$13,B647="Retired"),IF(V647&gt;0,-V647,U647-'Model Inputs'!$B$18),"")</f>
        <v>5676641.6507437341</v>
      </c>
      <c r="X647" s="171">
        <f t="shared" si="294"/>
        <v>3186415.0628569252</v>
      </c>
      <c r="Y647" s="171">
        <f t="shared" si="295"/>
        <v>0</v>
      </c>
      <c r="Z647" s="171">
        <f t="shared" si="296"/>
        <v>3186415.0628569252</v>
      </c>
      <c r="AA647" s="172">
        <f t="shared" si="297"/>
        <v>9863056.7136006597</v>
      </c>
      <c r="AB647" s="5"/>
      <c r="AC647" s="5"/>
      <c r="AD647" s="5"/>
      <c r="AE647" s="5"/>
      <c r="AF647" s="5"/>
      <c r="AG647" s="5"/>
    </row>
    <row r="648" spans="1:33" x14ac:dyDescent="0.2">
      <c r="A648" s="173">
        <v>40</v>
      </c>
      <c r="B648" s="65" t="str">
        <f t="shared" si="283"/>
        <v>Retired</v>
      </c>
      <c r="C648" s="174">
        <f t="shared" si="284"/>
        <v>0</v>
      </c>
      <c r="D648" s="174">
        <f t="shared" si="285"/>
        <v>0</v>
      </c>
      <c r="E648" s="174">
        <f t="shared" si="286"/>
        <v>0</v>
      </c>
      <c r="F648" s="174">
        <f t="shared" si="287"/>
        <v>0</v>
      </c>
      <c r="G648" s="171">
        <f t="shared" si="288"/>
        <v>0</v>
      </c>
      <c r="H648" s="171">
        <f t="shared" si="289"/>
        <v>72204.165324337926</v>
      </c>
      <c r="I648" s="171">
        <f>IF(B648="Working",MIN(MAX(D648-E648-F648-G648-H648,0),'Tax Assumptions'!$B$20),0)</f>
        <v>0</v>
      </c>
      <c r="J648" s="171">
        <f t="shared" si="290"/>
        <v>-302204.1653243379</v>
      </c>
      <c r="K648" s="174">
        <f t="shared" si="291"/>
        <v>302204.1653243379</v>
      </c>
      <c r="L648" s="174">
        <f t="shared" si="292"/>
        <v>302204.1653243379</v>
      </c>
      <c r="M648" s="174">
        <f t="shared" si="298"/>
        <v>302204.1653243379</v>
      </c>
      <c r="N648" s="174">
        <f t="shared" si="299"/>
        <v>0</v>
      </c>
      <c r="O648" s="174">
        <f t="shared" si="300"/>
        <v>0</v>
      </c>
      <c r="P648" s="174">
        <f t="shared" si="301"/>
        <v>0</v>
      </c>
      <c r="Q648" s="171">
        <f t="shared" si="302"/>
        <v>4352515.0435506003</v>
      </c>
      <c r="R648" s="171">
        <f t="shared" si="303"/>
        <v>1854742.5953868378</v>
      </c>
      <c r="S648" s="171">
        <f t="shared" si="304"/>
        <v>567778.34552658291</v>
      </c>
      <c r="T648" s="171">
        <f t="shared" si="305"/>
        <v>0</v>
      </c>
      <c r="U648" s="171">
        <f t="shared" si="293"/>
        <v>6775035.9844640205</v>
      </c>
      <c r="V648" s="171">
        <f t="shared" si="306"/>
        <v>0</v>
      </c>
      <c r="W648" s="171">
        <f>IF(OR(A648&gt;=$C$13,B648="Retired"),IF(V648&gt;0,-V648,U648-'Model Inputs'!$B$18),"")</f>
        <v>5775035.9844640205</v>
      </c>
      <c r="X648" s="171">
        <f t="shared" si="294"/>
        <v>3282007.5147426329</v>
      </c>
      <c r="Y648" s="171">
        <f t="shared" si="295"/>
        <v>0</v>
      </c>
      <c r="Z648" s="171">
        <f t="shared" si="296"/>
        <v>3282007.5147426329</v>
      </c>
      <c r="AA648" s="175">
        <f t="shared" si="297"/>
        <v>10057043.499206653</v>
      </c>
      <c r="AB648" s="5"/>
      <c r="AC648" s="5"/>
      <c r="AD648" s="5"/>
      <c r="AE648" s="5"/>
      <c r="AF648" s="5"/>
      <c r="AG648" s="5"/>
    </row>
    <row r="649" spans="1:33" x14ac:dyDescent="0.2">
      <c r="A649" s="176" t="s">
        <v>369</v>
      </c>
      <c r="B649" s="177"/>
      <c r="C649" s="177"/>
      <c r="D649" s="177"/>
      <c r="E649" s="177"/>
      <c r="F649" s="177"/>
      <c r="G649" s="178">
        <f t="shared" ref="G649:P649" si="307">SUM(G609:G648)</f>
        <v>642268.22933519445</v>
      </c>
      <c r="H649" s="178">
        <f t="shared" si="307"/>
        <v>3179638.254701084</v>
      </c>
      <c r="I649" s="178">
        <f t="shared" si="307"/>
        <v>75000</v>
      </c>
      <c r="J649" s="178">
        <f t="shared" si="307"/>
        <v>-5874314.2439957531</v>
      </c>
      <c r="K649" s="178">
        <f t="shared" si="307"/>
        <v>9993484.4085472338</v>
      </c>
      <c r="L649" s="178">
        <f t="shared" si="307"/>
        <v>9993484.4085472338</v>
      </c>
      <c r="M649" s="178">
        <f t="shared" si="307"/>
        <v>9993484.4085472338</v>
      </c>
      <c r="N649" s="178">
        <f t="shared" si="307"/>
        <v>0</v>
      </c>
      <c r="O649" s="178">
        <f t="shared" si="307"/>
        <v>0</v>
      </c>
      <c r="P649" s="178">
        <f t="shared" si="307"/>
        <v>0</v>
      </c>
      <c r="Q649" s="178">
        <f>Q648</f>
        <v>4352515.0435506003</v>
      </c>
      <c r="R649" s="178">
        <f>R648</f>
        <v>1854742.5953868378</v>
      </c>
      <c r="S649" s="178">
        <f>S648</f>
        <v>567778.34552658291</v>
      </c>
      <c r="T649" s="178">
        <f>T648</f>
        <v>0</v>
      </c>
      <c r="U649" s="178">
        <f>U648</f>
        <v>6775035.9844640205</v>
      </c>
      <c r="V649" s="178">
        <f>SUM(V609:V648)</f>
        <v>0</v>
      </c>
      <c r="W649" s="178">
        <f>MIN(W609:W648)</f>
        <v>4701819.5649748538</v>
      </c>
      <c r="X649" s="178">
        <f>X648</f>
        <v>3282007.5147426329</v>
      </c>
      <c r="Y649" s="178">
        <f>Y648</f>
        <v>0</v>
      </c>
      <c r="Z649" s="178">
        <f>Z648</f>
        <v>3282007.5147426329</v>
      </c>
      <c r="AA649" s="179">
        <f>AA648</f>
        <v>10057043.499206653</v>
      </c>
      <c r="AB649" s="5"/>
      <c r="AC649" s="5"/>
      <c r="AD649" s="5"/>
      <c r="AE649" s="5"/>
      <c r="AF649" s="5"/>
      <c r="AG649" s="5"/>
    </row>
    <row r="650" spans="1:33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x14ac:dyDescent="0.2">
      <c r="A651" s="319" t="str">
        <f>J236&amp;" | House "&amp;TEXT($L$236,"$#,##0")&amp;" | Spend "&amp;TEXT($N$236,"$#,##0")</f>
        <v>Case 10 | House $1,352,144 | Spend $260,000</v>
      </c>
      <c r="B651" s="288"/>
      <c r="C651" s="288"/>
      <c r="D651" s="288"/>
      <c r="E651" s="288"/>
      <c r="F651" s="288"/>
      <c r="G651" s="288"/>
      <c r="H651" s="288"/>
      <c r="I651" s="288"/>
      <c r="J651" s="288"/>
      <c r="K651" s="288"/>
      <c r="L651" s="288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  <c r="AA651" s="289"/>
      <c r="AB651" s="5"/>
      <c r="AC651" s="5"/>
      <c r="AD651" s="5"/>
      <c r="AE651" s="5"/>
      <c r="AF651" s="5"/>
      <c r="AG651" s="5"/>
    </row>
    <row r="652" spans="1:33" ht="34" customHeight="1" x14ac:dyDescent="0.2">
      <c r="A652" s="167" t="s">
        <v>224</v>
      </c>
      <c r="B652" s="112" t="s">
        <v>106</v>
      </c>
      <c r="C652" s="112" t="s">
        <v>357</v>
      </c>
      <c r="D652" s="112" t="s">
        <v>66</v>
      </c>
      <c r="E652" s="112" t="s">
        <v>300</v>
      </c>
      <c r="F652" s="112" t="s">
        <v>301</v>
      </c>
      <c r="G652" s="112" t="s">
        <v>358</v>
      </c>
      <c r="H652" s="112" t="s">
        <v>359</v>
      </c>
      <c r="I652" s="112" t="s">
        <v>69</v>
      </c>
      <c r="J652" s="112" t="s">
        <v>360</v>
      </c>
      <c r="K652" s="112" t="s">
        <v>361</v>
      </c>
      <c r="L652" s="112" t="s">
        <v>362</v>
      </c>
      <c r="M652" s="112" t="s">
        <v>304</v>
      </c>
      <c r="N652" s="112" t="s">
        <v>305</v>
      </c>
      <c r="O652" s="112" t="s">
        <v>306</v>
      </c>
      <c r="P652" s="112" t="s">
        <v>307</v>
      </c>
      <c r="Q652" s="112" t="s">
        <v>363</v>
      </c>
      <c r="R652" s="112" t="s">
        <v>364</v>
      </c>
      <c r="S652" s="112" t="s">
        <v>365</v>
      </c>
      <c r="T652" s="112" t="s">
        <v>366</v>
      </c>
      <c r="U652" s="112" t="s">
        <v>308</v>
      </c>
      <c r="V652" s="112" t="s">
        <v>309</v>
      </c>
      <c r="W652" s="112" t="s">
        <v>367</v>
      </c>
      <c r="X652" s="112" t="s">
        <v>311</v>
      </c>
      <c r="Y652" s="112" t="s">
        <v>312</v>
      </c>
      <c r="Z652" s="112" t="s">
        <v>313</v>
      </c>
      <c r="AA652" s="168" t="s">
        <v>368</v>
      </c>
      <c r="AB652" s="5"/>
      <c r="AC652" s="5"/>
      <c r="AD652" s="5"/>
      <c r="AE652" s="5"/>
      <c r="AF652" s="5"/>
      <c r="AG652" s="5"/>
    </row>
    <row r="653" spans="1:33" x14ac:dyDescent="0.2">
      <c r="A653" s="169">
        <v>1</v>
      </c>
      <c r="B653" s="100" t="str">
        <f t="shared" ref="B653:B692" si="308">B80</f>
        <v>Working</v>
      </c>
      <c r="C653" s="170">
        <f t="shared" ref="C653:C692" si="309">D80</f>
        <v>550000</v>
      </c>
      <c r="D653" s="170">
        <f t="shared" ref="D653:D692" si="310">I80</f>
        <v>302665.46999999997</v>
      </c>
      <c r="E653" s="170">
        <f t="shared" ref="E653:E692" si="311">J80</f>
        <v>78000</v>
      </c>
      <c r="F653" s="170">
        <f t="shared" ref="F653:F692" si="312">K80</f>
        <v>40000</v>
      </c>
      <c r="G653" s="171">
        <f t="shared" ref="G653:G692" si="313">IF(AND($L$236&gt;0,A653=$C$13),$L$236*($C$15+$C$18),0)+IF(AND($L$236&gt;0,A653=$C$13),$C$24,0)</f>
        <v>0</v>
      </c>
      <c r="H653" s="171">
        <f t="shared" ref="H653:H692" si="314">IF(OR($L$236&lt;=0,A653&lt;$C$13),0,IF(AND($L$236&gt;0,$C$17&gt;0,A653&gt;=$C$13,A653&lt;($C$13+$C$17)),IF($C$17&lt;=0,0,IF($C$16=0,MAX($L$236*(1-$C$15),0)/$C$17,-PMT($C$16/12,$C$17*12,MAX($L$236*(1-$C$15),0))*12)),0)+X653*($C$19+$C$20+$C$21)+$C$22+$C$23)</f>
        <v>0</v>
      </c>
      <c r="I653" s="171">
        <f>IF(B653="Working",MIN(MAX(D653-E653-F653-G653-H653,0),'Tax Assumptions'!$B$20),0)</f>
        <v>7500</v>
      </c>
      <c r="J653" s="171">
        <f t="shared" ref="J653:J692" si="315">IF(B653="Working",D653-E653-F653-I653-G653-H653,-L653)</f>
        <v>177165.46999999997</v>
      </c>
      <c r="K653" s="170">
        <f t="shared" ref="K653:K692" si="316">IF(B653="Retired",$N$236+G653+H653,0)</f>
        <v>0</v>
      </c>
      <c r="L653" s="170">
        <f t="shared" ref="L653:L692" si="317">M653+N653+O653+P653</f>
        <v>0</v>
      </c>
      <c r="M653" s="170">
        <f>IF(B653="Retired",MIN((('Savings Projection'!$B$7)*(1+$C$10)+IF(B653="Working",J653,0)),K653),0)</f>
        <v>0</v>
      </c>
      <c r="N653" s="170">
        <f>IF(B653="Retired",MIN(MAX(K653-M653,0),(('Savings Projection'!$B$8)*(1+$C$10)+IF(B653="Working",E80,0))),0)</f>
        <v>0</v>
      </c>
      <c r="O653" s="170">
        <f>IF(B653="Retired",MIN(MAX(K653-M653-N653,0),(('Savings Projection'!$B$9)*(1+$C$10)+IF(B653="Working",I653,0))),0)</f>
        <v>0</v>
      </c>
      <c r="P653" s="170">
        <f>IF(B653="Retired",MIN(MAX(K653-M653-N653-O653,0),(('Savings Projection'!$B$10)*(1+$C$10)+IF(B653="Working",F80,0))),0)</f>
        <v>0</v>
      </c>
      <c r="Q653" s="171">
        <f>MAX((('Savings Projection'!$B$7)*(1+$C$10)+IF(B653="Working",J653,0))-M653,0)</f>
        <v>336165.47</v>
      </c>
      <c r="R653" s="171">
        <f>MAX((('Savings Projection'!$B$8)*(1+$C$10)+IF(B653="Working",E80,0))-N653,0)</f>
        <v>24500</v>
      </c>
      <c r="S653" s="171">
        <f>MAX((('Savings Projection'!$B$9)*(1+$C$10)+IF(B653="Working",I653,0))-O653,0)</f>
        <v>7500</v>
      </c>
      <c r="T653" s="171">
        <f>MAX((('Savings Projection'!$B$10)*(1+$C$10)+IF(B653="Working",F80,0))-P653,0)</f>
        <v>0</v>
      </c>
      <c r="U653" s="171">
        <f t="shared" ref="U653:U692" si="318">Q653+R653+S653+T653</f>
        <v>368165.47</v>
      </c>
      <c r="V653" s="171">
        <f>IF(B653="Working",MAX(-((('Savings Projection'!$B$7)*(1+$C$10)+IF(B653="Working",J653,0))),0),MAX(K653-L653,0))</f>
        <v>0</v>
      </c>
      <c r="W653" s="171" t="str">
        <f>IF(OR(A653&gt;=$C$13,B653="Retired"),IF(V653&gt;0,-V653,U653-'Model Inputs'!$B$18),"")</f>
        <v/>
      </c>
      <c r="X653" s="171">
        <f t="shared" ref="X653:X692" si="319">IF(AND($L$236&gt;0,A653&gt;=$C$13),$L$236*(1+$C$25)^(A653-$C$13),0)</f>
        <v>0</v>
      </c>
      <c r="Y653" s="171">
        <f t="shared" ref="Y653:Y692" si="320">IF(OR($L$236&lt;=0,$C$17&lt;=0,A653&lt;$C$13,MIN(MAX((A653-$C$13+1)*12,0),$C$17*12)&gt;=$C$17*12),0,IF($C$16=0,MAX(MAX($L$236*(1-$C$15),0)-(IF($C$17&lt;=0,0,IF($C$16=0,MAX($L$236*(1-$C$15),0)/$C$17,-PMT($C$16/12,$C$17*12,MAX($L$236*(1-$C$15),0))*12))/12)*MIN(MAX((A653-$C$13+1)*12,0),$C$17*12),0),MAX(MAX($L$236*(1-$C$15),0)*(1+$C$16/12)^MIN(MAX((A653-$C$13+1)*12,0),$C$17*12)-(IF($C$17&lt;=0,0,IF($C$16=0,MAX($L$236*(1-$C$15),0)/$C$17,-PMT($C$16/12,$C$17*12,MAX($L$236*(1-$C$15),0))*12))/12)*(((1+$C$16/12)^MIN(MAX((A653-$C$13+1)*12,0),$C$17*12)-1)/($C$16/12)),0)))</f>
        <v>0</v>
      </c>
      <c r="Z653" s="171">
        <f t="shared" ref="Z653:Z692" si="321">MAX(X653-Y653,0)</f>
        <v>0</v>
      </c>
      <c r="AA653" s="172">
        <f t="shared" ref="AA653:AA692" si="322">U653+Z653</f>
        <v>368165.47</v>
      </c>
      <c r="AB653" s="5"/>
      <c r="AC653" s="5"/>
      <c r="AD653" s="5"/>
      <c r="AE653" s="5"/>
      <c r="AF653" s="5"/>
      <c r="AG653" s="5"/>
    </row>
    <row r="654" spans="1:33" x14ac:dyDescent="0.2">
      <c r="A654" s="173">
        <v>2</v>
      </c>
      <c r="B654" s="65" t="str">
        <f t="shared" si="308"/>
        <v>Working</v>
      </c>
      <c r="C654" s="174">
        <f t="shared" si="309"/>
        <v>412500</v>
      </c>
      <c r="D654" s="174">
        <f t="shared" si="310"/>
        <v>231269.97</v>
      </c>
      <c r="E654" s="174">
        <f t="shared" si="311"/>
        <v>80340</v>
      </c>
      <c r="F654" s="174">
        <f t="shared" si="312"/>
        <v>41200</v>
      </c>
      <c r="G654" s="171">
        <f t="shared" si="313"/>
        <v>0</v>
      </c>
      <c r="H654" s="171">
        <f t="shared" si="314"/>
        <v>0</v>
      </c>
      <c r="I654" s="171">
        <f>IF(B654="Working",MIN(MAX(D654-E654-F654-G654-H654,0),'Tax Assumptions'!$B$20),0)</f>
        <v>7500</v>
      </c>
      <c r="J654" s="171">
        <f t="shared" si="315"/>
        <v>102229.97</v>
      </c>
      <c r="K654" s="174">
        <f t="shared" si="316"/>
        <v>0</v>
      </c>
      <c r="L654" s="174">
        <f t="shared" si="317"/>
        <v>0</v>
      </c>
      <c r="M654" s="174">
        <f t="shared" ref="M654:M692" si="323">IF(B654="Retired",MIN(((Q653)*(1+$C$10)+IF(B654="Working",J654,0)),K654),0)</f>
        <v>0</v>
      </c>
      <c r="N654" s="174">
        <f t="shared" ref="N654:N692" si="324">IF(B654="Retired",MIN(MAX(K654-M654,0),((R653)*(1+$C$10)+IF(B654="Working",E81,0))),0)</f>
        <v>0</v>
      </c>
      <c r="O654" s="174">
        <f t="shared" ref="O654:O692" si="325">IF(B654="Retired",MIN(MAX(K654-M654-N654,0),((S653)*(1+$C$10)+IF(B654="Working",I654,0))),0)</f>
        <v>0</v>
      </c>
      <c r="P654" s="174">
        <f t="shared" ref="P654:P692" si="326">IF(B654="Retired",MIN(MAX(K654-M654-N654-O654,0),((T653)*(1+$C$10)+IF(B654="Working",F81,0))),0)</f>
        <v>0</v>
      </c>
      <c r="Q654" s="171">
        <f t="shared" ref="Q654:Q692" si="327">MAX(((Q653)*(1+$C$10)+IF(B654="Working",J654,0))-M654,0)</f>
        <v>458565.36820000003</v>
      </c>
      <c r="R654" s="171">
        <f t="shared" ref="R654:R692" si="328">MAX(((R653)*(1+$C$10)+IF(B654="Working",E81,0))-N654,0)</f>
        <v>50470</v>
      </c>
      <c r="S654" s="171">
        <f t="shared" ref="S654:S692" si="329">MAX(((S653)*(1+$C$10)+IF(B654="Working",I654,0))-O654,0)</f>
        <v>15450</v>
      </c>
      <c r="T654" s="171">
        <f t="shared" ref="T654:T692" si="330">MAX(((T653)*(1+$C$10)+IF(B654="Working",F81,0))-P654,0)</f>
        <v>0</v>
      </c>
      <c r="U654" s="171">
        <f t="shared" si="318"/>
        <v>524485.36820000003</v>
      </c>
      <c r="V654" s="171">
        <f t="shared" ref="V654:V692" si="331">IF(B654="Working",MAX(-(((Q653)*(1+$C$10)+IF(B654="Working",J654,0))),0),MAX(K654-L654,0))</f>
        <v>0</v>
      </c>
      <c r="W654" s="171" t="str">
        <f>IF(OR(A654&gt;=$C$13,B654="Retired"),IF(V654&gt;0,-V654,U654-'Model Inputs'!$B$18),"")</f>
        <v/>
      </c>
      <c r="X654" s="171">
        <f t="shared" si="319"/>
        <v>0</v>
      </c>
      <c r="Y654" s="171">
        <f t="shared" si="320"/>
        <v>0</v>
      </c>
      <c r="Z654" s="171">
        <f t="shared" si="321"/>
        <v>0</v>
      </c>
      <c r="AA654" s="175">
        <f t="shared" si="322"/>
        <v>524485.36820000003</v>
      </c>
      <c r="AB654" s="5"/>
      <c r="AC654" s="5"/>
      <c r="AD654" s="5"/>
      <c r="AE654" s="5"/>
      <c r="AF654" s="5"/>
      <c r="AG654" s="5"/>
    </row>
    <row r="655" spans="1:33" x14ac:dyDescent="0.2">
      <c r="A655" s="169">
        <v>3</v>
      </c>
      <c r="B655" s="100" t="str">
        <f t="shared" si="308"/>
        <v>Working</v>
      </c>
      <c r="C655" s="170">
        <f t="shared" si="309"/>
        <v>675000</v>
      </c>
      <c r="D655" s="170">
        <f t="shared" si="310"/>
        <v>367570.47</v>
      </c>
      <c r="E655" s="170">
        <f t="shared" si="311"/>
        <v>82750.2</v>
      </c>
      <c r="F655" s="170">
        <f t="shared" si="312"/>
        <v>53045</v>
      </c>
      <c r="G655" s="171">
        <f t="shared" si="313"/>
        <v>0</v>
      </c>
      <c r="H655" s="171">
        <f t="shared" si="314"/>
        <v>0</v>
      </c>
      <c r="I655" s="171">
        <f>IF(B655="Working",MIN(MAX(D655-E655-F655-G655-H655,0),'Tax Assumptions'!$B$20),0)</f>
        <v>7500</v>
      </c>
      <c r="J655" s="171">
        <f t="shared" si="315"/>
        <v>224275.26999999996</v>
      </c>
      <c r="K655" s="170">
        <f t="shared" si="316"/>
        <v>0</v>
      </c>
      <c r="L655" s="170">
        <f t="shared" si="317"/>
        <v>0</v>
      </c>
      <c r="M655" s="170">
        <f t="shared" si="323"/>
        <v>0</v>
      </c>
      <c r="N655" s="170">
        <f t="shared" si="324"/>
        <v>0</v>
      </c>
      <c r="O655" s="170">
        <f t="shared" si="325"/>
        <v>0</v>
      </c>
      <c r="P655" s="170">
        <f t="shared" si="326"/>
        <v>0</v>
      </c>
      <c r="Q655" s="171">
        <f t="shared" si="327"/>
        <v>710354.56029199995</v>
      </c>
      <c r="R655" s="171">
        <f t="shared" si="328"/>
        <v>77998.200000000012</v>
      </c>
      <c r="S655" s="171">
        <f t="shared" si="329"/>
        <v>23877</v>
      </c>
      <c r="T655" s="171">
        <f t="shared" si="330"/>
        <v>0</v>
      </c>
      <c r="U655" s="171">
        <f t="shared" si="318"/>
        <v>812229.7602919999</v>
      </c>
      <c r="V655" s="171">
        <f t="shared" si="331"/>
        <v>0</v>
      </c>
      <c r="W655" s="171" t="str">
        <f>IF(OR(A655&gt;=$C$13,B655="Retired"),IF(V655&gt;0,-V655,U655-'Model Inputs'!$B$18),"")</f>
        <v/>
      </c>
      <c r="X655" s="171">
        <f t="shared" si="319"/>
        <v>0</v>
      </c>
      <c r="Y655" s="171">
        <f t="shared" si="320"/>
        <v>0</v>
      </c>
      <c r="Z655" s="171">
        <f t="shared" si="321"/>
        <v>0</v>
      </c>
      <c r="AA655" s="172">
        <f t="shared" si="322"/>
        <v>812229.7602919999</v>
      </c>
      <c r="AB655" s="5"/>
      <c r="AC655" s="5"/>
      <c r="AD655" s="5"/>
      <c r="AE655" s="5"/>
      <c r="AF655" s="5"/>
      <c r="AG655" s="5"/>
    </row>
    <row r="656" spans="1:33" x14ac:dyDescent="0.2">
      <c r="A656" s="173">
        <v>4</v>
      </c>
      <c r="B656" s="65" t="str">
        <f t="shared" si="308"/>
        <v>Working</v>
      </c>
      <c r="C656" s="174">
        <f t="shared" si="309"/>
        <v>750000</v>
      </c>
      <c r="D656" s="174">
        <f t="shared" si="310"/>
        <v>405137.47</v>
      </c>
      <c r="E656" s="174">
        <f t="shared" si="311"/>
        <v>85232.706000000006</v>
      </c>
      <c r="F656" s="174">
        <f t="shared" si="312"/>
        <v>54636.35</v>
      </c>
      <c r="G656" s="171">
        <f t="shared" si="313"/>
        <v>0</v>
      </c>
      <c r="H656" s="171">
        <f t="shared" si="314"/>
        <v>0</v>
      </c>
      <c r="I656" s="171">
        <f>IF(B656="Working",MIN(MAX(D656-E656-F656-G656-H656,0),'Tax Assumptions'!$B$20),0)</f>
        <v>7500</v>
      </c>
      <c r="J656" s="171">
        <f t="shared" si="315"/>
        <v>257768.41399999999</v>
      </c>
      <c r="K656" s="174">
        <f t="shared" si="316"/>
        <v>0</v>
      </c>
      <c r="L656" s="174">
        <f t="shared" si="317"/>
        <v>0</v>
      </c>
      <c r="M656" s="174">
        <f t="shared" si="323"/>
        <v>0</v>
      </c>
      <c r="N656" s="174">
        <f t="shared" si="324"/>
        <v>0</v>
      </c>
      <c r="O656" s="174">
        <f t="shared" si="325"/>
        <v>0</v>
      </c>
      <c r="P656" s="174">
        <f t="shared" si="326"/>
        <v>0</v>
      </c>
      <c r="Q656" s="171">
        <f t="shared" si="327"/>
        <v>1010744.2479095199</v>
      </c>
      <c r="R656" s="171">
        <f t="shared" si="328"/>
        <v>107178.09200000002</v>
      </c>
      <c r="S656" s="171">
        <f t="shared" si="329"/>
        <v>32809.620000000003</v>
      </c>
      <c r="T656" s="171">
        <f t="shared" si="330"/>
        <v>0</v>
      </c>
      <c r="U656" s="171">
        <f t="shared" si="318"/>
        <v>1150731.9599095201</v>
      </c>
      <c r="V656" s="171">
        <f t="shared" si="331"/>
        <v>0</v>
      </c>
      <c r="W656" s="171" t="str">
        <f>IF(OR(A656&gt;=$C$13,B656="Retired"),IF(V656&gt;0,-V656,U656-'Model Inputs'!$B$18),"")</f>
        <v/>
      </c>
      <c r="X656" s="171">
        <f t="shared" si="319"/>
        <v>0</v>
      </c>
      <c r="Y656" s="171">
        <f t="shared" si="320"/>
        <v>0</v>
      </c>
      <c r="Z656" s="171">
        <f t="shared" si="321"/>
        <v>0</v>
      </c>
      <c r="AA656" s="175">
        <f t="shared" si="322"/>
        <v>1150731.9599095201</v>
      </c>
      <c r="AB656" s="5"/>
      <c r="AC656" s="5"/>
      <c r="AD656" s="5"/>
      <c r="AE656" s="5"/>
      <c r="AF656" s="5"/>
      <c r="AG656" s="5"/>
    </row>
    <row r="657" spans="1:33" x14ac:dyDescent="0.2">
      <c r="A657" s="169">
        <v>5</v>
      </c>
      <c r="B657" s="100" t="str">
        <f t="shared" si="308"/>
        <v>Working</v>
      </c>
      <c r="C657" s="170">
        <f t="shared" si="309"/>
        <v>953837.51358640334</v>
      </c>
      <c r="D657" s="170">
        <f t="shared" si="310"/>
        <v>506901.31028287602</v>
      </c>
      <c r="E657" s="170">
        <f t="shared" si="311"/>
        <v>87789.687179999994</v>
      </c>
      <c r="F657" s="170">
        <f t="shared" si="312"/>
        <v>56275.440499999997</v>
      </c>
      <c r="G657" s="171">
        <f t="shared" si="313"/>
        <v>0</v>
      </c>
      <c r="H657" s="171">
        <f t="shared" si="314"/>
        <v>0</v>
      </c>
      <c r="I657" s="171">
        <f>IF(B657="Working",MIN(MAX(D657-E657-F657-G657-H657,0),'Tax Assumptions'!$B$20),0)</f>
        <v>7500</v>
      </c>
      <c r="J657" s="171">
        <f t="shared" si="315"/>
        <v>355336.18260287598</v>
      </c>
      <c r="K657" s="170">
        <f t="shared" si="316"/>
        <v>0</v>
      </c>
      <c r="L657" s="170">
        <f t="shared" si="317"/>
        <v>0</v>
      </c>
      <c r="M657" s="170">
        <f t="shared" si="323"/>
        <v>0</v>
      </c>
      <c r="N657" s="170">
        <f t="shared" si="324"/>
        <v>0</v>
      </c>
      <c r="O657" s="170">
        <f t="shared" si="325"/>
        <v>0</v>
      </c>
      <c r="P657" s="170">
        <f t="shared" si="326"/>
        <v>0</v>
      </c>
      <c r="Q657" s="171">
        <f t="shared" si="327"/>
        <v>1426725.0853869673</v>
      </c>
      <c r="R657" s="171">
        <f t="shared" si="328"/>
        <v>138108.77752000003</v>
      </c>
      <c r="S657" s="171">
        <f t="shared" si="329"/>
        <v>42278.197200000002</v>
      </c>
      <c r="T657" s="171">
        <f t="shared" si="330"/>
        <v>0</v>
      </c>
      <c r="U657" s="171">
        <f t="shared" si="318"/>
        <v>1607112.0601069673</v>
      </c>
      <c r="V657" s="171">
        <f t="shared" si="331"/>
        <v>0</v>
      </c>
      <c r="W657" s="171" t="str">
        <f>IF(OR(A657&gt;=$C$13,B657="Retired"),IF(V657&gt;0,-V657,U657-'Model Inputs'!$B$18),"")</f>
        <v/>
      </c>
      <c r="X657" s="171">
        <f t="shared" si="319"/>
        <v>0</v>
      </c>
      <c r="Y657" s="171">
        <f t="shared" si="320"/>
        <v>0</v>
      </c>
      <c r="Z657" s="171">
        <f t="shared" si="321"/>
        <v>0</v>
      </c>
      <c r="AA657" s="172">
        <f t="shared" si="322"/>
        <v>1607112.0601069673</v>
      </c>
      <c r="AB657" s="5"/>
      <c r="AC657" s="5"/>
      <c r="AD657" s="5"/>
      <c r="AE657" s="5"/>
      <c r="AF657" s="5"/>
      <c r="AG657" s="5"/>
    </row>
    <row r="658" spans="1:33" x14ac:dyDescent="0.2">
      <c r="A658" s="173">
        <v>6</v>
      </c>
      <c r="B658" s="65" t="str">
        <f t="shared" si="308"/>
        <v>Working</v>
      </c>
      <c r="C658" s="174">
        <f t="shared" si="309"/>
        <v>1118900.665838565</v>
      </c>
      <c r="D658" s="174">
        <f t="shared" si="310"/>
        <v>589060.11476976541</v>
      </c>
      <c r="E658" s="174">
        <f t="shared" si="311"/>
        <v>92741.925943999988</v>
      </c>
      <c r="F658" s="174">
        <f t="shared" si="312"/>
        <v>57963.703714999989</v>
      </c>
      <c r="G658" s="171">
        <f t="shared" si="313"/>
        <v>0</v>
      </c>
      <c r="H658" s="171">
        <f t="shared" si="314"/>
        <v>0</v>
      </c>
      <c r="I658" s="171">
        <f>IF(B658="Working",MIN(MAX(D658-E658-F658-G658-H658,0),'Tax Assumptions'!$B$20),0)</f>
        <v>7500</v>
      </c>
      <c r="J658" s="171">
        <f t="shared" si="315"/>
        <v>430854.48511076538</v>
      </c>
      <c r="K658" s="174">
        <f t="shared" si="316"/>
        <v>0</v>
      </c>
      <c r="L658" s="174">
        <f t="shared" si="317"/>
        <v>0</v>
      </c>
      <c r="M658" s="174">
        <f t="shared" si="323"/>
        <v>0</v>
      </c>
      <c r="N658" s="174">
        <f t="shared" si="324"/>
        <v>0</v>
      </c>
      <c r="O658" s="174">
        <f t="shared" si="325"/>
        <v>0</v>
      </c>
      <c r="P658" s="174">
        <f t="shared" si="326"/>
        <v>0</v>
      </c>
      <c r="Q658" s="171">
        <f t="shared" si="327"/>
        <v>1943183.0756209507</v>
      </c>
      <c r="R658" s="171">
        <f t="shared" si="328"/>
        <v>170895.30417120006</v>
      </c>
      <c r="S658" s="171">
        <f t="shared" si="329"/>
        <v>52314.889032000006</v>
      </c>
      <c r="T658" s="171">
        <f t="shared" si="330"/>
        <v>0</v>
      </c>
      <c r="U658" s="171">
        <f t="shared" si="318"/>
        <v>2166393.2688241508</v>
      </c>
      <c r="V658" s="171">
        <f t="shared" si="331"/>
        <v>0</v>
      </c>
      <c r="W658" s="171" t="str">
        <f>IF(OR(A658&gt;=$C$13,B658="Retired"),IF(V658&gt;0,-V658,U658-'Model Inputs'!$B$18),"")</f>
        <v/>
      </c>
      <c r="X658" s="171">
        <f t="shared" si="319"/>
        <v>0</v>
      </c>
      <c r="Y658" s="171">
        <f t="shared" si="320"/>
        <v>0</v>
      </c>
      <c r="Z658" s="171">
        <f t="shared" si="321"/>
        <v>0</v>
      </c>
      <c r="AA658" s="175">
        <f t="shared" si="322"/>
        <v>2166393.2688241508</v>
      </c>
      <c r="AB658" s="5"/>
      <c r="AC658" s="5"/>
      <c r="AD658" s="5"/>
      <c r="AE658" s="5"/>
      <c r="AF658" s="5"/>
      <c r="AG658" s="5"/>
    </row>
    <row r="659" spans="1:33" x14ac:dyDescent="0.2">
      <c r="A659" s="169">
        <v>7</v>
      </c>
      <c r="B659" s="100" t="str">
        <f t="shared" si="308"/>
        <v>Working</v>
      </c>
      <c r="C659" s="170">
        <f t="shared" si="309"/>
        <v>1418318.448466131</v>
      </c>
      <c r="D659" s="170">
        <f t="shared" si="310"/>
        <v>730157.75065517949</v>
      </c>
      <c r="E659" s="170">
        <f t="shared" si="311"/>
        <v>95524.183722319998</v>
      </c>
      <c r="F659" s="170">
        <f t="shared" si="312"/>
        <v>59702.614826449993</v>
      </c>
      <c r="G659" s="171">
        <f t="shared" si="313"/>
        <v>0</v>
      </c>
      <c r="H659" s="171">
        <f t="shared" si="314"/>
        <v>0</v>
      </c>
      <c r="I659" s="171">
        <f>IF(B659="Working",MIN(MAX(D659-E659-F659-G659-H659,0),'Tax Assumptions'!$B$20),0)</f>
        <v>7500</v>
      </c>
      <c r="J659" s="171">
        <f t="shared" si="315"/>
        <v>567430.95210640947</v>
      </c>
      <c r="K659" s="170">
        <f t="shared" si="316"/>
        <v>0</v>
      </c>
      <c r="L659" s="170">
        <f t="shared" si="317"/>
        <v>0</v>
      </c>
      <c r="M659" s="170">
        <f t="shared" si="323"/>
        <v>0</v>
      </c>
      <c r="N659" s="170">
        <f t="shared" si="324"/>
        <v>0</v>
      </c>
      <c r="O659" s="170">
        <f t="shared" si="325"/>
        <v>0</v>
      </c>
      <c r="P659" s="170">
        <f t="shared" si="326"/>
        <v>0</v>
      </c>
      <c r="Q659" s="171">
        <f t="shared" si="327"/>
        <v>2627205.0122646173</v>
      </c>
      <c r="R659" s="171">
        <f t="shared" si="328"/>
        <v>205649.02242147207</v>
      </c>
      <c r="S659" s="171">
        <f t="shared" si="329"/>
        <v>62953.78237392001</v>
      </c>
      <c r="T659" s="171">
        <f t="shared" si="330"/>
        <v>0</v>
      </c>
      <c r="U659" s="171">
        <f t="shared" si="318"/>
        <v>2895807.8170600096</v>
      </c>
      <c r="V659" s="171">
        <f t="shared" si="331"/>
        <v>0</v>
      </c>
      <c r="W659" s="171" t="str">
        <f>IF(OR(A659&gt;=$C$13,B659="Retired"),IF(V659&gt;0,-V659,U659-'Model Inputs'!$B$18),"")</f>
        <v/>
      </c>
      <c r="X659" s="171">
        <f t="shared" si="319"/>
        <v>0</v>
      </c>
      <c r="Y659" s="171">
        <f t="shared" si="320"/>
        <v>0</v>
      </c>
      <c r="Z659" s="171">
        <f t="shared" si="321"/>
        <v>0</v>
      </c>
      <c r="AA659" s="172">
        <f t="shared" si="322"/>
        <v>2895807.8170600096</v>
      </c>
      <c r="AB659" s="5"/>
      <c r="AC659" s="5"/>
      <c r="AD659" s="5"/>
      <c r="AE659" s="5"/>
      <c r="AF659" s="5"/>
      <c r="AG659" s="5"/>
    </row>
    <row r="660" spans="1:33" x14ac:dyDescent="0.2">
      <c r="A660" s="173">
        <v>8</v>
      </c>
      <c r="B660" s="65" t="str">
        <f t="shared" si="308"/>
        <v>Working</v>
      </c>
      <c r="C660" s="174">
        <f t="shared" si="309"/>
        <v>1872205.6657868917</v>
      </c>
      <c r="D660" s="174">
        <f t="shared" si="310"/>
        <v>944047.5629454148</v>
      </c>
      <c r="E660" s="174">
        <f t="shared" si="311"/>
        <v>98389.909233989601</v>
      </c>
      <c r="F660" s="174">
        <f t="shared" si="312"/>
        <v>61493.693271243501</v>
      </c>
      <c r="G660" s="171">
        <f t="shared" si="313"/>
        <v>0</v>
      </c>
      <c r="H660" s="171">
        <f t="shared" si="314"/>
        <v>0</v>
      </c>
      <c r="I660" s="171">
        <f>IF(B660="Working",MIN(MAX(D660-E660-F660-G660-H660,0),'Tax Assumptions'!$B$20),0)</f>
        <v>7500</v>
      </c>
      <c r="J660" s="171">
        <f t="shared" si="315"/>
        <v>776663.96044018166</v>
      </c>
      <c r="K660" s="174">
        <f t="shared" si="316"/>
        <v>0</v>
      </c>
      <c r="L660" s="174">
        <f t="shared" si="317"/>
        <v>0</v>
      </c>
      <c r="M660" s="174">
        <f t="shared" si="323"/>
        <v>0</v>
      </c>
      <c r="N660" s="174">
        <f t="shared" si="324"/>
        <v>0</v>
      </c>
      <c r="O660" s="174">
        <f t="shared" si="325"/>
        <v>0</v>
      </c>
      <c r="P660" s="174">
        <f t="shared" si="326"/>
        <v>0</v>
      </c>
      <c r="Q660" s="171">
        <f t="shared" si="327"/>
        <v>3561501.2734406763</v>
      </c>
      <c r="R660" s="171">
        <f t="shared" si="328"/>
        <v>242487.9637667604</v>
      </c>
      <c r="S660" s="171">
        <f t="shared" si="329"/>
        <v>74231.009316355208</v>
      </c>
      <c r="T660" s="171">
        <f t="shared" si="330"/>
        <v>0</v>
      </c>
      <c r="U660" s="171">
        <f t="shared" si="318"/>
        <v>3878220.2465237915</v>
      </c>
      <c r="V660" s="171">
        <f t="shared" si="331"/>
        <v>0</v>
      </c>
      <c r="W660" s="171" t="str">
        <f>IF(OR(A660&gt;=$C$13,B660="Retired"),IF(V660&gt;0,-V660,U660-'Model Inputs'!$B$18),"")</f>
        <v/>
      </c>
      <c r="X660" s="171">
        <f t="shared" si="319"/>
        <v>0</v>
      </c>
      <c r="Y660" s="171">
        <f t="shared" si="320"/>
        <v>0</v>
      </c>
      <c r="Z660" s="171">
        <f t="shared" si="321"/>
        <v>0</v>
      </c>
      <c r="AA660" s="175">
        <f t="shared" si="322"/>
        <v>3878220.2465237915</v>
      </c>
      <c r="AB660" s="5"/>
      <c r="AC660" s="5"/>
      <c r="AD660" s="5"/>
      <c r="AE660" s="5"/>
      <c r="AF660" s="5"/>
      <c r="AG660" s="5"/>
    </row>
    <row r="661" spans="1:33" x14ac:dyDescent="0.2">
      <c r="A661" s="169">
        <v>9</v>
      </c>
      <c r="B661" s="100" t="str">
        <f t="shared" si="308"/>
        <v>Working</v>
      </c>
      <c r="C661" s="170">
        <f t="shared" si="309"/>
        <v>2033969.9666232408</v>
      </c>
      <c r="D661" s="170">
        <f t="shared" si="310"/>
        <v>1020277.372071536</v>
      </c>
      <c r="E661" s="170">
        <f t="shared" si="311"/>
        <v>101341.60651100927</v>
      </c>
      <c r="F661" s="170">
        <f t="shared" si="312"/>
        <v>63338.504069380797</v>
      </c>
      <c r="G661" s="171">
        <f t="shared" si="313"/>
        <v>0</v>
      </c>
      <c r="H661" s="171">
        <f t="shared" si="314"/>
        <v>0</v>
      </c>
      <c r="I661" s="171">
        <f>IF(B661="Working",MIN(MAX(D661-E661-F661-G661-H661,0),'Tax Assumptions'!$B$20),0)</f>
        <v>7500</v>
      </c>
      <c r="J661" s="171">
        <f t="shared" si="315"/>
        <v>848097.26149114594</v>
      </c>
      <c r="K661" s="170">
        <f t="shared" si="316"/>
        <v>0</v>
      </c>
      <c r="L661" s="170">
        <f t="shared" si="317"/>
        <v>0</v>
      </c>
      <c r="M661" s="170">
        <f t="shared" si="323"/>
        <v>0</v>
      </c>
      <c r="N661" s="170">
        <f t="shared" si="324"/>
        <v>0</v>
      </c>
      <c r="O661" s="170">
        <f t="shared" si="325"/>
        <v>0</v>
      </c>
      <c r="P661" s="170">
        <f t="shared" si="326"/>
        <v>0</v>
      </c>
      <c r="Q661" s="171">
        <f t="shared" si="327"/>
        <v>4623288.6113382634</v>
      </c>
      <c r="R661" s="171">
        <f t="shared" si="328"/>
        <v>281537.24159276602</v>
      </c>
      <c r="S661" s="171">
        <f t="shared" si="329"/>
        <v>86184.869875336532</v>
      </c>
      <c r="T661" s="171">
        <f t="shared" si="330"/>
        <v>0</v>
      </c>
      <c r="U661" s="171">
        <f t="shared" si="318"/>
        <v>4991010.7228063662</v>
      </c>
      <c r="V661" s="171">
        <f t="shared" si="331"/>
        <v>0</v>
      </c>
      <c r="W661" s="171" t="str">
        <f>IF(OR(A661&gt;=$C$13,B661="Retired"),IF(V661&gt;0,-V661,U661-'Model Inputs'!$B$18),"")</f>
        <v/>
      </c>
      <c r="X661" s="171">
        <f t="shared" si="319"/>
        <v>0</v>
      </c>
      <c r="Y661" s="171">
        <f t="shared" si="320"/>
        <v>0</v>
      </c>
      <c r="Z661" s="171">
        <f t="shared" si="321"/>
        <v>0</v>
      </c>
      <c r="AA661" s="172">
        <f t="shared" si="322"/>
        <v>4991010.7228063662</v>
      </c>
      <c r="AB661" s="5"/>
      <c r="AC661" s="5"/>
      <c r="AD661" s="5"/>
      <c r="AE661" s="5"/>
      <c r="AF661" s="5"/>
      <c r="AG661" s="5"/>
    </row>
    <row r="662" spans="1:33" x14ac:dyDescent="0.2">
      <c r="A662" s="173">
        <v>10</v>
      </c>
      <c r="B662" s="65" t="str">
        <f t="shared" si="308"/>
        <v>Working</v>
      </c>
      <c r="C662" s="174">
        <f t="shared" si="309"/>
        <v>2595495.7626410057</v>
      </c>
      <c r="D662" s="174">
        <f t="shared" si="310"/>
        <v>1284890.7881869476</v>
      </c>
      <c r="E662" s="174">
        <f t="shared" si="311"/>
        <v>104381.85470633955</v>
      </c>
      <c r="F662" s="174">
        <f t="shared" si="312"/>
        <v>65238.659191462226</v>
      </c>
      <c r="G662" s="171">
        <f t="shared" si="313"/>
        <v>642268.22933519445</v>
      </c>
      <c r="H662" s="171">
        <f t="shared" si="314"/>
        <v>86153.846153846142</v>
      </c>
      <c r="I662" s="171">
        <f>IF(B662="Working",MIN(MAX(D662-E662-F662-G662-H662,0),'Tax Assumptions'!$B$20),0)</f>
        <v>7500</v>
      </c>
      <c r="J662" s="171">
        <f t="shared" si="315"/>
        <v>379348.19880010525</v>
      </c>
      <c r="K662" s="174">
        <f t="shared" si="316"/>
        <v>0</v>
      </c>
      <c r="L662" s="174">
        <f t="shared" si="317"/>
        <v>0</v>
      </c>
      <c r="M662" s="174">
        <f t="shared" si="323"/>
        <v>0</v>
      </c>
      <c r="N662" s="174">
        <f t="shared" si="324"/>
        <v>0</v>
      </c>
      <c r="O662" s="174">
        <f t="shared" si="325"/>
        <v>0</v>
      </c>
      <c r="P662" s="174">
        <f t="shared" si="326"/>
        <v>0</v>
      </c>
      <c r="Q662" s="171">
        <f t="shared" si="327"/>
        <v>5280034.1268186653</v>
      </c>
      <c r="R662" s="171">
        <f t="shared" si="328"/>
        <v>322929.47608833201</v>
      </c>
      <c r="S662" s="171">
        <f t="shared" si="329"/>
        <v>98855.96206785673</v>
      </c>
      <c r="T662" s="171">
        <f t="shared" si="330"/>
        <v>0</v>
      </c>
      <c r="U662" s="171">
        <f t="shared" si="318"/>
        <v>5701819.5649748538</v>
      </c>
      <c r="V662" s="171">
        <f t="shared" si="331"/>
        <v>0</v>
      </c>
      <c r="W662" s="171">
        <f>IF(OR(A662&gt;=$C$13,B662="Retired"),IF(V662&gt;0,-V662,U662-'Model Inputs'!$B$18),"")</f>
        <v>4701819.5649748538</v>
      </c>
      <c r="X662" s="171">
        <f t="shared" si="319"/>
        <v>1352143.6407056723</v>
      </c>
      <c r="Y662" s="171">
        <f t="shared" si="320"/>
        <v>735366.71277112036</v>
      </c>
      <c r="Z662" s="171">
        <f t="shared" si="321"/>
        <v>616776.92793455196</v>
      </c>
      <c r="AA662" s="175">
        <f t="shared" si="322"/>
        <v>6318596.4929094054</v>
      </c>
      <c r="AB662" s="5"/>
      <c r="AC662" s="5"/>
      <c r="AD662" s="5"/>
      <c r="AE662" s="5"/>
      <c r="AF662" s="5"/>
      <c r="AG662" s="5"/>
    </row>
    <row r="663" spans="1:33" x14ac:dyDescent="0.2">
      <c r="A663" s="169">
        <v>11</v>
      </c>
      <c r="B663" s="100" t="str">
        <f t="shared" si="308"/>
        <v>Retired</v>
      </c>
      <c r="C663" s="170">
        <f t="shared" si="309"/>
        <v>0</v>
      </c>
      <c r="D663" s="170">
        <f t="shared" si="310"/>
        <v>0</v>
      </c>
      <c r="E663" s="170">
        <f t="shared" si="311"/>
        <v>0</v>
      </c>
      <c r="F663" s="170">
        <f t="shared" si="312"/>
        <v>0</v>
      </c>
      <c r="G663" s="171">
        <f t="shared" si="313"/>
        <v>0</v>
      </c>
      <c r="H663" s="171">
        <f t="shared" si="314"/>
        <v>87046.260956711893</v>
      </c>
      <c r="I663" s="171">
        <f>IF(B663="Working",MIN(MAX(D663-E663-F663-G663-H663,0),'Tax Assumptions'!$B$20),0)</f>
        <v>0</v>
      </c>
      <c r="J663" s="171">
        <f t="shared" si="315"/>
        <v>-347046.26095671189</v>
      </c>
      <c r="K663" s="170">
        <f t="shared" si="316"/>
        <v>347046.26095671189</v>
      </c>
      <c r="L663" s="170">
        <f t="shared" si="317"/>
        <v>347046.26095671189</v>
      </c>
      <c r="M663" s="170">
        <f t="shared" si="323"/>
        <v>347046.26095671189</v>
      </c>
      <c r="N663" s="170">
        <f t="shared" si="324"/>
        <v>0</v>
      </c>
      <c r="O663" s="170">
        <f t="shared" si="325"/>
        <v>0</v>
      </c>
      <c r="P663" s="170">
        <f t="shared" si="326"/>
        <v>0</v>
      </c>
      <c r="Q663" s="171">
        <f t="shared" si="327"/>
        <v>5249789.9134710738</v>
      </c>
      <c r="R663" s="171">
        <f t="shared" si="328"/>
        <v>342305.24465363193</v>
      </c>
      <c r="S663" s="171">
        <f t="shared" si="329"/>
        <v>104787.31979192814</v>
      </c>
      <c r="T663" s="171">
        <f t="shared" si="330"/>
        <v>0</v>
      </c>
      <c r="U663" s="171">
        <f t="shared" si="318"/>
        <v>5696882.4779166337</v>
      </c>
      <c r="V663" s="171">
        <f t="shared" si="331"/>
        <v>0</v>
      </c>
      <c r="W663" s="171">
        <f>IF(OR(A663&gt;=$C$13,B663="Retired"),IF(V663&gt;0,-V663,U663-'Model Inputs'!$B$18),"")</f>
        <v>4696882.4779166337</v>
      </c>
      <c r="X663" s="171">
        <f t="shared" si="319"/>
        <v>1392707.9499268425</v>
      </c>
      <c r="Y663" s="171">
        <f t="shared" si="320"/>
        <v>726497.73372408887</v>
      </c>
      <c r="Z663" s="171">
        <f t="shared" si="321"/>
        <v>666210.2162027536</v>
      </c>
      <c r="AA663" s="172">
        <f t="shared" si="322"/>
        <v>6363092.6941193873</v>
      </c>
      <c r="AB663" s="5"/>
      <c r="AC663" s="5"/>
      <c r="AD663" s="5"/>
      <c r="AE663" s="5"/>
      <c r="AF663" s="5"/>
      <c r="AG663" s="5"/>
    </row>
    <row r="664" spans="1:33" x14ac:dyDescent="0.2">
      <c r="A664" s="173">
        <v>12</v>
      </c>
      <c r="B664" s="65" t="str">
        <f t="shared" si="308"/>
        <v>Retired</v>
      </c>
      <c r="C664" s="174">
        <f t="shared" si="309"/>
        <v>0</v>
      </c>
      <c r="D664" s="174">
        <f t="shared" si="310"/>
        <v>0</v>
      </c>
      <c r="E664" s="174">
        <f t="shared" si="311"/>
        <v>0</v>
      </c>
      <c r="F664" s="174">
        <f t="shared" si="312"/>
        <v>0</v>
      </c>
      <c r="G664" s="171">
        <f t="shared" si="313"/>
        <v>0</v>
      </c>
      <c r="H664" s="171">
        <f t="shared" si="314"/>
        <v>87965.448203663604</v>
      </c>
      <c r="I664" s="171">
        <f>IF(B664="Working",MIN(MAX(D664-E664-F664-G664-H664,0),'Tax Assumptions'!$B$20),0)</f>
        <v>0</v>
      </c>
      <c r="J664" s="171">
        <f t="shared" si="315"/>
        <v>-347965.44820366357</v>
      </c>
      <c r="K664" s="174">
        <f t="shared" si="316"/>
        <v>347965.44820366357</v>
      </c>
      <c r="L664" s="174">
        <f t="shared" si="317"/>
        <v>347965.44820366357</v>
      </c>
      <c r="M664" s="174">
        <f t="shared" si="323"/>
        <v>347965.44820366357</v>
      </c>
      <c r="N664" s="174">
        <f t="shared" si="324"/>
        <v>0</v>
      </c>
      <c r="O664" s="174">
        <f t="shared" si="325"/>
        <v>0</v>
      </c>
      <c r="P664" s="174">
        <f t="shared" si="326"/>
        <v>0</v>
      </c>
      <c r="Q664" s="171">
        <f t="shared" si="327"/>
        <v>5216811.860075675</v>
      </c>
      <c r="R664" s="171">
        <f t="shared" si="328"/>
        <v>362843.55933284987</v>
      </c>
      <c r="S664" s="171">
        <f t="shared" si="329"/>
        <v>111074.55897944383</v>
      </c>
      <c r="T664" s="171">
        <f t="shared" si="330"/>
        <v>0</v>
      </c>
      <c r="U664" s="171">
        <f t="shared" si="318"/>
        <v>5690729.9783879686</v>
      </c>
      <c r="V664" s="171">
        <f t="shared" si="331"/>
        <v>0</v>
      </c>
      <c r="W664" s="171">
        <f>IF(OR(A664&gt;=$C$13,B664="Retired"),IF(V664&gt;0,-V664,U664-'Model Inputs'!$B$18),"")</f>
        <v>4690729.9783879686</v>
      </c>
      <c r="X664" s="171">
        <f t="shared" si="319"/>
        <v>1434489.1884246478</v>
      </c>
      <c r="Y664" s="171">
        <f t="shared" si="320"/>
        <v>717034.78272490599</v>
      </c>
      <c r="Z664" s="171">
        <f t="shared" si="321"/>
        <v>717454.40569974179</v>
      </c>
      <c r="AA664" s="175">
        <f t="shared" si="322"/>
        <v>6408184.3840877106</v>
      </c>
      <c r="AB664" s="5"/>
      <c r="AC664" s="5"/>
      <c r="AD664" s="5"/>
      <c r="AE664" s="5"/>
      <c r="AF664" s="5"/>
      <c r="AG664" s="5"/>
    </row>
    <row r="665" spans="1:33" x14ac:dyDescent="0.2">
      <c r="A665" s="169">
        <v>13</v>
      </c>
      <c r="B665" s="100" t="str">
        <f t="shared" si="308"/>
        <v>Retired</v>
      </c>
      <c r="C665" s="170">
        <f t="shared" si="309"/>
        <v>0</v>
      </c>
      <c r="D665" s="170">
        <f t="shared" si="310"/>
        <v>0</v>
      </c>
      <c r="E665" s="170">
        <f t="shared" si="311"/>
        <v>0</v>
      </c>
      <c r="F665" s="170">
        <f t="shared" si="312"/>
        <v>0</v>
      </c>
      <c r="G665" s="171">
        <f t="shared" si="313"/>
        <v>0</v>
      </c>
      <c r="H665" s="171">
        <f t="shared" si="314"/>
        <v>88912.211068023869</v>
      </c>
      <c r="I665" s="171">
        <f>IF(B665="Working",MIN(MAX(D665-E665-F665-G665-H665,0),'Tax Assumptions'!$B$20),0)</f>
        <v>0</v>
      </c>
      <c r="J665" s="171">
        <f t="shared" si="315"/>
        <v>-348912.21106802387</v>
      </c>
      <c r="K665" s="170">
        <f t="shared" si="316"/>
        <v>348912.21106802387</v>
      </c>
      <c r="L665" s="170">
        <f t="shared" si="317"/>
        <v>348912.21106802387</v>
      </c>
      <c r="M665" s="170">
        <f t="shared" si="323"/>
        <v>348912.21106802387</v>
      </c>
      <c r="N665" s="170">
        <f t="shared" si="324"/>
        <v>0</v>
      </c>
      <c r="O665" s="170">
        <f t="shared" si="325"/>
        <v>0</v>
      </c>
      <c r="P665" s="170">
        <f t="shared" si="326"/>
        <v>0</v>
      </c>
      <c r="Q665" s="171">
        <f t="shared" si="327"/>
        <v>5180908.3606121922</v>
      </c>
      <c r="R665" s="171">
        <f t="shared" si="328"/>
        <v>384614.1728928209</v>
      </c>
      <c r="S665" s="171">
        <f t="shared" si="329"/>
        <v>117739.03251821046</v>
      </c>
      <c r="T665" s="171">
        <f t="shared" si="330"/>
        <v>0</v>
      </c>
      <c r="U665" s="171">
        <f t="shared" si="318"/>
        <v>5683261.566023224</v>
      </c>
      <c r="V665" s="171">
        <f t="shared" si="331"/>
        <v>0</v>
      </c>
      <c r="W665" s="171">
        <f>IF(OR(A665&gt;=$C$13,B665="Retired"),IF(V665&gt;0,-V665,U665-'Model Inputs'!$B$18),"")</f>
        <v>4683261.566023224</v>
      </c>
      <c r="X665" s="171">
        <f t="shared" si="319"/>
        <v>1477523.8640773871</v>
      </c>
      <c r="Y665" s="171">
        <f t="shared" si="320"/>
        <v>706938.0803718986</v>
      </c>
      <c r="Z665" s="171">
        <f t="shared" si="321"/>
        <v>770585.78370548855</v>
      </c>
      <c r="AA665" s="172">
        <f t="shared" si="322"/>
        <v>6453847.3497287128</v>
      </c>
      <c r="AB665" s="5"/>
      <c r="AC665" s="5"/>
      <c r="AD665" s="5"/>
      <c r="AE665" s="5"/>
      <c r="AF665" s="5"/>
      <c r="AG665" s="5"/>
    </row>
    <row r="666" spans="1:33" x14ac:dyDescent="0.2">
      <c r="A666" s="173">
        <v>14</v>
      </c>
      <c r="B666" s="65" t="str">
        <f t="shared" si="308"/>
        <v>Retired</v>
      </c>
      <c r="C666" s="174">
        <f t="shared" si="309"/>
        <v>0</v>
      </c>
      <c r="D666" s="174">
        <f t="shared" si="310"/>
        <v>0</v>
      </c>
      <c r="E666" s="174">
        <f t="shared" si="311"/>
        <v>0</v>
      </c>
      <c r="F666" s="174">
        <f t="shared" si="312"/>
        <v>0</v>
      </c>
      <c r="G666" s="171">
        <f t="shared" si="313"/>
        <v>0</v>
      </c>
      <c r="H666" s="171">
        <f t="shared" si="314"/>
        <v>89887.376818314951</v>
      </c>
      <c r="I666" s="171">
        <f>IF(B666="Working",MIN(MAX(D666-E666-F666-G666-H666,0),'Tax Assumptions'!$B$20),0)</f>
        <v>0</v>
      </c>
      <c r="J666" s="171">
        <f t="shared" si="315"/>
        <v>-349887.37681831495</v>
      </c>
      <c r="K666" s="174">
        <f t="shared" si="316"/>
        <v>349887.37681831495</v>
      </c>
      <c r="L666" s="174">
        <f t="shared" si="317"/>
        <v>349887.37681831495</v>
      </c>
      <c r="M666" s="174">
        <f t="shared" si="323"/>
        <v>349887.37681831495</v>
      </c>
      <c r="N666" s="174">
        <f t="shared" si="324"/>
        <v>0</v>
      </c>
      <c r="O666" s="174">
        <f t="shared" si="325"/>
        <v>0</v>
      </c>
      <c r="P666" s="174">
        <f t="shared" si="326"/>
        <v>0</v>
      </c>
      <c r="Q666" s="171">
        <f t="shared" si="327"/>
        <v>5141875.4854306085</v>
      </c>
      <c r="R666" s="171">
        <f t="shared" si="328"/>
        <v>407691.0232663902</v>
      </c>
      <c r="S666" s="171">
        <f t="shared" si="329"/>
        <v>124803.37446930309</v>
      </c>
      <c r="T666" s="171">
        <f t="shared" si="330"/>
        <v>0</v>
      </c>
      <c r="U666" s="171">
        <f t="shared" si="318"/>
        <v>5674369.883166302</v>
      </c>
      <c r="V666" s="171">
        <f t="shared" si="331"/>
        <v>0</v>
      </c>
      <c r="W666" s="171">
        <f>IF(OR(A666&gt;=$C$13,B666="Retired"),IF(V666&gt;0,-V666,U666-'Model Inputs'!$B$18),"")</f>
        <v>4674369.883166302</v>
      </c>
      <c r="X666" s="171">
        <f t="shared" si="319"/>
        <v>1521849.5799997088</v>
      </c>
      <c r="Y666" s="171">
        <f t="shared" si="320"/>
        <v>696165.18316319177</v>
      </c>
      <c r="Z666" s="171">
        <f t="shared" si="321"/>
        <v>825684.39683651703</v>
      </c>
      <c r="AA666" s="175">
        <f t="shared" si="322"/>
        <v>6500054.2800028194</v>
      </c>
      <c r="AB666" s="5"/>
      <c r="AC666" s="5"/>
      <c r="AD666" s="5"/>
      <c r="AE666" s="5"/>
      <c r="AF666" s="5"/>
      <c r="AG666" s="5"/>
    </row>
    <row r="667" spans="1:33" x14ac:dyDescent="0.2">
      <c r="A667" s="169">
        <v>15</v>
      </c>
      <c r="B667" s="100" t="str">
        <f t="shared" si="308"/>
        <v>Retired</v>
      </c>
      <c r="C667" s="170">
        <f t="shared" si="309"/>
        <v>0</v>
      </c>
      <c r="D667" s="170">
        <f t="shared" si="310"/>
        <v>0</v>
      </c>
      <c r="E667" s="170">
        <f t="shared" si="311"/>
        <v>0</v>
      </c>
      <c r="F667" s="170">
        <f t="shared" si="312"/>
        <v>0</v>
      </c>
      <c r="G667" s="171">
        <f t="shared" si="313"/>
        <v>0</v>
      </c>
      <c r="H667" s="171">
        <f t="shared" si="314"/>
        <v>90891.797541114764</v>
      </c>
      <c r="I667" s="171">
        <f>IF(B667="Working",MIN(MAX(D667-E667-F667-G667-H667,0),'Tax Assumptions'!$B$20),0)</f>
        <v>0</v>
      </c>
      <c r="J667" s="171">
        <f t="shared" si="315"/>
        <v>-350891.79754111473</v>
      </c>
      <c r="K667" s="170">
        <f t="shared" si="316"/>
        <v>350891.79754111473</v>
      </c>
      <c r="L667" s="170">
        <f t="shared" si="317"/>
        <v>350891.79754111473</v>
      </c>
      <c r="M667" s="170">
        <f t="shared" si="323"/>
        <v>350891.79754111473</v>
      </c>
      <c r="N667" s="170">
        <f t="shared" si="324"/>
        <v>0</v>
      </c>
      <c r="O667" s="170">
        <f t="shared" si="325"/>
        <v>0</v>
      </c>
      <c r="P667" s="170">
        <f t="shared" si="326"/>
        <v>0</v>
      </c>
      <c r="Q667" s="171">
        <f t="shared" si="327"/>
        <v>5099496.2170153307</v>
      </c>
      <c r="R667" s="171">
        <f t="shared" si="328"/>
        <v>432152.48466237361</v>
      </c>
      <c r="S667" s="171">
        <f t="shared" si="329"/>
        <v>132291.57693746127</v>
      </c>
      <c r="T667" s="171">
        <f t="shared" si="330"/>
        <v>0</v>
      </c>
      <c r="U667" s="171">
        <f t="shared" si="318"/>
        <v>5663940.2786151655</v>
      </c>
      <c r="V667" s="171">
        <f t="shared" si="331"/>
        <v>0</v>
      </c>
      <c r="W667" s="171">
        <f>IF(OR(A667&gt;=$C$13,B667="Retired"),IF(V667&gt;0,-V667,U667-'Model Inputs'!$B$18),"")</f>
        <v>4663940.2786151655</v>
      </c>
      <c r="X667" s="171">
        <f t="shared" si="319"/>
        <v>1567505.0673996999</v>
      </c>
      <c r="Y667" s="171">
        <f t="shared" si="320"/>
        <v>684670.80507698469</v>
      </c>
      <c r="Z667" s="171">
        <f t="shared" si="321"/>
        <v>882834.26232271525</v>
      </c>
      <c r="AA667" s="172">
        <f t="shared" si="322"/>
        <v>6546774.540937881</v>
      </c>
      <c r="AB667" s="5"/>
      <c r="AC667" s="5"/>
      <c r="AD667" s="5"/>
      <c r="AE667" s="5"/>
      <c r="AF667" s="5"/>
      <c r="AG667" s="5"/>
    </row>
    <row r="668" spans="1:33" x14ac:dyDescent="0.2">
      <c r="A668" s="173">
        <v>16</v>
      </c>
      <c r="B668" s="65" t="str">
        <f t="shared" si="308"/>
        <v>Retired</v>
      </c>
      <c r="C668" s="174">
        <f t="shared" si="309"/>
        <v>0</v>
      </c>
      <c r="D668" s="174">
        <f t="shared" si="310"/>
        <v>0</v>
      </c>
      <c r="E668" s="174">
        <f t="shared" si="311"/>
        <v>0</v>
      </c>
      <c r="F668" s="174">
        <f t="shared" si="312"/>
        <v>0</v>
      </c>
      <c r="G668" s="171">
        <f t="shared" si="313"/>
        <v>0</v>
      </c>
      <c r="H668" s="171">
        <f t="shared" si="314"/>
        <v>91926.350885598556</v>
      </c>
      <c r="I668" s="171">
        <f>IF(B668="Working",MIN(MAX(D668-E668-F668-G668-H668,0),'Tax Assumptions'!$B$20),0)</f>
        <v>0</v>
      </c>
      <c r="J668" s="171">
        <f t="shared" si="315"/>
        <v>-351926.35088559857</v>
      </c>
      <c r="K668" s="174">
        <f t="shared" si="316"/>
        <v>351926.35088559857</v>
      </c>
      <c r="L668" s="174">
        <f t="shared" si="317"/>
        <v>351926.35088559857</v>
      </c>
      <c r="M668" s="174">
        <f t="shared" si="323"/>
        <v>351926.35088559857</v>
      </c>
      <c r="N668" s="174">
        <f t="shared" si="324"/>
        <v>0</v>
      </c>
      <c r="O668" s="174">
        <f t="shared" si="325"/>
        <v>0</v>
      </c>
      <c r="P668" s="174">
        <f t="shared" si="326"/>
        <v>0</v>
      </c>
      <c r="Q668" s="171">
        <f t="shared" si="327"/>
        <v>5053539.6391506521</v>
      </c>
      <c r="R668" s="171">
        <f t="shared" si="328"/>
        <v>458081.63374211604</v>
      </c>
      <c r="S668" s="171">
        <f t="shared" si="329"/>
        <v>140229.07155370896</v>
      </c>
      <c r="T668" s="171">
        <f t="shared" si="330"/>
        <v>0</v>
      </c>
      <c r="U668" s="171">
        <f t="shared" si="318"/>
        <v>5651850.3444464775</v>
      </c>
      <c r="V668" s="171">
        <f t="shared" si="331"/>
        <v>0</v>
      </c>
      <c r="W668" s="171">
        <f>IF(OR(A668&gt;=$C$13,B668="Retired"),IF(V668&gt;0,-V668,U668-'Model Inputs'!$B$18),"")</f>
        <v>4651850.3444464775</v>
      </c>
      <c r="X668" s="171">
        <f t="shared" si="319"/>
        <v>1614530.219421691</v>
      </c>
      <c r="Y668" s="171">
        <f t="shared" si="320"/>
        <v>672406.62720272737</v>
      </c>
      <c r="Z668" s="171">
        <f t="shared" si="321"/>
        <v>942123.59221896366</v>
      </c>
      <c r="AA668" s="175">
        <f t="shared" si="322"/>
        <v>6593973.9366654409</v>
      </c>
      <c r="AB668" s="5"/>
      <c r="AC668" s="5"/>
      <c r="AD668" s="5"/>
      <c r="AE668" s="5"/>
      <c r="AF668" s="5"/>
      <c r="AG668" s="5"/>
    </row>
    <row r="669" spans="1:33" x14ac:dyDescent="0.2">
      <c r="A669" s="169">
        <v>17</v>
      </c>
      <c r="B669" s="100" t="str">
        <f t="shared" si="308"/>
        <v>Retired</v>
      </c>
      <c r="C669" s="170">
        <f t="shared" si="309"/>
        <v>0</v>
      </c>
      <c r="D669" s="170">
        <f t="shared" si="310"/>
        <v>0</v>
      </c>
      <c r="E669" s="170">
        <f t="shared" si="311"/>
        <v>0</v>
      </c>
      <c r="F669" s="170">
        <f t="shared" si="312"/>
        <v>0</v>
      </c>
      <c r="G669" s="171">
        <f t="shared" si="313"/>
        <v>0</v>
      </c>
      <c r="H669" s="171">
        <f t="shared" si="314"/>
        <v>92991.940830416876</v>
      </c>
      <c r="I669" s="171">
        <f>IF(B669="Working",MIN(MAX(D669-E669-F669-G669-H669,0),'Tax Assumptions'!$B$20),0)</f>
        <v>0</v>
      </c>
      <c r="J669" s="171">
        <f t="shared" si="315"/>
        <v>-352991.94083041686</v>
      </c>
      <c r="K669" s="170">
        <f t="shared" si="316"/>
        <v>352991.94083041686</v>
      </c>
      <c r="L669" s="170">
        <f t="shared" si="317"/>
        <v>352991.94083041686</v>
      </c>
      <c r="M669" s="170">
        <f t="shared" si="323"/>
        <v>352991.94083041686</v>
      </c>
      <c r="N669" s="170">
        <f t="shared" si="324"/>
        <v>0</v>
      </c>
      <c r="O669" s="170">
        <f t="shared" si="325"/>
        <v>0</v>
      </c>
      <c r="P669" s="170">
        <f t="shared" si="326"/>
        <v>0</v>
      </c>
      <c r="Q669" s="171">
        <f t="shared" si="327"/>
        <v>5003760.0766692748</v>
      </c>
      <c r="R669" s="171">
        <f t="shared" si="328"/>
        <v>485566.53176664305</v>
      </c>
      <c r="S669" s="171">
        <f t="shared" si="329"/>
        <v>148642.81584693151</v>
      </c>
      <c r="T669" s="171">
        <f t="shared" si="330"/>
        <v>0</v>
      </c>
      <c r="U669" s="171">
        <f t="shared" si="318"/>
        <v>5637969.4242828488</v>
      </c>
      <c r="V669" s="171">
        <f t="shared" si="331"/>
        <v>0</v>
      </c>
      <c r="W669" s="171">
        <f>IF(OR(A669&gt;=$C$13,B669="Retired"),IF(V669&gt;0,-V669,U669-'Model Inputs'!$B$18),"")</f>
        <v>4637969.4242828488</v>
      </c>
      <c r="X669" s="171">
        <f t="shared" si="319"/>
        <v>1662966.1260043418</v>
      </c>
      <c r="Y669" s="171">
        <f t="shared" si="320"/>
        <v>659321.09462294192</v>
      </c>
      <c r="Z669" s="171">
        <f t="shared" si="321"/>
        <v>1003645.0313813998</v>
      </c>
      <c r="AA669" s="172">
        <f t="shared" si="322"/>
        <v>6641614.4556642491</v>
      </c>
      <c r="AB669" s="5"/>
      <c r="AC669" s="5"/>
      <c r="AD669" s="5"/>
      <c r="AE669" s="5"/>
      <c r="AF669" s="5"/>
      <c r="AG669" s="5"/>
    </row>
    <row r="670" spans="1:33" x14ac:dyDescent="0.2">
      <c r="A670" s="173">
        <v>18</v>
      </c>
      <c r="B670" s="65" t="str">
        <f t="shared" si="308"/>
        <v>Retired</v>
      </c>
      <c r="C670" s="174">
        <f t="shared" si="309"/>
        <v>0</v>
      </c>
      <c r="D670" s="174">
        <f t="shared" si="310"/>
        <v>0</v>
      </c>
      <c r="E670" s="174">
        <f t="shared" si="311"/>
        <v>0</v>
      </c>
      <c r="F670" s="174">
        <f t="shared" si="312"/>
        <v>0</v>
      </c>
      <c r="G670" s="171">
        <f t="shared" si="313"/>
        <v>0</v>
      </c>
      <c r="H670" s="171">
        <f t="shared" si="314"/>
        <v>94089.498473579733</v>
      </c>
      <c r="I670" s="171">
        <f>IF(B670="Working",MIN(MAX(D670-E670-F670-G670-H670,0),'Tax Assumptions'!$B$20),0)</f>
        <v>0</v>
      </c>
      <c r="J670" s="171">
        <f t="shared" si="315"/>
        <v>-354089.49847357976</v>
      </c>
      <c r="K670" s="174">
        <f t="shared" si="316"/>
        <v>354089.49847357976</v>
      </c>
      <c r="L670" s="174">
        <f t="shared" si="317"/>
        <v>354089.49847357976</v>
      </c>
      <c r="M670" s="174">
        <f t="shared" si="323"/>
        <v>354089.49847357976</v>
      </c>
      <c r="N670" s="174">
        <f t="shared" si="324"/>
        <v>0</v>
      </c>
      <c r="O670" s="174">
        <f t="shared" si="325"/>
        <v>0</v>
      </c>
      <c r="P670" s="174">
        <f t="shared" si="326"/>
        <v>0</v>
      </c>
      <c r="Q670" s="171">
        <f t="shared" si="327"/>
        <v>4949896.1827958515</v>
      </c>
      <c r="R670" s="171">
        <f t="shared" si="328"/>
        <v>514700.52367264166</v>
      </c>
      <c r="S670" s="171">
        <f t="shared" si="329"/>
        <v>157561.38479774742</v>
      </c>
      <c r="T670" s="171">
        <f t="shared" si="330"/>
        <v>0</v>
      </c>
      <c r="U670" s="171">
        <f t="shared" si="318"/>
        <v>5622158.09126624</v>
      </c>
      <c r="V670" s="171">
        <f t="shared" si="331"/>
        <v>0</v>
      </c>
      <c r="W670" s="171">
        <f>IF(OR(A670&gt;=$C$13,B670="Retired"),IF(V670&gt;0,-V670,U670-'Model Inputs'!$B$18),"")</f>
        <v>4622158.09126624</v>
      </c>
      <c r="X670" s="171">
        <f t="shared" si="319"/>
        <v>1712855.1097844718</v>
      </c>
      <c r="Y670" s="171">
        <f t="shared" si="320"/>
        <v>645359.19969184883</v>
      </c>
      <c r="Z670" s="171">
        <f t="shared" si="321"/>
        <v>1067495.910092623</v>
      </c>
      <c r="AA670" s="175">
        <f t="shared" si="322"/>
        <v>6689654.001358863</v>
      </c>
      <c r="AB670" s="5"/>
      <c r="AC670" s="5"/>
      <c r="AD670" s="5"/>
      <c r="AE670" s="5"/>
      <c r="AF670" s="5"/>
      <c r="AG670" s="5"/>
    </row>
    <row r="671" spans="1:33" x14ac:dyDescent="0.2">
      <c r="A671" s="169">
        <v>19</v>
      </c>
      <c r="B671" s="100" t="str">
        <f t="shared" si="308"/>
        <v>Retired</v>
      </c>
      <c r="C671" s="170">
        <f t="shared" si="309"/>
        <v>0</v>
      </c>
      <c r="D671" s="170">
        <f t="shared" si="310"/>
        <v>0</v>
      </c>
      <c r="E671" s="170">
        <f t="shared" si="311"/>
        <v>0</v>
      </c>
      <c r="F671" s="170">
        <f t="shared" si="312"/>
        <v>0</v>
      </c>
      <c r="G671" s="171">
        <f t="shared" si="313"/>
        <v>0</v>
      </c>
      <c r="H671" s="171">
        <f t="shared" si="314"/>
        <v>95219.982846037485</v>
      </c>
      <c r="I671" s="171">
        <f>IF(B671="Working",MIN(MAX(D671-E671-F671-G671-H671,0),'Tax Assumptions'!$B$20),0)</f>
        <v>0</v>
      </c>
      <c r="J671" s="171">
        <f t="shared" si="315"/>
        <v>-355219.98284603748</v>
      </c>
      <c r="K671" s="170">
        <f t="shared" si="316"/>
        <v>355219.98284603748</v>
      </c>
      <c r="L671" s="170">
        <f t="shared" si="317"/>
        <v>355219.98284603748</v>
      </c>
      <c r="M671" s="170">
        <f t="shared" si="323"/>
        <v>355219.98284603748</v>
      </c>
      <c r="N671" s="170">
        <f t="shared" si="324"/>
        <v>0</v>
      </c>
      <c r="O671" s="170">
        <f t="shared" si="325"/>
        <v>0</v>
      </c>
      <c r="P671" s="170">
        <f t="shared" si="326"/>
        <v>0</v>
      </c>
      <c r="Q671" s="171">
        <f t="shared" si="327"/>
        <v>4891669.9709175657</v>
      </c>
      <c r="R671" s="171">
        <f t="shared" si="328"/>
        <v>545582.55509300018</v>
      </c>
      <c r="S671" s="171">
        <f t="shared" si="329"/>
        <v>167015.06788561228</v>
      </c>
      <c r="T671" s="171">
        <f t="shared" si="330"/>
        <v>0</v>
      </c>
      <c r="U671" s="171">
        <f t="shared" si="318"/>
        <v>5604267.5938961776</v>
      </c>
      <c r="V671" s="171">
        <f t="shared" si="331"/>
        <v>0</v>
      </c>
      <c r="W671" s="171">
        <f>IF(OR(A671&gt;=$C$13,B671="Retired"),IF(V671&gt;0,-V671,U671-'Model Inputs'!$B$18),"")</f>
        <v>4604267.5938961776</v>
      </c>
      <c r="X671" s="171">
        <f t="shared" si="319"/>
        <v>1764240.763078006</v>
      </c>
      <c r="Y671" s="171">
        <f t="shared" si="320"/>
        <v>630462.25079975545</v>
      </c>
      <c r="Z671" s="171">
        <f t="shared" si="321"/>
        <v>1133778.5122782504</v>
      </c>
      <c r="AA671" s="172">
        <f t="shared" si="322"/>
        <v>6738046.106174428</v>
      </c>
      <c r="AB671" s="5"/>
      <c r="AC671" s="5"/>
      <c r="AD671" s="5"/>
      <c r="AE671" s="5"/>
      <c r="AF671" s="5"/>
      <c r="AG671" s="5"/>
    </row>
    <row r="672" spans="1:33" x14ac:dyDescent="0.2">
      <c r="A672" s="173">
        <v>20</v>
      </c>
      <c r="B672" s="65" t="str">
        <f t="shared" si="308"/>
        <v>Retired</v>
      </c>
      <c r="C672" s="174">
        <f t="shared" si="309"/>
        <v>0</v>
      </c>
      <c r="D672" s="174">
        <f t="shared" si="310"/>
        <v>0</v>
      </c>
      <c r="E672" s="174">
        <f t="shared" si="311"/>
        <v>0</v>
      </c>
      <c r="F672" s="174">
        <f t="shared" si="312"/>
        <v>0</v>
      </c>
      <c r="G672" s="171">
        <f t="shared" si="313"/>
        <v>0</v>
      </c>
      <c r="H672" s="171">
        <f t="shared" si="314"/>
        <v>96384.381749668973</v>
      </c>
      <c r="I672" s="171">
        <f>IF(B672="Working",MIN(MAX(D672-E672-F672-G672-H672,0),'Tax Assumptions'!$B$20),0)</f>
        <v>0</v>
      </c>
      <c r="J672" s="171">
        <f t="shared" si="315"/>
        <v>-356384.38174966897</v>
      </c>
      <c r="K672" s="174">
        <f t="shared" si="316"/>
        <v>356384.38174966897</v>
      </c>
      <c r="L672" s="174">
        <f t="shared" si="317"/>
        <v>356384.38174966897</v>
      </c>
      <c r="M672" s="174">
        <f t="shared" si="323"/>
        <v>356384.38174966897</v>
      </c>
      <c r="N672" s="174">
        <f t="shared" si="324"/>
        <v>0</v>
      </c>
      <c r="O672" s="174">
        <f t="shared" si="325"/>
        <v>0</v>
      </c>
      <c r="P672" s="174">
        <f t="shared" si="326"/>
        <v>0</v>
      </c>
      <c r="Q672" s="171">
        <f t="shared" si="327"/>
        <v>4828785.7874229513</v>
      </c>
      <c r="R672" s="171">
        <f t="shared" si="328"/>
        <v>578317.50839858025</v>
      </c>
      <c r="S672" s="171">
        <f t="shared" si="329"/>
        <v>177035.97195874903</v>
      </c>
      <c r="T672" s="171">
        <f t="shared" si="330"/>
        <v>0</v>
      </c>
      <c r="U672" s="171">
        <f t="shared" si="318"/>
        <v>5584139.2677802807</v>
      </c>
      <c r="V672" s="171">
        <f t="shared" si="331"/>
        <v>0</v>
      </c>
      <c r="W672" s="171">
        <f>IF(OR(A672&gt;=$C$13,B672="Retired"),IF(V672&gt;0,-V672,U672-'Model Inputs'!$B$18),"")</f>
        <v>4584139.2677802807</v>
      </c>
      <c r="X672" s="171">
        <f t="shared" si="319"/>
        <v>1817167.9859703463</v>
      </c>
      <c r="Y672" s="171">
        <f t="shared" si="320"/>
        <v>614567.62565117143</v>
      </c>
      <c r="Z672" s="171">
        <f t="shared" si="321"/>
        <v>1202600.3603191748</v>
      </c>
      <c r="AA672" s="175">
        <f t="shared" si="322"/>
        <v>6786739.6280994555</v>
      </c>
      <c r="AB672" s="5"/>
      <c r="AC672" s="5"/>
      <c r="AD672" s="5"/>
      <c r="AE672" s="5"/>
      <c r="AF672" s="5"/>
      <c r="AG672" s="5"/>
    </row>
    <row r="673" spans="1:33" x14ac:dyDescent="0.2">
      <c r="A673" s="169">
        <v>21</v>
      </c>
      <c r="B673" s="100" t="str">
        <f t="shared" si="308"/>
        <v>Retired</v>
      </c>
      <c r="C673" s="170">
        <f t="shared" si="309"/>
        <v>0</v>
      </c>
      <c r="D673" s="170">
        <f t="shared" si="310"/>
        <v>0</v>
      </c>
      <c r="E673" s="170">
        <f t="shared" si="311"/>
        <v>0</v>
      </c>
      <c r="F673" s="170">
        <f t="shared" si="312"/>
        <v>0</v>
      </c>
      <c r="G673" s="171">
        <f t="shared" si="313"/>
        <v>0</v>
      </c>
      <c r="H673" s="171">
        <f t="shared" si="314"/>
        <v>97583.712620409409</v>
      </c>
      <c r="I673" s="171">
        <f>IF(B673="Working",MIN(MAX(D673-E673-F673-G673-H673,0),'Tax Assumptions'!$B$20),0)</f>
        <v>0</v>
      </c>
      <c r="J673" s="171">
        <f t="shared" si="315"/>
        <v>-357583.71262040944</v>
      </c>
      <c r="K673" s="170">
        <f t="shared" si="316"/>
        <v>357583.71262040944</v>
      </c>
      <c r="L673" s="170">
        <f t="shared" si="317"/>
        <v>357583.71262040944</v>
      </c>
      <c r="M673" s="170">
        <f t="shared" si="323"/>
        <v>357583.71262040944</v>
      </c>
      <c r="N673" s="170">
        <f t="shared" si="324"/>
        <v>0</v>
      </c>
      <c r="O673" s="170">
        <f t="shared" si="325"/>
        <v>0</v>
      </c>
      <c r="P673" s="170">
        <f t="shared" si="326"/>
        <v>0</v>
      </c>
      <c r="Q673" s="171">
        <f t="shared" si="327"/>
        <v>4760929.2220479194</v>
      </c>
      <c r="R673" s="171">
        <f t="shared" si="328"/>
        <v>613016.55890249508</v>
      </c>
      <c r="S673" s="171">
        <f t="shared" si="329"/>
        <v>187658.13027627397</v>
      </c>
      <c r="T673" s="171">
        <f t="shared" si="330"/>
        <v>0</v>
      </c>
      <c r="U673" s="171">
        <f t="shared" si="318"/>
        <v>5561603.911226688</v>
      </c>
      <c r="V673" s="171">
        <f t="shared" si="331"/>
        <v>0</v>
      </c>
      <c r="W673" s="171">
        <f>IF(OR(A673&gt;=$C$13,B673="Retired"),IF(V673&gt;0,-V673,U673-'Model Inputs'!$B$18),"")</f>
        <v>4561603.911226688</v>
      </c>
      <c r="X673" s="171">
        <f t="shared" si="319"/>
        <v>1871683.0255494567</v>
      </c>
      <c r="Y673" s="171">
        <f t="shared" si="320"/>
        <v>597608.5080195003</v>
      </c>
      <c r="Z673" s="171">
        <f t="shared" si="321"/>
        <v>1274074.5175299565</v>
      </c>
      <c r="AA673" s="172">
        <f t="shared" si="322"/>
        <v>6835678.4287566449</v>
      </c>
      <c r="AB673" s="5"/>
      <c r="AC673" s="5"/>
      <c r="AD673" s="5"/>
      <c r="AE673" s="5"/>
      <c r="AF673" s="5"/>
      <c r="AG673" s="5"/>
    </row>
    <row r="674" spans="1:33" x14ac:dyDescent="0.2">
      <c r="A674" s="173">
        <v>22</v>
      </c>
      <c r="B674" s="65" t="str">
        <f t="shared" si="308"/>
        <v>Retired</v>
      </c>
      <c r="C674" s="174">
        <f t="shared" si="309"/>
        <v>0</v>
      </c>
      <c r="D674" s="174">
        <f t="shared" si="310"/>
        <v>0</v>
      </c>
      <c r="E674" s="174">
        <f t="shared" si="311"/>
        <v>0</v>
      </c>
      <c r="F674" s="174">
        <f t="shared" si="312"/>
        <v>0</v>
      </c>
      <c r="G674" s="171">
        <f t="shared" si="313"/>
        <v>0</v>
      </c>
      <c r="H674" s="171">
        <f t="shared" si="314"/>
        <v>98819.023417272037</v>
      </c>
      <c r="I674" s="171">
        <f>IF(B674="Working",MIN(MAX(D674-E674-F674-G674-H674,0),'Tax Assumptions'!$B$20),0)</f>
        <v>0</v>
      </c>
      <c r="J674" s="171">
        <f t="shared" si="315"/>
        <v>-358819.02341727202</v>
      </c>
      <c r="K674" s="174">
        <f t="shared" si="316"/>
        <v>358819.02341727202</v>
      </c>
      <c r="L674" s="174">
        <f t="shared" si="317"/>
        <v>358819.02341727202</v>
      </c>
      <c r="M674" s="174">
        <f t="shared" si="323"/>
        <v>358819.02341727202</v>
      </c>
      <c r="N674" s="174">
        <f t="shared" si="324"/>
        <v>0</v>
      </c>
      <c r="O674" s="174">
        <f t="shared" si="325"/>
        <v>0</v>
      </c>
      <c r="P674" s="174">
        <f t="shared" si="326"/>
        <v>0</v>
      </c>
      <c r="Q674" s="171">
        <f t="shared" si="327"/>
        <v>4687765.9519535229</v>
      </c>
      <c r="R674" s="171">
        <f t="shared" si="328"/>
        <v>649797.55243664479</v>
      </c>
      <c r="S674" s="171">
        <f t="shared" si="329"/>
        <v>198917.6180928504</v>
      </c>
      <c r="T674" s="171">
        <f t="shared" si="330"/>
        <v>0</v>
      </c>
      <c r="U674" s="171">
        <f t="shared" si="318"/>
        <v>5536481.1224830188</v>
      </c>
      <c r="V674" s="171">
        <f t="shared" si="331"/>
        <v>0</v>
      </c>
      <c r="W674" s="171">
        <f>IF(OR(A674&gt;=$C$13,B674="Retired"),IF(V674&gt;0,-V674,U674-'Model Inputs'!$B$18),"")</f>
        <v>4536481.1224830188</v>
      </c>
      <c r="X674" s="171">
        <f t="shared" si="319"/>
        <v>1927833.5163159401</v>
      </c>
      <c r="Y674" s="171">
        <f t="shared" si="320"/>
        <v>579513.60687170736</v>
      </c>
      <c r="Z674" s="171">
        <f t="shared" si="321"/>
        <v>1348319.9094442327</v>
      </c>
      <c r="AA674" s="175">
        <f t="shared" si="322"/>
        <v>6884801.0319272513</v>
      </c>
      <c r="AB674" s="5"/>
      <c r="AC674" s="5"/>
      <c r="AD674" s="5"/>
      <c r="AE674" s="5"/>
      <c r="AF674" s="5"/>
      <c r="AG674" s="5"/>
    </row>
    <row r="675" spans="1:33" x14ac:dyDescent="0.2">
      <c r="A675" s="169">
        <v>23</v>
      </c>
      <c r="B675" s="100" t="str">
        <f t="shared" si="308"/>
        <v>Retired</v>
      </c>
      <c r="C675" s="170">
        <f t="shared" si="309"/>
        <v>0</v>
      </c>
      <c r="D675" s="170">
        <f t="shared" si="310"/>
        <v>0</v>
      </c>
      <c r="E675" s="170">
        <f t="shared" si="311"/>
        <v>0</v>
      </c>
      <c r="F675" s="170">
        <f t="shared" si="312"/>
        <v>0</v>
      </c>
      <c r="G675" s="171">
        <f t="shared" si="313"/>
        <v>0</v>
      </c>
      <c r="H675" s="171">
        <f t="shared" si="314"/>
        <v>100091.39353804055</v>
      </c>
      <c r="I675" s="171">
        <f>IF(B675="Working",MIN(MAX(D675-E675-F675-G675-H675,0),'Tax Assumptions'!$B$20),0)</f>
        <v>0</v>
      </c>
      <c r="J675" s="171">
        <f t="shared" si="315"/>
        <v>-360091.39353804057</v>
      </c>
      <c r="K675" s="170">
        <f t="shared" si="316"/>
        <v>360091.39353804057</v>
      </c>
      <c r="L675" s="170">
        <f t="shared" si="317"/>
        <v>360091.39353804057</v>
      </c>
      <c r="M675" s="170">
        <f t="shared" si="323"/>
        <v>360091.39353804057</v>
      </c>
      <c r="N675" s="170">
        <f t="shared" si="324"/>
        <v>0</v>
      </c>
      <c r="O675" s="170">
        <f t="shared" si="325"/>
        <v>0</v>
      </c>
      <c r="P675" s="170">
        <f t="shared" si="326"/>
        <v>0</v>
      </c>
      <c r="Q675" s="171">
        <f t="shared" si="327"/>
        <v>4608940.5155326948</v>
      </c>
      <c r="R675" s="171">
        <f t="shared" si="328"/>
        <v>688785.40558284346</v>
      </c>
      <c r="S675" s="171">
        <f t="shared" si="329"/>
        <v>210852.67517842143</v>
      </c>
      <c r="T675" s="171">
        <f t="shared" si="330"/>
        <v>0</v>
      </c>
      <c r="U675" s="171">
        <f t="shared" si="318"/>
        <v>5508578.5962939598</v>
      </c>
      <c r="V675" s="171">
        <f t="shared" si="331"/>
        <v>0</v>
      </c>
      <c r="W675" s="171">
        <f>IF(OR(A675&gt;=$C$13,B675="Retired"),IF(V675&gt;0,-V675,U675-'Model Inputs'!$B$18),"")</f>
        <v>4508578.5962939598</v>
      </c>
      <c r="X675" s="171">
        <f t="shared" si="319"/>
        <v>1985668.5218054182</v>
      </c>
      <c r="Y675" s="171">
        <f t="shared" si="320"/>
        <v>560206.85668224399</v>
      </c>
      <c r="Z675" s="171">
        <f t="shared" si="321"/>
        <v>1425461.6651231742</v>
      </c>
      <c r="AA675" s="172">
        <f t="shared" si="322"/>
        <v>6934040.2614171337</v>
      </c>
      <c r="AB675" s="5"/>
      <c r="AC675" s="5"/>
      <c r="AD675" s="5"/>
      <c r="AE675" s="5"/>
      <c r="AF675" s="5"/>
      <c r="AG675" s="5"/>
    </row>
    <row r="676" spans="1:33" x14ac:dyDescent="0.2">
      <c r="A676" s="173">
        <v>24</v>
      </c>
      <c r="B676" s="65" t="str">
        <f t="shared" si="308"/>
        <v>Retired</v>
      </c>
      <c r="C676" s="174">
        <f t="shared" si="309"/>
        <v>0</v>
      </c>
      <c r="D676" s="174">
        <f t="shared" si="310"/>
        <v>0</v>
      </c>
      <c r="E676" s="174">
        <f t="shared" si="311"/>
        <v>0</v>
      </c>
      <c r="F676" s="174">
        <f t="shared" si="312"/>
        <v>0</v>
      </c>
      <c r="G676" s="171">
        <f t="shared" si="313"/>
        <v>0</v>
      </c>
      <c r="H676" s="171">
        <f t="shared" si="314"/>
        <v>101401.93476243214</v>
      </c>
      <c r="I676" s="171">
        <f>IF(B676="Working",MIN(MAX(D676-E676-F676-G676-H676,0),'Tax Assumptions'!$B$20),0)</f>
        <v>0</v>
      </c>
      <c r="J676" s="171">
        <f t="shared" si="315"/>
        <v>-361401.93476243212</v>
      </c>
      <c r="K676" s="174">
        <f t="shared" si="316"/>
        <v>361401.93476243212</v>
      </c>
      <c r="L676" s="174">
        <f t="shared" si="317"/>
        <v>361401.93476243212</v>
      </c>
      <c r="M676" s="174">
        <f t="shared" si="323"/>
        <v>361401.93476243212</v>
      </c>
      <c r="N676" s="174">
        <f t="shared" si="324"/>
        <v>0</v>
      </c>
      <c r="O676" s="174">
        <f t="shared" si="325"/>
        <v>0</v>
      </c>
      <c r="P676" s="174">
        <f t="shared" si="326"/>
        <v>0</v>
      </c>
      <c r="Q676" s="171">
        <f t="shared" si="327"/>
        <v>4524075.0117022246</v>
      </c>
      <c r="R676" s="171">
        <f t="shared" si="328"/>
        <v>730112.52991781407</v>
      </c>
      <c r="S676" s="171">
        <f t="shared" si="329"/>
        <v>223503.83568912672</v>
      </c>
      <c r="T676" s="171">
        <f t="shared" si="330"/>
        <v>0</v>
      </c>
      <c r="U676" s="171">
        <f t="shared" si="318"/>
        <v>5477691.377309165</v>
      </c>
      <c r="V676" s="171">
        <f t="shared" si="331"/>
        <v>0</v>
      </c>
      <c r="W676" s="171">
        <f>IF(OR(A676&gt;=$C$13,B676="Retired"),IF(V676&gt;0,-V676,U676-'Model Inputs'!$B$18),"")</f>
        <v>4477691.377309165</v>
      </c>
      <c r="X676" s="171">
        <f t="shared" si="319"/>
        <v>2045238.577459581</v>
      </c>
      <c r="Y676" s="171">
        <f t="shared" si="320"/>
        <v>539607.09767644154</v>
      </c>
      <c r="Z676" s="171">
        <f t="shared" si="321"/>
        <v>1505631.4797831394</v>
      </c>
      <c r="AA676" s="175">
        <f t="shared" si="322"/>
        <v>6983322.8570923042</v>
      </c>
      <c r="AB676" s="5"/>
      <c r="AC676" s="5"/>
      <c r="AD676" s="5"/>
      <c r="AE676" s="5"/>
      <c r="AF676" s="5"/>
      <c r="AG676" s="5"/>
    </row>
    <row r="677" spans="1:33" x14ac:dyDescent="0.2">
      <c r="A677" s="169">
        <v>25</v>
      </c>
      <c r="B677" s="100" t="str">
        <f t="shared" si="308"/>
        <v>Retired</v>
      </c>
      <c r="C677" s="170">
        <f t="shared" si="309"/>
        <v>0</v>
      </c>
      <c r="D677" s="170">
        <f t="shared" si="310"/>
        <v>0</v>
      </c>
      <c r="E677" s="170">
        <f t="shared" si="311"/>
        <v>0</v>
      </c>
      <c r="F677" s="170">
        <f t="shared" si="312"/>
        <v>0</v>
      </c>
      <c r="G677" s="171">
        <f t="shared" si="313"/>
        <v>0</v>
      </c>
      <c r="H677" s="171">
        <f t="shared" si="314"/>
        <v>102751.79222355547</v>
      </c>
      <c r="I677" s="171">
        <f>IF(B677="Working",MIN(MAX(D677-E677-F677-G677-H677,0),'Tax Assumptions'!$B$20),0)</f>
        <v>0</v>
      </c>
      <c r="J677" s="171">
        <f t="shared" si="315"/>
        <v>-362751.7922235555</v>
      </c>
      <c r="K677" s="170">
        <f t="shared" si="316"/>
        <v>362751.7922235555</v>
      </c>
      <c r="L677" s="170">
        <f t="shared" si="317"/>
        <v>362751.7922235555</v>
      </c>
      <c r="M677" s="170">
        <f t="shared" si="323"/>
        <v>362751.7922235555</v>
      </c>
      <c r="N677" s="170">
        <f t="shared" si="324"/>
        <v>0</v>
      </c>
      <c r="O677" s="170">
        <f t="shared" si="325"/>
        <v>0</v>
      </c>
      <c r="P677" s="170">
        <f t="shared" si="326"/>
        <v>0</v>
      </c>
      <c r="Q677" s="171">
        <f t="shared" si="327"/>
        <v>4432767.720180802</v>
      </c>
      <c r="R677" s="171">
        <f t="shared" si="328"/>
        <v>773919.28171288292</v>
      </c>
      <c r="S677" s="171">
        <f t="shared" si="329"/>
        <v>236914.06583047434</v>
      </c>
      <c r="T677" s="171">
        <f t="shared" si="330"/>
        <v>0</v>
      </c>
      <c r="U677" s="171">
        <f t="shared" si="318"/>
        <v>5443601.0677241599</v>
      </c>
      <c r="V677" s="171">
        <f t="shared" si="331"/>
        <v>0</v>
      </c>
      <c r="W677" s="171">
        <f>IF(OR(A677&gt;=$C$13,B677="Retired"),IF(V677&gt;0,-V677,U677-'Model Inputs'!$B$18),"")</f>
        <v>4443601.0677241599</v>
      </c>
      <c r="X677" s="171">
        <f t="shared" si="319"/>
        <v>2106595.7347833687</v>
      </c>
      <c r="Y677" s="171">
        <f t="shared" si="320"/>
        <v>517627.7346592145</v>
      </c>
      <c r="Z677" s="171">
        <f t="shared" si="321"/>
        <v>1588968.0001241541</v>
      </c>
      <c r="AA677" s="172">
        <f t="shared" si="322"/>
        <v>7032569.0678483136</v>
      </c>
      <c r="AB677" s="5"/>
      <c r="AC677" s="5"/>
      <c r="AD677" s="5"/>
      <c r="AE677" s="5"/>
      <c r="AF677" s="5"/>
      <c r="AG677" s="5"/>
    </row>
    <row r="678" spans="1:33" x14ac:dyDescent="0.2">
      <c r="A678" s="173">
        <v>26</v>
      </c>
      <c r="B678" s="65" t="str">
        <f t="shared" si="308"/>
        <v>Retired</v>
      </c>
      <c r="C678" s="174">
        <f t="shared" si="309"/>
        <v>0</v>
      </c>
      <c r="D678" s="174">
        <f t="shared" si="310"/>
        <v>0</v>
      </c>
      <c r="E678" s="174">
        <f t="shared" si="311"/>
        <v>0</v>
      </c>
      <c r="F678" s="174">
        <f t="shared" si="312"/>
        <v>0</v>
      </c>
      <c r="G678" s="171">
        <f t="shared" si="313"/>
        <v>0</v>
      </c>
      <c r="H678" s="171">
        <f t="shared" si="314"/>
        <v>104142.14540851247</v>
      </c>
      <c r="I678" s="171">
        <f>IF(B678="Working",MIN(MAX(D678-E678-F678-G678-H678,0),'Tax Assumptions'!$B$20),0)</f>
        <v>0</v>
      </c>
      <c r="J678" s="171">
        <f t="shared" si="315"/>
        <v>-364142.14540851244</v>
      </c>
      <c r="K678" s="174">
        <f t="shared" si="316"/>
        <v>364142.14540851244</v>
      </c>
      <c r="L678" s="174">
        <f t="shared" si="317"/>
        <v>364142.14540851244</v>
      </c>
      <c r="M678" s="174">
        <f t="shared" si="323"/>
        <v>364142.14540851244</v>
      </c>
      <c r="N678" s="174">
        <f t="shared" si="324"/>
        <v>0</v>
      </c>
      <c r="O678" s="174">
        <f t="shared" si="325"/>
        <v>0</v>
      </c>
      <c r="P678" s="174">
        <f t="shared" si="326"/>
        <v>0</v>
      </c>
      <c r="Q678" s="171">
        <f t="shared" si="327"/>
        <v>4334591.6379831387</v>
      </c>
      <c r="R678" s="171">
        <f t="shared" si="328"/>
        <v>820354.43861565599</v>
      </c>
      <c r="S678" s="171">
        <f t="shared" si="329"/>
        <v>251128.90978030281</v>
      </c>
      <c r="T678" s="171">
        <f t="shared" si="330"/>
        <v>0</v>
      </c>
      <c r="U678" s="171">
        <f t="shared" si="318"/>
        <v>5406074.9863790981</v>
      </c>
      <c r="V678" s="171">
        <f t="shared" si="331"/>
        <v>0</v>
      </c>
      <c r="W678" s="171">
        <f>IF(OR(A678&gt;=$C$13,B678="Retired"),IF(V678&gt;0,-V678,U678-'Model Inputs'!$B$18),"")</f>
        <v>4406074.9863790981</v>
      </c>
      <c r="X678" s="171">
        <f t="shared" si="319"/>
        <v>2169793.6068268693</v>
      </c>
      <c r="Y678" s="171">
        <f t="shared" si="320"/>
        <v>494176.37299488741</v>
      </c>
      <c r="Z678" s="171">
        <f t="shared" si="321"/>
        <v>1675617.2338319819</v>
      </c>
      <c r="AA678" s="175">
        <f t="shared" si="322"/>
        <v>7081692.2202110803</v>
      </c>
      <c r="AB678" s="5"/>
      <c r="AC678" s="5"/>
      <c r="AD678" s="5"/>
      <c r="AE678" s="5"/>
      <c r="AF678" s="5"/>
      <c r="AG678" s="5"/>
    </row>
    <row r="679" spans="1:33" x14ac:dyDescent="0.2">
      <c r="A679" s="169">
        <v>27</v>
      </c>
      <c r="B679" s="100" t="str">
        <f t="shared" si="308"/>
        <v>Retired</v>
      </c>
      <c r="C679" s="170">
        <f t="shared" si="309"/>
        <v>0</v>
      </c>
      <c r="D679" s="170">
        <f t="shared" si="310"/>
        <v>0</v>
      </c>
      <c r="E679" s="170">
        <f t="shared" si="311"/>
        <v>0</v>
      </c>
      <c r="F679" s="170">
        <f t="shared" si="312"/>
        <v>0</v>
      </c>
      <c r="G679" s="171">
        <f t="shared" si="313"/>
        <v>0</v>
      </c>
      <c r="H679" s="171">
        <f t="shared" si="314"/>
        <v>105574.20918901821</v>
      </c>
      <c r="I679" s="171">
        <f>IF(B679="Working",MIN(MAX(D679-E679-F679-G679-H679,0),'Tax Assumptions'!$B$20),0)</f>
        <v>0</v>
      </c>
      <c r="J679" s="171">
        <f t="shared" si="315"/>
        <v>-365574.20918901823</v>
      </c>
      <c r="K679" s="170">
        <f t="shared" si="316"/>
        <v>365574.20918901823</v>
      </c>
      <c r="L679" s="170">
        <f t="shared" si="317"/>
        <v>365574.20918901823</v>
      </c>
      <c r="M679" s="170">
        <f t="shared" si="323"/>
        <v>365574.20918901823</v>
      </c>
      <c r="N679" s="170">
        <f t="shared" si="324"/>
        <v>0</v>
      </c>
      <c r="O679" s="170">
        <f t="shared" si="325"/>
        <v>0</v>
      </c>
      <c r="P679" s="170">
        <f t="shared" si="326"/>
        <v>0</v>
      </c>
      <c r="Q679" s="171">
        <f t="shared" si="327"/>
        <v>4229092.927073109</v>
      </c>
      <c r="R679" s="171">
        <f t="shared" si="328"/>
        <v>869575.70493259537</v>
      </c>
      <c r="S679" s="171">
        <f t="shared" si="329"/>
        <v>266196.64436712099</v>
      </c>
      <c r="T679" s="171">
        <f t="shared" si="330"/>
        <v>0</v>
      </c>
      <c r="U679" s="171">
        <f t="shared" si="318"/>
        <v>5364865.2763728257</v>
      </c>
      <c r="V679" s="171">
        <f t="shared" si="331"/>
        <v>0</v>
      </c>
      <c r="W679" s="171">
        <f>IF(OR(A679&gt;=$C$13,B679="Retired"),IF(V679&gt;0,-V679,U679-'Model Inputs'!$B$18),"")</f>
        <v>4364865.2763728257</v>
      </c>
      <c r="X679" s="171">
        <f t="shared" si="319"/>
        <v>2234887.4150316752</v>
      </c>
      <c r="Y679" s="171">
        <f t="shared" si="320"/>
        <v>469154.4302079191</v>
      </c>
      <c r="Z679" s="171">
        <f t="shared" si="321"/>
        <v>1765732.9848237562</v>
      </c>
      <c r="AA679" s="172">
        <f t="shared" si="322"/>
        <v>7130598.2611965816</v>
      </c>
      <c r="AB679" s="5"/>
      <c r="AC679" s="5"/>
      <c r="AD679" s="5"/>
      <c r="AE679" s="5"/>
      <c r="AF679" s="5"/>
      <c r="AG679" s="5"/>
    </row>
    <row r="680" spans="1:33" x14ac:dyDescent="0.2">
      <c r="A680" s="173">
        <v>28</v>
      </c>
      <c r="B680" s="65" t="str">
        <f t="shared" si="308"/>
        <v>Retired</v>
      </c>
      <c r="C680" s="174">
        <f t="shared" si="309"/>
        <v>0</v>
      </c>
      <c r="D680" s="174">
        <f t="shared" si="310"/>
        <v>0</v>
      </c>
      <c r="E680" s="174">
        <f t="shared" si="311"/>
        <v>0</v>
      </c>
      <c r="F680" s="174">
        <f t="shared" si="312"/>
        <v>0</v>
      </c>
      <c r="G680" s="171">
        <f t="shared" si="313"/>
        <v>0</v>
      </c>
      <c r="H680" s="171">
        <f t="shared" si="314"/>
        <v>107049.23488293911</v>
      </c>
      <c r="I680" s="171">
        <f>IF(B680="Working",MIN(MAX(D680-E680-F680-G680-H680,0),'Tax Assumptions'!$B$20),0)</f>
        <v>0</v>
      </c>
      <c r="J680" s="171">
        <f t="shared" si="315"/>
        <v>-367049.23488293914</v>
      </c>
      <c r="K680" s="174">
        <f t="shared" si="316"/>
        <v>367049.23488293914</v>
      </c>
      <c r="L680" s="174">
        <f t="shared" si="317"/>
        <v>367049.23488293914</v>
      </c>
      <c r="M680" s="174">
        <f t="shared" si="323"/>
        <v>367049.23488293914</v>
      </c>
      <c r="N680" s="174">
        <f t="shared" si="324"/>
        <v>0</v>
      </c>
      <c r="O680" s="174">
        <f t="shared" si="325"/>
        <v>0</v>
      </c>
      <c r="P680" s="174">
        <f t="shared" si="326"/>
        <v>0</v>
      </c>
      <c r="Q680" s="171">
        <f t="shared" si="327"/>
        <v>4115789.2678145566</v>
      </c>
      <c r="R680" s="171">
        <f t="shared" si="328"/>
        <v>921750.24722855119</v>
      </c>
      <c r="S680" s="171">
        <f t="shared" si="329"/>
        <v>282168.44302914827</v>
      </c>
      <c r="T680" s="171">
        <f t="shared" si="330"/>
        <v>0</v>
      </c>
      <c r="U680" s="171">
        <f t="shared" si="318"/>
        <v>5319707.9580722563</v>
      </c>
      <c r="V680" s="171">
        <f t="shared" si="331"/>
        <v>0</v>
      </c>
      <c r="W680" s="171">
        <f>IF(OR(A680&gt;=$C$13,B680="Retired"),IF(V680&gt;0,-V680,U680-'Model Inputs'!$B$18),"")</f>
        <v>4319707.9580722563</v>
      </c>
      <c r="X680" s="171">
        <f t="shared" si="319"/>
        <v>2301934.0374826253</v>
      </c>
      <c r="Y680" s="171">
        <f t="shared" si="320"/>
        <v>442456.72157180589</v>
      </c>
      <c r="Z680" s="171">
        <f t="shared" si="321"/>
        <v>1859477.3159108195</v>
      </c>
      <c r="AA680" s="175">
        <f t="shared" si="322"/>
        <v>7179185.2739830762</v>
      </c>
      <c r="AB680" s="5"/>
      <c r="AC680" s="5"/>
      <c r="AD680" s="5"/>
      <c r="AE680" s="5"/>
      <c r="AF680" s="5"/>
      <c r="AG680" s="5"/>
    </row>
    <row r="681" spans="1:33" x14ac:dyDescent="0.2">
      <c r="A681" s="169">
        <v>29</v>
      </c>
      <c r="B681" s="100" t="str">
        <f t="shared" si="308"/>
        <v>Retired</v>
      </c>
      <c r="C681" s="170">
        <f t="shared" si="309"/>
        <v>0</v>
      </c>
      <c r="D681" s="170">
        <f t="shared" si="310"/>
        <v>0</v>
      </c>
      <c r="E681" s="170">
        <f t="shared" si="311"/>
        <v>0</v>
      </c>
      <c r="F681" s="170">
        <f t="shared" si="312"/>
        <v>0</v>
      </c>
      <c r="G681" s="171">
        <f t="shared" si="313"/>
        <v>0</v>
      </c>
      <c r="H681" s="171">
        <f t="shared" si="314"/>
        <v>108568.51134767765</v>
      </c>
      <c r="I681" s="171">
        <f>IF(B681="Working",MIN(MAX(D681-E681-F681-G681-H681,0),'Tax Assumptions'!$B$20),0)</f>
        <v>0</v>
      </c>
      <c r="J681" s="171">
        <f t="shared" si="315"/>
        <v>-368568.51134767768</v>
      </c>
      <c r="K681" s="170">
        <f t="shared" si="316"/>
        <v>368568.51134767768</v>
      </c>
      <c r="L681" s="170">
        <f t="shared" si="317"/>
        <v>368568.51134767768</v>
      </c>
      <c r="M681" s="170">
        <f t="shared" si="323"/>
        <v>368568.51134767768</v>
      </c>
      <c r="N681" s="170">
        <f t="shared" si="324"/>
        <v>0</v>
      </c>
      <c r="O681" s="170">
        <f t="shared" si="325"/>
        <v>0</v>
      </c>
      <c r="P681" s="170">
        <f t="shared" si="326"/>
        <v>0</v>
      </c>
      <c r="Q681" s="171">
        <f t="shared" si="327"/>
        <v>3994168.1125357524</v>
      </c>
      <c r="R681" s="171">
        <f t="shared" si="328"/>
        <v>977055.26206226426</v>
      </c>
      <c r="S681" s="171">
        <f t="shared" si="329"/>
        <v>299098.5496108972</v>
      </c>
      <c r="T681" s="171">
        <f t="shared" si="330"/>
        <v>0</v>
      </c>
      <c r="U681" s="171">
        <f t="shared" si="318"/>
        <v>5270321.9242089139</v>
      </c>
      <c r="V681" s="171">
        <f t="shared" si="331"/>
        <v>0</v>
      </c>
      <c r="W681" s="171">
        <f>IF(OR(A681&gt;=$C$13,B681="Retired"),IF(V681&gt;0,-V681,U681-'Model Inputs'!$B$18),"")</f>
        <v>4270321.9242089139</v>
      </c>
      <c r="X681" s="171">
        <f t="shared" si="319"/>
        <v>2370992.0586071042</v>
      </c>
      <c r="Y681" s="171">
        <f t="shared" si="320"/>
        <v>413971.01794410776</v>
      </c>
      <c r="Z681" s="171">
        <f t="shared" si="321"/>
        <v>1957021.0406629965</v>
      </c>
      <c r="AA681" s="172">
        <f t="shared" si="322"/>
        <v>7227342.9648719104</v>
      </c>
      <c r="AB681" s="5"/>
      <c r="AC681" s="5"/>
      <c r="AD681" s="5"/>
      <c r="AE681" s="5"/>
      <c r="AF681" s="5"/>
      <c r="AG681" s="5"/>
    </row>
    <row r="682" spans="1:33" x14ac:dyDescent="0.2">
      <c r="A682" s="173">
        <v>30</v>
      </c>
      <c r="B682" s="65" t="str">
        <f t="shared" si="308"/>
        <v>Retired</v>
      </c>
      <c r="C682" s="174">
        <f t="shared" si="309"/>
        <v>0</v>
      </c>
      <c r="D682" s="174">
        <f t="shared" si="310"/>
        <v>0</v>
      </c>
      <c r="E682" s="174">
        <f t="shared" si="311"/>
        <v>0</v>
      </c>
      <c r="F682" s="174">
        <f t="shared" si="312"/>
        <v>0</v>
      </c>
      <c r="G682" s="171">
        <f t="shared" si="313"/>
        <v>0</v>
      </c>
      <c r="H682" s="171">
        <f t="shared" si="314"/>
        <v>110133.36610635833</v>
      </c>
      <c r="I682" s="171">
        <f>IF(B682="Working",MIN(MAX(D682-E682-F682-G682-H682,0),'Tax Assumptions'!$B$20),0)</f>
        <v>0</v>
      </c>
      <c r="J682" s="171">
        <f t="shared" si="315"/>
        <v>-370133.36610635836</v>
      </c>
      <c r="K682" s="174">
        <f t="shared" si="316"/>
        <v>370133.36610635836</v>
      </c>
      <c r="L682" s="174">
        <f t="shared" si="317"/>
        <v>370133.36610635836</v>
      </c>
      <c r="M682" s="174">
        <f t="shared" si="323"/>
        <v>370133.36610635836</v>
      </c>
      <c r="N682" s="174">
        <f t="shared" si="324"/>
        <v>0</v>
      </c>
      <c r="O682" s="174">
        <f t="shared" si="325"/>
        <v>0</v>
      </c>
      <c r="P682" s="174">
        <f t="shared" si="326"/>
        <v>0</v>
      </c>
      <c r="Q682" s="171">
        <f t="shared" si="327"/>
        <v>3863684.8331815396</v>
      </c>
      <c r="R682" s="171">
        <f t="shared" si="328"/>
        <v>1035678.5777860002</v>
      </c>
      <c r="S682" s="171">
        <f t="shared" si="329"/>
        <v>317044.46258755104</v>
      </c>
      <c r="T682" s="171">
        <f t="shared" si="330"/>
        <v>0</v>
      </c>
      <c r="U682" s="171">
        <f t="shared" si="318"/>
        <v>5216407.8735550912</v>
      </c>
      <c r="V682" s="171">
        <f t="shared" si="331"/>
        <v>0</v>
      </c>
      <c r="W682" s="171">
        <f>IF(OR(A682&gt;=$C$13,B682="Retired"),IF(V682&gt;0,-V682,U682-'Model Inputs'!$B$18),"")</f>
        <v>4216407.8735550912</v>
      </c>
      <c r="X682" s="171">
        <f t="shared" si="319"/>
        <v>2442121.8203653172</v>
      </c>
      <c r="Y682" s="171">
        <f t="shared" si="320"/>
        <v>383577.57398886699</v>
      </c>
      <c r="Z682" s="171">
        <f t="shared" si="321"/>
        <v>2058544.2463764502</v>
      </c>
      <c r="AA682" s="175">
        <f t="shared" si="322"/>
        <v>7274952.1199315414</v>
      </c>
      <c r="AB682" s="5"/>
      <c r="AC682" s="5"/>
      <c r="AD682" s="5"/>
      <c r="AE682" s="5"/>
      <c r="AF682" s="5"/>
      <c r="AG682" s="5"/>
    </row>
    <row r="683" spans="1:33" x14ac:dyDescent="0.2">
      <c r="A683" s="169">
        <v>31</v>
      </c>
      <c r="B683" s="100" t="str">
        <f t="shared" si="308"/>
        <v>Retired</v>
      </c>
      <c r="C683" s="170">
        <f t="shared" si="309"/>
        <v>0</v>
      </c>
      <c r="D683" s="170">
        <f t="shared" si="310"/>
        <v>0</v>
      </c>
      <c r="E683" s="170">
        <f t="shared" si="311"/>
        <v>0</v>
      </c>
      <c r="F683" s="170">
        <f t="shared" si="312"/>
        <v>0</v>
      </c>
      <c r="G683" s="171">
        <f t="shared" si="313"/>
        <v>0</v>
      </c>
      <c r="H683" s="171">
        <f t="shared" si="314"/>
        <v>111745.16650779944</v>
      </c>
      <c r="I683" s="171">
        <f>IF(B683="Working",MIN(MAX(D683-E683-F683-G683-H683,0),'Tax Assumptions'!$B$20),0)</f>
        <v>0</v>
      </c>
      <c r="J683" s="171">
        <f t="shared" si="315"/>
        <v>-371745.16650779941</v>
      </c>
      <c r="K683" s="170">
        <f t="shared" si="316"/>
        <v>371745.16650779941</v>
      </c>
      <c r="L683" s="170">
        <f t="shared" si="317"/>
        <v>371745.16650779941</v>
      </c>
      <c r="M683" s="170">
        <f t="shared" si="323"/>
        <v>371745.16650779941</v>
      </c>
      <c r="N683" s="170">
        <f t="shared" si="324"/>
        <v>0</v>
      </c>
      <c r="O683" s="170">
        <f t="shared" si="325"/>
        <v>0</v>
      </c>
      <c r="P683" s="170">
        <f t="shared" si="326"/>
        <v>0</v>
      </c>
      <c r="Q683" s="171">
        <f t="shared" si="327"/>
        <v>3723760.7566646328</v>
      </c>
      <c r="R683" s="171">
        <f t="shared" si="328"/>
        <v>1097819.2924531603</v>
      </c>
      <c r="S683" s="171">
        <f t="shared" si="329"/>
        <v>336067.13034280413</v>
      </c>
      <c r="T683" s="171">
        <f t="shared" si="330"/>
        <v>0</v>
      </c>
      <c r="U683" s="171">
        <f t="shared" si="318"/>
        <v>5157647.1794605972</v>
      </c>
      <c r="V683" s="171">
        <f t="shared" si="331"/>
        <v>0</v>
      </c>
      <c r="W683" s="171">
        <f>IF(OR(A683&gt;=$C$13,B683="Retired"),IF(V683&gt;0,-V683,U683-'Model Inputs'!$B$18),"")</f>
        <v>4157647.1794605972</v>
      </c>
      <c r="X683" s="171">
        <f t="shared" si="319"/>
        <v>2515385.4749762765</v>
      </c>
      <c r="Y683" s="171">
        <f t="shared" si="320"/>
        <v>351148.62480320875</v>
      </c>
      <c r="Z683" s="171">
        <f t="shared" si="321"/>
        <v>2164236.8501730678</v>
      </c>
      <c r="AA683" s="172">
        <f t="shared" si="322"/>
        <v>7321884.0296336655</v>
      </c>
      <c r="AB683" s="5"/>
      <c r="AC683" s="5"/>
      <c r="AD683" s="5"/>
      <c r="AE683" s="5"/>
      <c r="AF683" s="5"/>
      <c r="AG683" s="5"/>
    </row>
    <row r="684" spans="1:33" x14ac:dyDescent="0.2">
      <c r="A684" s="173">
        <v>32</v>
      </c>
      <c r="B684" s="65" t="str">
        <f t="shared" si="308"/>
        <v>Retired</v>
      </c>
      <c r="C684" s="174">
        <f t="shared" si="309"/>
        <v>0</v>
      </c>
      <c r="D684" s="174">
        <f t="shared" si="310"/>
        <v>0</v>
      </c>
      <c r="E684" s="174">
        <f t="shared" si="311"/>
        <v>0</v>
      </c>
      <c r="F684" s="174">
        <f t="shared" si="312"/>
        <v>0</v>
      </c>
      <c r="G684" s="171">
        <f t="shared" si="313"/>
        <v>0</v>
      </c>
      <c r="H684" s="171">
        <f t="shared" si="314"/>
        <v>113405.3209212838</v>
      </c>
      <c r="I684" s="171">
        <f>IF(B684="Working",MIN(MAX(D684-E684-F684-G684-H684,0),'Tax Assumptions'!$B$20),0)</f>
        <v>0</v>
      </c>
      <c r="J684" s="171">
        <f t="shared" si="315"/>
        <v>-373405.3209212838</v>
      </c>
      <c r="K684" s="174">
        <f t="shared" si="316"/>
        <v>373405.3209212838</v>
      </c>
      <c r="L684" s="174">
        <f t="shared" si="317"/>
        <v>373405.3209212838</v>
      </c>
      <c r="M684" s="174">
        <f t="shared" si="323"/>
        <v>373405.3209212838</v>
      </c>
      <c r="N684" s="174">
        <f t="shared" si="324"/>
        <v>0</v>
      </c>
      <c r="O684" s="174">
        <f t="shared" si="325"/>
        <v>0</v>
      </c>
      <c r="P684" s="174">
        <f t="shared" si="326"/>
        <v>0</v>
      </c>
      <c r="Q684" s="171">
        <f t="shared" si="327"/>
        <v>3573781.0811432274</v>
      </c>
      <c r="R684" s="171">
        <f t="shared" si="328"/>
        <v>1163688.4500003499</v>
      </c>
      <c r="S684" s="171">
        <f t="shared" si="329"/>
        <v>356231.15816337237</v>
      </c>
      <c r="T684" s="171">
        <f t="shared" si="330"/>
        <v>0</v>
      </c>
      <c r="U684" s="171">
        <f t="shared" si="318"/>
        <v>5093700.6893069502</v>
      </c>
      <c r="V684" s="171">
        <f t="shared" si="331"/>
        <v>0</v>
      </c>
      <c r="W684" s="171">
        <f>IF(OR(A684&gt;=$C$13,B684="Retired"),IF(V684&gt;0,-V684,U684-'Model Inputs'!$B$18),"")</f>
        <v>4093700.6893069502</v>
      </c>
      <c r="X684" s="171">
        <f t="shared" si="319"/>
        <v>2590847.0392255653</v>
      </c>
      <c r="Y684" s="171">
        <f t="shared" si="320"/>
        <v>316547.84883208992</v>
      </c>
      <c r="Z684" s="171">
        <f t="shared" si="321"/>
        <v>2274299.1903934753</v>
      </c>
      <c r="AA684" s="175">
        <f t="shared" si="322"/>
        <v>7367999.879700426</v>
      </c>
      <c r="AB684" s="5"/>
      <c r="AC684" s="5"/>
      <c r="AD684" s="5"/>
      <c r="AE684" s="5"/>
      <c r="AF684" s="5"/>
      <c r="AG684" s="5"/>
    </row>
    <row r="685" spans="1:33" x14ac:dyDescent="0.2">
      <c r="A685" s="169">
        <v>33</v>
      </c>
      <c r="B685" s="100" t="str">
        <f t="shared" si="308"/>
        <v>Retired</v>
      </c>
      <c r="C685" s="170">
        <f t="shared" si="309"/>
        <v>0</v>
      </c>
      <c r="D685" s="170">
        <f t="shared" si="310"/>
        <v>0</v>
      </c>
      <c r="E685" s="170">
        <f t="shared" si="311"/>
        <v>0</v>
      </c>
      <c r="F685" s="170">
        <f t="shared" si="312"/>
        <v>0</v>
      </c>
      <c r="G685" s="171">
        <f t="shared" si="313"/>
        <v>0</v>
      </c>
      <c r="H685" s="171">
        <f t="shared" si="314"/>
        <v>115115.27996717265</v>
      </c>
      <c r="I685" s="171">
        <f>IF(B685="Working",MIN(MAX(D685-E685-F685-G685-H685,0),'Tax Assumptions'!$B$20),0)</f>
        <v>0</v>
      </c>
      <c r="J685" s="171">
        <f t="shared" si="315"/>
        <v>-375115.27996717265</v>
      </c>
      <c r="K685" s="170">
        <f t="shared" si="316"/>
        <v>375115.27996717265</v>
      </c>
      <c r="L685" s="170">
        <f t="shared" si="317"/>
        <v>375115.27996717265</v>
      </c>
      <c r="M685" s="170">
        <f t="shared" si="323"/>
        <v>375115.27996717265</v>
      </c>
      <c r="N685" s="170">
        <f t="shared" si="324"/>
        <v>0</v>
      </c>
      <c r="O685" s="170">
        <f t="shared" si="325"/>
        <v>0</v>
      </c>
      <c r="P685" s="170">
        <f t="shared" si="326"/>
        <v>0</v>
      </c>
      <c r="Q685" s="171">
        <f t="shared" si="327"/>
        <v>3413092.6660446487</v>
      </c>
      <c r="R685" s="171">
        <f t="shared" si="328"/>
        <v>1233509.7570003709</v>
      </c>
      <c r="S685" s="171">
        <f t="shared" si="329"/>
        <v>377605.02765317471</v>
      </c>
      <c r="T685" s="171">
        <f t="shared" si="330"/>
        <v>0</v>
      </c>
      <c r="U685" s="171">
        <f t="shared" si="318"/>
        <v>5024207.4506981941</v>
      </c>
      <c r="V685" s="171">
        <f t="shared" si="331"/>
        <v>0</v>
      </c>
      <c r="W685" s="171">
        <f>IF(OR(A685&gt;=$C$13,B685="Retired"),IF(V685&gt;0,-V685,U685-'Model Inputs'!$B$18),"")</f>
        <v>4024207.4506981941</v>
      </c>
      <c r="X685" s="171">
        <f t="shared" si="319"/>
        <v>2668572.450402332</v>
      </c>
      <c r="Y685" s="171">
        <f t="shared" si="320"/>
        <v>279629.79481346067</v>
      </c>
      <c r="Z685" s="171">
        <f t="shared" si="321"/>
        <v>2388942.6555888713</v>
      </c>
      <c r="AA685" s="172">
        <f t="shared" si="322"/>
        <v>7413150.1062870659</v>
      </c>
      <c r="AB685" s="5"/>
      <c r="AC685" s="5"/>
      <c r="AD685" s="5"/>
      <c r="AE685" s="5"/>
      <c r="AF685" s="5"/>
      <c r="AG685" s="5"/>
    </row>
    <row r="686" spans="1:33" x14ac:dyDescent="0.2">
      <c r="A686" s="173">
        <v>34</v>
      </c>
      <c r="B686" s="65" t="str">
        <f t="shared" si="308"/>
        <v>Retired</v>
      </c>
      <c r="C686" s="174">
        <f t="shared" si="309"/>
        <v>0</v>
      </c>
      <c r="D686" s="174">
        <f t="shared" si="310"/>
        <v>0</v>
      </c>
      <c r="E686" s="174">
        <f t="shared" si="311"/>
        <v>0</v>
      </c>
      <c r="F686" s="174">
        <f t="shared" si="312"/>
        <v>0</v>
      </c>
      <c r="G686" s="171">
        <f t="shared" si="313"/>
        <v>0</v>
      </c>
      <c r="H686" s="171">
        <f t="shared" si="314"/>
        <v>116876.5377844382</v>
      </c>
      <c r="I686" s="171">
        <f>IF(B686="Working",MIN(MAX(D686-E686-F686-G686-H686,0),'Tax Assumptions'!$B$20),0)</f>
        <v>0</v>
      </c>
      <c r="J686" s="171">
        <f t="shared" si="315"/>
        <v>-376876.53778443823</v>
      </c>
      <c r="K686" s="174">
        <f t="shared" si="316"/>
        <v>376876.53778443823</v>
      </c>
      <c r="L686" s="174">
        <f t="shared" si="317"/>
        <v>376876.53778443823</v>
      </c>
      <c r="M686" s="174">
        <f t="shared" si="323"/>
        <v>376876.53778443823</v>
      </c>
      <c r="N686" s="174">
        <f t="shared" si="324"/>
        <v>0</v>
      </c>
      <c r="O686" s="174">
        <f t="shared" si="325"/>
        <v>0</v>
      </c>
      <c r="P686" s="174">
        <f t="shared" si="326"/>
        <v>0</v>
      </c>
      <c r="Q686" s="171">
        <f t="shared" si="327"/>
        <v>3241001.6882228898</v>
      </c>
      <c r="R686" s="171">
        <f t="shared" si="328"/>
        <v>1307520.3424203931</v>
      </c>
      <c r="S686" s="171">
        <f t="shared" si="329"/>
        <v>400261.32931236521</v>
      </c>
      <c r="T686" s="171">
        <f t="shared" si="330"/>
        <v>0</v>
      </c>
      <c r="U686" s="171">
        <f t="shared" si="318"/>
        <v>4948783.359955648</v>
      </c>
      <c r="V686" s="171">
        <f t="shared" si="331"/>
        <v>0</v>
      </c>
      <c r="W686" s="171">
        <f>IF(OR(A686&gt;=$C$13,B686="Retired"),IF(V686&gt;0,-V686,U686-'Model Inputs'!$B$18),"")</f>
        <v>3948783.359955648</v>
      </c>
      <c r="X686" s="171">
        <f t="shared" si="319"/>
        <v>2748629.623914402</v>
      </c>
      <c r="Y686" s="171">
        <f t="shared" si="320"/>
        <v>240239.27034487389</v>
      </c>
      <c r="Z686" s="171">
        <f t="shared" si="321"/>
        <v>2508390.3535695281</v>
      </c>
      <c r="AA686" s="175">
        <f t="shared" si="322"/>
        <v>7457173.713525176</v>
      </c>
      <c r="AB686" s="5"/>
      <c r="AC686" s="5"/>
      <c r="AD686" s="5"/>
      <c r="AE686" s="5"/>
      <c r="AF686" s="5"/>
      <c r="AG686" s="5"/>
    </row>
    <row r="687" spans="1:33" x14ac:dyDescent="0.2">
      <c r="A687" s="169">
        <v>35</v>
      </c>
      <c r="B687" s="100" t="str">
        <f t="shared" si="308"/>
        <v>Retired</v>
      </c>
      <c r="C687" s="170">
        <f t="shared" si="309"/>
        <v>0</v>
      </c>
      <c r="D687" s="170">
        <f t="shared" si="310"/>
        <v>0</v>
      </c>
      <c r="E687" s="170">
        <f t="shared" si="311"/>
        <v>0</v>
      </c>
      <c r="F687" s="170">
        <f t="shared" si="312"/>
        <v>0</v>
      </c>
      <c r="G687" s="171">
        <f t="shared" si="313"/>
        <v>0</v>
      </c>
      <c r="H687" s="171">
        <f t="shared" si="314"/>
        <v>118690.63333622168</v>
      </c>
      <c r="I687" s="171">
        <f>IF(B687="Working",MIN(MAX(D687-E687-F687-G687-H687,0),'Tax Assumptions'!$B$20),0)</f>
        <v>0</v>
      </c>
      <c r="J687" s="171">
        <f t="shared" si="315"/>
        <v>-378690.63333622168</v>
      </c>
      <c r="K687" s="170">
        <f t="shared" si="316"/>
        <v>378690.63333622168</v>
      </c>
      <c r="L687" s="170">
        <f t="shared" si="317"/>
        <v>378690.63333622168</v>
      </c>
      <c r="M687" s="170">
        <f t="shared" si="323"/>
        <v>378690.63333622168</v>
      </c>
      <c r="N687" s="170">
        <f t="shared" si="324"/>
        <v>0</v>
      </c>
      <c r="O687" s="170">
        <f t="shared" si="325"/>
        <v>0</v>
      </c>
      <c r="P687" s="170">
        <f t="shared" si="326"/>
        <v>0</v>
      </c>
      <c r="Q687" s="171">
        <f t="shared" si="327"/>
        <v>3056771.1561800414</v>
      </c>
      <c r="R687" s="171">
        <f t="shared" si="328"/>
        <v>1385971.5629656168</v>
      </c>
      <c r="S687" s="171">
        <f t="shared" si="329"/>
        <v>424277.00907110714</v>
      </c>
      <c r="T687" s="171">
        <f t="shared" si="330"/>
        <v>0</v>
      </c>
      <c r="U687" s="171">
        <f t="shared" si="318"/>
        <v>4867019.7282167654</v>
      </c>
      <c r="V687" s="171">
        <f t="shared" si="331"/>
        <v>0</v>
      </c>
      <c r="W687" s="171">
        <f>IF(OR(A687&gt;=$C$13,B687="Retired"),IF(V687&gt;0,-V687,U687-'Model Inputs'!$B$18),"")</f>
        <v>3867019.7282167654</v>
      </c>
      <c r="X687" s="171">
        <f t="shared" si="319"/>
        <v>2831088.5126318336</v>
      </c>
      <c r="Y687" s="171">
        <f t="shared" si="320"/>
        <v>198210.68950127438</v>
      </c>
      <c r="Z687" s="171">
        <f t="shared" si="321"/>
        <v>2632877.8231305592</v>
      </c>
      <c r="AA687" s="172">
        <f t="shared" si="322"/>
        <v>7499897.5513473246</v>
      </c>
      <c r="AB687" s="5"/>
      <c r="AC687" s="5"/>
      <c r="AD687" s="5"/>
      <c r="AE687" s="5"/>
      <c r="AF687" s="5"/>
      <c r="AG687" s="5"/>
    </row>
    <row r="688" spans="1:33" x14ac:dyDescent="0.2">
      <c r="A688" s="173">
        <v>36</v>
      </c>
      <c r="B688" s="65" t="str">
        <f t="shared" si="308"/>
        <v>Retired</v>
      </c>
      <c r="C688" s="174">
        <f t="shared" si="309"/>
        <v>0</v>
      </c>
      <c r="D688" s="174">
        <f t="shared" si="310"/>
        <v>0</v>
      </c>
      <c r="E688" s="174">
        <f t="shared" si="311"/>
        <v>0</v>
      </c>
      <c r="F688" s="174">
        <f t="shared" si="312"/>
        <v>0</v>
      </c>
      <c r="G688" s="171">
        <f t="shared" si="313"/>
        <v>0</v>
      </c>
      <c r="H688" s="171">
        <f t="shared" si="314"/>
        <v>120559.15175455873</v>
      </c>
      <c r="I688" s="171">
        <f>IF(B688="Working",MIN(MAX(D688-E688-F688-G688-H688,0),'Tax Assumptions'!$B$20),0)</f>
        <v>0</v>
      </c>
      <c r="J688" s="171">
        <f t="shared" si="315"/>
        <v>-380559.15175455873</v>
      </c>
      <c r="K688" s="174">
        <f t="shared" si="316"/>
        <v>380559.15175455873</v>
      </c>
      <c r="L688" s="174">
        <f t="shared" si="317"/>
        <v>380559.15175455873</v>
      </c>
      <c r="M688" s="174">
        <f t="shared" si="323"/>
        <v>380559.15175455873</v>
      </c>
      <c r="N688" s="174">
        <f t="shared" si="324"/>
        <v>0</v>
      </c>
      <c r="O688" s="174">
        <f t="shared" si="325"/>
        <v>0</v>
      </c>
      <c r="P688" s="174">
        <f t="shared" si="326"/>
        <v>0</v>
      </c>
      <c r="Q688" s="171">
        <f t="shared" si="327"/>
        <v>2859618.2737962855</v>
      </c>
      <c r="R688" s="171">
        <f t="shared" si="328"/>
        <v>1469129.8567435539</v>
      </c>
      <c r="S688" s="171">
        <f t="shared" si="329"/>
        <v>449733.62961537362</v>
      </c>
      <c r="T688" s="171">
        <f t="shared" si="330"/>
        <v>0</v>
      </c>
      <c r="U688" s="171">
        <f t="shared" si="318"/>
        <v>4778481.7601552131</v>
      </c>
      <c r="V688" s="171">
        <f t="shared" si="331"/>
        <v>0</v>
      </c>
      <c r="W688" s="171">
        <f>IF(OR(A688&gt;=$C$13,B688="Retired"),IF(V688&gt;0,-V688,U688-'Model Inputs'!$B$18),"")</f>
        <v>3778481.7601552131</v>
      </c>
      <c r="X688" s="171">
        <f t="shared" si="319"/>
        <v>2916021.1680107894</v>
      </c>
      <c r="Y688" s="171">
        <f t="shared" si="320"/>
        <v>153367.3767615403</v>
      </c>
      <c r="Z688" s="171">
        <f t="shared" si="321"/>
        <v>2762653.7912492491</v>
      </c>
      <c r="AA688" s="175">
        <f t="shared" si="322"/>
        <v>7541135.5514044622</v>
      </c>
      <c r="AB688" s="5"/>
      <c r="AC688" s="5"/>
      <c r="AD688" s="5"/>
      <c r="AE688" s="5"/>
      <c r="AF688" s="5"/>
      <c r="AG688" s="5"/>
    </row>
    <row r="689" spans="1:33" x14ac:dyDescent="0.2">
      <c r="A689" s="169">
        <v>37</v>
      </c>
      <c r="B689" s="100" t="str">
        <f t="shared" si="308"/>
        <v>Retired</v>
      </c>
      <c r="C689" s="170">
        <f t="shared" si="309"/>
        <v>0</v>
      </c>
      <c r="D689" s="170">
        <f t="shared" si="310"/>
        <v>0</v>
      </c>
      <c r="E689" s="170">
        <f t="shared" si="311"/>
        <v>0</v>
      </c>
      <c r="F689" s="170">
        <f t="shared" si="312"/>
        <v>0</v>
      </c>
      <c r="G689" s="171">
        <f t="shared" si="313"/>
        <v>0</v>
      </c>
      <c r="H689" s="171">
        <f t="shared" si="314"/>
        <v>122483.72572544584</v>
      </c>
      <c r="I689" s="171">
        <f>IF(B689="Working",MIN(MAX(D689-E689-F689-G689-H689,0),'Tax Assumptions'!$B$20),0)</f>
        <v>0</v>
      </c>
      <c r="J689" s="171">
        <f t="shared" si="315"/>
        <v>-382483.72572544584</v>
      </c>
      <c r="K689" s="170">
        <f t="shared" si="316"/>
        <v>382483.72572544584</v>
      </c>
      <c r="L689" s="170">
        <f t="shared" si="317"/>
        <v>382483.72572544584</v>
      </c>
      <c r="M689" s="170">
        <f t="shared" si="323"/>
        <v>382483.72572544584</v>
      </c>
      <c r="N689" s="170">
        <f t="shared" si="324"/>
        <v>0</v>
      </c>
      <c r="O689" s="170">
        <f t="shared" si="325"/>
        <v>0</v>
      </c>
      <c r="P689" s="170">
        <f t="shared" si="326"/>
        <v>0</v>
      </c>
      <c r="Q689" s="171">
        <f t="shared" si="327"/>
        <v>2648711.6444986169</v>
      </c>
      <c r="R689" s="171">
        <f t="shared" si="328"/>
        <v>1557277.6481481672</v>
      </c>
      <c r="S689" s="171">
        <f t="shared" si="329"/>
        <v>476717.64739229606</v>
      </c>
      <c r="T689" s="171">
        <f t="shared" si="330"/>
        <v>0</v>
      </c>
      <c r="U689" s="171">
        <f t="shared" si="318"/>
        <v>4682706.9400390806</v>
      </c>
      <c r="V689" s="171">
        <f t="shared" si="331"/>
        <v>0</v>
      </c>
      <c r="W689" s="171">
        <f>IF(OR(A689&gt;=$C$13,B689="Retired"),IF(V689&gt;0,-V689,U689-'Model Inputs'!$B$18),"")</f>
        <v>3682706.9400390806</v>
      </c>
      <c r="X689" s="171">
        <f t="shared" si="319"/>
        <v>3003501.8030511127</v>
      </c>
      <c r="Y689" s="171">
        <f t="shared" si="320"/>
        <v>105520.8243176965</v>
      </c>
      <c r="Z689" s="171">
        <f t="shared" si="321"/>
        <v>2897980.9787334162</v>
      </c>
      <c r="AA689" s="172">
        <f t="shared" si="322"/>
        <v>7580687.9187724963</v>
      </c>
      <c r="AB689" s="5"/>
      <c r="AC689" s="5"/>
      <c r="AD689" s="5"/>
      <c r="AE689" s="5"/>
      <c r="AF689" s="5"/>
      <c r="AG689" s="5"/>
    </row>
    <row r="690" spans="1:33" x14ac:dyDescent="0.2">
      <c r="A690" s="173">
        <v>38</v>
      </c>
      <c r="B690" s="65" t="str">
        <f t="shared" si="308"/>
        <v>Retired</v>
      </c>
      <c r="C690" s="174">
        <f t="shared" si="309"/>
        <v>0</v>
      </c>
      <c r="D690" s="174">
        <f t="shared" si="310"/>
        <v>0</v>
      </c>
      <c r="E690" s="174">
        <f t="shared" si="311"/>
        <v>0</v>
      </c>
      <c r="F690" s="174">
        <f t="shared" si="312"/>
        <v>0</v>
      </c>
      <c r="G690" s="171">
        <f t="shared" si="313"/>
        <v>0</v>
      </c>
      <c r="H690" s="171">
        <f t="shared" si="314"/>
        <v>124466.03691545957</v>
      </c>
      <c r="I690" s="171">
        <f>IF(B690="Working",MIN(MAX(D690-E690-F690-G690-H690,0),'Tax Assumptions'!$B$20),0)</f>
        <v>0</v>
      </c>
      <c r="J690" s="171">
        <f t="shared" si="315"/>
        <v>-384466.03691545955</v>
      </c>
      <c r="K690" s="174">
        <f t="shared" si="316"/>
        <v>384466.03691545955</v>
      </c>
      <c r="L690" s="174">
        <f t="shared" si="317"/>
        <v>384466.03691545955</v>
      </c>
      <c r="M690" s="174">
        <f t="shared" si="323"/>
        <v>384466.03691545955</v>
      </c>
      <c r="N690" s="174">
        <f t="shared" si="324"/>
        <v>0</v>
      </c>
      <c r="O690" s="174">
        <f t="shared" si="325"/>
        <v>0</v>
      </c>
      <c r="P690" s="174">
        <f t="shared" si="326"/>
        <v>0</v>
      </c>
      <c r="Q690" s="171">
        <f t="shared" si="327"/>
        <v>2423168.3062530742</v>
      </c>
      <c r="R690" s="171">
        <f t="shared" si="328"/>
        <v>1650714.3070370574</v>
      </c>
      <c r="S690" s="171">
        <f t="shared" si="329"/>
        <v>505320.70623583387</v>
      </c>
      <c r="T690" s="171">
        <f t="shared" si="330"/>
        <v>0</v>
      </c>
      <c r="U690" s="171">
        <f t="shared" si="318"/>
        <v>4579203.3195259655</v>
      </c>
      <c r="V690" s="171">
        <f t="shared" si="331"/>
        <v>0</v>
      </c>
      <c r="W690" s="171">
        <f>IF(OR(A690&gt;=$C$13,B690="Retired"),IF(V690&gt;0,-V690,U690-'Model Inputs'!$B$18),"")</f>
        <v>3579203.3195259655</v>
      </c>
      <c r="X690" s="171">
        <f t="shared" si="319"/>
        <v>3093606.8571426459</v>
      </c>
      <c r="Y690" s="171">
        <f t="shared" si="320"/>
        <v>54469.899644752033</v>
      </c>
      <c r="Z690" s="171">
        <f t="shared" si="321"/>
        <v>3039136.9574978938</v>
      </c>
      <c r="AA690" s="175">
        <f t="shared" si="322"/>
        <v>7618340.2770238593</v>
      </c>
      <c r="AB690" s="5"/>
      <c r="AC690" s="5"/>
      <c r="AD690" s="5"/>
      <c r="AE690" s="5"/>
      <c r="AF690" s="5"/>
      <c r="AG690" s="5"/>
    </row>
    <row r="691" spans="1:33" x14ac:dyDescent="0.2">
      <c r="A691" s="169">
        <v>39</v>
      </c>
      <c r="B691" s="100" t="str">
        <f t="shared" si="308"/>
        <v>Retired</v>
      </c>
      <c r="C691" s="170">
        <f t="shared" si="309"/>
        <v>0</v>
      </c>
      <c r="D691" s="170">
        <f t="shared" si="310"/>
        <v>0</v>
      </c>
      <c r="E691" s="170">
        <f t="shared" si="311"/>
        <v>0</v>
      </c>
      <c r="F691" s="170">
        <f t="shared" si="312"/>
        <v>0</v>
      </c>
      <c r="G691" s="171">
        <f t="shared" si="313"/>
        <v>0</v>
      </c>
      <c r="H691" s="171">
        <f t="shared" si="314"/>
        <v>126507.81744117371</v>
      </c>
      <c r="I691" s="171">
        <f>IF(B691="Working",MIN(MAX(D691-E691-F691-G691-H691,0),'Tax Assumptions'!$B$20),0)</f>
        <v>0</v>
      </c>
      <c r="J691" s="171">
        <f t="shared" si="315"/>
        <v>-386507.81744117371</v>
      </c>
      <c r="K691" s="170">
        <f t="shared" si="316"/>
        <v>386507.81744117371</v>
      </c>
      <c r="L691" s="170">
        <f t="shared" si="317"/>
        <v>386507.81744117371</v>
      </c>
      <c r="M691" s="170">
        <f t="shared" si="323"/>
        <v>386507.81744117371</v>
      </c>
      <c r="N691" s="170">
        <f t="shared" si="324"/>
        <v>0</v>
      </c>
      <c r="O691" s="170">
        <f t="shared" si="325"/>
        <v>0</v>
      </c>
      <c r="P691" s="170">
        <f t="shared" si="326"/>
        <v>0</v>
      </c>
      <c r="Q691" s="171">
        <f t="shared" si="327"/>
        <v>2182050.5871870848</v>
      </c>
      <c r="R691" s="171">
        <f t="shared" si="328"/>
        <v>1749757.1654592808</v>
      </c>
      <c r="S691" s="171">
        <f t="shared" si="329"/>
        <v>535639.9486099839</v>
      </c>
      <c r="T691" s="171">
        <f t="shared" si="330"/>
        <v>0</v>
      </c>
      <c r="U691" s="171">
        <f t="shared" si="318"/>
        <v>4467447.7012563497</v>
      </c>
      <c r="V691" s="171">
        <f t="shared" si="331"/>
        <v>0</v>
      </c>
      <c r="W691" s="171">
        <f>IF(OR(A691&gt;=$C$13,B691="Retired"),IF(V691&gt;0,-V691,U691-'Model Inputs'!$B$18),"")</f>
        <v>3467447.7012563497</v>
      </c>
      <c r="X691" s="171">
        <f t="shared" si="319"/>
        <v>3186415.0628569252</v>
      </c>
      <c r="Y691" s="171">
        <f t="shared" si="320"/>
        <v>0</v>
      </c>
      <c r="Z691" s="171">
        <f t="shared" si="321"/>
        <v>3186415.0628569252</v>
      </c>
      <c r="AA691" s="172">
        <f t="shared" si="322"/>
        <v>7653862.7641132753</v>
      </c>
      <c r="AB691" s="5"/>
      <c r="AC691" s="5"/>
      <c r="AD691" s="5"/>
      <c r="AE691" s="5"/>
      <c r="AF691" s="5"/>
      <c r="AG691" s="5"/>
    </row>
    <row r="692" spans="1:33" x14ac:dyDescent="0.2">
      <c r="A692" s="173">
        <v>40</v>
      </c>
      <c r="B692" s="65" t="str">
        <f t="shared" si="308"/>
        <v>Retired</v>
      </c>
      <c r="C692" s="174">
        <f t="shared" si="309"/>
        <v>0</v>
      </c>
      <c r="D692" s="174">
        <f t="shared" si="310"/>
        <v>0</v>
      </c>
      <c r="E692" s="174">
        <f t="shared" si="311"/>
        <v>0</v>
      </c>
      <c r="F692" s="174">
        <f t="shared" si="312"/>
        <v>0</v>
      </c>
      <c r="G692" s="171">
        <f t="shared" si="313"/>
        <v>0</v>
      </c>
      <c r="H692" s="171">
        <f t="shared" si="314"/>
        <v>72204.165324337926</v>
      </c>
      <c r="I692" s="171">
        <f>IF(B692="Working",MIN(MAX(D692-E692-F692-G692-H692,0),'Tax Assumptions'!$B$20),0)</f>
        <v>0</v>
      </c>
      <c r="J692" s="171">
        <f t="shared" si="315"/>
        <v>-332204.1653243379</v>
      </c>
      <c r="K692" s="174">
        <f t="shared" si="316"/>
        <v>332204.1653243379</v>
      </c>
      <c r="L692" s="174">
        <f t="shared" si="317"/>
        <v>332204.1653243379</v>
      </c>
      <c r="M692" s="174">
        <f t="shared" si="323"/>
        <v>332204.1653243379</v>
      </c>
      <c r="N692" s="174">
        <f t="shared" si="324"/>
        <v>0</v>
      </c>
      <c r="O692" s="174">
        <f t="shared" si="325"/>
        <v>0</v>
      </c>
      <c r="P692" s="174">
        <f t="shared" si="326"/>
        <v>0</v>
      </c>
      <c r="Q692" s="171">
        <f t="shared" si="327"/>
        <v>1980769.4570939722</v>
      </c>
      <c r="R692" s="171">
        <f t="shared" si="328"/>
        <v>1854742.5953868378</v>
      </c>
      <c r="S692" s="171">
        <f t="shared" si="329"/>
        <v>567778.34552658291</v>
      </c>
      <c r="T692" s="171">
        <f t="shared" si="330"/>
        <v>0</v>
      </c>
      <c r="U692" s="171">
        <f t="shared" si="318"/>
        <v>4403290.3980073929</v>
      </c>
      <c r="V692" s="171">
        <f t="shared" si="331"/>
        <v>0</v>
      </c>
      <c r="W692" s="171">
        <f>IF(OR(A692&gt;=$C$13,B692="Retired"),IF(V692&gt;0,-V692,U692-'Model Inputs'!$B$18),"")</f>
        <v>3403290.3980073929</v>
      </c>
      <c r="X692" s="171">
        <f t="shared" si="319"/>
        <v>3282007.5147426329</v>
      </c>
      <c r="Y692" s="171">
        <f t="shared" si="320"/>
        <v>0</v>
      </c>
      <c r="Z692" s="171">
        <f t="shared" si="321"/>
        <v>3282007.5147426329</v>
      </c>
      <c r="AA692" s="175">
        <f t="shared" si="322"/>
        <v>7685297.9127500262</v>
      </c>
      <c r="AB692" s="5"/>
      <c r="AC692" s="5"/>
      <c r="AD692" s="5"/>
      <c r="AE692" s="5"/>
      <c r="AF692" s="5"/>
      <c r="AG692" s="5"/>
    </row>
    <row r="693" spans="1:33" x14ac:dyDescent="0.2">
      <c r="A693" s="176" t="s">
        <v>369</v>
      </c>
      <c r="B693" s="177"/>
      <c r="C693" s="177"/>
      <c r="D693" s="177"/>
      <c r="E693" s="177"/>
      <c r="F693" s="177"/>
      <c r="G693" s="178">
        <f t="shared" ref="G693:P693" si="332">SUM(G653:G692)</f>
        <v>642268.22933519445</v>
      </c>
      <c r="H693" s="178">
        <f t="shared" si="332"/>
        <v>3179638.254701084</v>
      </c>
      <c r="I693" s="178">
        <f t="shared" si="332"/>
        <v>75000</v>
      </c>
      <c r="J693" s="178">
        <f t="shared" si="332"/>
        <v>-6774314.243995755</v>
      </c>
      <c r="K693" s="178">
        <f t="shared" si="332"/>
        <v>10893484.408547234</v>
      </c>
      <c r="L693" s="178">
        <f t="shared" si="332"/>
        <v>10893484.408547234</v>
      </c>
      <c r="M693" s="178">
        <f t="shared" si="332"/>
        <v>10893484.408547234</v>
      </c>
      <c r="N693" s="178">
        <f t="shared" si="332"/>
        <v>0</v>
      </c>
      <c r="O693" s="178">
        <f t="shared" si="332"/>
        <v>0</v>
      </c>
      <c r="P693" s="178">
        <f t="shared" si="332"/>
        <v>0</v>
      </c>
      <c r="Q693" s="178">
        <f>Q692</f>
        <v>1980769.4570939722</v>
      </c>
      <c r="R693" s="178">
        <f>R692</f>
        <v>1854742.5953868378</v>
      </c>
      <c r="S693" s="178">
        <f>S692</f>
        <v>567778.34552658291</v>
      </c>
      <c r="T693" s="178">
        <f>T692</f>
        <v>0</v>
      </c>
      <c r="U693" s="178">
        <f>U692</f>
        <v>4403290.3980073929</v>
      </c>
      <c r="V693" s="178">
        <f>SUM(V653:V692)</f>
        <v>0</v>
      </c>
      <c r="W693" s="178">
        <f>MIN(W653:W692)</f>
        <v>3403290.3980073929</v>
      </c>
      <c r="X693" s="178">
        <f>X692</f>
        <v>3282007.5147426329</v>
      </c>
      <c r="Y693" s="178">
        <f>Y692</f>
        <v>0</v>
      </c>
      <c r="Z693" s="178">
        <f>Z692</f>
        <v>3282007.5147426329</v>
      </c>
      <c r="AA693" s="179">
        <f>AA692</f>
        <v>7685297.9127500262</v>
      </c>
      <c r="AB693" s="5"/>
      <c r="AC693" s="5"/>
      <c r="AD693" s="5"/>
      <c r="AE693" s="5"/>
      <c r="AF693" s="5"/>
      <c r="AG693" s="5"/>
    </row>
    <row r="694" spans="1:33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x14ac:dyDescent="0.2">
      <c r="A695" s="319" t="str">
        <f>J237&amp;" | House "&amp;TEXT($L$237,"$#,##0")&amp;" | Spend "&amp;TEXT($N$237,"$#,##0")</f>
        <v>Case 11 | House $1,690,180 | Spend $140,000</v>
      </c>
      <c r="B695" s="288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  <c r="AA695" s="289"/>
      <c r="AB695" s="5"/>
      <c r="AC695" s="5"/>
      <c r="AD695" s="5"/>
      <c r="AE695" s="5"/>
      <c r="AF695" s="5"/>
      <c r="AG695" s="5"/>
    </row>
    <row r="696" spans="1:33" ht="34" customHeight="1" x14ac:dyDescent="0.2">
      <c r="A696" s="167" t="s">
        <v>224</v>
      </c>
      <c r="B696" s="112" t="s">
        <v>106</v>
      </c>
      <c r="C696" s="112" t="s">
        <v>357</v>
      </c>
      <c r="D696" s="112" t="s">
        <v>66</v>
      </c>
      <c r="E696" s="112" t="s">
        <v>300</v>
      </c>
      <c r="F696" s="112" t="s">
        <v>301</v>
      </c>
      <c r="G696" s="112" t="s">
        <v>358</v>
      </c>
      <c r="H696" s="112" t="s">
        <v>359</v>
      </c>
      <c r="I696" s="112" t="s">
        <v>69</v>
      </c>
      <c r="J696" s="112" t="s">
        <v>360</v>
      </c>
      <c r="K696" s="112" t="s">
        <v>361</v>
      </c>
      <c r="L696" s="112" t="s">
        <v>362</v>
      </c>
      <c r="M696" s="112" t="s">
        <v>304</v>
      </c>
      <c r="N696" s="112" t="s">
        <v>305</v>
      </c>
      <c r="O696" s="112" t="s">
        <v>306</v>
      </c>
      <c r="P696" s="112" t="s">
        <v>307</v>
      </c>
      <c r="Q696" s="112" t="s">
        <v>363</v>
      </c>
      <c r="R696" s="112" t="s">
        <v>364</v>
      </c>
      <c r="S696" s="112" t="s">
        <v>365</v>
      </c>
      <c r="T696" s="112" t="s">
        <v>366</v>
      </c>
      <c r="U696" s="112" t="s">
        <v>308</v>
      </c>
      <c r="V696" s="112" t="s">
        <v>309</v>
      </c>
      <c r="W696" s="112" t="s">
        <v>367</v>
      </c>
      <c r="X696" s="112" t="s">
        <v>311</v>
      </c>
      <c r="Y696" s="112" t="s">
        <v>312</v>
      </c>
      <c r="Z696" s="112" t="s">
        <v>313</v>
      </c>
      <c r="AA696" s="168" t="s">
        <v>368</v>
      </c>
      <c r="AB696" s="5"/>
      <c r="AC696" s="5"/>
      <c r="AD696" s="5"/>
      <c r="AE696" s="5"/>
      <c r="AF696" s="5"/>
      <c r="AG696" s="5"/>
    </row>
    <row r="697" spans="1:33" x14ac:dyDescent="0.2">
      <c r="A697" s="169">
        <v>1</v>
      </c>
      <c r="B697" s="100" t="str">
        <f t="shared" ref="B697:B736" si="333">B80</f>
        <v>Working</v>
      </c>
      <c r="C697" s="170">
        <f t="shared" ref="C697:C736" si="334">D80</f>
        <v>550000</v>
      </c>
      <c r="D697" s="170">
        <f t="shared" ref="D697:D736" si="335">I80</f>
        <v>302665.46999999997</v>
      </c>
      <c r="E697" s="170">
        <f t="shared" ref="E697:E736" si="336">J80</f>
        <v>78000</v>
      </c>
      <c r="F697" s="170">
        <f t="shared" ref="F697:F736" si="337">K80</f>
        <v>40000</v>
      </c>
      <c r="G697" s="171">
        <f t="shared" ref="G697:G736" si="338">IF(AND($L$237&gt;0,A697=$C$13),$L$237*($C$15+$C$18),0)+IF(AND($L$237&gt;0,A697=$C$13),$C$24,0)</f>
        <v>0</v>
      </c>
      <c r="H697" s="171">
        <f t="shared" ref="H697:H736" si="339">IF(OR($L$237&lt;=0,A697&lt;$C$13),0,IF(AND($L$237&gt;0,$C$17&gt;0,A697&gt;=$C$13,A697&lt;($C$13+$C$17)),IF($C$17&lt;=0,0,IF($C$16=0,MAX($L$237*(1-$C$15),0)/$C$17,-PMT($C$16/12,$C$17*12,MAX($L$237*(1-$C$15),0))*12)),0)+X697*($C$19+$C$20+$C$21)+$C$22+$C$23)</f>
        <v>0</v>
      </c>
      <c r="I697" s="171">
        <f>IF(B697="Working",MIN(MAX(D697-E697-F697-G697-H697,0),'Tax Assumptions'!$B$20),0)</f>
        <v>7500</v>
      </c>
      <c r="J697" s="171">
        <f t="shared" ref="J697:J736" si="340">IF(B697="Working",D697-E697-F697-I697-G697-H697,-L697)</f>
        <v>177165.46999999997</v>
      </c>
      <c r="K697" s="170">
        <f t="shared" ref="K697:K736" si="341">IF(B697="Retired",$N$237+G697+H697,0)</f>
        <v>0</v>
      </c>
      <c r="L697" s="170">
        <f t="shared" ref="L697:L736" si="342">M697+N697+O697+P697</f>
        <v>0</v>
      </c>
      <c r="M697" s="170">
        <f>IF(B697="Retired",MIN((('Savings Projection'!$B$7)*(1+$C$10)+IF(B697="Working",J697,0)),K697),0)</f>
        <v>0</v>
      </c>
      <c r="N697" s="170">
        <f>IF(B697="Retired",MIN(MAX(K697-M697,0),(('Savings Projection'!$B$8)*(1+$C$10)+IF(B697="Working",E80,0))),0)</f>
        <v>0</v>
      </c>
      <c r="O697" s="170">
        <f>IF(B697="Retired",MIN(MAX(K697-M697-N697,0),(('Savings Projection'!$B$9)*(1+$C$10)+IF(B697="Working",I697,0))),0)</f>
        <v>0</v>
      </c>
      <c r="P697" s="170">
        <f>IF(B697="Retired",MIN(MAX(K697-M697-N697-O697,0),(('Savings Projection'!$B$10)*(1+$C$10)+IF(B697="Working",F80,0))),0)</f>
        <v>0</v>
      </c>
      <c r="Q697" s="171">
        <f>MAX((('Savings Projection'!$B$7)*(1+$C$10)+IF(B697="Working",J697,0))-M697,0)</f>
        <v>336165.47</v>
      </c>
      <c r="R697" s="171">
        <f>MAX((('Savings Projection'!$B$8)*(1+$C$10)+IF(B697="Working",E80,0))-N697,0)</f>
        <v>24500</v>
      </c>
      <c r="S697" s="171">
        <f>MAX((('Savings Projection'!$B$9)*(1+$C$10)+IF(B697="Working",I697,0))-O697,0)</f>
        <v>7500</v>
      </c>
      <c r="T697" s="171">
        <f>MAX((('Savings Projection'!$B$10)*(1+$C$10)+IF(B697="Working",F80,0))-P697,0)</f>
        <v>0</v>
      </c>
      <c r="U697" s="171">
        <f t="shared" ref="U697:U736" si="343">Q697+R697+S697+T697</f>
        <v>368165.47</v>
      </c>
      <c r="V697" s="171">
        <f>IF(B697="Working",MAX(-((('Savings Projection'!$B$7)*(1+$C$10)+IF(B697="Working",J697,0))),0),MAX(K697-L697,0))</f>
        <v>0</v>
      </c>
      <c r="W697" s="171" t="str">
        <f>IF(OR(A697&gt;=$C$13,B697="Retired"),IF(V697&gt;0,-V697,U697-'Model Inputs'!$B$18),"")</f>
        <v/>
      </c>
      <c r="X697" s="171">
        <f t="shared" ref="X697:X736" si="344">IF(AND($L$237&gt;0,A697&gt;=$C$13),$L$237*(1+$C$25)^(A697-$C$13),0)</f>
        <v>0</v>
      </c>
      <c r="Y697" s="171">
        <f t="shared" ref="Y697:Y736" si="345">IF(OR($L$237&lt;=0,$C$17&lt;=0,A697&lt;$C$13,MIN(MAX((A697-$C$13+1)*12,0),$C$17*12)&gt;=$C$17*12),0,IF($C$16=0,MAX(MAX($L$237*(1-$C$15),0)-(IF($C$17&lt;=0,0,IF($C$16=0,MAX($L$237*(1-$C$15),0)/$C$17,-PMT($C$16/12,$C$17*12,MAX($L$237*(1-$C$15),0))*12))/12)*MIN(MAX((A697-$C$13+1)*12,0),$C$17*12),0),MAX(MAX($L$237*(1-$C$15),0)*(1+$C$16/12)^MIN(MAX((A697-$C$13+1)*12,0),$C$17*12)-(IF($C$17&lt;=0,0,IF($C$16=0,MAX($L$237*(1-$C$15),0)/$C$17,-PMT($C$16/12,$C$17*12,MAX($L$237*(1-$C$15),0))*12))/12)*(((1+$C$16/12)^MIN(MAX((A697-$C$13+1)*12,0),$C$17*12)-1)/($C$16/12)),0)))</f>
        <v>0</v>
      </c>
      <c r="Z697" s="171">
        <f t="shared" ref="Z697:Z736" si="346">MAX(X697-Y697,0)</f>
        <v>0</v>
      </c>
      <c r="AA697" s="172">
        <f t="shared" ref="AA697:AA736" si="347">U697+Z697</f>
        <v>368165.47</v>
      </c>
      <c r="AB697" s="5"/>
      <c r="AC697" s="5"/>
      <c r="AD697" s="5"/>
      <c r="AE697" s="5"/>
      <c r="AF697" s="5"/>
      <c r="AG697" s="5"/>
    </row>
    <row r="698" spans="1:33" x14ac:dyDescent="0.2">
      <c r="A698" s="173">
        <v>2</v>
      </c>
      <c r="B698" s="65" t="str">
        <f t="shared" si="333"/>
        <v>Working</v>
      </c>
      <c r="C698" s="174">
        <f t="shared" si="334"/>
        <v>412500</v>
      </c>
      <c r="D698" s="174">
        <f t="shared" si="335"/>
        <v>231269.97</v>
      </c>
      <c r="E698" s="174">
        <f t="shared" si="336"/>
        <v>80340</v>
      </c>
      <c r="F698" s="174">
        <f t="shared" si="337"/>
        <v>41200</v>
      </c>
      <c r="G698" s="171">
        <f t="shared" si="338"/>
        <v>0</v>
      </c>
      <c r="H698" s="171">
        <f t="shared" si="339"/>
        <v>0</v>
      </c>
      <c r="I698" s="171">
        <f>IF(B698="Working",MIN(MAX(D698-E698-F698-G698-H698,0),'Tax Assumptions'!$B$20),0)</f>
        <v>7500</v>
      </c>
      <c r="J698" s="171">
        <f t="shared" si="340"/>
        <v>102229.97</v>
      </c>
      <c r="K698" s="174">
        <f t="shared" si="341"/>
        <v>0</v>
      </c>
      <c r="L698" s="174">
        <f t="shared" si="342"/>
        <v>0</v>
      </c>
      <c r="M698" s="174">
        <f t="shared" ref="M698:M736" si="348">IF(B698="Retired",MIN(((Q697)*(1+$C$10)+IF(B698="Working",J698,0)),K698),0)</f>
        <v>0</v>
      </c>
      <c r="N698" s="174">
        <f t="shared" ref="N698:N736" si="349">IF(B698="Retired",MIN(MAX(K698-M698,0),((R697)*(1+$C$10)+IF(B698="Working",E81,0))),0)</f>
        <v>0</v>
      </c>
      <c r="O698" s="174">
        <f t="shared" ref="O698:O736" si="350">IF(B698="Retired",MIN(MAX(K698-M698-N698,0),((S697)*(1+$C$10)+IF(B698="Working",I698,0))),0)</f>
        <v>0</v>
      </c>
      <c r="P698" s="174">
        <f t="shared" ref="P698:P736" si="351">IF(B698="Retired",MIN(MAX(K698-M698-N698-O698,0),((T697)*(1+$C$10)+IF(B698="Working",F81,0))),0)</f>
        <v>0</v>
      </c>
      <c r="Q698" s="171">
        <f t="shared" ref="Q698:Q736" si="352">MAX(((Q697)*(1+$C$10)+IF(B698="Working",J698,0))-M698,0)</f>
        <v>458565.36820000003</v>
      </c>
      <c r="R698" s="171">
        <f t="shared" ref="R698:R736" si="353">MAX(((R697)*(1+$C$10)+IF(B698="Working",E81,0))-N698,0)</f>
        <v>50470</v>
      </c>
      <c r="S698" s="171">
        <f t="shared" ref="S698:S736" si="354">MAX(((S697)*(1+$C$10)+IF(B698="Working",I698,0))-O698,0)</f>
        <v>15450</v>
      </c>
      <c r="T698" s="171">
        <f t="shared" ref="T698:T736" si="355">MAX(((T697)*(1+$C$10)+IF(B698="Working",F81,0))-P698,0)</f>
        <v>0</v>
      </c>
      <c r="U698" s="171">
        <f t="shared" si="343"/>
        <v>524485.36820000003</v>
      </c>
      <c r="V698" s="171">
        <f t="shared" ref="V698:V736" si="356">IF(B698="Working",MAX(-(((Q697)*(1+$C$10)+IF(B698="Working",J698,0))),0),MAX(K698-L698,0))</f>
        <v>0</v>
      </c>
      <c r="W698" s="171" t="str">
        <f>IF(OR(A698&gt;=$C$13,B698="Retired"),IF(V698&gt;0,-V698,U698-'Model Inputs'!$B$18),"")</f>
        <v/>
      </c>
      <c r="X698" s="171">
        <f t="shared" si="344"/>
        <v>0</v>
      </c>
      <c r="Y698" s="171">
        <f t="shared" si="345"/>
        <v>0</v>
      </c>
      <c r="Z698" s="171">
        <f t="shared" si="346"/>
        <v>0</v>
      </c>
      <c r="AA698" s="175">
        <f t="shared" si="347"/>
        <v>524485.36820000003</v>
      </c>
      <c r="AB698" s="5"/>
      <c r="AC698" s="5"/>
      <c r="AD698" s="5"/>
      <c r="AE698" s="5"/>
      <c r="AF698" s="5"/>
      <c r="AG698" s="5"/>
    </row>
    <row r="699" spans="1:33" x14ac:dyDescent="0.2">
      <c r="A699" s="169">
        <v>3</v>
      </c>
      <c r="B699" s="100" t="str">
        <f t="shared" si="333"/>
        <v>Working</v>
      </c>
      <c r="C699" s="170">
        <f t="shared" si="334"/>
        <v>675000</v>
      </c>
      <c r="D699" s="170">
        <f t="shared" si="335"/>
        <v>367570.47</v>
      </c>
      <c r="E699" s="170">
        <f t="shared" si="336"/>
        <v>82750.2</v>
      </c>
      <c r="F699" s="170">
        <f t="shared" si="337"/>
        <v>53045</v>
      </c>
      <c r="G699" s="171">
        <f t="shared" si="338"/>
        <v>0</v>
      </c>
      <c r="H699" s="171">
        <f t="shared" si="339"/>
        <v>0</v>
      </c>
      <c r="I699" s="171">
        <f>IF(B699="Working",MIN(MAX(D699-E699-F699-G699-H699,0),'Tax Assumptions'!$B$20),0)</f>
        <v>7500</v>
      </c>
      <c r="J699" s="171">
        <f t="shared" si="340"/>
        <v>224275.26999999996</v>
      </c>
      <c r="K699" s="170">
        <f t="shared" si="341"/>
        <v>0</v>
      </c>
      <c r="L699" s="170">
        <f t="shared" si="342"/>
        <v>0</v>
      </c>
      <c r="M699" s="170">
        <f t="shared" si="348"/>
        <v>0</v>
      </c>
      <c r="N699" s="170">
        <f t="shared" si="349"/>
        <v>0</v>
      </c>
      <c r="O699" s="170">
        <f t="shared" si="350"/>
        <v>0</v>
      </c>
      <c r="P699" s="170">
        <f t="shared" si="351"/>
        <v>0</v>
      </c>
      <c r="Q699" s="171">
        <f t="shared" si="352"/>
        <v>710354.56029199995</v>
      </c>
      <c r="R699" s="171">
        <f t="shared" si="353"/>
        <v>77998.200000000012</v>
      </c>
      <c r="S699" s="171">
        <f t="shared" si="354"/>
        <v>23877</v>
      </c>
      <c r="T699" s="171">
        <f t="shared" si="355"/>
        <v>0</v>
      </c>
      <c r="U699" s="171">
        <f t="shared" si="343"/>
        <v>812229.7602919999</v>
      </c>
      <c r="V699" s="171">
        <f t="shared" si="356"/>
        <v>0</v>
      </c>
      <c r="W699" s="171" t="str">
        <f>IF(OR(A699&gt;=$C$13,B699="Retired"),IF(V699&gt;0,-V699,U699-'Model Inputs'!$B$18),"")</f>
        <v/>
      </c>
      <c r="X699" s="171">
        <f t="shared" si="344"/>
        <v>0</v>
      </c>
      <c r="Y699" s="171">
        <f t="shared" si="345"/>
        <v>0</v>
      </c>
      <c r="Z699" s="171">
        <f t="shared" si="346"/>
        <v>0</v>
      </c>
      <c r="AA699" s="172">
        <f t="shared" si="347"/>
        <v>812229.7602919999</v>
      </c>
      <c r="AB699" s="5"/>
      <c r="AC699" s="5"/>
      <c r="AD699" s="5"/>
      <c r="AE699" s="5"/>
      <c r="AF699" s="5"/>
      <c r="AG699" s="5"/>
    </row>
    <row r="700" spans="1:33" x14ac:dyDescent="0.2">
      <c r="A700" s="173">
        <v>4</v>
      </c>
      <c r="B700" s="65" t="str">
        <f t="shared" si="333"/>
        <v>Working</v>
      </c>
      <c r="C700" s="174">
        <f t="shared" si="334"/>
        <v>750000</v>
      </c>
      <c r="D700" s="174">
        <f t="shared" si="335"/>
        <v>405137.47</v>
      </c>
      <c r="E700" s="174">
        <f t="shared" si="336"/>
        <v>85232.706000000006</v>
      </c>
      <c r="F700" s="174">
        <f t="shared" si="337"/>
        <v>54636.35</v>
      </c>
      <c r="G700" s="171">
        <f t="shared" si="338"/>
        <v>0</v>
      </c>
      <c r="H700" s="171">
        <f t="shared" si="339"/>
        <v>0</v>
      </c>
      <c r="I700" s="171">
        <f>IF(B700="Working",MIN(MAX(D700-E700-F700-G700-H700,0),'Tax Assumptions'!$B$20),0)</f>
        <v>7500</v>
      </c>
      <c r="J700" s="171">
        <f t="shared" si="340"/>
        <v>257768.41399999999</v>
      </c>
      <c r="K700" s="174">
        <f t="shared" si="341"/>
        <v>0</v>
      </c>
      <c r="L700" s="174">
        <f t="shared" si="342"/>
        <v>0</v>
      </c>
      <c r="M700" s="174">
        <f t="shared" si="348"/>
        <v>0</v>
      </c>
      <c r="N700" s="174">
        <f t="shared" si="349"/>
        <v>0</v>
      </c>
      <c r="O700" s="174">
        <f t="shared" si="350"/>
        <v>0</v>
      </c>
      <c r="P700" s="174">
        <f t="shared" si="351"/>
        <v>0</v>
      </c>
      <c r="Q700" s="171">
        <f t="shared" si="352"/>
        <v>1010744.2479095199</v>
      </c>
      <c r="R700" s="171">
        <f t="shared" si="353"/>
        <v>107178.09200000002</v>
      </c>
      <c r="S700" s="171">
        <f t="shared" si="354"/>
        <v>32809.620000000003</v>
      </c>
      <c r="T700" s="171">
        <f t="shared" si="355"/>
        <v>0</v>
      </c>
      <c r="U700" s="171">
        <f t="shared" si="343"/>
        <v>1150731.9599095201</v>
      </c>
      <c r="V700" s="171">
        <f t="shared" si="356"/>
        <v>0</v>
      </c>
      <c r="W700" s="171" t="str">
        <f>IF(OR(A700&gt;=$C$13,B700="Retired"),IF(V700&gt;0,-V700,U700-'Model Inputs'!$B$18),"")</f>
        <v/>
      </c>
      <c r="X700" s="171">
        <f t="shared" si="344"/>
        <v>0</v>
      </c>
      <c r="Y700" s="171">
        <f t="shared" si="345"/>
        <v>0</v>
      </c>
      <c r="Z700" s="171">
        <f t="shared" si="346"/>
        <v>0</v>
      </c>
      <c r="AA700" s="175">
        <f t="shared" si="347"/>
        <v>1150731.9599095201</v>
      </c>
      <c r="AB700" s="5"/>
      <c r="AC700" s="5"/>
      <c r="AD700" s="5"/>
      <c r="AE700" s="5"/>
      <c r="AF700" s="5"/>
      <c r="AG700" s="5"/>
    </row>
    <row r="701" spans="1:33" x14ac:dyDescent="0.2">
      <c r="A701" s="169">
        <v>5</v>
      </c>
      <c r="B701" s="100" t="str">
        <f t="shared" si="333"/>
        <v>Working</v>
      </c>
      <c r="C701" s="170">
        <f t="shared" si="334"/>
        <v>953837.51358640334</v>
      </c>
      <c r="D701" s="170">
        <f t="shared" si="335"/>
        <v>506901.31028287602</v>
      </c>
      <c r="E701" s="170">
        <f t="shared" si="336"/>
        <v>87789.687179999994</v>
      </c>
      <c r="F701" s="170">
        <f t="shared" si="337"/>
        <v>56275.440499999997</v>
      </c>
      <c r="G701" s="171">
        <f t="shared" si="338"/>
        <v>0</v>
      </c>
      <c r="H701" s="171">
        <f t="shared" si="339"/>
        <v>0</v>
      </c>
      <c r="I701" s="171">
        <f>IF(B701="Working",MIN(MAX(D701-E701-F701-G701-H701,0),'Tax Assumptions'!$B$20),0)</f>
        <v>7500</v>
      </c>
      <c r="J701" s="171">
        <f t="shared" si="340"/>
        <v>355336.18260287598</v>
      </c>
      <c r="K701" s="170">
        <f t="shared" si="341"/>
        <v>0</v>
      </c>
      <c r="L701" s="170">
        <f t="shared" si="342"/>
        <v>0</v>
      </c>
      <c r="M701" s="170">
        <f t="shared" si="348"/>
        <v>0</v>
      </c>
      <c r="N701" s="170">
        <f t="shared" si="349"/>
        <v>0</v>
      </c>
      <c r="O701" s="170">
        <f t="shared" si="350"/>
        <v>0</v>
      </c>
      <c r="P701" s="170">
        <f t="shared" si="351"/>
        <v>0</v>
      </c>
      <c r="Q701" s="171">
        <f t="shared" si="352"/>
        <v>1426725.0853869673</v>
      </c>
      <c r="R701" s="171">
        <f t="shared" si="353"/>
        <v>138108.77752000003</v>
      </c>
      <c r="S701" s="171">
        <f t="shared" si="354"/>
        <v>42278.197200000002</v>
      </c>
      <c r="T701" s="171">
        <f t="shared" si="355"/>
        <v>0</v>
      </c>
      <c r="U701" s="171">
        <f t="shared" si="343"/>
        <v>1607112.0601069673</v>
      </c>
      <c r="V701" s="171">
        <f t="shared" si="356"/>
        <v>0</v>
      </c>
      <c r="W701" s="171" t="str">
        <f>IF(OR(A701&gt;=$C$13,B701="Retired"),IF(V701&gt;0,-V701,U701-'Model Inputs'!$B$18),"")</f>
        <v/>
      </c>
      <c r="X701" s="171">
        <f t="shared" si="344"/>
        <v>0</v>
      </c>
      <c r="Y701" s="171">
        <f t="shared" si="345"/>
        <v>0</v>
      </c>
      <c r="Z701" s="171">
        <f t="shared" si="346"/>
        <v>0</v>
      </c>
      <c r="AA701" s="172">
        <f t="shared" si="347"/>
        <v>1607112.0601069673</v>
      </c>
      <c r="AB701" s="5"/>
      <c r="AC701" s="5"/>
      <c r="AD701" s="5"/>
      <c r="AE701" s="5"/>
      <c r="AF701" s="5"/>
      <c r="AG701" s="5"/>
    </row>
    <row r="702" spans="1:33" x14ac:dyDescent="0.2">
      <c r="A702" s="173">
        <v>6</v>
      </c>
      <c r="B702" s="65" t="str">
        <f t="shared" si="333"/>
        <v>Working</v>
      </c>
      <c r="C702" s="174">
        <f t="shared" si="334"/>
        <v>1118900.665838565</v>
      </c>
      <c r="D702" s="174">
        <f t="shared" si="335"/>
        <v>589060.11476976541</v>
      </c>
      <c r="E702" s="174">
        <f t="shared" si="336"/>
        <v>92741.925943999988</v>
      </c>
      <c r="F702" s="174">
        <f t="shared" si="337"/>
        <v>57963.703714999989</v>
      </c>
      <c r="G702" s="171">
        <f t="shared" si="338"/>
        <v>0</v>
      </c>
      <c r="H702" s="171">
        <f t="shared" si="339"/>
        <v>0</v>
      </c>
      <c r="I702" s="171">
        <f>IF(B702="Working",MIN(MAX(D702-E702-F702-G702-H702,0),'Tax Assumptions'!$B$20),0)</f>
        <v>7500</v>
      </c>
      <c r="J702" s="171">
        <f t="shared" si="340"/>
        <v>430854.48511076538</v>
      </c>
      <c r="K702" s="174">
        <f t="shared" si="341"/>
        <v>0</v>
      </c>
      <c r="L702" s="174">
        <f t="shared" si="342"/>
        <v>0</v>
      </c>
      <c r="M702" s="174">
        <f t="shared" si="348"/>
        <v>0</v>
      </c>
      <c r="N702" s="174">
        <f t="shared" si="349"/>
        <v>0</v>
      </c>
      <c r="O702" s="174">
        <f t="shared" si="350"/>
        <v>0</v>
      </c>
      <c r="P702" s="174">
        <f t="shared" si="351"/>
        <v>0</v>
      </c>
      <c r="Q702" s="171">
        <f t="shared" si="352"/>
        <v>1943183.0756209507</v>
      </c>
      <c r="R702" s="171">
        <f t="shared" si="353"/>
        <v>170895.30417120006</v>
      </c>
      <c r="S702" s="171">
        <f t="shared" si="354"/>
        <v>52314.889032000006</v>
      </c>
      <c r="T702" s="171">
        <f t="shared" si="355"/>
        <v>0</v>
      </c>
      <c r="U702" s="171">
        <f t="shared" si="343"/>
        <v>2166393.2688241508</v>
      </c>
      <c r="V702" s="171">
        <f t="shared" si="356"/>
        <v>0</v>
      </c>
      <c r="W702" s="171" t="str">
        <f>IF(OR(A702&gt;=$C$13,B702="Retired"),IF(V702&gt;0,-V702,U702-'Model Inputs'!$B$18),"")</f>
        <v/>
      </c>
      <c r="X702" s="171">
        <f t="shared" si="344"/>
        <v>0</v>
      </c>
      <c r="Y702" s="171">
        <f t="shared" si="345"/>
        <v>0</v>
      </c>
      <c r="Z702" s="171">
        <f t="shared" si="346"/>
        <v>0</v>
      </c>
      <c r="AA702" s="175">
        <f t="shared" si="347"/>
        <v>2166393.2688241508</v>
      </c>
      <c r="AB702" s="5"/>
      <c r="AC702" s="5"/>
      <c r="AD702" s="5"/>
      <c r="AE702" s="5"/>
      <c r="AF702" s="5"/>
      <c r="AG702" s="5"/>
    </row>
    <row r="703" spans="1:33" x14ac:dyDescent="0.2">
      <c r="A703" s="169">
        <v>7</v>
      </c>
      <c r="B703" s="100" t="str">
        <f t="shared" si="333"/>
        <v>Working</v>
      </c>
      <c r="C703" s="170">
        <f t="shared" si="334"/>
        <v>1418318.448466131</v>
      </c>
      <c r="D703" s="170">
        <f t="shared" si="335"/>
        <v>730157.75065517949</v>
      </c>
      <c r="E703" s="170">
        <f t="shared" si="336"/>
        <v>95524.183722319998</v>
      </c>
      <c r="F703" s="170">
        <f t="shared" si="337"/>
        <v>59702.614826449993</v>
      </c>
      <c r="G703" s="171">
        <f t="shared" si="338"/>
        <v>0</v>
      </c>
      <c r="H703" s="171">
        <f t="shared" si="339"/>
        <v>0</v>
      </c>
      <c r="I703" s="171">
        <f>IF(B703="Working",MIN(MAX(D703-E703-F703-G703-H703,0),'Tax Assumptions'!$B$20),0)</f>
        <v>7500</v>
      </c>
      <c r="J703" s="171">
        <f t="shared" si="340"/>
        <v>567430.95210640947</v>
      </c>
      <c r="K703" s="170">
        <f t="shared" si="341"/>
        <v>0</v>
      </c>
      <c r="L703" s="170">
        <f t="shared" si="342"/>
        <v>0</v>
      </c>
      <c r="M703" s="170">
        <f t="shared" si="348"/>
        <v>0</v>
      </c>
      <c r="N703" s="170">
        <f t="shared" si="349"/>
        <v>0</v>
      </c>
      <c r="O703" s="170">
        <f t="shared" si="350"/>
        <v>0</v>
      </c>
      <c r="P703" s="170">
        <f t="shared" si="351"/>
        <v>0</v>
      </c>
      <c r="Q703" s="171">
        <f t="shared" si="352"/>
        <v>2627205.0122646173</v>
      </c>
      <c r="R703" s="171">
        <f t="shared" si="353"/>
        <v>205649.02242147207</v>
      </c>
      <c r="S703" s="171">
        <f t="shared" si="354"/>
        <v>62953.78237392001</v>
      </c>
      <c r="T703" s="171">
        <f t="shared" si="355"/>
        <v>0</v>
      </c>
      <c r="U703" s="171">
        <f t="shared" si="343"/>
        <v>2895807.8170600096</v>
      </c>
      <c r="V703" s="171">
        <f t="shared" si="356"/>
        <v>0</v>
      </c>
      <c r="W703" s="171" t="str">
        <f>IF(OR(A703&gt;=$C$13,B703="Retired"),IF(V703&gt;0,-V703,U703-'Model Inputs'!$B$18),"")</f>
        <v/>
      </c>
      <c r="X703" s="171">
        <f t="shared" si="344"/>
        <v>0</v>
      </c>
      <c r="Y703" s="171">
        <f t="shared" si="345"/>
        <v>0</v>
      </c>
      <c r="Z703" s="171">
        <f t="shared" si="346"/>
        <v>0</v>
      </c>
      <c r="AA703" s="172">
        <f t="shared" si="347"/>
        <v>2895807.8170600096</v>
      </c>
      <c r="AB703" s="5"/>
      <c r="AC703" s="5"/>
      <c r="AD703" s="5"/>
      <c r="AE703" s="5"/>
      <c r="AF703" s="5"/>
      <c r="AG703" s="5"/>
    </row>
    <row r="704" spans="1:33" x14ac:dyDescent="0.2">
      <c r="A704" s="173">
        <v>8</v>
      </c>
      <c r="B704" s="65" t="str">
        <f t="shared" si="333"/>
        <v>Working</v>
      </c>
      <c r="C704" s="174">
        <f t="shared" si="334"/>
        <v>1872205.6657868917</v>
      </c>
      <c r="D704" s="174">
        <f t="shared" si="335"/>
        <v>944047.5629454148</v>
      </c>
      <c r="E704" s="174">
        <f t="shared" si="336"/>
        <v>98389.909233989601</v>
      </c>
      <c r="F704" s="174">
        <f t="shared" si="337"/>
        <v>61493.693271243501</v>
      </c>
      <c r="G704" s="171">
        <f t="shared" si="338"/>
        <v>0</v>
      </c>
      <c r="H704" s="171">
        <f t="shared" si="339"/>
        <v>0</v>
      </c>
      <c r="I704" s="171">
        <f>IF(B704="Working",MIN(MAX(D704-E704-F704-G704-H704,0),'Tax Assumptions'!$B$20),0)</f>
        <v>7500</v>
      </c>
      <c r="J704" s="171">
        <f t="shared" si="340"/>
        <v>776663.96044018166</v>
      </c>
      <c r="K704" s="174">
        <f t="shared" si="341"/>
        <v>0</v>
      </c>
      <c r="L704" s="174">
        <f t="shared" si="342"/>
        <v>0</v>
      </c>
      <c r="M704" s="174">
        <f t="shared" si="348"/>
        <v>0</v>
      </c>
      <c r="N704" s="174">
        <f t="shared" si="349"/>
        <v>0</v>
      </c>
      <c r="O704" s="174">
        <f t="shared" si="350"/>
        <v>0</v>
      </c>
      <c r="P704" s="174">
        <f t="shared" si="351"/>
        <v>0</v>
      </c>
      <c r="Q704" s="171">
        <f t="shared" si="352"/>
        <v>3561501.2734406763</v>
      </c>
      <c r="R704" s="171">
        <f t="shared" si="353"/>
        <v>242487.9637667604</v>
      </c>
      <c r="S704" s="171">
        <f t="shared" si="354"/>
        <v>74231.009316355208</v>
      </c>
      <c r="T704" s="171">
        <f t="shared" si="355"/>
        <v>0</v>
      </c>
      <c r="U704" s="171">
        <f t="shared" si="343"/>
        <v>3878220.2465237915</v>
      </c>
      <c r="V704" s="171">
        <f t="shared" si="356"/>
        <v>0</v>
      </c>
      <c r="W704" s="171" t="str">
        <f>IF(OR(A704&gt;=$C$13,B704="Retired"),IF(V704&gt;0,-V704,U704-'Model Inputs'!$B$18),"")</f>
        <v/>
      </c>
      <c r="X704" s="171">
        <f t="shared" si="344"/>
        <v>0</v>
      </c>
      <c r="Y704" s="171">
        <f t="shared" si="345"/>
        <v>0</v>
      </c>
      <c r="Z704" s="171">
        <f t="shared" si="346"/>
        <v>0</v>
      </c>
      <c r="AA704" s="175">
        <f t="shared" si="347"/>
        <v>3878220.2465237915</v>
      </c>
      <c r="AB704" s="5"/>
      <c r="AC704" s="5"/>
      <c r="AD704" s="5"/>
      <c r="AE704" s="5"/>
      <c r="AF704" s="5"/>
      <c r="AG704" s="5"/>
    </row>
    <row r="705" spans="1:33" x14ac:dyDescent="0.2">
      <c r="A705" s="169">
        <v>9</v>
      </c>
      <c r="B705" s="100" t="str">
        <f t="shared" si="333"/>
        <v>Working</v>
      </c>
      <c r="C705" s="170">
        <f t="shared" si="334"/>
        <v>2033969.9666232408</v>
      </c>
      <c r="D705" s="170">
        <f t="shared" si="335"/>
        <v>1020277.372071536</v>
      </c>
      <c r="E705" s="170">
        <f t="shared" si="336"/>
        <v>101341.60651100927</v>
      </c>
      <c r="F705" s="170">
        <f t="shared" si="337"/>
        <v>63338.504069380797</v>
      </c>
      <c r="G705" s="171">
        <f t="shared" si="338"/>
        <v>0</v>
      </c>
      <c r="H705" s="171">
        <f t="shared" si="339"/>
        <v>0</v>
      </c>
      <c r="I705" s="171">
        <f>IF(B705="Working",MIN(MAX(D705-E705-F705-G705-H705,0),'Tax Assumptions'!$B$20),0)</f>
        <v>7500</v>
      </c>
      <c r="J705" s="171">
        <f t="shared" si="340"/>
        <v>848097.26149114594</v>
      </c>
      <c r="K705" s="170">
        <f t="shared" si="341"/>
        <v>0</v>
      </c>
      <c r="L705" s="170">
        <f t="shared" si="342"/>
        <v>0</v>
      </c>
      <c r="M705" s="170">
        <f t="shared" si="348"/>
        <v>0</v>
      </c>
      <c r="N705" s="170">
        <f t="shared" si="349"/>
        <v>0</v>
      </c>
      <c r="O705" s="170">
        <f t="shared" si="350"/>
        <v>0</v>
      </c>
      <c r="P705" s="170">
        <f t="shared" si="351"/>
        <v>0</v>
      </c>
      <c r="Q705" s="171">
        <f t="shared" si="352"/>
        <v>4623288.6113382634</v>
      </c>
      <c r="R705" s="171">
        <f t="shared" si="353"/>
        <v>281537.24159276602</v>
      </c>
      <c r="S705" s="171">
        <f t="shared" si="354"/>
        <v>86184.869875336532</v>
      </c>
      <c r="T705" s="171">
        <f t="shared" si="355"/>
        <v>0</v>
      </c>
      <c r="U705" s="171">
        <f t="shared" si="343"/>
        <v>4991010.7228063662</v>
      </c>
      <c r="V705" s="171">
        <f t="shared" si="356"/>
        <v>0</v>
      </c>
      <c r="W705" s="171" t="str">
        <f>IF(OR(A705&gt;=$C$13,B705="Retired"),IF(V705&gt;0,-V705,U705-'Model Inputs'!$B$18),"")</f>
        <v/>
      </c>
      <c r="X705" s="171">
        <f t="shared" si="344"/>
        <v>0</v>
      </c>
      <c r="Y705" s="171">
        <f t="shared" si="345"/>
        <v>0</v>
      </c>
      <c r="Z705" s="171">
        <f t="shared" si="346"/>
        <v>0</v>
      </c>
      <c r="AA705" s="172">
        <f t="shared" si="347"/>
        <v>4991010.7228063662</v>
      </c>
      <c r="AB705" s="5"/>
      <c r="AC705" s="5"/>
      <c r="AD705" s="5"/>
      <c r="AE705" s="5"/>
      <c r="AF705" s="5"/>
      <c r="AG705" s="5"/>
    </row>
    <row r="706" spans="1:33" x14ac:dyDescent="0.2">
      <c r="A706" s="173">
        <v>10</v>
      </c>
      <c r="B706" s="65" t="str">
        <f t="shared" si="333"/>
        <v>Working</v>
      </c>
      <c r="C706" s="174">
        <f t="shared" si="334"/>
        <v>2595495.7626410057</v>
      </c>
      <c r="D706" s="174">
        <f t="shared" si="335"/>
        <v>1284890.7881869476</v>
      </c>
      <c r="E706" s="174">
        <f t="shared" si="336"/>
        <v>104381.85470633955</v>
      </c>
      <c r="F706" s="174">
        <f t="shared" si="337"/>
        <v>65238.659191462226</v>
      </c>
      <c r="G706" s="171">
        <f t="shared" si="338"/>
        <v>802835.28666899295</v>
      </c>
      <c r="H706" s="171">
        <f t="shared" si="339"/>
        <v>107692.30769230769</v>
      </c>
      <c r="I706" s="171">
        <f>IF(B706="Working",MIN(MAX(D706-E706-F706-G706-H706,0),'Tax Assumptions'!$B$20),0)</f>
        <v>7500</v>
      </c>
      <c r="J706" s="171">
        <f t="shared" si="340"/>
        <v>197242.67992784519</v>
      </c>
      <c r="K706" s="174">
        <f t="shared" si="341"/>
        <v>0</v>
      </c>
      <c r="L706" s="174">
        <f t="shared" si="342"/>
        <v>0</v>
      </c>
      <c r="M706" s="174">
        <f t="shared" si="348"/>
        <v>0</v>
      </c>
      <c r="N706" s="174">
        <f t="shared" si="349"/>
        <v>0</v>
      </c>
      <c r="O706" s="174">
        <f t="shared" si="350"/>
        <v>0</v>
      </c>
      <c r="P706" s="174">
        <f t="shared" si="351"/>
        <v>0</v>
      </c>
      <c r="Q706" s="171">
        <f t="shared" si="352"/>
        <v>5097928.6079464052</v>
      </c>
      <c r="R706" s="171">
        <f t="shared" si="353"/>
        <v>322929.47608833201</v>
      </c>
      <c r="S706" s="171">
        <f t="shared" si="354"/>
        <v>98855.96206785673</v>
      </c>
      <c r="T706" s="171">
        <f t="shared" si="355"/>
        <v>0</v>
      </c>
      <c r="U706" s="171">
        <f t="shared" si="343"/>
        <v>5519714.0461025937</v>
      </c>
      <c r="V706" s="171">
        <f t="shared" si="356"/>
        <v>0</v>
      </c>
      <c r="W706" s="171">
        <f>IF(OR(A706&gt;=$C$13,B706="Retired"),IF(V706&gt;0,-V706,U706-'Model Inputs'!$B$18),"")</f>
        <v>4519714.0461025937</v>
      </c>
      <c r="X706" s="171">
        <f t="shared" si="344"/>
        <v>1690179.5508820903</v>
      </c>
      <c r="Y706" s="171">
        <f t="shared" si="345"/>
        <v>919208.39096390037</v>
      </c>
      <c r="Z706" s="171">
        <f t="shared" si="346"/>
        <v>770971.15991818998</v>
      </c>
      <c r="AA706" s="175">
        <f t="shared" si="347"/>
        <v>6290685.2060207836</v>
      </c>
      <c r="AB706" s="5"/>
      <c r="AC706" s="5"/>
      <c r="AD706" s="5"/>
      <c r="AE706" s="5"/>
      <c r="AF706" s="5"/>
      <c r="AG706" s="5"/>
    </row>
    <row r="707" spans="1:33" x14ac:dyDescent="0.2">
      <c r="A707" s="169">
        <v>11</v>
      </c>
      <c r="B707" s="100" t="str">
        <f t="shared" si="333"/>
        <v>Retired</v>
      </c>
      <c r="C707" s="170">
        <f t="shared" si="334"/>
        <v>0</v>
      </c>
      <c r="D707" s="170">
        <f t="shared" si="335"/>
        <v>0</v>
      </c>
      <c r="E707" s="170">
        <f t="shared" si="336"/>
        <v>0</v>
      </c>
      <c r="F707" s="170">
        <f t="shared" si="337"/>
        <v>0</v>
      </c>
      <c r="G707" s="171">
        <f t="shared" si="338"/>
        <v>0</v>
      </c>
      <c r="H707" s="171">
        <f t="shared" si="339"/>
        <v>108807.82619588988</v>
      </c>
      <c r="I707" s="171">
        <f>IF(B707="Working",MIN(MAX(D707-E707-F707-G707-H707,0),'Tax Assumptions'!$B$20),0)</f>
        <v>0</v>
      </c>
      <c r="J707" s="171">
        <f t="shared" si="340"/>
        <v>-248807.82619588988</v>
      </c>
      <c r="K707" s="170">
        <f t="shared" si="341"/>
        <v>248807.82619588988</v>
      </c>
      <c r="L707" s="170">
        <f t="shared" si="342"/>
        <v>248807.82619588988</v>
      </c>
      <c r="M707" s="170">
        <f t="shared" si="348"/>
        <v>248807.82619588988</v>
      </c>
      <c r="N707" s="170">
        <f t="shared" si="349"/>
        <v>0</v>
      </c>
      <c r="O707" s="170">
        <f t="shared" si="350"/>
        <v>0</v>
      </c>
      <c r="P707" s="170">
        <f t="shared" si="351"/>
        <v>0</v>
      </c>
      <c r="Q707" s="171">
        <f t="shared" si="352"/>
        <v>5154996.4982273001</v>
      </c>
      <c r="R707" s="171">
        <f t="shared" si="353"/>
        <v>342305.24465363193</v>
      </c>
      <c r="S707" s="171">
        <f t="shared" si="354"/>
        <v>104787.31979192814</v>
      </c>
      <c r="T707" s="171">
        <f t="shared" si="355"/>
        <v>0</v>
      </c>
      <c r="U707" s="171">
        <f t="shared" si="343"/>
        <v>5602089.06267286</v>
      </c>
      <c r="V707" s="171">
        <f t="shared" si="356"/>
        <v>0</v>
      </c>
      <c r="W707" s="171">
        <f>IF(OR(A707&gt;=$C$13,B707="Retired"),IF(V707&gt;0,-V707,U707-'Model Inputs'!$B$18),"")</f>
        <v>4602089.06267286</v>
      </c>
      <c r="X707" s="171">
        <f t="shared" si="344"/>
        <v>1740884.9374085532</v>
      </c>
      <c r="Y707" s="171">
        <f t="shared" si="345"/>
        <v>908122.16715511121</v>
      </c>
      <c r="Z707" s="171">
        <f t="shared" si="346"/>
        <v>832762.770253442</v>
      </c>
      <c r="AA707" s="172">
        <f t="shared" si="347"/>
        <v>6434851.8329263022</v>
      </c>
      <c r="AB707" s="5"/>
      <c r="AC707" s="5"/>
      <c r="AD707" s="5"/>
      <c r="AE707" s="5"/>
      <c r="AF707" s="5"/>
      <c r="AG707" s="5"/>
    </row>
    <row r="708" spans="1:33" x14ac:dyDescent="0.2">
      <c r="A708" s="173">
        <v>12</v>
      </c>
      <c r="B708" s="65" t="str">
        <f t="shared" si="333"/>
        <v>Retired</v>
      </c>
      <c r="C708" s="174">
        <f t="shared" si="334"/>
        <v>0</v>
      </c>
      <c r="D708" s="174">
        <f t="shared" si="335"/>
        <v>0</v>
      </c>
      <c r="E708" s="174">
        <f t="shared" si="336"/>
        <v>0</v>
      </c>
      <c r="F708" s="174">
        <f t="shared" si="337"/>
        <v>0</v>
      </c>
      <c r="G708" s="171">
        <f t="shared" si="338"/>
        <v>0</v>
      </c>
      <c r="H708" s="171">
        <f t="shared" si="339"/>
        <v>109956.81025457951</v>
      </c>
      <c r="I708" s="171">
        <f>IF(B708="Working",MIN(MAX(D708-E708-F708-G708-H708,0),'Tax Assumptions'!$B$20),0)</f>
        <v>0</v>
      </c>
      <c r="J708" s="171">
        <f t="shared" si="340"/>
        <v>-249956.81025457953</v>
      </c>
      <c r="K708" s="174">
        <f t="shared" si="341"/>
        <v>249956.81025457953</v>
      </c>
      <c r="L708" s="174">
        <f t="shared" si="342"/>
        <v>249956.81025457953</v>
      </c>
      <c r="M708" s="174">
        <f t="shared" si="348"/>
        <v>249956.81025457953</v>
      </c>
      <c r="N708" s="174">
        <f t="shared" si="349"/>
        <v>0</v>
      </c>
      <c r="O708" s="174">
        <f t="shared" si="350"/>
        <v>0</v>
      </c>
      <c r="P708" s="174">
        <f t="shared" si="351"/>
        <v>0</v>
      </c>
      <c r="Q708" s="171">
        <f t="shared" si="352"/>
        <v>5214339.4778663591</v>
      </c>
      <c r="R708" s="171">
        <f t="shared" si="353"/>
        <v>362843.55933284987</v>
      </c>
      <c r="S708" s="171">
        <f t="shared" si="354"/>
        <v>111074.55897944383</v>
      </c>
      <c r="T708" s="171">
        <f t="shared" si="355"/>
        <v>0</v>
      </c>
      <c r="U708" s="171">
        <f t="shared" si="343"/>
        <v>5688257.5961786527</v>
      </c>
      <c r="V708" s="171">
        <f t="shared" si="356"/>
        <v>0</v>
      </c>
      <c r="W708" s="171">
        <f>IF(OR(A708&gt;=$C$13,B708="Retired"),IF(V708&gt;0,-V708,U708-'Model Inputs'!$B$18),"")</f>
        <v>4688257.5961786527</v>
      </c>
      <c r="X708" s="171">
        <f t="shared" si="344"/>
        <v>1793111.4855308095</v>
      </c>
      <c r="Y708" s="171">
        <f t="shared" si="345"/>
        <v>896293.47840613243</v>
      </c>
      <c r="Z708" s="171">
        <f t="shared" si="346"/>
        <v>896818.00712467707</v>
      </c>
      <c r="AA708" s="175">
        <f t="shared" si="347"/>
        <v>6585075.60330333</v>
      </c>
      <c r="AB708" s="5"/>
      <c r="AC708" s="5"/>
      <c r="AD708" s="5"/>
      <c r="AE708" s="5"/>
      <c r="AF708" s="5"/>
      <c r="AG708" s="5"/>
    </row>
    <row r="709" spans="1:33" x14ac:dyDescent="0.2">
      <c r="A709" s="169">
        <v>13</v>
      </c>
      <c r="B709" s="100" t="str">
        <f t="shared" si="333"/>
        <v>Retired</v>
      </c>
      <c r="C709" s="170">
        <f t="shared" si="334"/>
        <v>0</v>
      </c>
      <c r="D709" s="170">
        <f t="shared" si="335"/>
        <v>0</v>
      </c>
      <c r="E709" s="170">
        <f t="shared" si="336"/>
        <v>0</v>
      </c>
      <c r="F709" s="170">
        <f t="shared" si="337"/>
        <v>0</v>
      </c>
      <c r="G709" s="171">
        <f t="shared" si="338"/>
        <v>0</v>
      </c>
      <c r="H709" s="171">
        <f t="shared" si="339"/>
        <v>111140.26383502985</v>
      </c>
      <c r="I709" s="171">
        <f>IF(B709="Working",MIN(MAX(D709-E709-F709-G709-H709,0),'Tax Assumptions'!$B$20),0)</f>
        <v>0</v>
      </c>
      <c r="J709" s="171">
        <f t="shared" si="340"/>
        <v>-251140.26383502985</v>
      </c>
      <c r="K709" s="170">
        <f t="shared" si="341"/>
        <v>251140.26383502985</v>
      </c>
      <c r="L709" s="170">
        <f t="shared" si="342"/>
        <v>251140.26383502985</v>
      </c>
      <c r="M709" s="170">
        <f t="shared" si="348"/>
        <v>251140.26383502985</v>
      </c>
      <c r="N709" s="170">
        <f t="shared" si="349"/>
        <v>0</v>
      </c>
      <c r="O709" s="170">
        <f t="shared" si="350"/>
        <v>0</v>
      </c>
      <c r="P709" s="170">
        <f t="shared" si="351"/>
        <v>0</v>
      </c>
      <c r="Q709" s="171">
        <f t="shared" si="352"/>
        <v>5276059.582703311</v>
      </c>
      <c r="R709" s="171">
        <f t="shared" si="353"/>
        <v>384614.1728928209</v>
      </c>
      <c r="S709" s="171">
        <f t="shared" si="354"/>
        <v>117739.03251821046</v>
      </c>
      <c r="T709" s="171">
        <f t="shared" si="355"/>
        <v>0</v>
      </c>
      <c r="U709" s="171">
        <f t="shared" si="343"/>
        <v>5778412.7881143428</v>
      </c>
      <c r="V709" s="171">
        <f t="shared" si="356"/>
        <v>0</v>
      </c>
      <c r="W709" s="171">
        <f>IF(OR(A709&gt;=$C$13,B709="Retired"),IF(V709&gt;0,-V709,U709-'Model Inputs'!$B$18),"")</f>
        <v>4778412.7881143428</v>
      </c>
      <c r="X709" s="171">
        <f t="shared" si="344"/>
        <v>1846904.830096734</v>
      </c>
      <c r="Y709" s="171">
        <f t="shared" si="345"/>
        <v>883672.60046487302</v>
      </c>
      <c r="Z709" s="171">
        <f t="shared" si="346"/>
        <v>963232.22963186097</v>
      </c>
      <c r="AA709" s="172">
        <f t="shared" si="347"/>
        <v>6741645.0177462036</v>
      </c>
      <c r="AB709" s="5"/>
      <c r="AC709" s="5"/>
      <c r="AD709" s="5"/>
      <c r="AE709" s="5"/>
      <c r="AF709" s="5"/>
      <c r="AG709" s="5"/>
    </row>
    <row r="710" spans="1:33" x14ac:dyDescent="0.2">
      <c r="A710" s="173">
        <v>14</v>
      </c>
      <c r="B710" s="65" t="str">
        <f t="shared" si="333"/>
        <v>Retired</v>
      </c>
      <c r="C710" s="174">
        <f t="shared" si="334"/>
        <v>0</v>
      </c>
      <c r="D710" s="174">
        <f t="shared" si="335"/>
        <v>0</v>
      </c>
      <c r="E710" s="174">
        <f t="shared" si="336"/>
        <v>0</v>
      </c>
      <c r="F710" s="174">
        <f t="shared" si="337"/>
        <v>0</v>
      </c>
      <c r="G710" s="171">
        <f t="shared" si="338"/>
        <v>0</v>
      </c>
      <c r="H710" s="171">
        <f t="shared" si="339"/>
        <v>112359.22102289369</v>
      </c>
      <c r="I710" s="171">
        <f>IF(B710="Working",MIN(MAX(D710-E710-F710-G710-H710,0),'Tax Assumptions'!$B$20),0)</f>
        <v>0</v>
      </c>
      <c r="J710" s="171">
        <f t="shared" si="340"/>
        <v>-252359.22102289367</v>
      </c>
      <c r="K710" s="174">
        <f t="shared" si="341"/>
        <v>252359.22102289367</v>
      </c>
      <c r="L710" s="174">
        <f t="shared" si="342"/>
        <v>252359.22102289367</v>
      </c>
      <c r="M710" s="174">
        <f t="shared" si="348"/>
        <v>252359.22102289367</v>
      </c>
      <c r="N710" s="174">
        <f t="shared" si="349"/>
        <v>0</v>
      </c>
      <c r="O710" s="174">
        <f t="shared" si="350"/>
        <v>0</v>
      </c>
      <c r="P710" s="174">
        <f t="shared" si="351"/>
        <v>0</v>
      </c>
      <c r="Q710" s="171">
        <f t="shared" si="352"/>
        <v>5340263.9366426161</v>
      </c>
      <c r="R710" s="171">
        <f t="shared" si="353"/>
        <v>407691.0232663902</v>
      </c>
      <c r="S710" s="171">
        <f t="shared" si="354"/>
        <v>124803.37446930309</v>
      </c>
      <c r="T710" s="171">
        <f t="shared" si="355"/>
        <v>0</v>
      </c>
      <c r="U710" s="171">
        <f t="shared" si="343"/>
        <v>5872758.3343783095</v>
      </c>
      <c r="V710" s="171">
        <f t="shared" si="356"/>
        <v>0</v>
      </c>
      <c r="W710" s="171">
        <f>IF(OR(A710&gt;=$C$13,B710="Retired"),IF(V710&gt;0,-V710,U710-'Model Inputs'!$B$18),"")</f>
        <v>4872758.3343783095</v>
      </c>
      <c r="X710" s="171">
        <f t="shared" si="344"/>
        <v>1902311.9749996357</v>
      </c>
      <c r="Y710" s="171">
        <f t="shared" si="345"/>
        <v>870206.47895398969</v>
      </c>
      <c r="Z710" s="171">
        <f t="shared" si="346"/>
        <v>1032105.496045646</v>
      </c>
      <c r="AA710" s="175">
        <f t="shared" si="347"/>
        <v>6904863.8304239558</v>
      </c>
      <c r="AB710" s="5"/>
      <c r="AC710" s="5"/>
      <c r="AD710" s="5"/>
      <c r="AE710" s="5"/>
      <c r="AF710" s="5"/>
      <c r="AG710" s="5"/>
    </row>
    <row r="711" spans="1:33" x14ac:dyDescent="0.2">
      <c r="A711" s="169">
        <v>15</v>
      </c>
      <c r="B711" s="100" t="str">
        <f t="shared" si="333"/>
        <v>Retired</v>
      </c>
      <c r="C711" s="170">
        <f t="shared" si="334"/>
        <v>0</v>
      </c>
      <c r="D711" s="170">
        <f t="shared" si="335"/>
        <v>0</v>
      </c>
      <c r="E711" s="170">
        <f t="shared" si="336"/>
        <v>0</v>
      </c>
      <c r="F711" s="170">
        <f t="shared" si="337"/>
        <v>0</v>
      </c>
      <c r="G711" s="171">
        <f t="shared" si="338"/>
        <v>0</v>
      </c>
      <c r="H711" s="171">
        <f t="shared" si="339"/>
        <v>113614.74692639345</v>
      </c>
      <c r="I711" s="171">
        <f>IF(B711="Working",MIN(MAX(D711-E711-F711-G711-H711,0),'Tax Assumptions'!$B$20),0)</f>
        <v>0</v>
      </c>
      <c r="J711" s="171">
        <f t="shared" si="340"/>
        <v>-253614.74692639345</v>
      </c>
      <c r="K711" s="170">
        <f t="shared" si="341"/>
        <v>253614.74692639345</v>
      </c>
      <c r="L711" s="170">
        <f t="shared" si="342"/>
        <v>253614.74692639345</v>
      </c>
      <c r="M711" s="170">
        <f t="shared" si="348"/>
        <v>253614.74692639345</v>
      </c>
      <c r="N711" s="170">
        <f t="shared" si="349"/>
        <v>0</v>
      </c>
      <c r="O711" s="170">
        <f t="shared" si="350"/>
        <v>0</v>
      </c>
      <c r="P711" s="170">
        <f t="shared" si="351"/>
        <v>0</v>
      </c>
      <c r="Q711" s="171">
        <f t="shared" si="352"/>
        <v>5407065.0259147799</v>
      </c>
      <c r="R711" s="171">
        <f t="shared" si="353"/>
        <v>432152.48466237361</v>
      </c>
      <c r="S711" s="171">
        <f t="shared" si="354"/>
        <v>132291.57693746127</v>
      </c>
      <c r="T711" s="171">
        <f t="shared" si="355"/>
        <v>0</v>
      </c>
      <c r="U711" s="171">
        <f t="shared" si="343"/>
        <v>5971509.0875146147</v>
      </c>
      <c r="V711" s="171">
        <f t="shared" si="356"/>
        <v>0</v>
      </c>
      <c r="W711" s="171">
        <f>IF(OR(A711&gt;=$C$13,B711="Retired"),IF(V711&gt;0,-V711,U711-'Model Inputs'!$B$18),"")</f>
        <v>4971509.0875146147</v>
      </c>
      <c r="X711" s="171">
        <f t="shared" si="344"/>
        <v>1959381.3342496247</v>
      </c>
      <c r="Y711" s="171">
        <f t="shared" si="345"/>
        <v>855838.50634623086</v>
      </c>
      <c r="Z711" s="171">
        <f t="shared" si="346"/>
        <v>1103542.8279033939</v>
      </c>
      <c r="AA711" s="172">
        <f t="shared" si="347"/>
        <v>7075051.9154180083</v>
      </c>
      <c r="AB711" s="5"/>
      <c r="AC711" s="5"/>
      <c r="AD711" s="5"/>
      <c r="AE711" s="5"/>
      <c r="AF711" s="5"/>
      <c r="AG711" s="5"/>
    </row>
    <row r="712" spans="1:33" x14ac:dyDescent="0.2">
      <c r="A712" s="173">
        <v>16</v>
      </c>
      <c r="B712" s="65" t="str">
        <f t="shared" si="333"/>
        <v>Retired</v>
      </c>
      <c r="C712" s="174">
        <f t="shared" si="334"/>
        <v>0</v>
      </c>
      <c r="D712" s="174">
        <f t="shared" si="335"/>
        <v>0</v>
      </c>
      <c r="E712" s="174">
        <f t="shared" si="336"/>
        <v>0</v>
      </c>
      <c r="F712" s="174">
        <f t="shared" si="337"/>
        <v>0</v>
      </c>
      <c r="G712" s="171">
        <f t="shared" si="338"/>
        <v>0</v>
      </c>
      <c r="H712" s="171">
        <f t="shared" si="339"/>
        <v>114907.9386069982</v>
      </c>
      <c r="I712" s="171">
        <f>IF(B712="Working",MIN(MAX(D712-E712-F712-G712-H712,0),'Tax Assumptions'!$B$20),0)</f>
        <v>0</v>
      </c>
      <c r="J712" s="171">
        <f t="shared" si="340"/>
        <v>-254907.93860699818</v>
      </c>
      <c r="K712" s="174">
        <f t="shared" si="341"/>
        <v>254907.93860699818</v>
      </c>
      <c r="L712" s="174">
        <f t="shared" si="342"/>
        <v>254907.93860699818</v>
      </c>
      <c r="M712" s="174">
        <f t="shared" si="348"/>
        <v>254907.93860699818</v>
      </c>
      <c r="N712" s="174">
        <f t="shared" si="349"/>
        <v>0</v>
      </c>
      <c r="O712" s="174">
        <f t="shared" si="350"/>
        <v>0</v>
      </c>
      <c r="P712" s="174">
        <f t="shared" si="351"/>
        <v>0</v>
      </c>
      <c r="Q712" s="171">
        <f t="shared" si="352"/>
        <v>5476580.9888626691</v>
      </c>
      <c r="R712" s="171">
        <f t="shared" si="353"/>
        <v>458081.63374211604</v>
      </c>
      <c r="S712" s="171">
        <f t="shared" si="354"/>
        <v>140229.07155370896</v>
      </c>
      <c r="T712" s="171">
        <f t="shared" si="355"/>
        <v>0</v>
      </c>
      <c r="U712" s="171">
        <f t="shared" si="343"/>
        <v>6074891.6941584945</v>
      </c>
      <c r="V712" s="171">
        <f t="shared" si="356"/>
        <v>0</v>
      </c>
      <c r="W712" s="171">
        <f>IF(OR(A712&gt;=$C$13,B712="Retired"),IF(V712&gt;0,-V712,U712-'Model Inputs'!$B$18),"")</f>
        <v>5074891.6941584945</v>
      </c>
      <c r="X712" s="171">
        <f t="shared" si="344"/>
        <v>2018162.7742771136</v>
      </c>
      <c r="Y712" s="171">
        <f t="shared" si="345"/>
        <v>840508.28400340897</v>
      </c>
      <c r="Z712" s="171">
        <f t="shared" si="346"/>
        <v>1177654.4902737048</v>
      </c>
      <c r="AA712" s="175">
        <f t="shared" si="347"/>
        <v>7252546.1844321992</v>
      </c>
      <c r="AB712" s="5"/>
      <c r="AC712" s="5"/>
      <c r="AD712" s="5"/>
      <c r="AE712" s="5"/>
      <c r="AF712" s="5"/>
      <c r="AG712" s="5"/>
    </row>
    <row r="713" spans="1:33" x14ac:dyDescent="0.2">
      <c r="A713" s="169">
        <v>17</v>
      </c>
      <c r="B713" s="100" t="str">
        <f t="shared" si="333"/>
        <v>Retired</v>
      </c>
      <c r="C713" s="170">
        <f t="shared" si="334"/>
        <v>0</v>
      </c>
      <c r="D713" s="170">
        <f t="shared" si="335"/>
        <v>0</v>
      </c>
      <c r="E713" s="170">
        <f t="shared" si="336"/>
        <v>0</v>
      </c>
      <c r="F713" s="170">
        <f t="shared" si="337"/>
        <v>0</v>
      </c>
      <c r="G713" s="171">
        <f t="shared" si="338"/>
        <v>0</v>
      </c>
      <c r="H713" s="171">
        <f t="shared" si="339"/>
        <v>116239.92603802111</v>
      </c>
      <c r="I713" s="171">
        <f>IF(B713="Working",MIN(MAX(D713-E713-F713-G713-H713,0),'Tax Assumptions'!$B$20),0)</f>
        <v>0</v>
      </c>
      <c r="J713" s="171">
        <f t="shared" si="340"/>
        <v>-256239.92603802111</v>
      </c>
      <c r="K713" s="170">
        <f t="shared" si="341"/>
        <v>256239.92603802111</v>
      </c>
      <c r="L713" s="170">
        <f t="shared" si="342"/>
        <v>256239.92603802111</v>
      </c>
      <c r="M713" s="170">
        <f t="shared" si="348"/>
        <v>256239.92603802111</v>
      </c>
      <c r="N713" s="170">
        <f t="shared" si="349"/>
        <v>0</v>
      </c>
      <c r="O713" s="170">
        <f t="shared" si="350"/>
        <v>0</v>
      </c>
      <c r="P713" s="170">
        <f t="shared" si="351"/>
        <v>0</v>
      </c>
      <c r="Q713" s="171">
        <f t="shared" si="352"/>
        <v>5548935.9221564084</v>
      </c>
      <c r="R713" s="171">
        <f t="shared" si="353"/>
        <v>485566.53176664305</v>
      </c>
      <c r="S713" s="171">
        <f t="shared" si="354"/>
        <v>148642.81584693151</v>
      </c>
      <c r="T713" s="171">
        <f t="shared" si="355"/>
        <v>0</v>
      </c>
      <c r="U713" s="171">
        <f t="shared" si="343"/>
        <v>6183145.2697699824</v>
      </c>
      <c r="V713" s="171">
        <f t="shared" si="356"/>
        <v>0</v>
      </c>
      <c r="W713" s="171">
        <f>IF(OR(A713&gt;=$C$13,B713="Retired"),IF(V713&gt;0,-V713,U713-'Model Inputs'!$B$18),"")</f>
        <v>5183145.2697699824</v>
      </c>
      <c r="X713" s="171">
        <f t="shared" si="344"/>
        <v>2078707.6575054273</v>
      </c>
      <c r="Y713" s="171">
        <f t="shared" si="345"/>
        <v>824151.36827867723</v>
      </c>
      <c r="Z713" s="171">
        <f t="shared" si="346"/>
        <v>1254556.2892267499</v>
      </c>
      <c r="AA713" s="172">
        <f t="shared" si="347"/>
        <v>7437701.5589967323</v>
      </c>
      <c r="AB713" s="5"/>
      <c r="AC713" s="5"/>
      <c r="AD713" s="5"/>
      <c r="AE713" s="5"/>
      <c r="AF713" s="5"/>
      <c r="AG713" s="5"/>
    </row>
    <row r="714" spans="1:33" x14ac:dyDescent="0.2">
      <c r="A714" s="173">
        <v>18</v>
      </c>
      <c r="B714" s="65" t="str">
        <f t="shared" si="333"/>
        <v>Retired</v>
      </c>
      <c r="C714" s="174">
        <f t="shared" si="334"/>
        <v>0</v>
      </c>
      <c r="D714" s="174">
        <f t="shared" si="335"/>
        <v>0</v>
      </c>
      <c r="E714" s="174">
        <f t="shared" si="336"/>
        <v>0</v>
      </c>
      <c r="F714" s="174">
        <f t="shared" si="337"/>
        <v>0</v>
      </c>
      <c r="G714" s="171">
        <f t="shared" si="338"/>
        <v>0</v>
      </c>
      <c r="H714" s="171">
        <f t="shared" si="339"/>
        <v>117611.87309197467</v>
      </c>
      <c r="I714" s="171">
        <f>IF(B714="Working",MIN(MAX(D714-E714-F714-G714-H714,0),'Tax Assumptions'!$B$20),0)</f>
        <v>0</v>
      </c>
      <c r="J714" s="171">
        <f t="shared" si="340"/>
        <v>-257611.87309197467</v>
      </c>
      <c r="K714" s="174">
        <f t="shared" si="341"/>
        <v>257611.87309197467</v>
      </c>
      <c r="L714" s="174">
        <f t="shared" si="342"/>
        <v>257611.87309197467</v>
      </c>
      <c r="M714" s="174">
        <f t="shared" si="348"/>
        <v>257611.87309197467</v>
      </c>
      <c r="N714" s="174">
        <f t="shared" si="349"/>
        <v>0</v>
      </c>
      <c r="O714" s="174">
        <f t="shared" si="350"/>
        <v>0</v>
      </c>
      <c r="P714" s="174">
        <f t="shared" si="351"/>
        <v>0</v>
      </c>
      <c r="Q714" s="171">
        <f t="shared" si="352"/>
        <v>5624260.204393819</v>
      </c>
      <c r="R714" s="171">
        <f t="shared" si="353"/>
        <v>514700.52367264166</v>
      </c>
      <c r="S714" s="171">
        <f t="shared" si="354"/>
        <v>157561.38479774742</v>
      </c>
      <c r="T714" s="171">
        <f t="shared" si="355"/>
        <v>0</v>
      </c>
      <c r="U714" s="171">
        <f t="shared" si="343"/>
        <v>6296522.1128642075</v>
      </c>
      <c r="V714" s="171">
        <f t="shared" si="356"/>
        <v>0</v>
      </c>
      <c r="W714" s="171">
        <f>IF(OR(A714&gt;=$C$13,B714="Retired"),IF(V714&gt;0,-V714,U714-'Model Inputs'!$B$18),"")</f>
        <v>5296522.1128642075</v>
      </c>
      <c r="X714" s="171">
        <f t="shared" si="344"/>
        <v>2141068.8872305895</v>
      </c>
      <c r="Y714" s="171">
        <f t="shared" si="345"/>
        <v>806698.99961481092</v>
      </c>
      <c r="Z714" s="171">
        <f t="shared" si="346"/>
        <v>1334369.8876157785</v>
      </c>
      <c r="AA714" s="175">
        <f t="shared" si="347"/>
        <v>7630892.000479986</v>
      </c>
      <c r="AB714" s="5"/>
      <c r="AC714" s="5"/>
      <c r="AD714" s="5"/>
      <c r="AE714" s="5"/>
      <c r="AF714" s="5"/>
      <c r="AG714" s="5"/>
    </row>
    <row r="715" spans="1:33" x14ac:dyDescent="0.2">
      <c r="A715" s="169">
        <v>19</v>
      </c>
      <c r="B715" s="100" t="str">
        <f t="shared" si="333"/>
        <v>Retired</v>
      </c>
      <c r="C715" s="170">
        <f t="shared" si="334"/>
        <v>0</v>
      </c>
      <c r="D715" s="170">
        <f t="shared" si="335"/>
        <v>0</v>
      </c>
      <c r="E715" s="170">
        <f t="shared" si="336"/>
        <v>0</v>
      </c>
      <c r="F715" s="170">
        <f t="shared" si="337"/>
        <v>0</v>
      </c>
      <c r="G715" s="171">
        <f t="shared" si="338"/>
        <v>0</v>
      </c>
      <c r="H715" s="171">
        <f t="shared" si="339"/>
        <v>119024.97855754686</v>
      </c>
      <c r="I715" s="171">
        <f>IF(B715="Working",MIN(MAX(D715-E715-F715-G715-H715,0),'Tax Assumptions'!$B$20),0)</f>
        <v>0</v>
      </c>
      <c r="J715" s="171">
        <f t="shared" si="340"/>
        <v>-259024.97855754686</v>
      </c>
      <c r="K715" s="170">
        <f t="shared" si="341"/>
        <v>259024.97855754686</v>
      </c>
      <c r="L715" s="170">
        <f t="shared" si="342"/>
        <v>259024.97855754686</v>
      </c>
      <c r="M715" s="170">
        <f t="shared" si="348"/>
        <v>259024.97855754686</v>
      </c>
      <c r="N715" s="170">
        <f t="shared" si="349"/>
        <v>0</v>
      </c>
      <c r="O715" s="170">
        <f t="shared" si="350"/>
        <v>0</v>
      </c>
      <c r="P715" s="170">
        <f t="shared" si="351"/>
        <v>0</v>
      </c>
      <c r="Q715" s="171">
        <f t="shared" si="352"/>
        <v>5702690.8380999016</v>
      </c>
      <c r="R715" s="171">
        <f t="shared" si="353"/>
        <v>545582.55509300018</v>
      </c>
      <c r="S715" s="171">
        <f t="shared" si="354"/>
        <v>167015.06788561228</v>
      </c>
      <c r="T715" s="171">
        <f t="shared" si="355"/>
        <v>0</v>
      </c>
      <c r="U715" s="171">
        <f t="shared" si="343"/>
        <v>6415288.4610785143</v>
      </c>
      <c r="V715" s="171">
        <f t="shared" si="356"/>
        <v>0</v>
      </c>
      <c r="W715" s="171">
        <f>IF(OR(A715&gt;=$C$13,B715="Retired"),IF(V715&gt;0,-V715,U715-'Model Inputs'!$B$18),"")</f>
        <v>5415288.4610785143</v>
      </c>
      <c r="X715" s="171">
        <f t="shared" si="344"/>
        <v>2205300.9538475075</v>
      </c>
      <c r="Y715" s="171">
        <f t="shared" si="345"/>
        <v>788077.81349969411</v>
      </c>
      <c r="Z715" s="171">
        <f t="shared" si="346"/>
        <v>1417223.1403478133</v>
      </c>
      <c r="AA715" s="172">
        <f t="shared" si="347"/>
        <v>7832511.6014263276</v>
      </c>
      <c r="AB715" s="5"/>
      <c r="AC715" s="5"/>
      <c r="AD715" s="5"/>
      <c r="AE715" s="5"/>
      <c r="AF715" s="5"/>
      <c r="AG715" s="5"/>
    </row>
    <row r="716" spans="1:33" x14ac:dyDescent="0.2">
      <c r="A716" s="173">
        <v>20</v>
      </c>
      <c r="B716" s="65" t="str">
        <f t="shared" si="333"/>
        <v>Retired</v>
      </c>
      <c r="C716" s="174">
        <f t="shared" si="334"/>
        <v>0</v>
      </c>
      <c r="D716" s="174">
        <f t="shared" si="335"/>
        <v>0</v>
      </c>
      <c r="E716" s="174">
        <f t="shared" si="336"/>
        <v>0</v>
      </c>
      <c r="F716" s="174">
        <f t="shared" si="337"/>
        <v>0</v>
      </c>
      <c r="G716" s="171">
        <f t="shared" si="338"/>
        <v>0</v>
      </c>
      <c r="H716" s="171">
        <f t="shared" si="339"/>
        <v>120480.47718708622</v>
      </c>
      <c r="I716" s="171">
        <f>IF(B716="Working",MIN(MAX(D716-E716-F716-G716-H716,0),'Tax Assumptions'!$B$20),0)</f>
        <v>0</v>
      </c>
      <c r="J716" s="171">
        <f t="shared" si="340"/>
        <v>-260480.47718708622</v>
      </c>
      <c r="K716" s="174">
        <f t="shared" si="341"/>
        <v>260480.47718708622</v>
      </c>
      <c r="L716" s="174">
        <f t="shared" si="342"/>
        <v>260480.47718708622</v>
      </c>
      <c r="M716" s="174">
        <f t="shared" si="348"/>
        <v>260480.47718708622</v>
      </c>
      <c r="N716" s="174">
        <f t="shared" si="349"/>
        <v>0</v>
      </c>
      <c r="O716" s="174">
        <f t="shared" si="350"/>
        <v>0</v>
      </c>
      <c r="P716" s="174">
        <f t="shared" si="351"/>
        <v>0</v>
      </c>
      <c r="Q716" s="171">
        <f t="shared" si="352"/>
        <v>5784371.8111988101</v>
      </c>
      <c r="R716" s="171">
        <f t="shared" si="353"/>
        <v>578317.50839858025</v>
      </c>
      <c r="S716" s="171">
        <f t="shared" si="354"/>
        <v>177035.97195874903</v>
      </c>
      <c r="T716" s="171">
        <f t="shared" si="355"/>
        <v>0</v>
      </c>
      <c r="U716" s="171">
        <f t="shared" si="343"/>
        <v>6539725.2915561395</v>
      </c>
      <c r="V716" s="171">
        <f t="shared" si="356"/>
        <v>0</v>
      </c>
      <c r="W716" s="171">
        <f>IF(OR(A716&gt;=$C$13,B716="Retired"),IF(V716&gt;0,-V716,U716-'Model Inputs'!$B$18),"")</f>
        <v>5539725.2915561395</v>
      </c>
      <c r="X716" s="171">
        <f t="shared" si="344"/>
        <v>2271459.9824629328</v>
      </c>
      <c r="Y716" s="171">
        <f t="shared" si="345"/>
        <v>768209.53206396382</v>
      </c>
      <c r="Z716" s="171">
        <f t="shared" si="346"/>
        <v>1503250.450398969</v>
      </c>
      <c r="AA716" s="175">
        <f t="shared" si="347"/>
        <v>8042975.7419551089</v>
      </c>
      <c r="AB716" s="5"/>
      <c r="AC716" s="5"/>
      <c r="AD716" s="5"/>
      <c r="AE716" s="5"/>
      <c r="AF716" s="5"/>
      <c r="AG716" s="5"/>
    </row>
    <row r="717" spans="1:33" x14ac:dyDescent="0.2">
      <c r="A717" s="169">
        <v>21</v>
      </c>
      <c r="B717" s="100" t="str">
        <f t="shared" si="333"/>
        <v>Retired</v>
      </c>
      <c r="C717" s="170">
        <f t="shared" si="334"/>
        <v>0</v>
      </c>
      <c r="D717" s="170">
        <f t="shared" si="335"/>
        <v>0</v>
      </c>
      <c r="E717" s="170">
        <f t="shared" si="336"/>
        <v>0</v>
      </c>
      <c r="F717" s="170">
        <f t="shared" si="337"/>
        <v>0</v>
      </c>
      <c r="G717" s="171">
        <f t="shared" si="338"/>
        <v>0</v>
      </c>
      <c r="H717" s="171">
        <f t="shared" si="339"/>
        <v>121979.64077551175</v>
      </c>
      <c r="I717" s="171">
        <f>IF(B717="Working",MIN(MAX(D717-E717-F717-G717-H717,0),'Tax Assumptions'!$B$20),0)</f>
        <v>0</v>
      </c>
      <c r="J717" s="171">
        <f t="shared" si="340"/>
        <v>-261979.64077551174</v>
      </c>
      <c r="K717" s="170">
        <f t="shared" si="341"/>
        <v>261979.64077551174</v>
      </c>
      <c r="L717" s="170">
        <f t="shared" si="342"/>
        <v>261979.64077551174</v>
      </c>
      <c r="M717" s="170">
        <f t="shared" si="348"/>
        <v>261979.64077551174</v>
      </c>
      <c r="N717" s="170">
        <f t="shared" si="349"/>
        <v>0</v>
      </c>
      <c r="O717" s="170">
        <f t="shared" si="350"/>
        <v>0</v>
      </c>
      <c r="P717" s="170">
        <f t="shared" si="351"/>
        <v>0</v>
      </c>
      <c r="Q717" s="171">
        <f t="shared" si="352"/>
        <v>5869454.4790952271</v>
      </c>
      <c r="R717" s="171">
        <f t="shared" si="353"/>
        <v>613016.55890249508</v>
      </c>
      <c r="S717" s="171">
        <f t="shared" si="354"/>
        <v>187658.13027627397</v>
      </c>
      <c r="T717" s="171">
        <f t="shared" si="355"/>
        <v>0</v>
      </c>
      <c r="U717" s="171">
        <f t="shared" si="343"/>
        <v>6670129.1682739966</v>
      </c>
      <c r="V717" s="171">
        <f t="shared" si="356"/>
        <v>0</v>
      </c>
      <c r="W717" s="171">
        <f>IF(OR(A717&gt;=$C$13,B717="Retired"),IF(V717&gt;0,-V717,U717-'Model Inputs'!$B$18),"")</f>
        <v>5670129.1682739966</v>
      </c>
      <c r="X717" s="171">
        <f t="shared" si="344"/>
        <v>2339603.7819368206</v>
      </c>
      <c r="Y717" s="171">
        <f t="shared" si="345"/>
        <v>747010.63502437528</v>
      </c>
      <c r="Z717" s="171">
        <f t="shared" si="346"/>
        <v>1592593.1469124453</v>
      </c>
      <c r="AA717" s="172">
        <f t="shared" si="347"/>
        <v>8262722.3151864419</v>
      </c>
      <c r="AB717" s="5"/>
      <c r="AC717" s="5"/>
      <c r="AD717" s="5"/>
      <c r="AE717" s="5"/>
      <c r="AF717" s="5"/>
      <c r="AG717" s="5"/>
    </row>
    <row r="718" spans="1:33" x14ac:dyDescent="0.2">
      <c r="A718" s="173">
        <v>22</v>
      </c>
      <c r="B718" s="65" t="str">
        <f t="shared" si="333"/>
        <v>Retired</v>
      </c>
      <c r="C718" s="174">
        <f t="shared" si="334"/>
        <v>0</v>
      </c>
      <c r="D718" s="174">
        <f t="shared" si="335"/>
        <v>0</v>
      </c>
      <c r="E718" s="174">
        <f t="shared" si="336"/>
        <v>0</v>
      </c>
      <c r="F718" s="174">
        <f t="shared" si="337"/>
        <v>0</v>
      </c>
      <c r="G718" s="171">
        <f t="shared" si="338"/>
        <v>0</v>
      </c>
      <c r="H718" s="171">
        <f t="shared" si="339"/>
        <v>123523.77927159006</v>
      </c>
      <c r="I718" s="171">
        <f>IF(B718="Working",MIN(MAX(D718-E718-F718-G718-H718,0),'Tax Assumptions'!$B$20),0)</f>
        <v>0</v>
      </c>
      <c r="J718" s="171">
        <f t="shared" si="340"/>
        <v>-263523.77927159006</v>
      </c>
      <c r="K718" s="174">
        <f t="shared" si="341"/>
        <v>263523.77927159006</v>
      </c>
      <c r="L718" s="174">
        <f t="shared" si="342"/>
        <v>263523.77927159006</v>
      </c>
      <c r="M718" s="174">
        <f t="shared" si="348"/>
        <v>263523.77927159006</v>
      </c>
      <c r="N718" s="174">
        <f t="shared" si="349"/>
        <v>0</v>
      </c>
      <c r="O718" s="174">
        <f t="shared" si="350"/>
        <v>0</v>
      </c>
      <c r="P718" s="174">
        <f t="shared" si="351"/>
        <v>0</v>
      </c>
      <c r="Q718" s="171">
        <f t="shared" si="352"/>
        <v>5958097.9685693514</v>
      </c>
      <c r="R718" s="171">
        <f t="shared" si="353"/>
        <v>649797.55243664479</v>
      </c>
      <c r="S718" s="171">
        <f t="shared" si="354"/>
        <v>198917.6180928504</v>
      </c>
      <c r="T718" s="171">
        <f t="shared" si="355"/>
        <v>0</v>
      </c>
      <c r="U718" s="171">
        <f t="shared" si="343"/>
        <v>6806813.1390988473</v>
      </c>
      <c r="V718" s="171">
        <f t="shared" si="356"/>
        <v>0</v>
      </c>
      <c r="W718" s="171">
        <f>IF(OR(A718&gt;=$C$13,B718="Retired"),IF(V718&gt;0,-V718,U718-'Model Inputs'!$B$18),"")</f>
        <v>5806813.1390988473</v>
      </c>
      <c r="X718" s="171">
        <f t="shared" si="344"/>
        <v>2409791.895394925</v>
      </c>
      <c r="Y718" s="171">
        <f t="shared" si="345"/>
        <v>724392.00858963397</v>
      </c>
      <c r="Z718" s="171">
        <f t="shared" si="346"/>
        <v>1685399.8868052911</v>
      </c>
      <c r="AA718" s="175">
        <f t="shared" si="347"/>
        <v>8492213.0259041376</v>
      </c>
      <c r="AB718" s="5"/>
      <c r="AC718" s="5"/>
      <c r="AD718" s="5"/>
      <c r="AE718" s="5"/>
      <c r="AF718" s="5"/>
      <c r="AG718" s="5"/>
    </row>
    <row r="719" spans="1:33" x14ac:dyDescent="0.2">
      <c r="A719" s="169">
        <v>23</v>
      </c>
      <c r="B719" s="100" t="str">
        <f t="shared" si="333"/>
        <v>Retired</v>
      </c>
      <c r="C719" s="170">
        <f t="shared" si="334"/>
        <v>0</v>
      </c>
      <c r="D719" s="170">
        <f t="shared" si="335"/>
        <v>0</v>
      </c>
      <c r="E719" s="170">
        <f t="shared" si="336"/>
        <v>0</v>
      </c>
      <c r="F719" s="170">
        <f t="shared" si="337"/>
        <v>0</v>
      </c>
      <c r="G719" s="171">
        <f t="shared" si="338"/>
        <v>0</v>
      </c>
      <c r="H719" s="171">
        <f t="shared" si="339"/>
        <v>125114.2419225507</v>
      </c>
      <c r="I719" s="171">
        <f>IF(B719="Working",MIN(MAX(D719-E719-F719-G719-H719,0),'Tax Assumptions'!$B$20),0)</f>
        <v>0</v>
      </c>
      <c r="J719" s="171">
        <f t="shared" si="340"/>
        <v>-265114.24192255072</v>
      </c>
      <c r="K719" s="170">
        <f t="shared" si="341"/>
        <v>265114.24192255072</v>
      </c>
      <c r="L719" s="170">
        <f t="shared" si="342"/>
        <v>265114.24192255072</v>
      </c>
      <c r="M719" s="170">
        <f t="shared" si="348"/>
        <v>265114.24192255072</v>
      </c>
      <c r="N719" s="170">
        <f t="shared" si="349"/>
        <v>0</v>
      </c>
      <c r="O719" s="170">
        <f t="shared" si="350"/>
        <v>0</v>
      </c>
      <c r="P719" s="170">
        <f t="shared" si="351"/>
        <v>0</v>
      </c>
      <c r="Q719" s="171">
        <f t="shared" si="352"/>
        <v>6050469.6047609616</v>
      </c>
      <c r="R719" s="171">
        <f t="shared" si="353"/>
        <v>688785.40558284346</v>
      </c>
      <c r="S719" s="171">
        <f t="shared" si="354"/>
        <v>210852.67517842143</v>
      </c>
      <c r="T719" s="171">
        <f t="shared" si="355"/>
        <v>0</v>
      </c>
      <c r="U719" s="171">
        <f t="shared" si="343"/>
        <v>6950107.6855222266</v>
      </c>
      <c r="V719" s="171">
        <f t="shared" si="356"/>
        <v>0</v>
      </c>
      <c r="W719" s="171">
        <f>IF(OR(A719&gt;=$C$13,B719="Retired"),IF(V719&gt;0,-V719,U719-'Model Inputs'!$B$18),"")</f>
        <v>5950107.6855222266</v>
      </c>
      <c r="X719" s="171">
        <f t="shared" si="344"/>
        <v>2482085.6522567729</v>
      </c>
      <c r="Y719" s="171">
        <f t="shared" si="345"/>
        <v>700258.57085280493</v>
      </c>
      <c r="Z719" s="171">
        <f t="shared" si="346"/>
        <v>1781827.0814039679</v>
      </c>
      <c r="AA719" s="172">
        <f t="shared" si="347"/>
        <v>8731934.7669261955</v>
      </c>
      <c r="AB719" s="5"/>
      <c r="AC719" s="5"/>
      <c r="AD719" s="5"/>
      <c r="AE719" s="5"/>
      <c r="AF719" s="5"/>
      <c r="AG719" s="5"/>
    </row>
    <row r="720" spans="1:33" x14ac:dyDescent="0.2">
      <c r="A720" s="173">
        <v>24</v>
      </c>
      <c r="B720" s="65" t="str">
        <f t="shared" si="333"/>
        <v>Retired</v>
      </c>
      <c r="C720" s="174">
        <f t="shared" si="334"/>
        <v>0</v>
      </c>
      <c r="D720" s="174">
        <f t="shared" si="335"/>
        <v>0</v>
      </c>
      <c r="E720" s="174">
        <f t="shared" si="336"/>
        <v>0</v>
      </c>
      <c r="F720" s="174">
        <f t="shared" si="337"/>
        <v>0</v>
      </c>
      <c r="G720" s="171">
        <f t="shared" si="338"/>
        <v>0</v>
      </c>
      <c r="H720" s="171">
        <f t="shared" si="339"/>
        <v>126752.41845304017</v>
      </c>
      <c r="I720" s="171">
        <f>IF(B720="Working",MIN(MAX(D720-E720-F720-G720-H720,0),'Tax Assumptions'!$B$20),0)</f>
        <v>0</v>
      </c>
      <c r="J720" s="171">
        <f t="shared" si="340"/>
        <v>-266752.41845304018</v>
      </c>
      <c r="K720" s="174">
        <f t="shared" si="341"/>
        <v>266752.41845304018</v>
      </c>
      <c r="L720" s="174">
        <f t="shared" si="342"/>
        <v>266752.41845304018</v>
      </c>
      <c r="M720" s="174">
        <f t="shared" si="348"/>
        <v>266752.41845304018</v>
      </c>
      <c r="N720" s="174">
        <f t="shared" si="349"/>
        <v>0</v>
      </c>
      <c r="O720" s="174">
        <f t="shared" si="350"/>
        <v>0</v>
      </c>
      <c r="P720" s="174">
        <f t="shared" si="351"/>
        <v>0</v>
      </c>
      <c r="Q720" s="171">
        <f t="shared" si="352"/>
        <v>6146745.3625935791</v>
      </c>
      <c r="R720" s="171">
        <f t="shared" si="353"/>
        <v>730112.52991781407</v>
      </c>
      <c r="S720" s="171">
        <f t="shared" si="354"/>
        <v>223503.83568912672</v>
      </c>
      <c r="T720" s="171">
        <f t="shared" si="355"/>
        <v>0</v>
      </c>
      <c r="U720" s="171">
        <f t="shared" si="343"/>
        <v>7100361.7282005195</v>
      </c>
      <c r="V720" s="171">
        <f t="shared" si="356"/>
        <v>0</v>
      </c>
      <c r="W720" s="171">
        <f>IF(OR(A720&gt;=$C$13,B720="Retired"),IF(V720&gt;0,-V720,U720-'Model Inputs'!$B$18),"")</f>
        <v>6100361.7282005195</v>
      </c>
      <c r="X720" s="171">
        <f t="shared" si="344"/>
        <v>2556548.221824476</v>
      </c>
      <c r="Y720" s="171">
        <f t="shared" si="345"/>
        <v>674508.87209555157</v>
      </c>
      <c r="Z720" s="171">
        <f t="shared" si="346"/>
        <v>1882039.3497289245</v>
      </c>
      <c r="AA720" s="175">
        <f t="shared" si="347"/>
        <v>8982401.0779294446</v>
      </c>
      <c r="AB720" s="5"/>
      <c r="AC720" s="5"/>
      <c r="AD720" s="5"/>
      <c r="AE720" s="5"/>
      <c r="AF720" s="5"/>
      <c r="AG720" s="5"/>
    </row>
    <row r="721" spans="1:33" x14ac:dyDescent="0.2">
      <c r="A721" s="169">
        <v>25</v>
      </c>
      <c r="B721" s="100" t="str">
        <f t="shared" si="333"/>
        <v>Retired</v>
      </c>
      <c r="C721" s="170">
        <f t="shared" si="334"/>
        <v>0</v>
      </c>
      <c r="D721" s="170">
        <f t="shared" si="335"/>
        <v>0</v>
      </c>
      <c r="E721" s="170">
        <f t="shared" si="336"/>
        <v>0</v>
      </c>
      <c r="F721" s="170">
        <f t="shared" si="337"/>
        <v>0</v>
      </c>
      <c r="G721" s="171">
        <f t="shared" si="338"/>
        <v>0</v>
      </c>
      <c r="H721" s="171">
        <f t="shared" si="339"/>
        <v>128439.74027944433</v>
      </c>
      <c r="I721" s="171">
        <f>IF(B721="Working",MIN(MAX(D721-E721-F721-G721-H721,0),'Tax Assumptions'!$B$20),0)</f>
        <v>0</v>
      </c>
      <c r="J721" s="171">
        <f t="shared" si="340"/>
        <v>-268439.74027944432</v>
      </c>
      <c r="K721" s="170">
        <f t="shared" si="341"/>
        <v>268439.74027944432</v>
      </c>
      <c r="L721" s="170">
        <f t="shared" si="342"/>
        <v>268439.74027944432</v>
      </c>
      <c r="M721" s="170">
        <f t="shared" si="348"/>
        <v>268439.74027944432</v>
      </c>
      <c r="N721" s="170">
        <f t="shared" si="349"/>
        <v>0</v>
      </c>
      <c r="O721" s="170">
        <f t="shared" si="350"/>
        <v>0</v>
      </c>
      <c r="P721" s="170">
        <f t="shared" si="351"/>
        <v>0</v>
      </c>
      <c r="Q721" s="171">
        <f t="shared" si="352"/>
        <v>6247110.34406975</v>
      </c>
      <c r="R721" s="171">
        <f t="shared" si="353"/>
        <v>773919.28171288292</v>
      </c>
      <c r="S721" s="171">
        <f t="shared" si="354"/>
        <v>236914.06583047434</v>
      </c>
      <c r="T721" s="171">
        <f t="shared" si="355"/>
        <v>0</v>
      </c>
      <c r="U721" s="171">
        <f t="shared" si="343"/>
        <v>7257943.6916131079</v>
      </c>
      <c r="V721" s="171">
        <f t="shared" si="356"/>
        <v>0</v>
      </c>
      <c r="W721" s="171">
        <f>IF(OR(A721&gt;=$C$13,B721="Retired"),IF(V721&gt;0,-V721,U721-'Model Inputs'!$B$18),"")</f>
        <v>6257943.6916131079</v>
      </c>
      <c r="X721" s="171">
        <f t="shared" si="344"/>
        <v>2633244.6684792107</v>
      </c>
      <c r="Y721" s="171">
        <f t="shared" si="345"/>
        <v>647034.66832401766</v>
      </c>
      <c r="Z721" s="171">
        <f t="shared" si="346"/>
        <v>1986210.000155193</v>
      </c>
      <c r="AA721" s="172">
        <f t="shared" si="347"/>
        <v>9244153.6917683017</v>
      </c>
      <c r="AB721" s="5"/>
      <c r="AC721" s="5"/>
      <c r="AD721" s="5"/>
      <c r="AE721" s="5"/>
      <c r="AF721" s="5"/>
      <c r="AG721" s="5"/>
    </row>
    <row r="722" spans="1:33" x14ac:dyDescent="0.2">
      <c r="A722" s="173">
        <v>26</v>
      </c>
      <c r="B722" s="65" t="str">
        <f t="shared" si="333"/>
        <v>Retired</v>
      </c>
      <c r="C722" s="174">
        <f t="shared" si="334"/>
        <v>0</v>
      </c>
      <c r="D722" s="174">
        <f t="shared" si="335"/>
        <v>0</v>
      </c>
      <c r="E722" s="174">
        <f t="shared" si="336"/>
        <v>0</v>
      </c>
      <c r="F722" s="174">
        <f t="shared" si="337"/>
        <v>0</v>
      </c>
      <c r="G722" s="171">
        <f t="shared" si="338"/>
        <v>0</v>
      </c>
      <c r="H722" s="171">
        <f t="shared" si="339"/>
        <v>130177.6817606406</v>
      </c>
      <c r="I722" s="171">
        <f>IF(B722="Working",MIN(MAX(D722-E722-F722-G722-H722,0),'Tax Assumptions'!$B$20),0)</f>
        <v>0</v>
      </c>
      <c r="J722" s="171">
        <f t="shared" si="340"/>
        <v>-270177.68176064058</v>
      </c>
      <c r="K722" s="174">
        <f t="shared" si="341"/>
        <v>270177.68176064058</v>
      </c>
      <c r="L722" s="174">
        <f t="shared" si="342"/>
        <v>270177.68176064058</v>
      </c>
      <c r="M722" s="174">
        <f t="shared" si="348"/>
        <v>270177.68176064058</v>
      </c>
      <c r="N722" s="174">
        <f t="shared" si="349"/>
        <v>0</v>
      </c>
      <c r="O722" s="174">
        <f t="shared" si="350"/>
        <v>0</v>
      </c>
      <c r="P722" s="174">
        <f t="shared" si="351"/>
        <v>0</v>
      </c>
      <c r="Q722" s="171">
        <f t="shared" si="352"/>
        <v>6351759.2829532949</v>
      </c>
      <c r="R722" s="171">
        <f t="shared" si="353"/>
        <v>820354.43861565599</v>
      </c>
      <c r="S722" s="171">
        <f t="shared" si="354"/>
        <v>251128.90978030281</v>
      </c>
      <c r="T722" s="171">
        <f t="shared" si="355"/>
        <v>0</v>
      </c>
      <c r="U722" s="171">
        <f t="shared" si="343"/>
        <v>7423242.6313492544</v>
      </c>
      <c r="V722" s="171">
        <f t="shared" si="356"/>
        <v>0</v>
      </c>
      <c r="W722" s="171">
        <f>IF(OR(A722&gt;=$C$13,B722="Retired"),IF(V722&gt;0,-V722,U722-'Model Inputs'!$B$18),"")</f>
        <v>6423242.6313492544</v>
      </c>
      <c r="X722" s="171">
        <f t="shared" si="344"/>
        <v>2712242.0085335863</v>
      </c>
      <c r="Y722" s="171">
        <f t="shared" si="345"/>
        <v>617720.46624360932</v>
      </c>
      <c r="Z722" s="171">
        <f t="shared" si="346"/>
        <v>2094521.542289977</v>
      </c>
      <c r="AA722" s="175">
        <f t="shared" si="347"/>
        <v>9517764.1736392304</v>
      </c>
      <c r="AB722" s="5"/>
      <c r="AC722" s="5"/>
      <c r="AD722" s="5"/>
      <c r="AE722" s="5"/>
      <c r="AF722" s="5"/>
      <c r="AG722" s="5"/>
    </row>
    <row r="723" spans="1:33" x14ac:dyDescent="0.2">
      <c r="A723" s="169">
        <v>27</v>
      </c>
      <c r="B723" s="100" t="str">
        <f t="shared" si="333"/>
        <v>Retired</v>
      </c>
      <c r="C723" s="170">
        <f t="shared" si="334"/>
        <v>0</v>
      </c>
      <c r="D723" s="170">
        <f t="shared" si="335"/>
        <v>0</v>
      </c>
      <c r="E723" s="170">
        <f t="shared" si="336"/>
        <v>0</v>
      </c>
      <c r="F723" s="170">
        <f t="shared" si="337"/>
        <v>0</v>
      </c>
      <c r="G723" s="171">
        <f t="shared" si="338"/>
        <v>0</v>
      </c>
      <c r="H723" s="171">
        <f t="shared" si="339"/>
        <v>131967.76148627276</v>
      </c>
      <c r="I723" s="171">
        <f>IF(B723="Working",MIN(MAX(D723-E723-F723-G723-H723,0),'Tax Assumptions'!$B$20),0)</f>
        <v>0</v>
      </c>
      <c r="J723" s="171">
        <f t="shared" si="340"/>
        <v>-271967.76148627279</v>
      </c>
      <c r="K723" s="170">
        <f t="shared" si="341"/>
        <v>271967.76148627279</v>
      </c>
      <c r="L723" s="170">
        <f t="shared" si="342"/>
        <v>271967.76148627279</v>
      </c>
      <c r="M723" s="170">
        <f t="shared" si="348"/>
        <v>271967.76148627279</v>
      </c>
      <c r="N723" s="170">
        <f t="shared" si="349"/>
        <v>0</v>
      </c>
      <c r="O723" s="170">
        <f t="shared" si="350"/>
        <v>0</v>
      </c>
      <c r="P723" s="170">
        <f t="shared" si="351"/>
        <v>0</v>
      </c>
      <c r="Q723" s="171">
        <f t="shared" si="352"/>
        <v>6460897.0784442201</v>
      </c>
      <c r="R723" s="171">
        <f t="shared" si="353"/>
        <v>869575.70493259537</v>
      </c>
      <c r="S723" s="171">
        <f t="shared" si="354"/>
        <v>266196.64436712099</v>
      </c>
      <c r="T723" s="171">
        <f t="shared" si="355"/>
        <v>0</v>
      </c>
      <c r="U723" s="171">
        <f t="shared" si="343"/>
        <v>7596669.4277439369</v>
      </c>
      <c r="V723" s="171">
        <f t="shared" si="356"/>
        <v>0</v>
      </c>
      <c r="W723" s="171">
        <f>IF(OR(A723&gt;=$C$13,B723="Retired"),IF(V723&gt;0,-V723,U723-'Model Inputs'!$B$18),"")</f>
        <v>6596669.4277439369</v>
      </c>
      <c r="X723" s="171">
        <f t="shared" si="344"/>
        <v>2793609.2687895941</v>
      </c>
      <c r="Y723" s="171">
        <f t="shared" si="345"/>
        <v>586443.0377598987</v>
      </c>
      <c r="Z723" s="171">
        <f t="shared" si="346"/>
        <v>2207166.2310296954</v>
      </c>
      <c r="AA723" s="172">
        <f t="shared" si="347"/>
        <v>9803835.6587736327</v>
      </c>
      <c r="AB723" s="5"/>
      <c r="AC723" s="5"/>
      <c r="AD723" s="5"/>
      <c r="AE723" s="5"/>
      <c r="AF723" s="5"/>
      <c r="AG723" s="5"/>
    </row>
    <row r="724" spans="1:33" x14ac:dyDescent="0.2">
      <c r="A724" s="173">
        <v>28</v>
      </c>
      <c r="B724" s="65" t="str">
        <f t="shared" si="333"/>
        <v>Retired</v>
      </c>
      <c r="C724" s="174">
        <f t="shared" si="334"/>
        <v>0</v>
      </c>
      <c r="D724" s="174">
        <f t="shared" si="335"/>
        <v>0</v>
      </c>
      <c r="E724" s="174">
        <f t="shared" si="336"/>
        <v>0</v>
      </c>
      <c r="F724" s="174">
        <f t="shared" si="337"/>
        <v>0</v>
      </c>
      <c r="G724" s="171">
        <f t="shared" si="338"/>
        <v>0</v>
      </c>
      <c r="H724" s="171">
        <f t="shared" si="339"/>
        <v>133811.5436036739</v>
      </c>
      <c r="I724" s="171">
        <f>IF(B724="Working",MIN(MAX(D724-E724-F724-G724-H724,0),'Tax Assumptions'!$B$20),0)</f>
        <v>0</v>
      </c>
      <c r="J724" s="171">
        <f t="shared" si="340"/>
        <v>-273811.54360367393</v>
      </c>
      <c r="K724" s="174">
        <f t="shared" si="341"/>
        <v>273811.54360367393</v>
      </c>
      <c r="L724" s="174">
        <f t="shared" si="342"/>
        <v>273811.54360367393</v>
      </c>
      <c r="M724" s="174">
        <f t="shared" si="348"/>
        <v>273811.54360367393</v>
      </c>
      <c r="N724" s="174">
        <f t="shared" si="349"/>
        <v>0</v>
      </c>
      <c r="O724" s="174">
        <f t="shared" si="350"/>
        <v>0</v>
      </c>
      <c r="P724" s="174">
        <f t="shared" si="351"/>
        <v>0</v>
      </c>
      <c r="Q724" s="171">
        <f t="shared" si="352"/>
        <v>6574739.3595471997</v>
      </c>
      <c r="R724" s="171">
        <f t="shared" si="353"/>
        <v>921750.24722855119</v>
      </c>
      <c r="S724" s="171">
        <f t="shared" si="354"/>
        <v>282168.44302914827</v>
      </c>
      <c r="T724" s="171">
        <f t="shared" si="355"/>
        <v>0</v>
      </c>
      <c r="U724" s="171">
        <f t="shared" si="343"/>
        <v>7778658.0498048998</v>
      </c>
      <c r="V724" s="171">
        <f t="shared" si="356"/>
        <v>0</v>
      </c>
      <c r="W724" s="171">
        <f>IF(OR(A724&gt;=$C$13,B724="Retired"),IF(V724&gt;0,-V724,U724-'Model Inputs'!$B$18),"")</f>
        <v>6778658.0498048998</v>
      </c>
      <c r="X724" s="171">
        <f t="shared" si="344"/>
        <v>2877417.546853282</v>
      </c>
      <c r="Y724" s="171">
        <f t="shared" si="345"/>
        <v>553070.90196475713</v>
      </c>
      <c r="Z724" s="171">
        <f t="shared" si="346"/>
        <v>2324346.6448885249</v>
      </c>
      <c r="AA724" s="175">
        <f t="shared" si="347"/>
        <v>10103004.694693424</v>
      </c>
      <c r="AB724" s="5"/>
      <c r="AC724" s="5"/>
      <c r="AD724" s="5"/>
      <c r="AE724" s="5"/>
      <c r="AF724" s="5"/>
      <c r="AG724" s="5"/>
    </row>
    <row r="725" spans="1:33" x14ac:dyDescent="0.2">
      <c r="A725" s="169">
        <v>29</v>
      </c>
      <c r="B725" s="100" t="str">
        <f t="shared" si="333"/>
        <v>Retired</v>
      </c>
      <c r="C725" s="170">
        <f t="shared" si="334"/>
        <v>0</v>
      </c>
      <c r="D725" s="170">
        <f t="shared" si="335"/>
        <v>0</v>
      </c>
      <c r="E725" s="170">
        <f t="shared" si="336"/>
        <v>0</v>
      </c>
      <c r="F725" s="170">
        <f t="shared" si="337"/>
        <v>0</v>
      </c>
      <c r="G725" s="171">
        <f t="shared" si="338"/>
        <v>0</v>
      </c>
      <c r="H725" s="171">
        <f t="shared" si="339"/>
        <v>135710.63918459706</v>
      </c>
      <c r="I725" s="171">
        <f>IF(B725="Working",MIN(MAX(D725-E725-F725-G725-H725,0),'Tax Assumptions'!$B$20),0)</f>
        <v>0</v>
      </c>
      <c r="J725" s="171">
        <f t="shared" si="340"/>
        <v>-275710.63918459706</v>
      </c>
      <c r="K725" s="170">
        <f t="shared" si="341"/>
        <v>275710.63918459706</v>
      </c>
      <c r="L725" s="170">
        <f t="shared" si="342"/>
        <v>275710.63918459706</v>
      </c>
      <c r="M725" s="170">
        <f t="shared" si="348"/>
        <v>275710.63918459706</v>
      </c>
      <c r="N725" s="170">
        <f t="shared" si="349"/>
        <v>0</v>
      </c>
      <c r="O725" s="170">
        <f t="shared" si="350"/>
        <v>0</v>
      </c>
      <c r="P725" s="170">
        <f t="shared" si="351"/>
        <v>0</v>
      </c>
      <c r="Q725" s="171">
        <f t="shared" si="352"/>
        <v>6693513.0819354346</v>
      </c>
      <c r="R725" s="171">
        <f t="shared" si="353"/>
        <v>977055.26206226426</v>
      </c>
      <c r="S725" s="171">
        <f t="shared" si="354"/>
        <v>299098.5496108972</v>
      </c>
      <c r="T725" s="171">
        <f t="shared" si="355"/>
        <v>0</v>
      </c>
      <c r="U725" s="171">
        <f t="shared" si="343"/>
        <v>7969666.8936085962</v>
      </c>
      <c r="V725" s="171">
        <f t="shared" si="356"/>
        <v>0</v>
      </c>
      <c r="W725" s="171">
        <f>IF(OR(A725&gt;=$C$13,B725="Retired"),IF(V725&gt;0,-V725,U725-'Model Inputs'!$B$18),"")</f>
        <v>6969666.8936085962</v>
      </c>
      <c r="X725" s="171">
        <f t="shared" si="344"/>
        <v>2963740.0732588801</v>
      </c>
      <c r="Y725" s="171">
        <f t="shared" si="345"/>
        <v>517463.77243013401</v>
      </c>
      <c r="Z725" s="171">
        <f t="shared" si="346"/>
        <v>2446276.3008287461</v>
      </c>
      <c r="AA725" s="172">
        <f t="shared" si="347"/>
        <v>10415943.194437342</v>
      </c>
      <c r="AB725" s="5"/>
      <c r="AC725" s="5"/>
      <c r="AD725" s="5"/>
      <c r="AE725" s="5"/>
      <c r="AF725" s="5"/>
      <c r="AG725" s="5"/>
    </row>
    <row r="726" spans="1:33" x14ac:dyDescent="0.2">
      <c r="A726" s="173">
        <v>30</v>
      </c>
      <c r="B726" s="65" t="str">
        <f t="shared" si="333"/>
        <v>Retired</v>
      </c>
      <c r="C726" s="174">
        <f t="shared" si="334"/>
        <v>0</v>
      </c>
      <c r="D726" s="174">
        <f t="shared" si="335"/>
        <v>0</v>
      </c>
      <c r="E726" s="174">
        <f t="shared" si="336"/>
        <v>0</v>
      </c>
      <c r="F726" s="174">
        <f t="shared" si="337"/>
        <v>0</v>
      </c>
      <c r="G726" s="171">
        <f t="shared" si="338"/>
        <v>0</v>
      </c>
      <c r="H726" s="171">
        <f t="shared" si="339"/>
        <v>137666.70763294792</v>
      </c>
      <c r="I726" s="171">
        <f>IF(B726="Working",MIN(MAX(D726-E726-F726-G726-H726,0),'Tax Assumptions'!$B$20),0)</f>
        <v>0</v>
      </c>
      <c r="J726" s="171">
        <f t="shared" si="340"/>
        <v>-277666.70763294795</v>
      </c>
      <c r="K726" s="174">
        <f t="shared" si="341"/>
        <v>277666.70763294795</v>
      </c>
      <c r="L726" s="174">
        <f t="shared" si="342"/>
        <v>277666.70763294795</v>
      </c>
      <c r="M726" s="174">
        <f t="shared" si="348"/>
        <v>277666.70763294795</v>
      </c>
      <c r="N726" s="174">
        <f t="shared" si="349"/>
        <v>0</v>
      </c>
      <c r="O726" s="174">
        <f t="shared" si="350"/>
        <v>0</v>
      </c>
      <c r="P726" s="174">
        <f t="shared" si="351"/>
        <v>0</v>
      </c>
      <c r="Q726" s="171">
        <f t="shared" si="352"/>
        <v>6817457.1592186131</v>
      </c>
      <c r="R726" s="171">
        <f t="shared" si="353"/>
        <v>1035678.5777860002</v>
      </c>
      <c r="S726" s="171">
        <f t="shared" si="354"/>
        <v>317044.46258755104</v>
      </c>
      <c r="T726" s="171">
        <f t="shared" si="355"/>
        <v>0</v>
      </c>
      <c r="U726" s="171">
        <f t="shared" si="343"/>
        <v>8170180.1995921647</v>
      </c>
      <c r="V726" s="171">
        <f t="shared" si="356"/>
        <v>0</v>
      </c>
      <c r="W726" s="171">
        <f>IF(OR(A726&gt;=$C$13,B726="Retired"),IF(V726&gt;0,-V726,U726-'Model Inputs'!$B$18),"")</f>
        <v>7170180.1995921647</v>
      </c>
      <c r="X726" s="171">
        <f t="shared" si="344"/>
        <v>3052652.2754566465</v>
      </c>
      <c r="Y726" s="171">
        <f t="shared" si="345"/>
        <v>479471.96748608351</v>
      </c>
      <c r="Z726" s="171">
        <f t="shared" si="346"/>
        <v>2573180.3079705629</v>
      </c>
      <c r="AA726" s="175">
        <f t="shared" si="347"/>
        <v>10743360.507562727</v>
      </c>
      <c r="AB726" s="5"/>
      <c r="AC726" s="5"/>
      <c r="AD726" s="5"/>
      <c r="AE726" s="5"/>
      <c r="AF726" s="5"/>
      <c r="AG726" s="5"/>
    </row>
    <row r="727" spans="1:33" x14ac:dyDescent="0.2">
      <c r="A727" s="169">
        <v>31</v>
      </c>
      <c r="B727" s="100" t="str">
        <f t="shared" si="333"/>
        <v>Retired</v>
      </c>
      <c r="C727" s="170">
        <f t="shared" si="334"/>
        <v>0</v>
      </c>
      <c r="D727" s="170">
        <f t="shared" si="335"/>
        <v>0</v>
      </c>
      <c r="E727" s="170">
        <f t="shared" si="336"/>
        <v>0</v>
      </c>
      <c r="F727" s="170">
        <f t="shared" si="337"/>
        <v>0</v>
      </c>
      <c r="G727" s="171">
        <f t="shared" si="338"/>
        <v>0</v>
      </c>
      <c r="H727" s="171">
        <f t="shared" si="339"/>
        <v>139681.45813474932</v>
      </c>
      <c r="I727" s="171">
        <f>IF(B727="Working",MIN(MAX(D727-E727-F727-G727-H727,0),'Tax Assumptions'!$B$20),0)</f>
        <v>0</v>
      </c>
      <c r="J727" s="171">
        <f t="shared" si="340"/>
        <v>-279681.45813474932</v>
      </c>
      <c r="K727" s="170">
        <f t="shared" si="341"/>
        <v>279681.45813474932</v>
      </c>
      <c r="L727" s="170">
        <f t="shared" si="342"/>
        <v>279681.45813474932</v>
      </c>
      <c r="M727" s="170">
        <f t="shared" si="348"/>
        <v>279681.45813474932</v>
      </c>
      <c r="N727" s="170">
        <f t="shared" si="349"/>
        <v>0</v>
      </c>
      <c r="O727" s="170">
        <f t="shared" si="350"/>
        <v>0</v>
      </c>
      <c r="P727" s="170">
        <f t="shared" si="351"/>
        <v>0</v>
      </c>
      <c r="Q727" s="171">
        <f t="shared" si="352"/>
        <v>6946823.1306369817</v>
      </c>
      <c r="R727" s="171">
        <f t="shared" si="353"/>
        <v>1097819.2924531603</v>
      </c>
      <c r="S727" s="171">
        <f t="shared" si="354"/>
        <v>336067.13034280413</v>
      </c>
      <c r="T727" s="171">
        <f t="shared" si="355"/>
        <v>0</v>
      </c>
      <c r="U727" s="171">
        <f t="shared" si="343"/>
        <v>8380709.5534329461</v>
      </c>
      <c r="V727" s="171">
        <f t="shared" si="356"/>
        <v>0</v>
      </c>
      <c r="W727" s="171">
        <f>IF(OR(A727&gt;=$C$13,B727="Retired"),IF(V727&gt;0,-V727,U727-'Model Inputs'!$B$18),"")</f>
        <v>7380709.5534329461</v>
      </c>
      <c r="X727" s="171">
        <f t="shared" si="344"/>
        <v>3144231.8437203458</v>
      </c>
      <c r="Y727" s="171">
        <f t="shared" si="345"/>
        <v>438935.7810040107</v>
      </c>
      <c r="Z727" s="171">
        <f t="shared" si="346"/>
        <v>2705296.0627163351</v>
      </c>
      <c r="AA727" s="172">
        <f t="shared" si="347"/>
        <v>11086005.61614928</v>
      </c>
      <c r="AB727" s="5"/>
      <c r="AC727" s="5"/>
      <c r="AD727" s="5"/>
      <c r="AE727" s="5"/>
      <c r="AF727" s="5"/>
      <c r="AG727" s="5"/>
    </row>
    <row r="728" spans="1:33" x14ac:dyDescent="0.2">
      <c r="A728" s="173">
        <v>32</v>
      </c>
      <c r="B728" s="65" t="str">
        <f t="shared" si="333"/>
        <v>Retired</v>
      </c>
      <c r="C728" s="174">
        <f t="shared" si="334"/>
        <v>0</v>
      </c>
      <c r="D728" s="174">
        <f t="shared" si="335"/>
        <v>0</v>
      </c>
      <c r="E728" s="174">
        <f t="shared" si="336"/>
        <v>0</v>
      </c>
      <c r="F728" s="174">
        <f t="shared" si="337"/>
        <v>0</v>
      </c>
      <c r="G728" s="171">
        <f t="shared" si="338"/>
        <v>0</v>
      </c>
      <c r="H728" s="171">
        <f t="shared" si="339"/>
        <v>141756.65115160472</v>
      </c>
      <c r="I728" s="171">
        <f>IF(B728="Working",MIN(MAX(D728-E728-F728-G728-H728,0),'Tax Assumptions'!$B$20),0)</f>
        <v>0</v>
      </c>
      <c r="J728" s="171">
        <f t="shared" si="340"/>
        <v>-281756.65115160472</v>
      </c>
      <c r="K728" s="174">
        <f t="shared" si="341"/>
        <v>281756.65115160472</v>
      </c>
      <c r="L728" s="174">
        <f t="shared" si="342"/>
        <v>281756.65115160472</v>
      </c>
      <c r="M728" s="174">
        <f t="shared" si="348"/>
        <v>281756.65115160472</v>
      </c>
      <c r="N728" s="174">
        <f t="shared" si="349"/>
        <v>0</v>
      </c>
      <c r="O728" s="174">
        <f t="shared" si="350"/>
        <v>0</v>
      </c>
      <c r="P728" s="174">
        <f t="shared" si="351"/>
        <v>0</v>
      </c>
      <c r="Q728" s="171">
        <f t="shared" si="352"/>
        <v>7081875.867323596</v>
      </c>
      <c r="R728" s="171">
        <f t="shared" si="353"/>
        <v>1163688.4500003499</v>
      </c>
      <c r="S728" s="171">
        <f t="shared" si="354"/>
        <v>356231.15816337237</v>
      </c>
      <c r="T728" s="171">
        <f t="shared" si="355"/>
        <v>0</v>
      </c>
      <c r="U728" s="171">
        <f t="shared" si="343"/>
        <v>8601795.4754873179</v>
      </c>
      <c r="V728" s="171">
        <f t="shared" si="356"/>
        <v>0</v>
      </c>
      <c r="W728" s="171">
        <f>IF(OR(A728&gt;=$C$13,B728="Retired"),IF(V728&gt;0,-V728,U728-'Model Inputs'!$B$18),"")</f>
        <v>7601795.4754873179</v>
      </c>
      <c r="X728" s="171">
        <f t="shared" si="344"/>
        <v>3238558.7990319561</v>
      </c>
      <c r="Y728" s="171">
        <f t="shared" si="345"/>
        <v>395684.81104011135</v>
      </c>
      <c r="Z728" s="171">
        <f t="shared" si="346"/>
        <v>2842873.9879918448</v>
      </c>
      <c r="AA728" s="175">
        <f t="shared" si="347"/>
        <v>11444669.463479163</v>
      </c>
      <c r="AB728" s="5"/>
      <c r="AC728" s="5"/>
      <c r="AD728" s="5"/>
      <c r="AE728" s="5"/>
      <c r="AF728" s="5"/>
      <c r="AG728" s="5"/>
    </row>
    <row r="729" spans="1:33" x14ac:dyDescent="0.2">
      <c r="A729" s="169">
        <v>33</v>
      </c>
      <c r="B729" s="100" t="str">
        <f t="shared" si="333"/>
        <v>Retired</v>
      </c>
      <c r="C729" s="170">
        <f t="shared" si="334"/>
        <v>0</v>
      </c>
      <c r="D729" s="170">
        <f t="shared" si="335"/>
        <v>0</v>
      </c>
      <c r="E729" s="170">
        <f t="shared" si="336"/>
        <v>0</v>
      </c>
      <c r="F729" s="170">
        <f t="shared" si="337"/>
        <v>0</v>
      </c>
      <c r="G729" s="171">
        <f t="shared" si="338"/>
        <v>0</v>
      </c>
      <c r="H729" s="171">
        <f t="shared" si="339"/>
        <v>143894.09995896585</v>
      </c>
      <c r="I729" s="171">
        <f>IF(B729="Working",MIN(MAX(D729-E729-F729-G729-H729,0),'Tax Assumptions'!$B$20),0)</f>
        <v>0</v>
      </c>
      <c r="J729" s="171">
        <f t="shared" si="340"/>
        <v>-283894.09995896585</v>
      </c>
      <c r="K729" s="170">
        <f t="shared" si="341"/>
        <v>283894.09995896585</v>
      </c>
      <c r="L729" s="170">
        <f t="shared" si="342"/>
        <v>283894.09995896585</v>
      </c>
      <c r="M729" s="170">
        <f t="shared" si="348"/>
        <v>283894.09995896585</v>
      </c>
      <c r="N729" s="170">
        <f t="shared" si="349"/>
        <v>0</v>
      </c>
      <c r="O729" s="170">
        <f t="shared" si="350"/>
        <v>0</v>
      </c>
      <c r="P729" s="170">
        <f t="shared" si="351"/>
        <v>0</v>
      </c>
      <c r="Q729" s="171">
        <f t="shared" si="352"/>
        <v>7222894.319404047</v>
      </c>
      <c r="R729" s="171">
        <f t="shared" si="353"/>
        <v>1233509.7570003709</v>
      </c>
      <c r="S729" s="171">
        <f t="shared" si="354"/>
        <v>377605.02765317471</v>
      </c>
      <c r="T729" s="171">
        <f t="shared" si="355"/>
        <v>0</v>
      </c>
      <c r="U729" s="171">
        <f t="shared" si="343"/>
        <v>8834009.1040575933</v>
      </c>
      <c r="V729" s="171">
        <f t="shared" si="356"/>
        <v>0</v>
      </c>
      <c r="W729" s="171">
        <f>IF(OR(A729&gt;=$C$13,B729="Retired"),IF(V729&gt;0,-V729,U729-'Model Inputs'!$B$18),"")</f>
        <v>7834009.1040575933</v>
      </c>
      <c r="X729" s="171">
        <f t="shared" si="344"/>
        <v>3335715.5630029151</v>
      </c>
      <c r="Y729" s="171">
        <f t="shared" si="345"/>
        <v>349537.24351682514</v>
      </c>
      <c r="Z729" s="171">
        <f t="shared" si="346"/>
        <v>2986178.31948609</v>
      </c>
      <c r="AA729" s="172">
        <f t="shared" si="347"/>
        <v>11820187.423543684</v>
      </c>
      <c r="AB729" s="5"/>
      <c r="AC729" s="5"/>
      <c r="AD729" s="5"/>
      <c r="AE729" s="5"/>
      <c r="AF729" s="5"/>
      <c r="AG729" s="5"/>
    </row>
    <row r="730" spans="1:33" x14ac:dyDescent="0.2">
      <c r="A730" s="173">
        <v>34</v>
      </c>
      <c r="B730" s="65" t="str">
        <f t="shared" si="333"/>
        <v>Retired</v>
      </c>
      <c r="C730" s="174">
        <f t="shared" si="334"/>
        <v>0</v>
      </c>
      <c r="D730" s="174">
        <f t="shared" si="335"/>
        <v>0</v>
      </c>
      <c r="E730" s="174">
        <f t="shared" si="336"/>
        <v>0</v>
      </c>
      <c r="F730" s="174">
        <f t="shared" si="337"/>
        <v>0</v>
      </c>
      <c r="G730" s="171">
        <f t="shared" si="338"/>
        <v>0</v>
      </c>
      <c r="H730" s="171">
        <f t="shared" si="339"/>
        <v>146095.67223054776</v>
      </c>
      <c r="I730" s="171">
        <f>IF(B730="Working",MIN(MAX(D730-E730-F730-G730-H730,0),'Tax Assumptions'!$B$20),0)</f>
        <v>0</v>
      </c>
      <c r="J730" s="171">
        <f t="shared" si="340"/>
        <v>-286095.67223054776</v>
      </c>
      <c r="K730" s="174">
        <f t="shared" si="341"/>
        <v>286095.67223054776</v>
      </c>
      <c r="L730" s="174">
        <f t="shared" si="342"/>
        <v>286095.67223054776</v>
      </c>
      <c r="M730" s="174">
        <f t="shared" si="348"/>
        <v>286095.67223054776</v>
      </c>
      <c r="N730" s="174">
        <f t="shared" si="349"/>
        <v>0</v>
      </c>
      <c r="O730" s="174">
        <f t="shared" si="350"/>
        <v>0</v>
      </c>
      <c r="P730" s="174">
        <f t="shared" si="351"/>
        <v>0</v>
      </c>
      <c r="Q730" s="171">
        <f t="shared" si="352"/>
        <v>7370172.3063377421</v>
      </c>
      <c r="R730" s="171">
        <f t="shared" si="353"/>
        <v>1307520.3424203931</v>
      </c>
      <c r="S730" s="171">
        <f t="shared" si="354"/>
        <v>400261.32931236521</v>
      </c>
      <c r="T730" s="171">
        <f t="shared" si="355"/>
        <v>0</v>
      </c>
      <c r="U730" s="171">
        <f t="shared" si="343"/>
        <v>9077953.9780705012</v>
      </c>
      <c r="V730" s="171">
        <f t="shared" si="356"/>
        <v>0</v>
      </c>
      <c r="W730" s="171">
        <f>IF(OR(A730&gt;=$C$13,B730="Retired"),IF(V730&gt;0,-V730,U730-'Model Inputs'!$B$18),"")</f>
        <v>8077953.9780705012</v>
      </c>
      <c r="X730" s="171">
        <f t="shared" si="344"/>
        <v>3435787.029893002</v>
      </c>
      <c r="Y730" s="171">
        <f t="shared" si="345"/>
        <v>300299.0879310919</v>
      </c>
      <c r="Z730" s="171">
        <f t="shared" si="346"/>
        <v>3135487.9419619101</v>
      </c>
      <c r="AA730" s="175">
        <f t="shared" si="347"/>
        <v>12213441.920032412</v>
      </c>
      <c r="AB730" s="5"/>
      <c r="AC730" s="5"/>
      <c r="AD730" s="5"/>
      <c r="AE730" s="5"/>
      <c r="AF730" s="5"/>
      <c r="AG730" s="5"/>
    </row>
    <row r="731" spans="1:33" x14ac:dyDescent="0.2">
      <c r="A731" s="169">
        <v>35</v>
      </c>
      <c r="B731" s="100" t="str">
        <f t="shared" si="333"/>
        <v>Retired</v>
      </c>
      <c r="C731" s="170">
        <f t="shared" si="334"/>
        <v>0</v>
      </c>
      <c r="D731" s="170">
        <f t="shared" si="335"/>
        <v>0</v>
      </c>
      <c r="E731" s="170">
        <f t="shared" si="336"/>
        <v>0</v>
      </c>
      <c r="F731" s="170">
        <f t="shared" si="337"/>
        <v>0</v>
      </c>
      <c r="G731" s="171">
        <f t="shared" si="338"/>
        <v>0</v>
      </c>
      <c r="H731" s="171">
        <f t="shared" si="339"/>
        <v>148363.29167027713</v>
      </c>
      <c r="I731" s="171">
        <f>IF(B731="Working",MIN(MAX(D731-E731-F731-G731-H731,0),'Tax Assumptions'!$B$20),0)</f>
        <v>0</v>
      </c>
      <c r="J731" s="171">
        <f t="shared" si="340"/>
        <v>-288363.29167027713</v>
      </c>
      <c r="K731" s="170">
        <f t="shared" si="341"/>
        <v>288363.29167027713</v>
      </c>
      <c r="L731" s="170">
        <f t="shared" si="342"/>
        <v>288363.29167027713</v>
      </c>
      <c r="M731" s="170">
        <f t="shared" si="348"/>
        <v>288363.29167027713</v>
      </c>
      <c r="N731" s="170">
        <f t="shared" si="349"/>
        <v>0</v>
      </c>
      <c r="O731" s="170">
        <f t="shared" si="350"/>
        <v>0</v>
      </c>
      <c r="P731" s="170">
        <f t="shared" si="351"/>
        <v>0</v>
      </c>
      <c r="Q731" s="171">
        <f t="shared" si="352"/>
        <v>7524019.3530477304</v>
      </c>
      <c r="R731" s="171">
        <f t="shared" si="353"/>
        <v>1385971.5629656168</v>
      </c>
      <c r="S731" s="171">
        <f t="shared" si="354"/>
        <v>424277.00907110714</v>
      </c>
      <c r="T731" s="171">
        <f t="shared" si="355"/>
        <v>0</v>
      </c>
      <c r="U731" s="171">
        <f t="shared" si="343"/>
        <v>9334267.9250844549</v>
      </c>
      <c r="V731" s="171">
        <f t="shared" si="356"/>
        <v>0</v>
      </c>
      <c r="W731" s="171">
        <f>IF(OR(A731&gt;=$C$13,B731="Retired"),IF(V731&gt;0,-V731,U731-'Model Inputs'!$B$18),"")</f>
        <v>8334267.9250844549</v>
      </c>
      <c r="X731" s="171">
        <f t="shared" si="344"/>
        <v>3538860.6407897919</v>
      </c>
      <c r="Y731" s="171">
        <f t="shared" si="345"/>
        <v>247763.36187659204</v>
      </c>
      <c r="Z731" s="171">
        <f t="shared" si="346"/>
        <v>3291097.2789131999</v>
      </c>
      <c r="AA731" s="172">
        <f t="shared" si="347"/>
        <v>12625365.203997655</v>
      </c>
      <c r="AB731" s="5"/>
      <c r="AC731" s="5"/>
      <c r="AD731" s="5"/>
      <c r="AE731" s="5"/>
      <c r="AF731" s="5"/>
      <c r="AG731" s="5"/>
    </row>
    <row r="732" spans="1:33" x14ac:dyDescent="0.2">
      <c r="A732" s="173">
        <v>36</v>
      </c>
      <c r="B732" s="65" t="str">
        <f t="shared" si="333"/>
        <v>Retired</v>
      </c>
      <c r="C732" s="174">
        <f t="shared" si="334"/>
        <v>0</v>
      </c>
      <c r="D732" s="174">
        <f t="shared" si="335"/>
        <v>0</v>
      </c>
      <c r="E732" s="174">
        <f t="shared" si="336"/>
        <v>0</v>
      </c>
      <c r="F732" s="174">
        <f t="shared" si="337"/>
        <v>0</v>
      </c>
      <c r="G732" s="171">
        <f t="shared" si="338"/>
        <v>0</v>
      </c>
      <c r="H732" s="171">
        <f t="shared" si="339"/>
        <v>150698.93969319839</v>
      </c>
      <c r="I732" s="171">
        <f>IF(B732="Working",MIN(MAX(D732-E732-F732-G732-H732,0),'Tax Assumptions'!$B$20),0)</f>
        <v>0</v>
      </c>
      <c r="J732" s="171">
        <f t="shared" si="340"/>
        <v>-290698.93969319842</v>
      </c>
      <c r="K732" s="174">
        <f t="shared" si="341"/>
        <v>290698.93969319842</v>
      </c>
      <c r="L732" s="174">
        <f t="shared" si="342"/>
        <v>290698.93969319842</v>
      </c>
      <c r="M732" s="174">
        <f t="shared" si="348"/>
        <v>290698.93969319842</v>
      </c>
      <c r="N732" s="174">
        <f t="shared" si="349"/>
        <v>0</v>
      </c>
      <c r="O732" s="174">
        <f t="shared" si="350"/>
        <v>0</v>
      </c>
      <c r="P732" s="174">
        <f t="shared" si="351"/>
        <v>0</v>
      </c>
      <c r="Q732" s="171">
        <f t="shared" si="352"/>
        <v>7684761.5745373964</v>
      </c>
      <c r="R732" s="171">
        <f t="shared" si="353"/>
        <v>1469129.8567435539</v>
      </c>
      <c r="S732" s="171">
        <f t="shared" si="354"/>
        <v>449733.62961537362</v>
      </c>
      <c r="T732" s="171">
        <f t="shared" si="355"/>
        <v>0</v>
      </c>
      <c r="U732" s="171">
        <f t="shared" si="343"/>
        <v>9603625.060896324</v>
      </c>
      <c r="V732" s="171">
        <f t="shared" si="356"/>
        <v>0</v>
      </c>
      <c r="W732" s="171">
        <f>IF(OR(A732&gt;=$C$13,B732="Retired"),IF(V732&gt;0,-V732,U732-'Model Inputs'!$B$18),"")</f>
        <v>8603625.060896324</v>
      </c>
      <c r="X732" s="171">
        <f t="shared" si="344"/>
        <v>3645026.4600134864</v>
      </c>
      <c r="Y732" s="171">
        <f t="shared" si="345"/>
        <v>191709.2209519241</v>
      </c>
      <c r="Z732" s="171">
        <f t="shared" si="346"/>
        <v>3453317.2390615623</v>
      </c>
      <c r="AA732" s="175">
        <f t="shared" si="347"/>
        <v>13056942.299957886</v>
      </c>
      <c r="AB732" s="5"/>
      <c r="AC732" s="5"/>
      <c r="AD732" s="5"/>
      <c r="AE732" s="5"/>
      <c r="AF732" s="5"/>
      <c r="AG732" s="5"/>
    </row>
    <row r="733" spans="1:33" x14ac:dyDescent="0.2">
      <c r="A733" s="169">
        <v>37</v>
      </c>
      <c r="B733" s="100" t="str">
        <f t="shared" si="333"/>
        <v>Retired</v>
      </c>
      <c r="C733" s="170">
        <f t="shared" si="334"/>
        <v>0</v>
      </c>
      <c r="D733" s="170">
        <f t="shared" si="335"/>
        <v>0</v>
      </c>
      <c r="E733" s="170">
        <f t="shared" si="336"/>
        <v>0</v>
      </c>
      <c r="F733" s="170">
        <f t="shared" si="337"/>
        <v>0</v>
      </c>
      <c r="G733" s="171">
        <f t="shared" si="338"/>
        <v>0</v>
      </c>
      <c r="H733" s="171">
        <f t="shared" si="339"/>
        <v>153104.65715680731</v>
      </c>
      <c r="I733" s="171">
        <f>IF(B733="Working",MIN(MAX(D733-E733-F733-G733-H733,0),'Tax Assumptions'!$B$20),0)</f>
        <v>0</v>
      </c>
      <c r="J733" s="171">
        <f t="shared" si="340"/>
        <v>-293104.65715680731</v>
      </c>
      <c r="K733" s="170">
        <f t="shared" si="341"/>
        <v>293104.65715680731</v>
      </c>
      <c r="L733" s="170">
        <f t="shared" si="342"/>
        <v>293104.65715680731</v>
      </c>
      <c r="M733" s="170">
        <f t="shared" si="348"/>
        <v>293104.65715680731</v>
      </c>
      <c r="N733" s="170">
        <f t="shared" si="349"/>
        <v>0</v>
      </c>
      <c r="O733" s="170">
        <f t="shared" si="350"/>
        <v>0</v>
      </c>
      <c r="P733" s="170">
        <f t="shared" si="351"/>
        <v>0</v>
      </c>
      <c r="Q733" s="171">
        <f t="shared" si="352"/>
        <v>7852742.6118528331</v>
      </c>
      <c r="R733" s="171">
        <f t="shared" si="353"/>
        <v>1557277.6481481672</v>
      </c>
      <c r="S733" s="171">
        <f t="shared" si="354"/>
        <v>476717.64739229606</v>
      </c>
      <c r="T733" s="171">
        <f t="shared" si="355"/>
        <v>0</v>
      </c>
      <c r="U733" s="171">
        <f t="shared" si="343"/>
        <v>9886737.9073932953</v>
      </c>
      <c r="V733" s="171">
        <f t="shared" si="356"/>
        <v>0</v>
      </c>
      <c r="W733" s="171">
        <f>IF(OR(A733&gt;=$C$13,B733="Retired"),IF(V733&gt;0,-V733,U733-'Model Inputs'!$B$18),"")</f>
        <v>8886737.9073932953</v>
      </c>
      <c r="X733" s="171">
        <f t="shared" si="344"/>
        <v>3754377.2538138907</v>
      </c>
      <c r="Y733" s="171">
        <f t="shared" si="345"/>
        <v>131901.03039712086</v>
      </c>
      <c r="Z733" s="171">
        <f t="shared" si="346"/>
        <v>3622476.2234167699</v>
      </c>
      <c r="AA733" s="172">
        <f t="shared" si="347"/>
        <v>13509214.130810065</v>
      </c>
      <c r="AB733" s="5"/>
      <c r="AC733" s="5"/>
      <c r="AD733" s="5"/>
      <c r="AE733" s="5"/>
      <c r="AF733" s="5"/>
      <c r="AG733" s="5"/>
    </row>
    <row r="734" spans="1:33" x14ac:dyDescent="0.2">
      <c r="A734" s="173">
        <v>38</v>
      </c>
      <c r="B734" s="65" t="str">
        <f t="shared" si="333"/>
        <v>Retired</v>
      </c>
      <c r="C734" s="174">
        <f t="shared" si="334"/>
        <v>0</v>
      </c>
      <c r="D734" s="174">
        <f t="shared" si="335"/>
        <v>0</v>
      </c>
      <c r="E734" s="174">
        <f t="shared" si="336"/>
        <v>0</v>
      </c>
      <c r="F734" s="174">
        <f t="shared" si="337"/>
        <v>0</v>
      </c>
      <c r="G734" s="171">
        <f t="shared" si="338"/>
        <v>0</v>
      </c>
      <c r="H734" s="171">
        <f t="shared" si="339"/>
        <v>155582.54614432447</v>
      </c>
      <c r="I734" s="171">
        <f>IF(B734="Working",MIN(MAX(D734-E734-F734-G734-H734,0),'Tax Assumptions'!$B$20),0)</f>
        <v>0</v>
      </c>
      <c r="J734" s="171">
        <f t="shared" si="340"/>
        <v>-295582.54614432447</v>
      </c>
      <c r="K734" s="174">
        <f t="shared" si="341"/>
        <v>295582.54614432447</v>
      </c>
      <c r="L734" s="174">
        <f t="shared" si="342"/>
        <v>295582.54614432447</v>
      </c>
      <c r="M734" s="174">
        <f t="shared" si="348"/>
        <v>295582.54614432447</v>
      </c>
      <c r="N734" s="174">
        <f t="shared" si="349"/>
        <v>0</v>
      </c>
      <c r="O734" s="174">
        <f t="shared" si="350"/>
        <v>0</v>
      </c>
      <c r="P734" s="174">
        <f t="shared" si="351"/>
        <v>0</v>
      </c>
      <c r="Q734" s="171">
        <f t="shared" si="352"/>
        <v>8028324.6224196795</v>
      </c>
      <c r="R734" s="171">
        <f t="shared" si="353"/>
        <v>1650714.3070370574</v>
      </c>
      <c r="S734" s="171">
        <f t="shared" si="354"/>
        <v>505320.70623583387</v>
      </c>
      <c r="T734" s="171">
        <f t="shared" si="355"/>
        <v>0</v>
      </c>
      <c r="U734" s="171">
        <f t="shared" si="343"/>
        <v>10184359.63569257</v>
      </c>
      <c r="V734" s="171">
        <f t="shared" si="356"/>
        <v>0</v>
      </c>
      <c r="W734" s="171">
        <f>IF(OR(A734&gt;=$C$13,B734="Retired"),IF(V734&gt;0,-V734,U734-'Model Inputs'!$B$18),"")</f>
        <v>9184359.6356925704</v>
      </c>
      <c r="X734" s="171">
        <f t="shared" si="344"/>
        <v>3867008.5714283073</v>
      </c>
      <c r="Y734" s="171">
        <f t="shared" si="345"/>
        <v>68087.374555938877</v>
      </c>
      <c r="Z734" s="171">
        <f t="shared" si="346"/>
        <v>3798921.1968723685</v>
      </c>
      <c r="AA734" s="175">
        <f t="shared" si="347"/>
        <v>13983280.832564939</v>
      </c>
      <c r="AB734" s="5"/>
      <c r="AC734" s="5"/>
      <c r="AD734" s="5"/>
      <c r="AE734" s="5"/>
      <c r="AF734" s="5"/>
      <c r="AG734" s="5"/>
    </row>
    <row r="735" spans="1:33" x14ac:dyDescent="0.2">
      <c r="A735" s="169">
        <v>39</v>
      </c>
      <c r="B735" s="100" t="str">
        <f t="shared" si="333"/>
        <v>Retired</v>
      </c>
      <c r="C735" s="170">
        <f t="shared" si="334"/>
        <v>0</v>
      </c>
      <c r="D735" s="170">
        <f t="shared" si="335"/>
        <v>0</v>
      </c>
      <c r="E735" s="170">
        <f t="shared" si="336"/>
        <v>0</v>
      </c>
      <c r="F735" s="170">
        <f t="shared" si="337"/>
        <v>0</v>
      </c>
      <c r="G735" s="171">
        <f t="shared" si="338"/>
        <v>0</v>
      </c>
      <c r="H735" s="171">
        <f t="shared" si="339"/>
        <v>158134.77180146711</v>
      </c>
      <c r="I735" s="171">
        <f>IF(B735="Working",MIN(MAX(D735-E735-F735-G735-H735,0),'Tax Assumptions'!$B$20),0)</f>
        <v>0</v>
      </c>
      <c r="J735" s="171">
        <f t="shared" si="340"/>
        <v>-298134.77180146711</v>
      </c>
      <c r="K735" s="170">
        <f t="shared" si="341"/>
        <v>298134.77180146711</v>
      </c>
      <c r="L735" s="170">
        <f t="shared" si="342"/>
        <v>298134.77180146711</v>
      </c>
      <c r="M735" s="170">
        <f t="shared" si="348"/>
        <v>298134.77180146711</v>
      </c>
      <c r="N735" s="170">
        <f t="shared" si="349"/>
        <v>0</v>
      </c>
      <c r="O735" s="170">
        <f t="shared" si="350"/>
        <v>0</v>
      </c>
      <c r="P735" s="170">
        <f t="shared" si="351"/>
        <v>0</v>
      </c>
      <c r="Q735" s="171">
        <f t="shared" si="352"/>
        <v>8211889.3279633941</v>
      </c>
      <c r="R735" s="171">
        <f t="shared" si="353"/>
        <v>1749757.1654592808</v>
      </c>
      <c r="S735" s="171">
        <f t="shared" si="354"/>
        <v>535639.9486099839</v>
      </c>
      <c r="T735" s="171">
        <f t="shared" si="355"/>
        <v>0</v>
      </c>
      <c r="U735" s="171">
        <f t="shared" si="343"/>
        <v>10497286.442032659</v>
      </c>
      <c r="V735" s="171">
        <f t="shared" si="356"/>
        <v>0</v>
      </c>
      <c r="W735" s="171">
        <f>IF(OR(A735&gt;=$C$13,B735="Retired"),IF(V735&gt;0,-V735,U735-'Model Inputs'!$B$18),"")</f>
        <v>9497286.4420326594</v>
      </c>
      <c r="X735" s="171">
        <f t="shared" si="344"/>
        <v>3983018.8285711561</v>
      </c>
      <c r="Y735" s="171">
        <f t="shared" si="345"/>
        <v>0</v>
      </c>
      <c r="Z735" s="171">
        <f t="shared" si="346"/>
        <v>3983018.8285711561</v>
      </c>
      <c r="AA735" s="172">
        <f t="shared" si="347"/>
        <v>14480305.270603815</v>
      </c>
      <c r="AB735" s="5"/>
      <c r="AC735" s="5"/>
      <c r="AD735" s="5"/>
      <c r="AE735" s="5"/>
      <c r="AF735" s="5"/>
      <c r="AG735" s="5"/>
    </row>
    <row r="736" spans="1:33" x14ac:dyDescent="0.2">
      <c r="A736" s="173">
        <v>40</v>
      </c>
      <c r="B736" s="65" t="str">
        <f t="shared" si="333"/>
        <v>Retired</v>
      </c>
      <c r="C736" s="174">
        <f t="shared" si="334"/>
        <v>0</v>
      </c>
      <c r="D736" s="174">
        <f t="shared" si="335"/>
        <v>0</v>
      </c>
      <c r="E736" s="174">
        <f t="shared" si="336"/>
        <v>0</v>
      </c>
      <c r="F736" s="174">
        <f t="shared" si="337"/>
        <v>0</v>
      </c>
      <c r="G736" s="171">
        <f t="shared" si="338"/>
        <v>0</v>
      </c>
      <c r="H736" s="171">
        <f t="shared" si="339"/>
        <v>90255.206655422386</v>
      </c>
      <c r="I736" s="171">
        <f>IF(B736="Working",MIN(MAX(D736-E736-F736-G736-H736,0),'Tax Assumptions'!$B$20),0)</f>
        <v>0</v>
      </c>
      <c r="J736" s="171">
        <f t="shared" si="340"/>
        <v>-230255.2066554224</v>
      </c>
      <c r="K736" s="174">
        <f t="shared" si="341"/>
        <v>230255.2066554224</v>
      </c>
      <c r="L736" s="174">
        <f t="shared" si="342"/>
        <v>230255.2066554224</v>
      </c>
      <c r="M736" s="174">
        <f t="shared" si="348"/>
        <v>230255.2066554224</v>
      </c>
      <c r="N736" s="174">
        <f t="shared" si="349"/>
        <v>0</v>
      </c>
      <c r="O736" s="174">
        <f t="shared" si="350"/>
        <v>0</v>
      </c>
      <c r="P736" s="174">
        <f t="shared" si="351"/>
        <v>0</v>
      </c>
      <c r="Q736" s="171">
        <f t="shared" si="352"/>
        <v>8474347.4809857756</v>
      </c>
      <c r="R736" s="171">
        <f t="shared" si="353"/>
        <v>1854742.5953868378</v>
      </c>
      <c r="S736" s="171">
        <f t="shared" si="354"/>
        <v>567778.34552658291</v>
      </c>
      <c r="T736" s="171">
        <f t="shared" si="355"/>
        <v>0</v>
      </c>
      <c r="U736" s="171">
        <f t="shared" si="343"/>
        <v>10896868.421899198</v>
      </c>
      <c r="V736" s="171">
        <f t="shared" si="356"/>
        <v>0</v>
      </c>
      <c r="W736" s="171">
        <f>IF(OR(A736&gt;=$C$13,B736="Retired"),IF(V736&gt;0,-V736,U736-'Model Inputs'!$B$18),"")</f>
        <v>9896868.4218991976</v>
      </c>
      <c r="X736" s="171">
        <f t="shared" si="344"/>
        <v>4102509.3934282907</v>
      </c>
      <c r="Y736" s="171">
        <f t="shared" si="345"/>
        <v>0</v>
      </c>
      <c r="Z736" s="171">
        <f t="shared" si="346"/>
        <v>4102509.3934282907</v>
      </c>
      <c r="AA736" s="175">
        <f t="shared" si="347"/>
        <v>14999377.815327488</v>
      </c>
      <c r="AB736" s="5"/>
      <c r="AC736" s="5"/>
      <c r="AD736" s="5"/>
      <c r="AE736" s="5"/>
      <c r="AF736" s="5"/>
      <c r="AG736" s="5"/>
    </row>
    <row r="737" spans="1:33" x14ac:dyDescent="0.2">
      <c r="A737" s="176" t="s">
        <v>369</v>
      </c>
      <c r="B737" s="177"/>
      <c r="C737" s="177"/>
      <c r="D737" s="177"/>
      <c r="E737" s="177"/>
      <c r="F737" s="177"/>
      <c r="G737" s="178">
        <f t="shared" ref="G737:P737" si="357">SUM(G697:G736)</f>
        <v>802835.28666899295</v>
      </c>
      <c r="H737" s="178">
        <f t="shared" si="357"/>
        <v>3974547.8183763544</v>
      </c>
      <c r="I737" s="178">
        <f t="shared" si="357"/>
        <v>75000</v>
      </c>
      <c r="J737" s="178">
        <f t="shared" si="357"/>
        <v>-4129790.8650048235</v>
      </c>
      <c r="K737" s="178">
        <f t="shared" si="357"/>
        <v>8066855.510684046</v>
      </c>
      <c r="L737" s="178">
        <f t="shared" si="357"/>
        <v>8066855.510684046</v>
      </c>
      <c r="M737" s="178">
        <f t="shared" si="357"/>
        <v>8066855.510684046</v>
      </c>
      <c r="N737" s="178">
        <f t="shared" si="357"/>
        <v>0</v>
      </c>
      <c r="O737" s="178">
        <f t="shared" si="357"/>
        <v>0</v>
      </c>
      <c r="P737" s="178">
        <f t="shared" si="357"/>
        <v>0</v>
      </c>
      <c r="Q737" s="178">
        <f>Q736</f>
        <v>8474347.4809857756</v>
      </c>
      <c r="R737" s="178">
        <f>R736</f>
        <v>1854742.5953868378</v>
      </c>
      <c r="S737" s="178">
        <f>S736</f>
        <v>567778.34552658291</v>
      </c>
      <c r="T737" s="178">
        <f>T736</f>
        <v>0</v>
      </c>
      <c r="U737" s="178">
        <f>U736</f>
        <v>10896868.421899198</v>
      </c>
      <c r="V737" s="178">
        <f>SUM(V697:V736)</f>
        <v>0</v>
      </c>
      <c r="W737" s="178">
        <f>MIN(W697:W736)</f>
        <v>4519714.0461025937</v>
      </c>
      <c r="X737" s="178">
        <f>X736</f>
        <v>4102509.3934282907</v>
      </c>
      <c r="Y737" s="178">
        <f>Y736</f>
        <v>0</v>
      </c>
      <c r="Z737" s="178">
        <f>Z736</f>
        <v>4102509.3934282907</v>
      </c>
      <c r="AA737" s="179">
        <f>AA736</f>
        <v>14999377.815327488</v>
      </c>
      <c r="AB737" s="5"/>
      <c r="AC737" s="5"/>
      <c r="AD737" s="5"/>
      <c r="AE737" s="5"/>
      <c r="AF737" s="5"/>
      <c r="AG737" s="5"/>
    </row>
    <row r="738" spans="1:33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x14ac:dyDescent="0.2">
      <c r="A739" s="319" t="str">
        <f>J238&amp;" | House "&amp;TEXT($L$238,"$#,##0")&amp;" | Spend "&amp;TEXT($N$238,"$#,##0")</f>
        <v>Case 12 | House $1,690,180 | Spend $170,000</v>
      </c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8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9"/>
      <c r="AB739" s="5"/>
      <c r="AC739" s="5"/>
      <c r="AD739" s="5"/>
      <c r="AE739" s="5"/>
      <c r="AF739" s="5"/>
      <c r="AG739" s="5"/>
    </row>
    <row r="740" spans="1:33" ht="34" customHeight="1" x14ac:dyDescent="0.2">
      <c r="A740" s="167" t="s">
        <v>224</v>
      </c>
      <c r="B740" s="112" t="s">
        <v>106</v>
      </c>
      <c r="C740" s="112" t="s">
        <v>357</v>
      </c>
      <c r="D740" s="112" t="s">
        <v>66</v>
      </c>
      <c r="E740" s="112" t="s">
        <v>300</v>
      </c>
      <c r="F740" s="112" t="s">
        <v>301</v>
      </c>
      <c r="G740" s="112" t="s">
        <v>358</v>
      </c>
      <c r="H740" s="112" t="s">
        <v>359</v>
      </c>
      <c r="I740" s="112" t="s">
        <v>69</v>
      </c>
      <c r="J740" s="112" t="s">
        <v>360</v>
      </c>
      <c r="K740" s="112" t="s">
        <v>361</v>
      </c>
      <c r="L740" s="112" t="s">
        <v>362</v>
      </c>
      <c r="M740" s="112" t="s">
        <v>304</v>
      </c>
      <c r="N740" s="112" t="s">
        <v>305</v>
      </c>
      <c r="O740" s="112" t="s">
        <v>306</v>
      </c>
      <c r="P740" s="112" t="s">
        <v>307</v>
      </c>
      <c r="Q740" s="112" t="s">
        <v>363</v>
      </c>
      <c r="R740" s="112" t="s">
        <v>364</v>
      </c>
      <c r="S740" s="112" t="s">
        <v>365</v>
      </c>
      <c r="T740" s="112" t="s">
        <v>366</v>
      </c>
      <c r="U740" s="112" t="s">
        <v>308</v>
      </c>
      <c r="V740" s="112" t="s">
        <v>309</v>
      </c>
      <c r="W740" s="112" t="s">
        <v>367</v>
      </c>
      <c r="X740" s="112" t="s">
        <v>311</v>
      </c>
      <c r="Y740" s="112" t="s">
        <v>312</v>
      </c>
      <c r="Z740" s="112" t="s">
        <v>313</v>
      </c>
      <c r="AA740" s="168" t="s">
        <v>368</v>
      </c>
      <c r="AB740" s="5"/>
      <c r="AC740" s="5"/>
      <c r="AD740" s="5"/>
      <c r="AE740" s="5"/>
      <c r="AF740" s="5"/>
      <c r="AG740" s="5"/>
    </row>
    <row r="741" spans="1:33" x14ac:dyDescent="0.2">
      <c r="A741" s="169">
        <v>1</v>
      </c>
      <c r="B741" s="100" t="str">
        <f t="shared" ref="B741:B780" si="358">B80</f>
        <v>Working</v>
      </c>
      <c r="C741" s="170">
        <f t="shared" ref="C741:C780" si="359">D80</f>
        <v>550000</v>
      </c>
      <c r="D741" s="170">
        <f t="shared" ref="D741:D780" si="360">I80</f>
        <v>302665.46999999997</v>
      </c>
      <c r="E741" s="170">
        <f t="shared" ref="E741:E780" si="361">J80</f>
        <v>78000</v>
      </c>
      <c r="F741" s="170">
        <f t="shared" ref="F741:F780" si="362">K80</f>
        <v>40000</v>
      </c>
      <c r="G741" s="171">
        <f t="shared" ref="G741:G780" si="363">IF(AND($L$238&gt;0,A741=$C$13),$L$238*($C$15+$C$18),0)+IF(AND($L$238&gt;0,A741=$C$13),$C$24,0)</f>
        <v>0</v>
      </c>
      <c r="H741" s="171">
        <f t="shared" ref="H741:H780" si="364">IF(OR($L$238&lt;=0,A741&lt;$C$13),0,IF(AND($L$238&gt;0,$C$17&gt;0,A741&gt;=$C$13,A741&lt;($C$13+$C$17)),IF($C$17&lt;=0,0,IF($C$16=0,MAX($L$238*(1-$C$15),0)/$C$17,-PMT($C$16/12,$C$17*12,MAX($L$238*(1-$C$15),0))*12)),0)+X741*($C$19+$C$20+$C$21)+$C$22+$C$23)</f>
        <v>0</v>
      </c>
      <c r="I741" s="171">
        <f>IF(B741="Working",MIN(MAX(D741-E741-F741-G741-H741,0),'Tax Assumptions'!$B$20),0)</f>
        <v>7500</v>
      </c>
      <c r="J741" s="171">
        <f t="shared" ref="J741:J780" si="365">IF(B741="Working",D741-E741-F741-I741-G741-H741,-L741)</f>
        <v>177165.46999999997</v>
      </c>
      <c r="K741" s="170">
        <f t="shared" ref="K741:K780" si="366">IF(B741="Retired",$N$238+G741+H741,0)</f>
        <v>0</v>
      </c>
      <c r="L741" s="170">
        <f t="shared" ref="L741:L780" si="367">M741+N741+O741+P741</f>
        <v>0</v>
      </c>
      <c r="M741" s="170">
        <f>IF(B741="Retired",MIN((('Savings Projection'!$B$7)*(1+$C$10)+IF(B741="Working",J741,0)),K741),0)</f>
        <v>0</v>
      </c>
      <c r="N741" s="170">
        <f>IF(B741="Retired",MIN(MAX(K741-M741,0),(('Savings Projection'!$B$8)*(1+$C$10)+IF(B741="Working",E80,0))),0)</f>
        <v>0</v>
      </c>
      <c r="O741" s="170">
        <f>IF(B741="Retired",MIN(MAX(K741-M741-N741,0),(('Savings Projection'!$B$9)*(1+$C$10)+IF(B741="Working",I741,0))),0)</f>
        <v>0</v>
      </c>
      <c r="P741" s="170">
        <f>IF(B741="Retired",MIN(MAX(K741-M741-N741-O741,0),(('Savings Projection'!$B$10)*(1+$C$10)+IF(B741="Working",F80,0))),0)</f>
        <v>0</v>
      </c>
      <c r="Q741" s="171">
        <f>MAX((('Savings Projection'!$B$7)*(1+$C$10)+IF(B741="Working",J741,0))-M741,0)</f>
        <v>336165.47</v>
      </c>
      <c r="R741" s="171">
        <f>MAX((('Savings Projection'!$B$8)*(1+$C$10)+IF(B741="Working",E80,0))-N741,0)</f>
        <v>24500</v>
      </c>
      <c r="S741" s="171">
        <f>MAX((('Savings Projection'!$B$9)*(1+$C$10)+IF(B741="Working",I741,0))-O741,0)</f>
        <v>7500</v>
      </c>
      <c r="T741" s="171">
        <f>MAX((('Savings Projection'!$B$10)*(1+$C$10)+IF(B741="Working",F80,0))-P741,0)</f>
        <v>0</v>
      </c>
      <c r="U741" s="171">
        <f t="shared" ref="U741:U780" si="368">Q741+R741+S741+T741</f>
        <v>368165.47</v>
      </c>
      <c r="V741" s="171">
        <f>IF(B741="Working",MAX(-((('Savings Projection'!$B$7)*(1+$C$10)+IF(B741="Working",J741,0))),0),MAX(K741-L741,0))</f>
        <v>0</v>
      </c>
      <c r="W741" s="171" t="str">
        <f>IF(OR(A741&gt;=$C$13,B741="Retired"),IF(V741&gt;0,-V741,U741-'Model Inputs'!$B$18),"")</f>
        <v/>
      </c>
      <c r="X741" s="171">
        <f t="shared" ref="X741:X780" si="369">IF(AND($L$238&gt;0,A741&gt;=$C$13),$L$238*(1+$C$25)^(A741-$C$13),0)</f>
        <v>0</v>
      </c>
      <c r="Y741" s="171">
        <f t="shared" ref="Y741:Y780" si="370">IF(OR($L$238&lt;=0,$C$17&lt;=0,A741&lt;$C$13,MIN(MAX((A741-$C$13+1)*12,0),$C$17*12)&gt;=$C$17*12),0,IF($C$16=0,MAX(MAX($L$238*(1-$C$15),0)-(IF($C$17&lt;=0,0,IF($C$16=0,MAX($L$238*(1-$C$15),0)/$C$17,-PMT($C$16/12,$C$17*12,MAX($L$238*(1-$C$15),0))*12))/12)*MIN(MAX((A741-$C$13+1)*12,0),$C$17*12),0),MAX(MAX($L$238*(1-$C$15),0)*(1+$C$16/12)^MIN(MAX((A741-$C$13+1)*12,0),$C$17*12)-(IF($C$17&lt;=0,0,IF($C$16=0,MAX($L$238*(1-$C$15),0)/$C$17,-PMT($C$16/12,$C$17*12,MAX($L$238*(1-$C$15),0))*12))/12)*(((1+$C$16/12)^MIN(MAX((A741-$C$13+1)*12,0),$C$17*12)-1)/($C$16/12)),0)))</f>
        <v>0</v>
      </c>
      <c r="Z741" s="171">
        <f t="shared" ref="Z741:Z780" si="371">MAX(X741-Y741,0)</f>
        <v>0</v>
      </c>
      <c r="AA741" s="172">
        <f t="shared" ref="AA741:AA780" si="372">U741+Z741</f>
        <v>368165.47</v>
      </c>
      <c r="AB741" s="5"/>
      <c r="AC741" s="5"/>
      <c r="AD741" s="5"/>
      <c r="AE741" s="5"/>
      <c r="AF741" s="5"/>
      <c r="AG741" s="5"/>
    </row>
    <row r="742" spans="1:33" x14ac:dyDescent="0.2">
      <c r="A742" s="173">
        <v>2</v>
      </c>
      <c r="B742" s="65" t="str">
        <f t="shared" si="358"/>
        <v>Working</v>
      </c>
      <c r="C742" s="174">
        <f t="shared" si="359"/>
        <v>412500</v>
      </c>
      <c r="D742" s="174">
        <f t="shared" si="360"/>
        <v>231269.97</v>
      </c>
      <c r="E742" s="174">
        <f t="shared" si="361"/>
        <v>80340</v>
      </c>
      <c r="F742" s="174">
        <f t="shared" si="362"/>
        <v>41200</v>
      </c>
      <c r="G742" s="171">
        <f t="shared" si="363"/>
        <v>0</v>
      </c>
      <c r="H742" s="171">
        <f t="shared" si="364"/>
        <v>0</v>
      </c>
      <c r="I742" s="171">
        <f>IF(B742="Working",MIN(MAX(D742-E742-F742-G742-H742,0),'Tax Assumptions'!$B$20),0)</f>
        <v>7500</v>
      </c>
      <c r="J742" s="171">
        <f t="shared" si="365"/>
        <v>102229.97</v>
      </c>
      <c r="K742" s="174">
        <f t="shared" si="366"/>
        <v>0</v>
      </c>
      <c r="L742" s="174">
        <f t="shared" si="367"/>
        <v>0</v>
      </c>
      <c r="M742" s="174">
        <f t="shared" ref="M742:M780" si="373">IF(B742="Retired",MIN(((Q741)*(1+$C$10)+IF(B742="Working",J742,0)),K742),0)</f>
        <v>0</v>
      </c>
      <c r="N742" s="174">
        <f t="shared" ref="N742:N780" si="374">IF(B742="Retired",MIN(MAX(K742-M742,0),((R741)*(1+$C$10)+IF(B742="Working",E81,0))),0)</f>
        <v>0</v>
      </c>
      <c r="O742" s="174">
        <f t="shared" ref="O742:O780" si="375">IF(B742="Retired",MIN(MAX(K742-M742-N742,0),((S741)*(1+$C$10)+IF(B742="Working",I742,0))),0)</f>
        <v>0</v>
      </c>
      <c r="P742" s="174">
        <f t="shared" ref="P742:P780" si="376">IF(B742="Retired",MIN(MAX(K742-M742-N742-O742,0),((T741)*(1+$C$10)+IF(B742="Working",F81,0))),0)</f>
        <v>0</v>
      </c>
      <c r="Q742" s="171">
        <f t="shared" ref="Q742:Q780" si="377">MAX(((Q741)*(1+$C$10)+IF(B742="Working",J742,0))-M742,0)</f>
        <v>458565.36820000003</v>
      </c>
      <c r="R742" s="171">
        <f t="shared" ref="R742:R780" si="378">MAX(((R741)*(1+$C$10)+IF(B742="Working",E81,0))-N742,0)</f>
        <v>50470</v>
      </c>
      <c r="S742" s="171">
        <f t="shared" ref="S742:S780" si="379">MAX(((S741)*(1+$C$10)+IF(B742="Working",I742,0))-O742,0)</f>
        <v>15450</v>
      </c>
      <c r="T742" s="171">
        <f t="shared" ref="T742:T780" si="380">MAX(((T741)*(1+$C$10)+IF(B742="Working",F81,0))-P742,0)</f>
        <v>0</v>
      </c>
      <c r="U742" s="171">
        <f t="shared" si="368"/>
        <v>524485.36820000003</v>
      </c>
      <c r="V742" s="171">
        <f t="shared" ref="V742:V780" si="381">IF(B742="Working",MAX(-(((Q741)*(1+$C$10)+IF(B742="Working",J742,0))),0),MAX(K742-L742,0))</f>
        <v>0</v>
      </c>
      <c r="W742" s="171" t="str">
        <f>IF(OR(A742&gt;=$C$13,B742="Retired"),IF(V742&gt;0,-V742,U742-'Model Inputs'!$B$18),"")</f>
        <v/>
      </c>
      <c r="X742" s="171">
        <f t="shared" si="369"/>
        <v>0</v>
      </c>
      <c r="Y742" s="171">
        <f t="shared" si="370"/>
        <v>0</v>
      </c>
      <c r="Z742" s="171">
        <f t="shared" si="371"/>
        <v>0</v>
      </c>
      <c r="AA742" s="175">
        <f t="shared" si="372"/>
        <v>524485.36820000003</v>
      </c>
      <c r="AB742" s="5"/>
      <c r="AC742" s="5"/>
      <c r="AD742" s="5"/>
      <c r="AE742" s="5"/>
      <c r="AF742" s="5"/>
      <c r="AG742" s="5"/>
    </row>
    <row r="743" spans="1:33" x14ac:dyDescent="0.2">
      <c r="A743" s="169">
        <v>3</v>
      </c>
      <c r="B743" s="100" t="str">
        <f t="shared" si="358"/>
        <v>Working</v>
      </c>
      <c r="C743" s="170">
        <f t="shared" si="359"/>
        <v>675000</v>
      </c>
      <c r="D743" s="170">
        <f t="shared" si="360"/>
        <v>367570.47</v>
      </c>
      <c r="E743" s="170">
        <f t="shared" si="361"/>
        <v>82750.2</v>
      </c>
      <c r="F743" s="170">
        <f t="shared" si="362"/>
        <v>53045</v>
      </c>
      <c r="G743" s="171">
        <f t="shared" si="363"/>
        <v>0</v>
      </c>
      <c r="H743" s="171">
        <f t="shared" si="364"/>
        <v>0</v>
      </c>
      <c r="I743" s="171">
        <f>IF(B743="Working",MIN(MAX(D743-E743-F743-G743-H743,0),'Tax Assumptions'!$B$20),0)</f>
        <v>7500</v>
      </c>
      <c r="J743" s="171">
        <f t="shared" si="365"/>
        <v>224275.26999999996</v>
      </c>
      <c r="K743" s="170">
        <f t="shared" si="366"/>
        <v>0</v>
      </c>
      <c r="L743" s="170">
        <f t="shared" si="367"/>
        <v>0</v>
      </c>
      <c r="M743" s="170">
        <f t="shared" si="373"/>
        <v>0</v>
      </c>
      <c r="N743" s="170">
        <f t="shared" si="374"/>
        <v>0</v>
      </c>
      <c r="O743" s="170">
        <f t="shared" si="375"/>
        <v>0</v>
      </c>
      <c r="P743" s="170">
        <f t="shared" si="376"/>
        <v>0</v>
      </c>
      <c r="Q743" s="171">
        <f t="shared" si="377"/>
        <v>710354.56029199995</v>
      </c>
      <c r="R743" s="171">
        <f t="shared" si="378"/>
        <v>77998.200000000012</v>
      </c>
      <c r="S743" s="171">
        <f t="shared" si="379"/>
        <v>23877</v>
      </c>
      <c r="T743" s="171">
        <f t="shared" si="380"/>
        <v>0</v>
      </c>
      <c r="U743" s="171">
        <f t="shared" si="368"/>
        <v>812229.7602919999</v>
      </c>
      <c r="V743" s="171">
        <f t="shared" si="381"/>
        <v>0</v>
      </c>
      <c r="W743" s="171" t="str">
        <f>IF(OR(A743&gt;=$C$13,B743="Retired"),IF(V743&gt;0,-V743,U743-'Model Inputs'!$B$18),"")</f>
        <v/>
      </c>
      <c r="X743" s="171">
        <f t="shared" si="369"/>
        <v>0</v>
      </c>
      <c r="Y743" s="171">
        <f t="shared" si="370"/>
        <v>0</v>
      </c>
      <c r="Z743" s="171">
        <f t="shared" si="371"/>
        <v>0</v>
      </c>
      <c r="AA743" s="172">
        <f t="shared" si="372"/>
        <v>812229.7602919999</v>
      </c>
      <c r="AB743" s="5"/>
      <c r="AC743" s="5"/>
      <c r="AD743" s="5"/>
      <c r="AE743" s="5"/>
      <c r="AF743" s="5"/>
      <c r="AG743" s="5"/>
    </row>
    <row r="744" spans="1:33" x14ac:dyDescent="0.2">
      <c r="A744" s="173">
        <v>4</v>
      </c>
      <c r="B744" s="65" t="str">
        <f t="shared" si="358"/>
        <v>Working</v>
      </c>
      <c r="C744" s="174">
        <f t="shared" si="359"/>
        <v>750000</v>
      </c>
      <c r="D744" s="174">
        <f t="shared" si="360"/>
        <v>405137.47</v>
      </c>
      <c r="E744" s="174">
        <f t="shared" si="361"/>
        <v>85232.706000000006</v>
      </c>
      <c r="F744" s="174">
        <f t="shared" si="362"/>
        <v>54636.35</v>
      </c>
      <c r="G744" s="171">
        <f t="shared" si="363"/>
        <v>0</v>
      </c>
      <c r="H744" s="171">
        <f t="shared" si="364"/>
        <v>0</v>
      </c>
      <c r="I744" s="171">
        <f>IF(B744="Working",MIN(MAX(D744-E744-F744-G744-H744,0),'Tax Assumptions'!$B$20),0)</f>
        <v>7500</v>
      </c>
      <c r="J744" s="171">
        <f t="shared" si="365"/>
        <v>257768.41399999999</v>
      </c>
      <c r="K744" s="174">
        <f t="shared" si="366"/>
        <v>0</v>
      </c>
      <c r="L744" s="174">
        <f t="shared" si="367"/>
        <v>0</v>
      </c>
      <c r="M744" s="174">
        <f t="shared" si="373"/>
        <v>0</v>
      </c>
      <c r="N744" s="174">
        <f t="shared" si="374"/>
        <v>0</v>
      </c>
      <c r="O744" s="174">
        <f t="shared" si="375"/>
        <v>0</v>
      </c>
      <c r="P744" s="174">
        <f t="shared" si="376"/>
        <v>0</v>
      </c>
      <c r="Q744" s="171">
        <f t="shared" si="377"/>
        <v>1010744.2479095199</v>
      </c>
      <c r="R744" s="171">
        <f t="shared" si="378"/>
        <v>107178.09200000002</v>
      </c>
      <c r="S744" s="171">
        <f t="shared" si="379"/>
        <v>32809.620000000003</v>
      </c>
      <c r="T744" s="171">
        <f t="shared" si="380"/>
        <v>0</v>
      </c>
      <c r="U744" s="171">
        <f t="shared" si="368"/>
        <v>1150731.9599095201</v>
      </c>
      <c r="V744" s="171">
        <f t="shared" si="381"/>
        <v>0</v>
      </c>
      <c r="W744" s="171" t="str">
        <f>IF(OR(A744&gt;=$C$13,B744="Retired"),IF(V744&gt;0,-V744,U744-'Model Inputs'!$B$18),"")</f>
        <v/>
      </c>
      <c r="X744" s="171">
        <f t="shared" si="369"/>
        <v>0</v>
      </c>
      <c r="Y744" s="171">
        <f t="shared" si="370"/>
        <v>0</v>
      </c>
      <c r="Z744" s="171">
        <f t="shared" si="371"/>
        <v>0</v>
      </c>
      <c r="AA744" s="175">
        <f t="shared" si="372"/>
        <v>1150731.9599095201</v>
      </c>
      <c r="AB744" s="5"/>
      <c r="AC744" s="5"/>
      <c r="AD744" s="5"/>
      <c r="AE744" s="5"/>
      <c r="AF744" s="5"/>
      <c r="AG744" s="5"/>
    </row>
    <row r="745" spans="1:33" x14ac:dyDescent="0.2">
      <c r="A745" s="169">
        <v>5</v>
      </c>
      <c r="B745" s="100" t="str">
        <f t="shared" si="358"/>
        <v>Working</v>
      </c>
      <c r="C745" s="170">
        <f t="shared" si="359"/>
        <v>953837.51358640334</v>
      </c>
      <c r="D745" s="170">
        <f t="shared" si="360"/>
        <v>506901.31028287602</v>
      </c>
      <c r="E745" s="170">
        <f t="shared" si="361"/>
        <v>87789.687179999994</v>
      </c>
      <c r="F745" s="170">
        <f t="shared" si="362"/>
        <v>56275.440499999997</v>
      </c>
      <c r="G745" s="171">
        <f t="shared" si="363"/>
        <v>0</v>
      </c>
      <c r="H745" s="171">
        <f t="shared" si="364"/>
        <v>0</v>
      </c>
      <c r="I745" s="171">
        <f>IF(B745="Working",MIN(MAX(D745-E745-F745-G745-H745,0),'Tax Assumptions'!$B$20),0)</f>
        <v>7500</v>
      </c>
      <c r="J745" s="171">
        <f t="shared" si="365"/>
        <v>355336.18260287598</v>
      </c>
      <c r="K745" s="170">
        <f t="shared" si="366"/>
        <v>0</v>
      </c>
      <c r="L745" s="170">
        <f t="shared" si="367"/>
        <v>0</v>
      </c>
      <c r="M745" s="170">
        <f t="shared" si="373"/>
        <v>0</v>
      </c>
      <c r="N745" s="170">
        <f t="shared" si="374"/>
        <v>0</v>
      </c>
      <c r="O745" s="170">
        <f t="shared" si="375"/>
        <v>0</v>
      </c>
      <c r="P745" s="170">
        <f t="shared" si="376"/>
        <v>0</v>
      </c>
      <c r="Q745" s="171">
        <f t="shared" si="377"/>
        <v>1426725.0853869673</v>
      </c>
      <c r="R745" s="171">
        <f t="shared" si="378"/>
        <v>138108.77752000003</v>
      </c>
      <c r="S745" s="171">
        <f t="shared" si="379"/>
        <v>42278.197200000002</v>
      </c>
      <c r="T745" s="171">
        <f t="shared" si="380"/>
        <v>0</v>
      </c>
      <c r="U745" s="171">
        <f t="shared" si="368"/>
        <v>1607112.0601069673</v>
      </c>
      <c r="V745" s="171">
        <f t="shared" si="381"/>
        <v>0</v>
      </c>
      <c r="W745" s="171" t="str">
        <f>IF(OR(A745&gt;=$C$13,B745="Retired"),IF(V745&gt;0,-V745,U745-'Model Inputs'!$B$18),"")</f>
        <v/>
      </c>
      <c r="X745" s="171">
        <f t="shared" si="369"/>
        <v>0</v>
      </c>
      <c r="Y745" s="171">
        <f t="shared" si="370"/>
        <v>0</v>
      </c>
      <c r="Z745" s="171">
        <f t="shared" si="371"/>
        <v>0</v>
      </c>
      <c r="AA745" s="172">
        <f t="shared" si="372"/>
        <v>1607112.0601069673</v>
      </c>
      <c r="AB745" s="5"/>
      <c r="AC745" s="5"/>
      <c r="AD745" s="5"/>
      <c r="AE745" s="5"/>
      <c r="AF745" s="5"/>
      <c r="AG745" s="5"/>
    </row>
    <row r="746" spans="1:33" x14ac:dyDescent="0.2">
      <c r="A746" s="173">
        <v>6</v>
      </c>
      <c r="B746" s="65" t="str">
        <f t="shared" si="358"/>
        <v>Working</v>
      </c>
      <c r="C746" s="174">
        <f t="shared" si="359"/>
        <v>1118900.665838565</v>
      </c>
      <c r="D746" s="174">
        <f t="shared" si="360"/>
        <v>589060.11476976541</v>
      </c>
      <c r="E746" s="174">
        <f t="shared" si="361"/>
        <v>92741.925943999988</v>
      </c>
      <c r="F746" s="174">
        <f t="shared" si="362"/>
        <v>57963.703714999989</v>
      </c>
      <c r="G746" s="171">
        <f t="shared" si="363"/>
        <v>0</v>
      </c>
      <c r="H746" s="171">
        <f t="shared" si="364"/>
        <v>0</v>
      </c>
      <c r="I746" s="171">
        <f>IF(B746="Working",MIN(MAX(D746-E746-F746-G746-H746,0),'Tax Assumptions'!$B$20),0)</f>
        <v>7500</v>
      </c>
      <c r="J746" s="171">
        <f t="shared" si="365"/>
        <v>430854.48511076538</v>
      </c>
      <c r="K746" s="174">
        <f t="shared" si="366"/>
        <v>0</v>
      </c>
      <c r="L746" s="174">
        <f t="shared" si="367"/>
        <v>0</v>
      </c>
      <c r="M746" s="174">
        <f t="shared" si="373"/>
        <v>0</v>
      </c>
      <c r="N746" s="174">
        <f t="shared" si="374"/>
        <v>0</v>
      </c>
      <c r="O746" s="174">
        <f t="shared" si="375"/>
        <v>0</v>
      </c>
      <c r="P746" s="174">
        <f t="shared" si="376"/>
        <v>0</v>
      </c>
      <c r="Q746" s="171">
        <f t="shared" si="377"/>
        <v>1943183.0756209507</v>
      </c>
      <c r="R746" s="171">
        <f t="shared" si="378"/>
        <v>170895.30417120006</v>
      </c>
      <c r="S746" s="171">
        <f t="shared" si="379"/>
        <v>52314.889032000006</v>
      </c>
      <c r="T746" s="171">
        <f t="shared" si="380"/>
        <v>0</v>
      </c>
      <c r="U746" s="171">
        <f t="shared" si="368"/>
        <v>2166393.2688241508</v>
      </c>
      <c r="V746" s="171">
        <f t="shared" si="381"/>
        <v>0</v>
      </c>
      <c r="W746" s="171" t="str">
        <f>IF(OR(A746&gt;=$C$13,B746="Retired"),IF(V746&gt;0,-V746,U746-'Model Inputs'!$B$18),"")</f>
        <v/>
      </c>
      <c r="X746" s="171">
        <f t="shared" si="369"/>
        <v>0</v>
      </c>
      <c r="Y746" s="171">
        <f t="shared" si="370"/>
        <v>0</v>
      </c>
      <c r="Z746" s="171">
        <f t="shared" si="371"/>
        <v>0</v>
      </c>
      <c r="AA746" s="175">
        <f t="shared" si="372"/>
        <v>2166393.2688241508</v>
      </c>
      <c r="AB746" s="5"/>
      <c r="AC746" s="5"/>
      <c r="AD746" s="5"/>
      <c r="AE746" s="5"/>
      <c r="AF746" s="5"/>
      <c r="AG746" s="5"/>
    </row>
    <row r="747" spans="1:33" x14ac:dyDescent="0.2">
      <c r="A747" s="169">
        <v>7</v>
      </c>
      <c r="B747" s="100" t="str">
        <f t="shared" si="358"/>
        <v>Working</v>
      </c>
      <c r="C747" s="170">
        <f t="shared" si="359"/>
        <v>1418318.448466131</v>
      </c>
      <c r="D747" s="170">
        <f t="shared" si="360"/>
        <v>730157.75065517949</v>
      </c>
      <c r="E747" s="170">
        <f t="shared" si="361"/>
        <v>95524.183722319998</v>
      </c>
      <c r="F747" s="170">
        <f t="shared" si="362"/>
        <v>59702.614826449993</v>
      </c>
      <c r="G747" s="171">
        <f t="shared" si="363"/>
        <v>0</v>
      </c>
      <c r="H747" s="171">
        <f t="shared" si="364"/>
        <v>0</v>
      </c>
      <c r="I747" s="171">
        <f>IF(B747="Working",MIN(MAX(D747-E747-F747-G747-H747,0),'Tax Assumptions'!$B$20),0)</f>
        <v>7500</v>
      </c>
      <c r="J747" s="171">
        <f t="shared" si="365"/>
        <v>567430.95210640947</v>
      </c>
      <c r="K747" s="170">
        <f t="shared" si="366"/>
        <v>0</v>
      </c>
      <c r="L747" s="170">
        <f t="shared" si="367"/>
        <v>0</v>
      </c>
      <c r="M747" s="170">
        <f t="shared" si="373"/>
        <v>0</v>
      </c>
      <c r="N747" s="170">
        <f t="shared" si="374"/>
        <v>0</v>
      </c>
      <c r="O747" s="170">
        <f t="shared" si="375"/>
        <v>0</v>
      </c>
      <c r="P747" s="170">
        <f t="shared" si="376"/>
        <v>0</v>
      </c>
      <c r="Q747" s="171">
        <f t="shared" si="377"/>
        <v>2627205.0122646173</v>
      </c>
      <c r="R747" s="171">
        <f t="shared" si="378"/>
        <v>205649.02242147207</v>
      </c>
      <c r="S747" s="171">
        <f t="shared" si="379"/>
        <v>62953.78237392001</v>
      </c>
      <c r="T747" s="171">
        <f t="shared" si="380"/>
        <v>0</v>
      </c>
      <c r="U747" s="171">
        <f t="shared" si="368"/>
        <v>2895807.8170600096</v>
      </c>
      <c r="V747" s="171">
        <f t="shared" si="381"/>
        <v>0</v>
      </c>
      <c r="W747" s="171" t="str">
        <f>IF(OR(A747&gt;=$C$13,B747="Retired"),IF(V747&gt;0,-V747,U747-'Model Inputs'!$B$18),"")</f>
        <v/>
      </c>
      <c r="X747" s="171">
        <f t="shared" si="369"/>
        <v>0</v>
      </c>
      <c r="Y747" s="171">
        <f t="shared" si="370"/>
        <v>0</v>
      </c>
      <c r="Z747" s="171">
        <f t="shared" si="371"/>
        <v>0</v>
      </c>
      <c r="AA747" s="172">
        <f t="shared" si="372"/>
        <v>2895807.8170600096</v>
      </c>
      <c r="AB747" s="5"/>
      <c r="AC747" s="5"/>
      <c r="AD747" s="5"/>
      <c r="AE747" s="5"/>
      <c r="AF747" s="5"/>
      <c r="AG747" s="5"/>
    </row>
    <row r="748" spans="1:33" x14ac:dyDescent="0.2">
      <c r="A748" s="173">
        <v>8</v>
      </c>
      <c r="B748" s="65" t="str">
        <f t="shared" si="358"/>
        <v>Working</v>
      </c>
      <c r="C748" s="174">
        <f t="shared" si="359"/>
        <v>1872205.6657868917</v>
      </c>
      <c r="D748" s="174">
        <f t="shared" si="360"/>
        <v>944047.5629454148</v>
      </c>
      <c r="E748" s="174">
        <f t="shared" si="361"/>
        <v>98389.909233989601</v>
      </c>
      <c r="F748" s="174">
        <f t="shared" si="362"/>
        <v>61493.693271243501</v>
      </c>
      <c r="G748" s="171">
        <f t="shared" si="363"/>
        <v>0</v>
      </c>
      <c r="H748" s="171">
        <f t="shared" si="364"/>
        <v>0</v>
      </c>
      <c r="I748" s="171">
        <f>IF(B748="Working",MIN(MAX(D748-E748-F748-G748-H748,0),'Tax Assumptions'!$B$20),0)</f>
        <v>7500</v>
      </c>
      <c r="J748" s="171">
        <f t="shared" si="365"/>
        <v>776663.96044018166</v>
      </c>
      <c r="K748" s="174">
        <f t="shared" si="366"/>
        <v>0</v>
      </c>
      <c r="L748" s="174">
        <f t="shared" si="367"/>
        <v>0</v>
      </c>
      <c r="M748" s="174">
        <f t="shared" si="373"/>
        <v>0</v>
      </c>
      <c r="N748" s="174">
        <f t="shared" si="374"/>
        <v>0</v>
      </c>
      <c r="O748" s="174">
        <f t="shared" si="375"/>
        <v>0</v>
      </c>
      <c r="P748" s="174">
        <f t="shared" si="376"/>
        <v>0</v>
      </c>
      <c r="Q748" s="171">
        <f t="shared" si="377"/>
        <v>3561501.2734406763</v>
      </c>
      <c r="R748" s="171">
        <f t="shared" si="378"/>
        <v>242487.9637667604</v>
      </c>
      <c r="S748" s="171">
        <f t="shared" si="379"/>
        <v>74231.009316355208</v>
      </c>
      <c r="T748" s="171">
        <f t="shared" si="380"/>
        <v>0</v>
      </c>
      <c r="U748" s="171">
        <f t="shared" si="368"/>
        <v>3878220.2465237915</v>
      </c>
      <c r="V748" s="171">
        <f t="shared" si="381"/>
        <v>0</v>
      </c>
      <c r="W748" s="171" t="str">
        <f>IF(OR(A748&gt;=$C$13,B748="Retired"),IF(V748&gt;0,-V748,U748-'Model Inputs'!$B$18),"")</f>
        <v/>
      </c>
      <c r="X748" s="171">
        <f t="shared" si="369"/>
        <v>0</v>
      </c>
      <c r="Y748" s="171">
        <f t="shared" si="370"/>
        <v>0</v>
      </c>
      <c r="Z748" s="171">
        <f t="shared" si="371"/>
        <v>0</v>
      </c>
      <c r="AA748" s="175">
        <f t="shared" si="372"/>
        <v>3878220.2465237915</v>
      </c>
      <c r="AB748" s="5"/>
      <c r="AC748" s="5"/>
      <c r="AD748" s="5"/>
      <c r="AE748" s="5"/>
      <c r="AF748" s="5"/>
      <c r="AG748" s="5"/>
    </row>
    <row r="749" spans="1:33" x14ac:dyDescent="0.2">
      <c r="A749" s="169">
        <v>9</v>
      </c>
      <c r="B749" s="100" t="str">
        <f t="shared" si="358"/>
        <v>Working</v>
      </c>
      <c r="C749" s="170">
        <f t="shared" si="359"/>
        <v>2033969.9666232408</v>
      </c>
      <c r="D749" s="170">
        <f t="shared" si="360"/>
        <v>1020277.372071536</v>
      </c>
      <c r="E749" s="170">
        <f t="shared" si="361"/>
        <v>101341.60651100927</v>
      </c>
      <c r="F749" s="170">
        <f t="shared" si="362"/>
        <v>63338.504069380797</v>
      </c>
      <c r="G749" s="171">
        <f t="shared" si="363"/>
        <v>0</v>
      </c>
      <c r="H749" s="171">
        <f t="shared" si="364"/>
        <v>0</v>
      </c>
      <c r="I749" s="171">
        <f>IF(B749="Working",MIN(MAX(D749-E749-F749-G749-H749,0),'Tax Assumptions'!$B$20),0)</f>
        <v>7500</v>
      </c>
      <c r="J749" s="171">
        <f t="shared" si="365"/>
        <v>848097.26149114594</v>
      </c>
      <c r="K749" s="170">
        <f t="shared" si="366"/>
        <v>0</v>
      </c>
      <c r="L749" s="170">
        <f t="shared" si="367"/>
        <v>0</v>
      </c>
      <c r="M749" s="170">
        <f t="shared" si="373"/>
        <v>0</v>
      </c>
      <c r="N749" s="170">
        <f t="shared" si="374"/>
        <v>0</v>
      </c>
      <c r="O749" s="170">
        <f t="shared" si="375"/>
        <v>0</v>
      </c>
      <c r="P749" s="170">
        <f t="shared" si="376"/>
        <v>0</v>
      </c>
      <c r="Q749" s="171">
        <f t="shared" si="377"/>
        <v>4623288.6113382634</v>
      </c>
      <c r="R749" s="171">
        <f t="shared" si="378"/>
        <v>281537.24159276602</v>
      </c>
      <c r="S749" s="171">
        <f t="shared" si="379"/>
        <v>86184.869875336532</v>
      </c>
      <c r="T749" s="171">
        <f t="shared" si="380"/>
        <v>0</v>
      </c>
      <c r="U749" s="171">
        <f t="shared" si="368"/>
        <v>4991010.7228063662</v>
      </c>
      <c r="V749" s="171">
        <f t="shared" si="381"/>
        <v>0</v>
      </c>
      <c r="W749" s="171" t="str">
        <f>IF(OR(A749&gt;=$C$13,B749="Retired"),IF(V749&gt;0,-V749,U749-'Model Inputs'!$B$18),"")</f>
        <v/>
      </c>
      <c r="X749" s="171">
        <f t="shared" si="369"/>
        <v>0</v>
      </c>
      <c r="Y749" s="171">
        <f t="shared" si="370"/>
        <v>0</v>
      </c>
      <c r="Z749" s="171">
        <f t="shared" si="371"/>
        <v>0</v>
      </c>
      <c r="AA749" s="172">
        <f t="shared" si="372"/>
        <v>4991010.7228063662</v>
      </c>
      <c r="AB749" s="5"/>
      <c r="AC749" s="5"/>
      <c r="AD749" s="5"/>
      <c r="AE749" s="5"/>
      <c r="AF749" s="5"/>
      <c r="AG749" s="5"/>
    </row>
    <row r="750" spans="1:33" x14ac:dyDescent="0.2">
      <c r="A750" s="173">
        <v>10</v>
      </c>
      <c r="B750" s="65" t="str">
        <f t="shared" si="358"/>
        <v>Working</v>
      </c>
      <c r="C750" s="174">
        <f t="shared" si="359"/>
        <v>2595495.7626410057</v>
      </c>
      <c r="D750" s="174">
        <f t="shared" si="360"/>
        <v>1284890.7881869476</v>
      </c>
      <c r="E750" s="174">
        <f t="shared" si="361"/>
        <v>104381.85470633955</v>
      </c>
      <c r="F750" s="174">
        <f t="shared" si="362"/>
        <v>65238.659191462226</v>
      </c>
      <c r="G750" s="171">
        <f t="shared" si="363"/>
        <v>802835.28666899295</v>
      </c>
      <c r="H750" s="171">
        <f t="shared" si="364"/>
        <v>107692.30769230769</v>
      </c>
      <c r="I750" s="171">
        <f>IF(B750="Working",MIN(MAX(D750-E750-F750-G750-H750,0),'Tax Assumptions'!$B$20),0)</f>
        <v>7500</v>
      </c>
      <c r="J750" s="171">
        <f t="shared" si="365"/>
        <v>197242.67992784519</v>
      </c>
      <c r="K750" s="174">
        <f t="shared" si="366"/>
        <v>0</v>
      </c>
      <c r="L750" s="174">
        <f t="shared" si="367"/>
        <v>0</v>
      </c>
      <c r="M750" s="174">
        <f t="shared" si="373"/>
        <v>0</v>
      </c>
      <c r="N750" s="174">
        <f t="shared" si="374"/>
        <v>0</v>
      </c>
      <c r="O750" s="174">
        <f t="shared" si="375"/>
        <v>0</v>
      </c>
      <c r="P750" s="174">
        <f t="shared" si="376"/>
        <v>0</v>
      </c>
      <c r="Q750" s="171">
        <f t="shared" si="377"/>
        <v>5097928.6079464052</v>
      </c>
      <c r="R750" s="171">
        <f t="shared" si="378"/>
        <v>322929.47608833201</v>
      </c>
      <c r="S750" s="171">
        <f t="shared" si="379"/>
        <v>98855.96206785673</v>
      </c>
      <c r="T750" s="171">
        <f t="shared" si="380"/>
        <v>0</v>
      </c>
      <c r="U750" s="171">
        <f t="shared" si="368"/>
        <v>5519714.0461025937</v>
      </c>
      <c r="V750" s="171">
        <f t="shared" si="381"/>
        <v>0</v>
      </c>
      <c r="W750" s="171">
        <f>IF(OR(A750&gt;=$C$13,B750="Retired"),IF(V750&gt;0,-V750,U750-'Model Inputs'!$B$18),"")</f>
        <v>4519714.0461025937</v>
      </c>
      <c r="X750" s="171">
        <f t="shared" si="369"/>
        <v>1690179.5508820903</v>
      </c>
      <c r="Y750" s="171">
        <f t="shared" si="370"/>
        <v>919208.39096390037</v>
      </c>
      <c r="Z750" s="171">
        <f t="shared" si="371"/>
        <v>770971.15991818998</v>
      </c>
      <c r="AA750" s="175">
        <f t="shared" si="372"/>
        <v>6290685.2060207836</v>
      </c>
      <c r="AB750" s="5"/>
      <c r="AC750" s="5"/>
      <c r="AD750" s="5"/>
      <c r="AE750" s="5"/>
      <c r="AF750" s="5"/>
      <c r="AG750" s="5"/>
    </row>
    <row r="751" spans="1:33" x14ac:dyDescent="0.2">
      <c r="A751" s="169">
        <v>11</v>
      </c>
      <c r="B751" s="100" t="str">
        <f t="shared" si="358"/>
        <v>Retired</v>
      </c>
      <c r="C751" s="170">
        <f t="shared" si="359"/>
        <v>0</v>
      </c>
      <c r="D751" s="170">
        <f t="shared" si="360"/>
        <v>0</v>
      </c>
      <c r="E751" s="170">
        <f t="shared" si="361"/>
        <v>0</v>
      </c>
      <c r="F751" s="170">
        <f t="shared" si="362"/>
        <v>0</v>
      </c>
      <c r="G751" s="171">
        <f t="shared" si="363"/>
        <v>0</v>
      </c>
      <c r="H751" s="171">
        <f t="shared" si="364"/>
        <v>108807.82619588988</v>
      </c>
      <c r="I751" s="171">
        <f>IF(B751="Working",MIN(MAX(D751-E751-F751-G751-H751,0),'Tax Assumptions'!$B$20),0)</f>
        <v>0</v>
      </c>
      <c r="J751" s="171">
        <f t="shared" si="365"/>
        <v>-278807.82619588985</v>
      </c>
      <c r="K751" s="170">
        <f t="shared" si="366"/>
        <v>278807.82619588985</v>
      </c>
      <c r="L751" s="170">
        <f t="shared" si="367"/>
        <v>278807.82619588985</v>
      </c>
      <c r="M751" s="170">
        <f t="shared" si="373"/>
        <v>278807.82619588985</v>
      </c>
      <c r="N751" s="170">
        <f t="shared" si="374"/>
        <v>0</v>
      </c>
      <c r="O751" s="170">
        <f t="shared" si="375"/>
        <v>0</v>
      </c>
      <c r="P751" s="170">
        <f t="shared" si="376"/>
        <v>0</v>
      </c>
      <c r="Q751" s="171">
        <f t="shared" si="377"/>
        <v>5124996.4982273001</v>
      </c>
      <c r="R751" s="171">
        <f t="shared" si="378"/>
        <v>342305.24465363193</v>
      </c>
      <c r="S751" s="171">
        <f t="shared" si="379"/>
        <v>104787.31979192814</v>
      </c>
      <c r="T751" s="171">
        <f t="shared" si="380"/>
        <v>0</v>
      </c>
      <c r="U751" s="171">
        <f t="shared" si="368"/>
        <v>5572089.06267286</v>
      </c>
      <c r="V751" s="171">
        <f t="shared" si="381"/>
        <v>0</v>
      </c>
      <c r="W751" s="171">
        <f>IF(OR(A751&gt;=$C$13,B751="Retired"),IF(V751&gt;0,-V751,U751-'Model Inputs'!$B$18),"")</f>
        <v>4572089.06267286</v>
      </c>
      <c r="X751" s="171">
        <f t="shared" si="369"/>
        <v>1740884.9374085532</v>
      </c>
      <c r="Y751" s="171">
        <f t="shared" si="370"/>
        <v>908122.16715511121</v>
      </c>
      <c r="Z751" s="171">
        <f t="shared" si="371"/>
        <v>832762.770253442</v>
      </c>
      <c r="AA751" s="172">
        <f t="shared" si="372"/>
        <v>6404851.8329263022</v>
      </c>
      <c r="AB751" s="5"/>
      <c r="AC751" s="5"/>
      <c r="AD751" s="5"/>
      <c r="AE751" s="5"/>
      <c r="AF751" s="5"/>
      <c r="AG751" s="5"/>
    </row>
    <row r="752" spans="1:33" x14ac:dyDescent="0.2">
      <c r="A752" s="173">
        <v>12</v>
      </c>
      <c r="B752" s="65" t="str">
        <f t="shared" si="358"/>
        <v>Retired</v>
      </c>
      <c r="C752" s="174">
        <f t="shared" si="359"/>
        <v>0</v>
      </c>
      <c r="D752" s="174">
        <f t="shared" si="360"/>
        <v>0</v>
      </c>
      <c r="E752" s="174">
        <f t="shared" si="361"/>
        <v>0</v>
      </c>
      <c r="F752" s="174">
        <f t="shared" si="362"/>
        <v>0</v>
      </c>
      <c r="G752" s="171">
        <f t="shared" si="363"/>
        <v>0</v>
      </c>
      <c r="H752" s="171">
        <f t="shared" si="364"/>
        <v>109956.81025457951</v>
      </c>
      <c r="I752" s="171">
        <f>IF(B752="Working",MIN(MAX(D752-E752-F752-G752-H752,0),'Tax Assumptions'!$B$20),0)</f>
        <v>0</v>
      </c>
      <c r="J752" s="171">
        <f t="shared" si="365"/>
        <v>-279956.81025457953</v>
      </c>
      <c r="K752" s="174">
        <f t="shared" si="366"/>
        <v>279956.81025457953</v>
      </c>
      <c r="L752" s="174">
        <f t="shared" si="367"/>
        <v>279956.81025457953</v>
      </c>
      <c r="M752" s="174">
        <f t="shared" si="373"/>
        <v>279956.81025457953</v>
      </c>
      <c r="N752" s="174">
        <f t="shared" si="374"/>
        <v>0</v>
      </c>
      <c r="O752" s="174">
        <f t="shared" si="375"/>
        <v>0</v>
      </c>
      <c r="P752" s="174">
        <f t="shared" si="376"/>
        <v>0</v>
      </c>
      <c r="Q752" s="171">
        <f t="shared" si="377"/>
        <v>5152539.4778663591</v>
      </c>
      <c r="R752" s="171">
        <f t="shared" si="378"/>
        <v>362843.55933284987</v>
      </c>
      <c r="S752" s="171">
        <f t="shared" si="379"/>
        <v>111074.55897944383</v>
      </c>
      <c r="T752" s="171">
        <f t="shared" si="380"/>
        <v>0</v>
      </c>
      <c r="U752" s="171">
        <f t="shared" si="368"/>
        <v>5626457.5961786527</v>
      </c>
      <c r="V752" s="171">
        <f t="shared" si="381"/>
        <v>0</v>
      </c>
      <c r="W752" s="171">
        <f>IF(OR(A752&gt;=$C$13,B752="Retired"),IF(V752&gt;0,-V752,U752-'Model Inputs'!$B$18),"")</f>
        <v>4626457.5961786527</v>
      </c>
      <c r="X752" s="171">
        <f t="shared" si="369"/>
        <v>1793111.4855308095</v>
      </c>
      <c r="Y752" s="171">
        <f t="shared" si="370"/>
        <v>896293.47840613243</v>
      </c>
      <c r="Z752" s="171">
        <f t="shared" si="371"/>
        <v>896818.00712467707</v>
      </c>
      <c r="AA752" s="175">
        <f t="shared" si="372"/>
        <v>6523275.60330333</v>
      </c>
      <c r="AB752" s="5"/>
      <c r="AC752" s="5"/>
      <c r="AD752" s="5"/>
      <c r="AE752" s="5"/>
      <c r="AF752" s="5"/>
      <c r="AG752" s="5"/>
    </row>
    <row r="753" spans="1:33" x14ac:dyDescent="0.2">
      <c r="A753" s="169">
        <v>13</v>
      </c>
      <c r="B753" s="100" t="str">
        <f t="shared" si="358"/>
        <v>Retired</v>
      </c>
      <c r="C753" s="170">
        <f t="shared" si="359"/>
        <v>0</v>
      </c>
      <c r="D753" s="170">
        <f t="shared" si="360"/>
        <v>0</v>
      </c>
      <c r="E753" s="170">
        <f t="shared" si="361"/>
        <v>0</v>
      </c>
      <c r="F753" s="170">
        <f t="shared" si="362"/>
        <v>0</v>
      </c>
      <c r="G753" s="171">
        <f t="shared" si="363"/>
        <v>0</v>
      </c>
      <c r="H753" s="171">
        <f t="shared" si="364"/>
        <v>111140.26383502985</v>
      </c>
      <c r="I753" s="171">
        <f>IF(B753="Working",MIN(MAX(D753-E753-F753-G753-H753,0),'Tax Assumptions'!$B$20),0)</f>
        <v>0</v>
      </c>
      <c r="J753" s="171">
        <f t="shared" si="365"/>
        <v>-281140.26383502985</v>
      </c>
      <c r="K753" s="170">
        <f t="shared" si="366"/>
        <v>281140.26383502985</v>
      </c>
      <c r="L753" s="170">
        <f t="shared" si="367"/>
        <v>281140.26383502985</v>
      </c>
      <c r="M753" s="170">
        <f t="shared" si="373"/>
        <v>281140.26383502985</v>
      </c>
      <c r="N753" s="170">
        <f t="shared" si="374"/>
        <v>0</v>
      </c>
      <c r="O753" s="170">
        <f t="shared" si="375"/>
        <v>0</v>
      </c>
      <c r="P753" s="170">
        <f t="shared" si="376"/>
        <v>0</v>
      </c>
      <c r="Q753" s="171">
        <f t="shared" si="377"/>
        <v>5180551.582703311</v>
      </c>
      <c r="R753" s="171">
        <f t="shared" si="378"/>
        <v>384614.1728928209</v>
      </c>
      <c r="S753" s="171">
        <f t="shared" si="379"/>
        <v>117739.03251821046</v>
      </c>
      <c r="T753" s="171">
        <f t="shared" si="380"/>
        <v>0</v>
      </c>
      <c r="U753" s="171">
        <f t="shared" si="368"/>
        <v>5682904.7881143428</v>
      </c>
      <c r="V753" s="171">
        <f t="shared" si="381"/>
        <v>0</v>
      </c>
      <c r="W753" s="171">
        <f>IF(OR(A753&gt;=$C$13,B753="Retired"),IF(V753&gt;0,-V753,U753-'Model Inputs'!$B$18),"")</f>
        <v>4682904.7881143428</v>
      </c>
      <c r="X753" s="171">
        <f t="shared" si="369"/>
        <v>1846904.830096734</v>
      </c>
      <c r="Y753" s="171">
        <f t="shared" si="370"/>
        <v>883672.60046487302</v>
      </c>
      <c r="Z753" s="171">
        <f t="shared" si="371"/>
        <v>963232.22963186097</v>
      </c>
      <c r="AA753" s="172">
        <f t="shared" si="372"/>
        <v>6646137.0177462036</v>
      </c>
      <c r="AB753" s="5"/>
      <c r="AC753" s="5"/>
      <c r="AD753" s="5"/>
      <c r="AE753" s="5"/>
      <c r="AF753" s="5"/>
      <c r="AG753" s="5"/>
    </row>
    <row r="754" spans="1:33" x14ac:dyDescent="0.2">
      <c r="A754" s="173">
        <v>14</v>
      </c>
      <c r="B754" s="65" t="str">
        <f t="shared" si="358"/>
        <v>Retired</v>
      </c>
      <c r="C754" s="174">
        <f t="shared" si="359"/>
        <v>0</v>
      </c>
      <c r="D754" s="174">
        <f t="shared" si="360"/>
        <v>0</v>
      </c>
      <c r="E754" s="174">
        <f t="shared" si="361"/>
        <v>0</v>
      </c>
      <c r="F754" s="174">
        <f t="shared" si="362"/>
        <v>0</v>
      </c>
      <c r="G754" s="171">
        <f t="shared" si="363"/>
        <v>0</v>
      </c>
      <c r="H754" s="171">
        <f t="shared" si="364"/>
        <v>112359.22102289369</v>
      </c>
      <c r="I754" s="171">
        <f>IF(B754="Working",MIN(MAX(D754-E754-F754-G754-H754,0),'Tax Assumptions'!$B$20),0)</f>
        <v>0</v>
      </c>
      <c r="J754" s="171">
        <f t="shared" si="365"/>
        <v>-282359.22102289367</v>
      </c>
      <c r="K754" s="174">
        <f t="shared" si="366"/>
        <v>282359.22102289367</v>
      </c>
      <c r="L754" s="174">
        <f t="shared" si="367"/>
        <v>282359.22102289367</v>
      </c>
      <c r="M754" s="174">
        <f t="shared" si="373"/>
        <v>282359.22102289367</v>
      </c>
      <c r="N754" s="174">
        <f t="shared" si="374"/>
        <v>0</v>
      </c>
      <c r="O754" s="174">
        <f t="shared" si="375"/>
        <v>0</v>
      </c>
      <c r="P754" s="174">
        <f t="shared" si="376"/>
        <v>0</v>
      </c>
      <c r="Q754" s="171">
        <f t="shared" si="377"/>
        <v>5209025.4566426165</v>
      </c>
      <c r="R754" s="171">
        <f t="shared" si="378"/>
        <v>407691.0232663902</v>
      </c>
      <c r="S754" s="171">
        <f t="shared" si="379"/>
        <v>124803.37446930309</v>
      </c>
      <c r="T754" s="171">
        <f t="shared" si="380"/>
        <v>0</v>
      </c>
      <c r="U754" s="171">
        <f t="shared" si="368"/>
        <v>5741519.85437831</v>
      </c>
      <c r="V754" s="171">
        <f t="shared" si="381"/>
        <v>0</v>
      </c>
      <c r="W754" s="171">
        <f>IF(OR(A754&gt;=$C$13,B754="Retired"),IF(V754&gt;0,-V754,U754-'Model Inputs'!$B$18),"")</f>
        <v>4741519.85437831</v>
      </c>
      <c r="X754" s="171">
        <f t="shared" si="369"/>
        <v>1902311.9749996357</v>
      </c>
      <c r="Y754" s="171">
        <f t="shared" si="370"/>
        <v>870206.47895398969</v>
      </c>
      <c r="Z754" s="171">
        <f t="shared" si="371"/>
        <v>1032105.496045646</v>
      </c>
      <c r="AA754" s="175">
        <f t="shared" si="372"/>
        <v>6773625.3504239563</v>
      </c>
      <c r="AB754" s="5"/>
      <c r="AC754" s="5"/>
      <c r="AD754" s="5"/>
      <c r="AE754" s="5"/>
      <c r="AF754" s="5"/>
      <c r="AG754" s="5"/>
    </row>
    <row r="755" spans="1:33" x14ac:dyDescent="0.2">
      <c r="A755" s="169">
        <v>15</v>
      </c>
      <c r="B755" s="100" t="str">
        <f t="shared" si="358"/>
        <v>Retired</v>
      </c>
      <c r="C755" s="170">
        <f t="shared" si="359"/>
        <v>0</v>
      </c>
      <c r="D755" s="170">
        <f t="shared" si="360"/>
        <v>0</v>
      </c>
      <c r="E755" s="170">
        <f t="shared" si="361"/>
        <v>0</v>
      </c>
      <c r="F755" s="170">
        <f t="shared" si="362"/>
        <v>0</v>
      </c>
      <c r="G755" s="171">
        <f t="shared" si="363"/>
        <v>0</v>
      </c>
      <c r="H755" s="171">
        <f t="shared" si="364"/>
        <v>113614.74692639345</v>
      </c>
      <c r="I755" s="171">
        <f>IF(B755="Working",MIN(MAX(D755-E755-F755-G755-H755,0),'Tax Assumptions'!$B$20),0)</f>
        <v>0</v>
      </c>
      <c r="J755" s="171">
        <f t="shared" si="365"/>
        <v>-283614.74692639348</v>
      </c>
      <c r="K755" s="170">
        <f t="shared" si="366"/>
        <v>283614.74692639348</v>
      </c>
      <c r="L755" s="170">
        <f t="shared" si="367"/>
        <v>283614.74692639348</v>
      </c>
      <c r="M755" s="170">
        <f t="shared" si="373"/>
        <v>283614.74692639348</v>
      </c>
      <c r="N755" s="170">
        <f t="shared" si="374"/>
        <v>0</v>
      </c>
      <c r="O755" s="170">
        <f t="shared" si="375"/>
        <v>0</v>
      </c>
      <c r="P755" s="170">
        <f t="shared" si="376"/>
        <v>0</v>
      </c>
      <c r="Q755" s="171">
        <f t="shared" si="377"/>
        <v>5237952.2371147806</v>
      </c>
      <c r="R755" s="171">
        <f t="shared" si="378"/>
        <v>432152.48466237361</v>
      </c>
      <c r="S755" s="171">
        <f t="shared" si="379"/>
        <v>132291.57693746127</v>
      </c>
      <c r="T755" s="171">
        <f t="shared" si="380"/>
        <v>0</v>
      </c>
      <c r="U755" s="171">
        <f t="shared" si="368"/>
        <v>5802396.2987146154</v>
      </c>
      <c r="V755" s="171">
        <f t="shared" si="381"/>
        <v>0</v>
      </c>
      <c r="W755" s="171">
        <f>IF(OR(A755&gt;=$C$13,B755="Retired"),IF(V755&gt;0,-V755,U755-'Model Inputs'!$B$18),"")</f>
        <v>4802396.2987146154</v>
      </c>
      <c r="X755" s="171">
        <f t="shared" si="369"/>
        <v>1959381.3342496247</v>
      </c>
      <c r="Y755" s="171">
        <f t="shared" si="370"/>
        <v>855838.50634623086</v>
      </c>
      <c r="Z755" s="171">
        <f t="shared" si="371"/>
        <v>1103542.8279033939</v>
      </c>
      <c r="AA755" s="172">
        <f t="shared" si="372"/>
        <v>6905939.1266180091</v>
      </c>
      <c r="AB755" s="5"/>
      <c r="AC755" s="5"/>
      <c r="AD755" s="5"/>
      <c r="AE755" s="5"/>
      <c r="AF755" s="5"/>
      <c r="AG755" s="5"/>
    </row>
    <row r="756" spans="1:33" x14ac:dyDescent="0.2">
      <c r="A756" s="173">
        <v>16</v>
      </c>
      <c r="B756" s="65" t="str">
        <f t="shared" si="358"/>
        <v>Retired</v>
      </c>
      <c r="C756" s="174">
        <f t="shared" si="359"/>
        <v>0</v>
      </c>
      <c r="D756" s="174">
        <f t="shared" si="360"/>
        <v>0</v>
      </c>
      <c r="E756" s="174">
        <f t="shared" si="361"/>
        <v>0</v>
      </c>
      <c r="F756" s="174">
        <f t="shared" si="362"/>
        <v>0</v>
      </c>
      <c r="G756" s="171">
        <f t="shared" si="363"/>
        <v>0</v>
      </c>
      <c r="H756" s="171">
        <f t="shared" si="364"/>
        <v>114907.9386069982</v>
      </c>
      <c r="I756" s="171">
        <f>IF(B756="Working",MIN(MAX(D756-E756-F756-G756-H756,0),'Tax Assumptions'!$B$20),0)</f>
        <v>0</v>
      </c>
      <c r="J756" s="171">
        <f t="shared" si="365"/>
        <v>-284907.93860699818</v>
      </c>
      <c r="K756" s="174">
        <f t="shared" si="366"/>
        <v>284907.93860699818</v>
      </c>
      <c r="L756" s="174">
        <f t="shared" si="367"/>
        <v>284907.93860699818</v>
      </c>
      <c r="M756" s="174">
        <f t="shared" si="373"/>
        <v>284907.93860699818</v>
      </c>
      <c r="N756" s="174">
        <f t="shared" si="374"/>
        <v>0</v>
      </c>
      <c r="O756" s="174">
        <f t="shared" si="375"/>
        <v>0</v>
      </c>
      <c r="P756" s="174">
        <f t="shared" si="376"/>
        <v>0</v>
      </c>
      <c r="Q756" s="171">
        <f t="shared" si="377"/>
        <v>5267321.4327346701</v>
      </c>
      <c r="R756" s="171">
        <f t="shared" si="378"/>
        <v>458081.63374211604</v>
      </c>
      <c r="S756" s="171">
        <f t="shared" si="379"/>
        <v>140229.07155370896</v>
      </c>
      <c r="T756" s="171">
        <f t="shared" si="380"/>
        <v>0</v>
      </c>
      <c r="U756" s="171">
        <f t="shared" si="368"/>
        <v>5865632.1380304955</v>
      </c>
      <c r="V756" s="171">
        <f t="shared" si="381"/>
        <v>0</v>
      </c>
      <c r="W756" s="171">
        <f>IF(OR(A756&gt;=$C$13,B756="Retired"),IF(V756&gt;0,-V756,U756-'Model Inputs'!$B$18),"")</f>
        <v>4865632.1380304955</v>
      </c>
      <c r="X756" s="171">
        <f t="shared" si="369"/>
        <v>2018162.7742771136</v>
      </c>
      <c r="Y756" s="171">
        <f t="shared" si="370"/>
        <v>840508.28400340897</v>
      </c>
      <c r="Z756" s="171">
        <f t="shared" si="371"/>
        <v>1177654.4902737048</v>
      </c>
      <c r="AA756" s="175">
        <f t="shared" si="372"/>
        <v>7043286.6283042002</v>
      </c>
      <c r="AB756" s="5"/>
      <c r="AC756" s="5"/>
      <c r="AD756" s="5"/>
      <c r="AE756" s="5"/>
      <c r="AF756" s="5"/>
      <c r="AG756" s="5"/>
    </row>
    <row r="757" spans="1:33" x14ac:dyDescent="0.2">
      <c r="A757" s="169">
        <v>17</v>
      </c>
      <c r="B757" s="100" t="str">
        <f t="shared" si="358"/>
        <v>Retired</v>
      </c>
      <c r="C757" s="170">
        <f t="shared" si="359"/>
        <v>0</v>
      </c>
      <c r="D757" s="170">
        <f t="shared" si="360"/>
        <v>0</v>
      </c>
      <c r="E757" s="170">
        <f t="shared" si="361"/>
        <v>0</v>
      </c>
      <c r="F757" s="170">
        <f t="shared" si="362"/>
        <v>0</v>
      </c>
      <c r="G757" s="171">
        <f t="shared" si="363"/>
        <v>0</v>
      </c>
      <c r="H757" s="171">
        <f t="shared" si="364"/>
        <v>116239.92603802111</v>
      </c>
      <c r="I757" s="171">
        <f>IF(B757="Working",MIN(MAX(D757-E757-F757-G757-H757,0),'Tax Assumptions'!$B$20),0)</f>
        <v>0</v>
      </c>
      <c r="J757" s="171">
        <f t="shared" si="365"/>
        <v>-286239.92603802111</v>
      </c>
      <c r="K757" s="170">
        <f t="shared" si="366"/>
        <v>286239.92603802111</v>
      </c>
      <c r="L757" s="170">
        <f t="shared" si="367"/>
        <v>286239.92603802111</v>
      </c>
      <c r="M757" s="170">
        <f t="shared" si="373"/>
        <v>286239.92603802111</v>
      </c>
      <c r="N757" s="170">
        <f t="shared" si="374"/>
        <v>0</v>
      </c>
      <c r="O757" s="170">
        <f t="shared" si="375"/>
        <v>0</v>
      </c>
      <c r="P757" s="170">
        <f t="shared" si="376"/>
        <v>0</v>
      </c>
      <c r="Q757" s="171">
        <f t="shared" si="377"/>
        <v>5297120.792660729</v>
      </c>
      <c r="R757" s="171">
        <f t="shared" si="378"/>
        <v>485566.53176664305</v>
      </c>
      <c r="S757" s="171">
        <f t="shared" si="379"/>
        <v>148642.81584693151</v>
      </c>
      <c r="T757" s="171">
        <f t="shared" si="380"/>
        <v>0</v>
      </c>
      <c r="U757" s="171">
        <f t="shared" si="368"/>
        <v>5931330.140274303</v>
      </c>
      <c r="V757" s="171">
        <f t="shared" si="381"/>
        <v>0</v>
      </c>
      <c r="W757" s="171">
        <f>IF(OR(A757&gt;=$C$13,B757="Retired"),IF(V757&gt;0,-V757,U757-'Model Inputs'!$B$18),"")</f>
        <v>4931330.140274303</v>
      </c>
      <c r="X757" s="171">
        <f t="shared" si="369"/>
        <v>2078707.6575054273</v>
      </c>
      <c r="Y757" s="171">
        <f t="shared" si="370"/>
        <v>824151.36827867723</v>
      </c>
      <c r="Z757" s="171">
        <f t="shared" si="371"/>
        <v>1254556.2892267499</v>
      </c>
      <c r="AA757" s="172">
        <f t="shared" si="372"/>
        <v>7185886.4295010529</v>
      </c>
      <c r="AB757" s="5"/>
      <c r="AC757" s="5"/>
      <c r="AD757" s="5"/>
      <c r="AE757" s="5"/>
      <c r="AF757" s="5"/>
      <c r="AG757" s="5"/>
    </row>
    <row r="758" spans="1:33" x14ac:dyDescent="0.2">
      <c r="A758" s="173">
        <v>18</v>
      </c>
      <c r="B758" s="65" t="str">
        <f t="shared" si="358"/>
        <v>Retired</v>
      </c>
      <c r="C758" s="174">
        <f t="shared" si="359"/>
        <v>0</v>
      </c>
      <c r="D758" s="174">
        <f t="shared" si="360"/>
        <v>0</v>
      </c>
      <c r="E758" s="174">
        <f t="shared" si="361"/>
        <v>0</v>
      </c>
      <c r="F758" s="174">
        <f t="shared" si="362"/>
        <v>0</v>
      </c>
      <c r="G758" s="171">
        <f t="shared" si="363"/>
        <v>0</v>
      </c>
      <c r="H758" s="171">
        <f t="shared" si="364"/>
        <v>117611.87309197467</v>
      </c>
      <c r="I758" s="171">
        <f>IF(B758="Working",MIN(MAX(D758-E758-F758-G758-H758,0),'Tax Assumptions'!$B$20),0)</f>
        <v>0</v>
      </c>
      <c r="J758" s="171">
        <f t="shared" si="365"/>
        <v>-287611.87309197464</v>
      </c>
      <c r="K758" s="174">
        <f t="shared" si="366"/>
        <v>287611.87309197464</v>
      </c>
      <c r="L758" s="174">
        <f t="shared" si="367"/>
        <v>287611.87309197464</v>
      </c>
      <c r="M758" s="174">
        <f t="shared" si="373"/>
        <v>287611.87309197464</v>
      </c>
      <c r="N758" s="174">
        <f t="shared" si="374"/>
        <v>0</v>
      </c>
      <c r="O758" s="174">
        <f t="shared" si="375"/>
        <v>0</v>
      </c>
      <c r="P758" s="174">
        <f t="shared" si="376"/>
        <v>0</v>
      </c>
      <c r="Q758" s="171">
        <f t="shared" si="377"/>
        <v>5327336.167128399</v>
      </c>
      <c r="R758" s="171">
        <f t="shared" si="378"/>
        <v>514700.52367264166</v>
      </c>
      <c r="S758" s="171">
        <f t="shared" si="379"/>
        <v>157561.38479774742</v>
      </c>
      <c r="T758" s="171">
        <f t="shared" si="380"/>
        <v>0</v>
      </c>
      <c r="U758" s="171">
        <f t="shared" si="368"/>
        <v>5999598.0755987875</v>
      </c>
      <c r="V758" s="171">
        <f t="shared" si="381"/>
        <v>0</v>
      </c>
      <c r="W758" s="171">
        <f>IF(OR(A758&gt;=$C$13,B758="Retired"),IF(V758&gt;0,-V758,U758-'Model Inputs'!$B$18),"")</f>
        <v>4999598.0755987875</v>
      </c>
      <c r="X758" s="171">
        <f t="shared" si="369"/>
        <v>2141068.8872305895</v>
      </c>
      <c r="Y758" s="171">
        <f t="shared" si="370"/>
        <v>806698.99961481092</v>
      </c>
      <c r="Z758" s="171">
        <f t="shared" si="371"/>
        <v>1334369.8876157785</v>
      </c>
      <c r="AA758" s="175">
        <f t="shared" si="372"/>
        <v>7333967.963214566</v>
      </c>
      <c r="AB758" s="5"/>
      <c r="AC758" s="5"/>
      <c r="AD758" s="5"/>
      <c r="AE758" s="5"/>
      <c r="AF758" s="5"/>
      <c r="AG758" s="5"/>
    </row>
    <row r="759" spans="1:33" x14ac:dyDescent="0.2">
      <c r="A759" s="169">
        <v>19</v>
      </c>
      <c r="B759" s="100" t="str">
        <f t="shared" si="358"/>
        <v>Retired</v>
      </c>
      <c r="C759" s="170">
        <f t="shared" si="359"/>
        <v>0</v>
      </c>
      <c r="D759" s="170">
        <f t="shared" si="360"/>
        <v>0</v>
      </c>
      <c r="E759" s="170">
        <f t="shared" si="361"/>
        <v>0</v>
      </c>
      <c r="F759" s="170">
        <f t="shared" si="362"/>
        <v>0</v>
      </c>
      <c r="G759" s="171">
        <f t="shared" si="363"/>
        <v>0</v>
      </c>
      <c r="H759" s="171">
        <f t="shared" si="364"/>
        <v>119024.97855754686</v>
      </c>
      <c r="I759" s="171">
        <f>IF(B759="Working",MIN(MAX(D759-E759-F759-G759-H759,0),'Tax Assumptions'!$B$20),0)</f>
        <v>0</v>
      </c>
      <c r="J759" s="171">
        <f t="shared" si="365"/>
        <v>-289024.97855754686</v>
      </c>
      <c r="K759" s="170">
        <f t="shared" si="366"/>
        <v>289024.97855754686</v>
      </c>
      <c r="L759" s="170">
        <f t="shared" si="367"/>
        <v>289024.97855754686</v>
      </c>
      <c r="M759" s="170">
        <f t="shared" si="373"/>
        <v>289024.97855754686</v>
      </c>
      <c r="N759" s="170">
        <f t="shared" si="374"/>
        <v>0</v>
      </c>
      <c r="O759" s="170">
        <f t="shared" si="375"/>
        <v>0</v>
      </c>
      <c r="P759" s="170">
        <f t="shared" si="376"/>
        <v>0</v>
      </c>
      <c r="Q759" s="171">
        <f t="shared" si="377"/>
        <v>5357951.3585985564</v>
      </c>
      <c r="R759" s="171">
        <f t="shared" si="378"/>
        <v>545582.55509300018</v>
      </c>
      <c r="S759" s="171">
        <f t="shared" si="379"/>
        <v>167015.06788561228</v>
      </c>
      <c r="T759" s="171">
        <f t="shared" si="380"/>
        <v>0</v>
      </c>
      <c r="U759" s="171">
        <f t="shared" si="368"/>
        <v>6070548.9815771682</v>
      </c>
      <c r="V759" s="171">
        <f t="shared" si="381"/>
        <v>0</v>
      </c>
      <c r="W759" s="171">
        <f>IF(OR(A759&gt;=$C$13,B759="Retired"),IF(V759&gt;0,-V759,U759-'Model Inputs'!$B$18),"")</f>
        <v>5070548.9815771682</v>
      </c>
      <c r="X759" s="171">
        <f t="shared" si="369"/>
        <v>2205300.9538475075</v>
      </c>
      <c r="Y759" s="171">
        <f t="shared" si="370"/>
        <v>788077.81349969411</v>
      </c>
      <c r="Z759" s="171">
        <f t="shared" si="371"/>
        <v>1417223.1403478133</v>
      </c>
      <c r="AA759" s="172">
        <f t="shared" si="372"/>
        <v>7487772.1219249815</v>
      </c>
      <c r="AB759" s="5"/>
      <c r="AC759" s="5"/>
      <c r="AD759" s="5"/>
      <c r="AE759" s="5"/>
      <c r="AF759" s="5"/>
      <c r="AG759" s="5"/>
    </row>
    <row r="760" spans="1:33" x14ac:dyDescent="0.2">
      <c r="A760" s="173">
        <v>20</v>
      </c>
      <c r="B760" s="65" t="str">
        <f t="shared" si="358"/>
        <v>Retired</v>
      </c>
      <c r="C760" s="174">
        <f t="shared" si="359"/>
        <v>0</v>
      </c>
      <c r="D760" s="174">
        <f t="shared" si="360"/>
        <v>0</v>
      </c>
      <c r="E760" s="174">
        <f t="shared" si="361"/>
        <v>0</v>
      </c>
      <c r="F760" s="174">
        <f t="shared" si="362"/>
        <v>0</v>
      </c>
      <c r="G760" s="171">
        <f t="shared" si="363"/>
        <v>0</v>
      </c>
      <c r="H760" s="171">
        <f t="shared" si="364"/>
        <v>120480.47718708622</v>
      </c>
      <c r="I760" s="171">
        <f>IF(B760="Working",MIN(MAX(D760-E760-F760-G760-H760,0),'Tax Assumptions'!$B$20),0)</f>
        <v>0</v>
      </c>
      <c r="J760" s="171">
        <f t="shared" si="365"/>
        <v>-290480.47718708625</v>
      </c>
      <c r="K760" s="174">
        <f t="shared" si="366"/>
        <v>290480.47718708625</v>
      </c>
      <c r="L760" s="174">
        <f t="shared" si="367"/>
        <v>290480.47718708625</v>
      </c>
      <c r="M760" s="174">
        <f t="shared" si="373"/>
        <v>290480.47718708625</v>
      </c>
      <c r="N760" s="174">
        <f t="shared" si="374"/>
        <v>0</v>
      </c>
      <c r="O760" s="174">
        <f t="shared" si="375"/>
        <v>0</v>
      </c>
      <c r="P760" s="174">
        <f t="shared" si="376"/>
        <v>0</v>
      </c>
      <c r="Q760" s="171">
        <f t="shared" si="377"/>
        <v>5388947.9629273843</v>
      </c>
      <c r="R760" s="171">
        <f t="shared" si="378"/>
        <v>578317.50839858025</v>
      </c>
      <c r="S760" s="171">
        <f t="shared" si="379"/>
        <v>177035.97195874903</v>
      </c>
      <c r="T760" s="171">
        <f t="shared" si="380"/>
        <v>0</v>
      </c>
      <c r="U760" s="171">
        <f t="shared" si="368"/>
        <v>6144301.4432847137</v>
      </c>
      <c r="V760" s="171">
        <f t="shared" si="381"/>
        <v>0</v>
      </c>
      <c r="W760" s="171">
        <f>IF(OR(A760&gt;=$C$13,B760="Retired"),IF(V760&gt;0,-V760,U760-'Model Inputs'!$B$18),"")</f>
        <v>5144301.4432847137</v>
      </c>
      <c r="X760" s="171">
        <f t="shared" si="369"/>
        <v>2271459.9824629328</v>
      </c>
      <c r="Y760" s="171">
        <f t="shared" si="370"/>
        <v>768209.53206396382</v>
      </c>
      <c r="Z760" s="171">
        <f t="shared" si="371"/>
        <v>1503250.450398969</v>
      </c>
      <c r="AA760" s="175">
        <f t="shared" si="372"/>
        <v>7647551.8936836831</v>
      </c>
      <c r="AB760" s="5"/>
      <c r="AC760" s="5"/>
      <c r="AD760" s="5"/>
      <c r="AE760" s="5"/>
      <c r="AF760" s="5"/>
      <c r="AG760" s="5"/>
    </row>
    <row r="761" spans="1:33" x14ac:dyDescent="0.2">
      <c r="A761" s="169">
        <v>21</v>
      </c>
      <c r="B761" s="100" t="str">
        <f t="shared" si="358"/>
        <v>Retired</v>
      </c>
      <c r="C761" s="170">
        <f t="shared" si="359"/>
        <v>0</v>
      </c>
      <c r="D761" s="170">
        <f t="shared" si="360"/>
        <v>0</v>
      </c>
      <c r="E761" s="170">
        <f t="shared" si="361"/>
        <v>0</v>
      </c>
      <c r="F761" s="170">
        <f t="shared" si="362"/>
        <v>0</v>
      </c>
      <c r="G761" s="171">
        <f t="shared" si="363"/>
        <v>0</v>
      </c>
      <c r="H761" s="171">
        <f t="shared" si="364"/>
        <v>121979.64077551175</v>
      </c>
      <c r="I761" s="171">
        <f>IF(B761="Working",MIN(MAX(D761-E761-F761-G761-H761,0),'Tax Assumptions'!$B$20),0)</f>
        <v>0</v>
      </c>
      <c r="J761" s="171">
        <f t="shared" si="365"/>
        <v>-291979.64077551174</v>
      </c>
      <c r="K761" s="170">
        <f t="shared" si="366"/>
        <v>291979.64077551174</v>
      </c>
      <c r="L761" s="170">
        <f t="shared" si="367"/>
        <v>291979.64077551174</v>
      </c>
      <c r="M761" s="170">
        <f t="shared" si="373"/>
        <v>291979.64077551174</v>
      </c>
      <c r="N761" s="170">
        <f t="shared" si="374"/>
        <v>0</v>
      </c>
      <c r="O761" s="170">
        <f t="shared" si="375"/>
        <v>0</v>
      </c>
      <c r="P761" s="170">
        <f t="shared" si="376"/>
        <v>0</v>
      </c>
      <c r="Q761" s="171">
        <f t="shared" si="377"/>
        <v>5420305.1999275154</v>
      </c>
      <c r="R761" s="171">
        <f t="shared" si="378"/>
        <v>613016.55890249508</v>
      </c>
      <c r="S761" s="171">
        <f t="shared" si="379"/>
        <v>187658.13027627397</v>
      </c>
      <c r="T761" s="171">
        <f t="shared" si="380"/>
        <v>0</v>
      </c>
      <c r="U761" s="171">
        <f t="shared" si="368"/>
        <v>6220979.8891062848</v>
      </c>
      <c r="V761" s="171">
        <f t="shared" si="381"/>
        <v>0</v>
      </c>
      <c r="W761" s="171">
        <f>IF(OR(A761&gt;=$C$13,B761="Retired"),IF(V761&gt;0,-V761,U761-'Model Inputs'!$B$18),"")</f>
        <v>5220979.8891062848</v>
      </c>
      <c r="X761" s="171">
        <f t="shared" si="369"/>
        <v>2339603.7819368206</v>
      </c>
      <c r="Y761" s="171">
        <f t="shared" si="370"/>
        <v>747010.63502437528</v>
      </c>
      <c r="Z761" s="171">
        <f t="shared" si="371"/>
        <v>1592593.1469124453</v>
      </c>
      <c r="AA761" s="172">
        <f t="shared" si="372"/>
        <v>7813573.0360187301</v>
      </c>
      <c r="AB761" s="5"/>
      <c r="AC761" s="5"/>
      <c r="AD761" s="5"/>
      <c r="AE761" s="5"/>
      <c r="AF761" s="5"/>
      <c r="AG761" s="5"/>
    </row>
    <row r="762" spans="1:33" x14ac:dyDescent="0.2">
      <c r="A762" s="173">
        <v>22</v>
      </c>
      <c r="B762" s="65" t="str">
        <f t="shared" si="358"/>
        <v>Retired</v>
      </c>
      <c r="C762" s="174">
        <f t="shared" si="359"/>
        <v>0</v>
      </c>
      <c r="D762" s="174">
        <f t="shared" si="360"/>
        <v>0</v>
      </c>
      <c r="E762" s="174">
        <f t="shared" si="361"/>
        <v>0</v>
      </c>
      <c r="F762" s="174">
        <f t="shared" si="362"/>
        <v>0</v>
      </c>
      <c r="G762" s="171">
        <f t="shared" si="363"/>
        <v>0</v>
      </c>
      <c r="H762" s="171">
        <f t="shared" si="364"/>
        <v>123523.77927159006</v>
      </c>
      <c r="I762" s="171">
        <f>IF(B762="Working",MIN(MAX(D762-E762-F762-G762-H762,0),'Tax Assumptions'!$B$20),0)</f>
        <v>0</v>
      </c>
      <c r="J762" s="171">
        <f t="shared" si="365"/>
        <v>-293523.77927159006</v>
      </c>
      <c r="K762" s="174">
        <f t="shared" si="366"/>
        <v>293523.77927159006</v>
      </c>
      <c r="L762" s="174">
        <f t="shared" si="367"/>
        <v>293523.77927159006</v>
      </c>
      <c r="M762" s="174">
        <f t="shared" si="373"/>
        <v>293523.77927159006</v>
      </c>
      <c r="N762" s="174">
        <f t="shared" si="374"/>
        <v>0</v>
      </c>
      <c r="O762" s="174">
        <f t="shared" si="375"/>
        <v>0</v>
      </c>
      <c r="P762" s="174">
        <f t="shared" si="376"/>
        <v>0</v>
      </c>
      <c r="Q762" s="171">
        <f t="shared" si="377"/>
        <v>5451999.7326515764</v>
      </c>
      <c r="R762" s="171">
        <f t="shared" si="378"/>
        <v>649797.55243664479</v>
      </c>
      <c r="S762" s="171">
        <f t="shared" si="379"/>
        <v>198917.6180928504</v>
      </c>
      <c r="T762" s="171">
        <f t="shared" si="380"/>
        <v>0</v>
      </c>
      <c r="U762" s="171">
        <f t="shared" si="368"/>
        <v>6300714.9031810723</v>
      </c>
      <c r="V762" s="171">
        <f t="shared" si="381"/>
        <v>0</v>
      </c>
      <c r="W762" s="171">
        <f>IF(OR(A762&gt;=$C$13,B762="Retired"),IF(V762&gt;0,-V762,U762-'Model Inputs'!$B$18),"")</f>
        <v>5300714.9031810723</v>
      </c>
      <c r="X762" s="171">
        <f t="shared" si="369"/>
        <v>2409791.895394925</v>
      </c>
      <c r="Y762" s="171">
        <f t="shared" si="370"/>
        <v>724392.00858963397</v>
      </c>
      <c r="Z762" s="171">
        <f t="shared" si="371"/>
        <v>1685399.8868052911</v>
      </c>
      <c r="AA762" s="175">
        <f t="shared" si="372"/>
        <v>7986114.7899863636</v>
      </c>
      <c r="AB762" s="5"/>
      <c r="AC762" s="5"/>
      <c r="AD762" s="5"/>
      <c r="AE762" s="5"/>
      <c r="AF762" s="5"/>
      <c r="AG762" s="5"/>
    </row>
    <row r="763" spans="1:33" x14ac:dyDescent="0.2">
      <c r="A763" s="169">
        <v>23</v>
      </c>
      <c r="B763" s="100" t="str">
        <f t="shared" si="358"/>
        <v>Retired</v>
      </c>
      <c r="C763" s="170">
        <f t="shared" si="359"/>
        <v>0</v>
      </c>
      <c r="D763" s="170">
        <f t="shared" si="360"/>
        <v>0</v>
      </c>
      <c r="E763" s="170">
        <f t="shared" si="361"/>
        <v>0</v>
      </c>
      <c r="F763" s="170">
        <f t="shared" si="362"/>
        <v>0</v>
      </c>
      <c r="G763" s="171">
        <f t="shared" si="363"/>
        <v>0</v>
      </c>
      <c r="H763" s="171">
        <f t="shared" si="364"/>
        <v>125114.2419225507</v>
      </c>
      <c r="I763" s="171">
        <f>IF(B763="Working",MIN(MAX(D763-E763-F763-G763-H763,0),'Tax Assumptions'!$B$20),0)</f>
        <v>0</v>
      </c>
      <c r="J763" s="171">
        <f t="shared" si="365"/>
        <v>-295114.24192255072</v>
      </c>
      <c r="K763" s="170">
        <f t="shared" si="366"/>
        <v>295114.24192255072</v>
      </c>
      <c r="L763" s="170">
        <f t="shared" si="367"/>
        <v>295114.24192255072</v>
      </c>
      <c r="M763" s="170">
        <f t="shared" si="373"/>
        <v>295114.24192255072</v>
      </c>
      <c r="N763" s="170">
        <f t="shared" si="374"/>
        <v>0</v>
      </c>
      <c r="O763" s="170">
        <f t="shared" si="375"/>
        <v>0</v>
      </c>
      <c r="P763" s="170">
        <f t="shared" si="376"/>
        <v>0</v>
      </c>
      <c r="Q763" s="171">
        <f t="shared" si="377"/>
        <v>5484005.4746881202</v>
      </c>
      <c r="R763" s="171">
        <f t="shared" si="378"/>
        <v>688785.40558284346</v>
      </c>
      <c r="S763" s="171">
        <f t="shared" si="379"/>
        <v>210852.67517842143</v>
      </c>
      <c r="T763" s="171">
        <f t="shared" si="380"/>
        <v>0</v>
      </c>
      <c r="U763" s="171">
        <f t="shared" si="368"/>
        <v>6383643.5554493852</v>
      </c>
      <c r="V763" s="171">
        <f t="shared" si="381"/>
        <v>0</v>
      </c>
      <c r="W763" s="171">
        <f>IF(OR(A763&gt;=$C$13,B763="Retired"),IF(V763&gt;0,-V763,U763-'Model Inputs'!$B$18),"")</f>
        <v>5383643.5554493852</v>
      </c>
      <c r="X763" s="171">
        <f t="shared" si="369"/>
        <v>2482085.6522567729</v>
      </c>
      <c r="Y763" s="171">
        <f t="shared" si="370"/>
        <v>700258.57085280493</v>
      </c>
      <c r="Z763" s="171">
        <f t="shared" si="371"/>
        <v>1781827.0814039679</v>
      </c>
      <c r="AA763" s="172">
        <f t="shared" si="372"/>
        <v>8165470.6368533531</v>
      </c>
      <c r="AB763" s="5"/>
      <c r="AC763" s="5"/>
      <c r="AD763" s="5"/>
      <c r="AE763" s="5"/>
      <c r="AF763" s="5"/>
      <c r="AG763" s="5"/>
    </row>
    <row r="764" spans="1:33" x14ac:dyDescent="0.2">
      <c r="A764" s="173">
        <v>24</v>
      </c>
      <c r="B764" s="65" t="str">
        <f t="shared" si="358"/>
        <v>Retired</v>
      </c>
      <c r="C764" s="174">
        <f t="shared" si="359"/>
        <v>0</v>
      </c>
      <c r="D764" s="174">
        <f t="shared" si="360"/>
        <v>0</v>
      </c>
      <c r="E764" s="174">
        <f t="shared" si="361"/>
        <v>0</v>
      </c>
      <c r="F764" s="174">
        <f t="shared" si="362"/>
        <v>0</v>
      </c>
      <c r="G764" s="171">
        <f t="shared" si="363"/>
        <v>0</v>
      </c>
      <c r="H764" s="171">
        <f t="shared" si="364"/>
        <v>126752.41845304017</v>
      </c>
      <c r="I764" s="171">
        <f>IF(B764="Working",MIN(MAX(D764-E764-F764-G764-H764,0),'Tax Assumptions'!$B$20),0)</f>
        <v>0</v>
      </c>
      <c r="J764" s="171">
        <f t="shared" si="365"/>
        <v>-296752.41845304018</v>
      </c>
      <c r="K764" s="174">
        <f t="shared" si="366"/>
        <v>296752.41845304018</v>
      </c>
      <c r="L764" s="174">
        <f t="shared" si="367"/>
        <v>296752.41845304018</v>
      </c>
      <c r="M764" s="174">
        <f t="shared" si="373"/>
        <v>296752.41845304018</v>
      </c>
      <c r="N764" s="174">
        <f t="shared" si="374"/>
        <v>0</v>
      </c>
      <c r="O764" s="174">
        <f t="shared" si="375"/>
        <v>0</v>
      </c>
      <c r="P764" s="174">
        <f t="shared" si="376"/>
        <v>0</v>
      </c>
      <c r="Q764" s="171">
        <f t="shared" si="377"/>
        <v>5516293.3847163673</v>
      </c>
      <c r="R764" s="171">
        <f t="shared" si="378"/>
        <v>730112.52991781407</v>
      </c>
      <c r="S764" s="171">
        <f t="shared" si="379"/>
        <v>223503.83568912672</v>
      </c>
      <c r="T764" s="171">
        <f t="shared" si="380"/>
        <v>0</v>
      </c>
      <c r="U764" s="171">
        <f t="shared" si="368"/>
        <v>6469909.7503233077</v>
      </c>
      <c r="V764" s="171">
        <f t="shared" si="381"/>
        <v>0</v>
      </c>
      <c r="W764" s="171">
        <f>IF(OR(A764&gt;=$C$13,B764="Retired"),IF(V764&gt;0,-V764,U764-'Model Inputs'!$B$18),"")</f>
        <v>5469909.7503233077</v>
      </c>
      <c r="X764" s="171">
        <f t="shared" si="369"/>
        <v>2556548.221824476</v>
      </c>
      <c r="Y764" s="171">
        <f t="shared" si="370"/>
        <v>674508.87209555157</v>
      </c>
      <c r="Z764" s="171">
        <f t="shared" si="371"/>
        <v>1882039.3497289245</v>
      </c>
      <c r="AA764" s="175">
        <f t="shared" si="372"/>
        <v>8351949.1000522319</v>
      </c>
      <c r="AB764" s="5"/>
      <c r="AC764" s="5"/>
      <c r="AD764" s="5"/>
      <c r="AE764" s="5"/>
      <c r="AF764" s="5"/>
      <c r="AG764" s="5"/>
    </row>
    <row r="765" spans="1:33" x14ac:dyDescent="0.2">
      <c r="A765" s="169">
        <v>25</v>
      </c>
      <c r="B765" s="100" t="str">
        <f t="shared" si="358"/>
        <v>Retired</v>
      </c>
      <c r="C765" s="170">
        <f t="shared" si="359"/>
        <v>0</v>
      </c>
      <c r="D765" s="170">
        <f t="shared" si="360"/>
        <v>0</v>
      </c>
      <c r="E765" s="170">
        <f t="shared" si="361"/>
        <v>0</v>
      </c>
      <c r="F765" s="170">
        <f t="shared" si="362"/>
        <v>0</v>
      </c>
      <c r="G765" s="171">
        <f t="shared" si="363"/>
        <v>0</v>
      </c>
      <c r="H765" s="171">
        <f t="shared" si="364"/>
        <v>128439.74027944433</v>
      </c>
      <c r="I765" s="171">
        <f>IF(B765="Working",MIN(MAX(D765-E765-F765-G765-H765,0),'Tax Assumptions'!$B$20),0)</f>
        <v>0</v>
      </c>
      <c r="J765" s="171">
        <f t="shared" si="365"/>
        <v>-298439.74027944432</v>
      </c>
      <c r="K765" s="170">
        <f t="shared" si="366"/>
        <v>298439.74027944432</v>
      </c>
      <c r="L765" s="170">
        <f t="shared" si="367"/>
        <v>298439.74027944432</v>
      </c>
      <c r="M765" s="170">
        <f t="shared" si="373"/>
        <v>298439.74027944432</v>
      </c>
      <c r="N765" s="170">
        <f t="shared" si="374"/>
        <v>0</v>
      </c>
      <c r="O765" s="170">
        <f t="shared" si="375"/>
        <v>0</v>
      </c>
      <c r="P765" s="170">
        <f t="shared" si="376"/>
        <v>0</v>
      </c>
      <c r="Q765" s="171">
        <f t="shared" si="377"/>
        <v>5548831.2475199047</v>
      </c>
      <c r="R765" s="171">
        <f t="shared" si="378"/>
        <v>773919.28171288292</v>
      </c>
      <c r="S765" s="171">
        <f t="shared" si="379"/>
        <v>236914.06583047434</v>
      </c>
      <c r="T765" s="171">
        <f t="shared" si="380"/>
        <v>0</v>
      </c>
      <c r="U765" s="171">
        <f t="shared" si="368"/>
        <v>6559664.5950632626</v>
      </c>
      <c r="V765" s="171">
        <f t="shared" si="381"/>
        <v>0</v>
      </c>
      <c r="W765" s="171">
        <f>IF(OR(A765&gt;=$C$13,B765="Retired"),IF(V765&gt;0,-V765,U765-'Model Inputs'!$B$18),"")</f>
        <v>5559664.5950632626</v>
      </c>
      <c r="X765" s="171">
        <f t="shared" si="369"/>
        <v>2633244.6684792107</v>
      </c>
      <c r="Y765" s="171">
        <f t="shared" si="370"/>
        <v>647034.66832401766</v>
      </c>
      <c r="Z765" s="171">
        <f t="shared" si="371"/>
        <v>1986210.000155193</v>
      </c>
      <c r="AA765" s="172">
        <f t="shared" si="372"/>
        <v>8545874.5952184554</v>
      </c>
      <c r="AB765" s="5"/>
      <c r="AC765" s="5"/>
      <c r="AD765" s="5"/>
      <c r="AE765" s="5"/>
      <c r="AF765" s="5"/>
      <c r="AG765" s="5"/>
    </row>
    <row r="766" spans="1:33" x14ac:dyDescent="0.2">
      <c r="A766" s="173">
        <v>26</v>
      </c>
      <c r="B766" s="65" t="str">
        <f t="shared" si="358"/>
        <v>Retired</v>
      </c>
      <c r="C766" s="174">
        <f t="shared" si="359"/>
        <v>0</v>
      </c>
      <c r="D766" s="174">
        <f t="shared" si="360"/>
        <v>0</v>
      </c>
      <c r="E766" s="174">
        <f t="shared" si="361"/>
        <v>0</v>
      </c>
      <c r="F766" s="174">
        <f t="shared" si="362"/>
        <v>0</v>
      </c>
      <c r="G766" s="171">
        <f t="shared" si="363"/>
        <v>0</v>
      </c>
      <c r="H766" s="171">
        <f t="shared" si="364"/>
        <v>130177.6817606406</v>
      </c>
      <c r="I766" s="171">
        <f>IF(B766="Working",MIN(MAX(D766-E766-F766-G766-H766,0),'Tax Assumptions'!$B$20),0)</f>
        <v>0</v>
      </c>
      <c r="J766" s="171">
        <f t="shared" si="365"/>
        <v>-300177.68176064058</v>
      </c>
      <c r="K766" s="174">
        <f t="shared" si="366"/>
        <v>300177.68176064058</v>
      </c>
      <c r="L766" s="174">
        <f t="shared" si="367"/>
        <v>300177.68176064058</v>
      </c>
      <c r="M766" s="174">
        <f t="shared" si="373"/>
        <v>300177.68176064058</v>
      </c>
      <c r="N766" s="174">
        <f t="shared" si="374"/>
        <v>0</v>
      </c>
      <c r="O766" s="174">
        <f t="shared" si="375"/>
        <v>0</v>
      </c>
      <c r="P766" s="174">
        <f t="shared" si="376"/>
        <v>0</v>
      </c>
      <c r="Q766" s="171">
        <f t="shared" si="377"/>
        <v>5581583.4406104581</v>
      </c>
      <c r="R766" s="171">
        <f t="shared" si="378"/>
        <v>820354.43861565599</v>
      </c>
      <c r="S766" s="171">
        <f t="shared" si="379"/>
        <v>251128.90978030281</v>
      </c>
      <c r="T766" s="171">
        <f t="shared" si="380"/>
        <v>0</v>
      </c>
      <c r="U766" s="171">
        <f t="shared" si="368"/>
        <v>6653066.7890064176</v>
      </c>
      <c r="V766" s="171">
        <f t="shared" si="381"/>
        <v>0</v>
      </c>
      <c r="W766" s="171">
        <f>IF(OR(A766&gt;=$C$13,B766="Retired"),IF(V766&gt;0,-V766,U766-'Model Inputs'!$B$18),"")</f>
        <v>5653066.7890064176</v>
      </c>
      <c r="X766" s="171">
        <f t="shared" si="369"/>
        <v>2712242.0085335863</v>
      </c>
      <c r="Y766" s="171">
        <f t="shared" si="370"/>
        <v>617720.46624360932</v>
      </c>
      <c r="Z766" s="171">
        <f t="shared" si="371"/>
        <v>2094521.542289977</v>
      </c>
      <c r="AA766" s="175">
        <f t="shared" si="372"/>
        <v>8747588.3312963955</v>
      </c>
      <c r="AB766" s="5"/>
      <c r="AC766" s="5"/>
      <c r="AD766" s="5"/>
      <c r="AE766" s="5"/>
      <c r="AF766" s="5"/>
      <c r="AG766" s="5"/>
    </row>
    <row r="767" spans="1:33" x14ac:dyDescent="0.2">
      <c r="A767" s="169">
        <v>27</v>
      </c>
      <c r="B767" s="100" t="str">
        <f t="shared" si="358"/>
        <v>Retired</v>
      </c>
      <c r="C767" s="170">
        <f t="shared" si="359"/>
        <v>0</v>
      </c>
      <c r="D767" s="170">
        <f t="shared" si="360"/>
        <v>0</v>
      </c>
      <c r="E767" s="170">
        <f t="shared" si="361"/>
        <v>0</v>
      </c>
      <c r="F767" s="170">
        <f t="shared" si="362"/>
        <v>0</v>
      </c>
      <c r="G767" s="171">
        <f t="shared" si="363"/>
        <v>0</v>
      </c>
      <c r="H767" s="171">
        <f t="shared" si="364"/>
        <v>131967.76148627276</v>
      </c>
      <c r="I767" s="171">
        <f>IF(B767="Working",MIN(MAX(D767-E767-F767-G767-H767,0),'Tax Assumptions'!$B$20),0)</f>
        <v>0</v>
      </c>
      <c r="J767" s="171">
        <f t="shared" si="365"/>
        <v>-301967.76148627279</v>
      </c>
      <c r="K767" s="170">
        <f t="shared" si="366"/>
        <v>301967.76148627279</v>
      </c>
      <c r="L767" s="170">
        <f t="shared" si="367"/>
        <v>301967.76148627279</v>
      </c>
      <c r="M767" s="170">
        <f t="shared" si="373"/>
        <v>301967.76148627279</v>
      </c>
      <c r="N767" s="170">
        <f t="shared" si="374"/>
        <v>0</v>
      </c>
      <c r="O767" s="170">
        <f t="shared" si="375"/>
        <v>0</v>
      </c>
      <c r="P767" s="170">
        <f t="shared" si="376"/>
        <v>0</v>
      </c>
      <c r="Q767" s="171">
        <f t="shared" si="377"/>
        <v>5614510.6855608132</v>
      </c>
      <c r="R767" s="171">
        <f t="shared" si="378"/>
        <v>869575.70493259537</v>
      </c>
      <c r="S767" s="171">
        <f t="shared" si="379"/>
        <v>266196.64436712099</v>
      </c>
      <c r="T767" s="171">
        <f t="shared" si="380"/>
        <v>0</v>
      </c>
      <c r="U767" s="171">
        <f t="shared" si="368"/>
        <v>6750283.0348605299</v>
      </c>
      <c r="V767" s="171">
        <f t="shared" si="381"/>
        <v>0</v>
      </c>
      <c r="W767" s="171">
        <f>IF(OR(A767&gt;=$C$13,B767="Retired"),IF(V767&gt;0,-V767,U767-'Model Inputs'!$B$18),"")</f>
        <v>5750283.0348605299</v>
      </c>
      <c r="X767" s="171">
        <f t="shared" si="369"/>
        <v>2793609.2687895941</v>
      </c>
      <c r="Y767" s="171">
        <f t="shared" si="370"/>
        <v>586443.0377598987</v>
      </c>
      <c r="Z767" s="171">
        <f t="shared" si="371"/>
        <v>2207166.2310296954</v>
      </c>
      <c r="AA767" s="172">
        <f t="shared" si="372"/>
        <v>8957449.2658902258</v>
      </c>
      <c r="AB767" s="5"/>
      <c r="AC767" s="5"/>
      <c r="AD767" s="5"/>
      <c r="AE767" s="5"/>
      <c r="AF767" s="5"/>
      <c r="AG767" s="5"/>
    </row>
    <row r="768" spans="1:33" x14ac:dyDescent="0.2">
      <c r="A768" s="173">
        <v>28</v>
      </c>
      <c r="B768" s="65" t="str">
        <f t="shared" si="358"/>
        <v>Retired</v>
      </c>
      <c r="C768" s="174">
        <f t="shared" si="359"/>
        <v>0</v>
      </c>
      <c r="D768" s="174">
        <f t="shared" si="360"/>
        <v>0</v>
      </c>
      <c r="E768" s="174">
        <f t="shared" si="361"/>
        <v>0</v>
      </c>
      <c r="F768" s="174">
        <f t="shared" si="362"/>
        <v>0</v>
      </c>
      <c r="G768" s="171">
        <f t="shared" si="363"/>
        <v>0</v>
      </c>
      <c r="H768" s="171">
        <f t="shared" si="364"/>
        <v>133811.5436036739</v>
      </c>
      <c r="I768" s="171">
        <f>IF(B768="Working",MIN(MAX(D768-E768-F768-G768-H768,0),'Tax Assumptions'!$B$20),0)</f>
        <v>0</v>
      </c>
      <c r="J768" s="171">
        <f t="shared" si="365"/>
        <v>-303811.54360367393</v>
      </c>
      <c r="K768" s="174">
        <f t="shared" si="366"/>
        <v>303811.54360367393</v>
      </c>
      <c r="L768" s="174">
        <f t="shared" si="367"/>
        <v>303811.54360367393</v>
      </c>
      <c r="M768" s="174">
        <f t="shared" si="373"/>
        <v>303811.54360367393</v>
      </c>
      <c r="N768" s="174">
        <f t="shared" si="374"/>
        <v>0</v>
      </c>
      <c r="O768" s="174">
        <f t="shared" si="375"/>
        <v>0</v>
      </c>
      <c r="P768" s="174">
        <f t="shared" si="376"/>
        <v>0</v>
      </c>
      <c r="Q768" s="171">
        <f t="shared" si="377"/>
        <v>5647569.7830907889</v>
      </c>
      <c r="R768" s="171">
        <f t="shared" si="378"/>
        <v>921750.24722855119</v>
      </c>
      <c r="S768" s="171">
        <f t="shared" si="379"/>
        <v>282168.44302914827</v>
      </c>
      <c r="T768" s="171">
        <f t="shared" si="380"/>
        <v>0</v>
      </c>
      <c r="U768" s="171">
        <f t="shared" si="368"/>
        <v>6851488.473348489</v>
      </c>
      <c r="V768" s="171">
        <f t="shared" si="381"/>
        <v>0</v>
      </c>
      <c r="W768" s="171">
        <f>IF(OR(A768&gt;=$C$13,B768="Retired"),IF(V768&gt;0,-V768,U768-'Model Inputs'!$B$18),"")</f>
        <v>5851488.473348489</v>
      </c>
      <c r="X768" s="171">
        <f t="shared" si="369"/>
        <v>2877417.546853282</v>
      </c>
      <c r="Y768" s="171">
        <f t="shared" si="370"/>
        <v>553070.90196475713</v>
      </c>
      <c r="Z768" s="171">
        <f t="shared" si="371"/>
        <v>2324346.6448885249</v>
      </c>
      <c r="AA768" s="175">
        <f t="shared" si="372"/>
        <v>9175835.1182370149</v>
      </c>
      <c r="AB768" s="5"/>
      <c r="AC768" s="5"/>
      <c r="AD768" s="5"/>
      <c r="AE768" s="5"/>
      <c r="AF768" s="5"/>
      <c r="AG768" s="5"/>
    </row>
    <row r="769" spans="1:33" x14ac:dyDescent="0.2">
      <c r="A769" s="169">
        <v>29</v>
      </c>
      <c r="B769" s="100" t="str">
        <f t="shared" si="358"/>
        <v>Retired</v>
      </c>
      <c r="C769" s="170">
        <f t="shared" si="359"/>
        <v>0</v>
      </c>
      <c r="D769" s="170">
        <f t="shared" si="360"/>
        <v>0</v>
      </c>
      <c r="E769" s="170">
        <f t="shared" si="361"/>
        <v>0</v>
      </c>
      <c r="F769" s="170">
        <f t="shared" si="362"/>
        <v>0</v>
      </c>
      <c r="G769" s="171">
        <f t="shared" si="363"/>
        <v>0</v>
      </c>
      <c r="H769" s="171">
        <f t="shared" si="364"/>
        <v>135710.63918459706</v>
      </c>
      <c r="I769" s="171">
        <f>IF(B769="Working",MIN(MAX(D769-E769-F769-G769-H769,0),'Tax Assumptions'!$B$20),0)</f>
        <v>0</v>
      </c>
      <c r="J769" s="171">
        <f t="shared" si="365"/>
        <v>-305710.63918459706</v>
      </c>
      <c r="K769" s="170">
        <f t="shared" si="366"/>
        <v>305710.63918459706</v>
      </c>
      <c r="L769" s="170">
        <f t="shared" si="367"/>
        <v>305710.63918459706</v>
      </c>
      <c r="M769" s="170">
        <f t="shared" si="373"/>
        <v>305710.63918459706</v>
      </c>
      <c r="N769" s="170">
        <f t="shared" si="374"/>
        <v>0</v>
      </c>
      <c r="O769" s="170">
        <f t="shared" si="375"/>
        <v>0</v>
      </c>
      <c r="P769" s="170">
        <f t="shared" si="376"/>
        <v>0</v>
      </c>
      <c r="Q769" s="171">
        <f t="shared" si="377"/>
        <v>5680713.3308916399</v>
      </c>
      <c r="R769" s="171">
        <f t="shared" si="378"/>
        <v>977055.26206226426</v>
      </c>
      <c r="S769" s="171">
        <f t="shared" si="379"/>
        <v>299098.5496108972</v>
      </c>
      <c r="T769" s="171">
        <f t="shared" si="380"/>
        <v>0</v>
      </c>
      <c r="U769" s="171">
        <f t="shared" si="368"/>
        <v>6956867.1425648015</v>
      </c>
      <c r="V769" s="171">
        <f t="shared" si="381"/>
        <v>0</v>
      </c>
      <c r="W769" s="171">
        <f>IF(OR(A769&gt;=$C$13,B769="Retired"),IF(V769&gt;0,-V769,U769-'Model Inputs'!$B$18),"")</f>
        <v>5956867.1425648015</v>
      </c>
      <c r="X769" s="171">
        <f t="shared" si="369"/>
        <v>2963740.0732588801</v>
      </c>
      <c r="Y769" s="171">
        <f t="shared" si="370"/>
        <v>517463.77243013401</v>
      </c>
      <c r="Z769" s="171">
        <f t="shared" si="371"/>
        <v>2446276.3008287461</v>
      </c>
      <c r="AA769" s="172">
        <f t="shared" si="372"/>
        <v>9403143.4433935471</v>
      </c>
      <c r="AB769" s="5"/>
      <c r="AC769" s="5"/>
      <c r="AD769" s="5"/>
      <c r="AE769" s="5"/>
      <c r="AF769" s="5"/>
      <c r="AG769" s="5"/>
    </row>
    <row r="770" spans="1:33" x14ac:dyDescent="0.2">
      <c r="A770" s="173">
        <v>30</v>
      </c>
      <c r="B770" s="65" t="str">
        <f t="shared" si="358"/>
        <v>Retired</v>
      </c>
      <c r="C770" s="174">
        <f t="shared" si="359"/>
        <v>0</v>
      </c>
      <c r="D770" s="174">
        <f t="shared" si="360"/>
        <v>0</v>
      </c>
      <c r="E770" s="174">
        <f t="shared" si="361"/>
        <v>0</v>
      </c>
      <c r="F770" s="174">
        <f t="shared" si="362"/>
        <v>0</v>
      </c>
      <c r="G770" s="171">
        <f t="shared" si="363"/>
        <v>0</v>
      </c>
      <c r="H770" s="171">
        <f t="shared" si="364"/>
        <v>137666.70763294792</v>
      </c>
      <c r="I770" s="171">
        <f>IF(B770="Working",MIN(MAX(D770-E770-F770-G770-H770,0),'Tax Assumptions'!$B$20),0)</f>
        <v>0</v>
      </c>
      <c r="J770" s="171">
        <f t="shared" si="365"/>
        <v>-307666.70763294795</v>
      </c>
      <c r="K770" s="174">
        <f t="shared" si="366"/>
        <v>307666.70763294795</v>
      </c>
      <c r="L770" s="174">
        <f t="shared" si="367"/>
        <v>307666.70763294795</v>
      </c>
      <c r="M770" s="174">
        <f t="shared" si="373"/>
        <v>307666.70763294795</v>
      </c>
      <c r="N770" s="174">
        <f t="shared" si="374"/>
        <v>0</v>
      </c>
      <c r="O770" s="174">
        <f t="shared" si="375"/>
        <v>0</v>
      </c>
      <c r="P770" s="174">
        <f t="shared" si="376"/>
        <v>0</v>
      </c>
      <c r="Q770" s="171">
        <f t="shared" si="377"/>
        <v>5713889.4231121913</v>
      </c>
      <c r="R770" s="171">
        <f t="shared" si="378"/>
        <v>1035678.5777860002</v>
      </c>
      <c r="S770" s="171">
        <f t="shared" si="379"/>
        <v>317044.46258755104</v>
      </c>
      <c r="T770" s="171">
        <f t="shared" si="380"/>
        <v>0</v>
      </c>
      <c r="U770" s="171">
        <f t="shared" si="368"/>
        <v>7066612.4634857429</v>
      </c>
      <c r="V770" s="171">
        <f t="shared" si="381"/>
        <v>0</v>
      </c>
      <c r="W770" s="171">
        <f>IF(OR(A770&gt;=$C$13,B770="Retired"),IF(V770&gt;0,-V770,U770-'Model Inputs'!$B$18),"")</f>
        <v>6066612.4634857429</v>
      </c>
      <c r="X770" s="171">
        <f t="shared" si="369"/>
        <v>3052652.2754566465</v>
      </c>
      <c r="Y770" s="171">
        <f t="shared" si="370"/>
        <v>479471.96748608351</v>
      </c>
      <c r="Z770" s="171">
        <f t="shared" si="371"/>
        <v>2573180.3079705629</v>
      </c>
      <c r="AA770" s="175">
        <f t="shared" si="372"/>
        <v>9639792.7714563049</v>
      </c>
      <c r="AB770" s="5"/>
      <c r="AC770" s="5"/>
      <c r="AD770" s="5"/>
      <c r="AE770" s="5"/>
      <c r="AF770" s="5"/>
      <c r="AG770" s="5"/>
    </row>
    <row r="771" spans="1:33" x14ac:dyDescent="0.2">
      <c r="A771" s="169">
        <v>31</v>
      </c>
      <c r="B771" s="100" t="str">
        <f t="shared" si="358"/>
        <v>Retired</v>
      </c>
      <c r="C771" s="170">
        <f t="shared" si="359"/>
        <v>0</v>
      </c>
      <c r="D771" s="170">
        <f t="shared" si="360"/>
        <v>0</v>
      </c>
      <c r="E771" s="170">
        <f t="shared" si="361"/>
        <v>0</v>
      </c>
      <c r="F771" s="170">
        <f t="shared" si="362"/>
        <v>0</v>
      </c>
      <c r="G771" s="171">
        <f t="shared" si="363"/>
        <v>0</v>
      </c>
      <c r="H771" s="171">
        <f t="shared" si="364"/>
        <v>139681.45813474932</v>
      </c>
      <c r="I771" s="171">
        <f>IF(B771="Working",MIN(MAX(D771-E771-F771-G771-H771,0),'Tax Assumptions'!$B$20),0)</f>
        <v>0</v>
      </c>
      <c r="J771" s="171">
        <f t="shared" si="365"/>
        <v>-309681.45813474932</v>
      </c>
      <c r="K771" s="170">
        <f t="shared" si="366"/>
        <v>309681.45813474932</v>
      </c>
      <c r="L771" s="170">
        <f t="shared" si="367"/>
        <v>309681.45813474932</v>
      </c>
      <c r="M771" s="170">
        <f t="shared" si="373"/>
        <v>309681.45813474932</v>
      </c>
      <c r="N771" s="170">
        <f t="shared" si="374"/>
        <v>0</v>
      </c>
      <c r="O771" s="170">
        <f t="shared" si="375"/>
        <v>0</v>
      </c>
      <c r="P771" s="170">
        <f t="shared" si="376"/>
        <v>0</v>
      </c>
      <c r="Q771" s="171">
        <f t="shared" si="377"/>
        <v>5747041.3303641742</v>
      </c>
      <c r="R771" s="171">
        <f t="shared" si="378"/>
        <v>1097819.2924531603</v>
      </c>
      <c r="S771" s="171">
        <f t="shared" si="379"/>
        <v>336067.13034280413</v>
      </c>
      <c r="T771" s="171">
        <f t="shared" si="380"/>
        <v>0</v>
      </c>
      <c r="U771" s="171">
        <f t="shared" si="368"/>
        <v>7180927.7531601386</v>
      </c>
      <c r="V771" s="171">
        <f t="shared" si="381"/>
        <v>0</v>
      </c>
      <c r="W771" s="171">
        <f>IF(OR(A771&gt;=$C$13,B771="Retired"),IF(V771&gt;0,-V771,U771-'Model Inputs'!$B$18),"")</f>
        <v>6180927.7531601386</v>
      </c>
      <c r="X771" s="171">
        <f t="shared" si="369"/>
        <v>3144231.8437203458</v>
      </c>
      <c r="Y771" s="171">
        <f t="shared" si="370"/>
        <v>438935.7810040107</v>
      </c>
      <c r="Z771" s="171">
        <f t="shared" si="371"/>
        <v>2705296.0627163351</v>
      </c>
      <c r="AA771" s="172">
        <f t="shared" si="372"/>
        <v>9886223.8158764727</v>
      </c>
      <c r="AB771" s="5"/>
      <c r="AC771" s="5"/>
      <c r="AD771" s="5"/>
      <c r="AE771" s="5"/>
      <c r="AF771" s="5"/>
      <c r="AG771" s="5"/>
    </row>
    <row r="772" spans="1:33" x14ac:dyDescent="0.2">
      <c r="A772" s="173">
        <v>32</v>
      </c>
      <c r="B772" s="65" t="str">
        <f t="shared" si="358"/>
        <v>Retired</v>
      </c>
      <c r="C772" s="174">
        <f t="shared" si="359"/>
        <v>0</v>
      </c>
      <c r="D772" s="174">
        <f t="shared" si="360"/>
        <v>0</v>
      </c>
      <c r="E772" s="174">
        <f t="shared" si="361"/>
        <v>0</v>
      </c>
      <c r="F772" s="174">
        <f t="shared" si="362"/>
        <v>0</v>
      </c>
      <c r="G772" s="171">
        <f t="shared" si="363"/>
        <v>0</v>
      </c>
      <c r="H772" s="171">
        <f t="shared" si="364"/>
        <v>141756.65115160472</v>
      </c>
      <c r="I772" s="171">
        <f>IF(B772="Working",MIN(MAX(D772-E772-F772-G772-H772,0),'Tax Assumptions'!$B$20),0)</f>
        <v>0</v>
      </c>
      <c r="J772" s="171">
        <f t="shared" si="365"/>
        <v>-311756.65115160472</v>
      </c>
      <c r="K772" s="174">
        <f t="shared" si="366"/>
        <v>311756.65115160472</v>
      </c>
      <c r="L772" s="174">
        <f t="shared" si="367"/>
        <v>311756.65115160472</v>
      </c>
      <c r="M772" s="174">
        <f t="shared" si="373"/>
        <v>311756.65115160472</v>
      </c>
      <c r="N772" s="174">
        <f t="shared" si="374"/>
        <v>0</v>
      </c>
      <c r="O772" s="174">
        <f t="shared" si="375"/>
        <v>0</v>
      </c>
      <c r="P772" s="174">
        <f t="shared" si="376"/>
        <v>0</v>
      </c>
      <c r="Q772" s="171">
        <f t="shared" si="377"/>
        <v>5780107.1590344198</v>
      </c>
      <c r="R772" s="171">
        <f t="shared" si="378"/>
        <v>1163688.4500003499</v>
      </c>
      <c r="S772" s="171">
        <f t="shared" si="379"/>
        <v>356231.15816337237</v>
      </c>
      <c r="T772" s="171">
        <f t="shared" si="380"/>
        <v>0</v>
      </c>
      <c r="U772" s="171">
        <f t="shared" si="368"/>
        <v>7300026.7671981417</v>
      </c>
      <c r="V772" s="171">
        <f t="shared" si="381"/>
        <v>0</v>
      </c>
      <c r="W772" s="171">
        <f>IF(OR(A772&gt;=$C$13,B772="Retired"),IF(V772&gt;0,-V772,U772-'Model Inputs'!$B$18),"")</f>
        <v>6300026.7671981417</v>
      </c>
      <c r="X772" s="171">
        <f t="shared" si="369"/>
        <v>3238558.7990319561</v>
      </c>
      <c r="Y772" s="171">
        <f t="shared" si="370"/>
        <v>395684.81104011135</v>
      </c>
      <c r="Z772" s="171">
        <f t="shared" si="371"/>
        <v>2842873.9879918448</v>
      </c>
      <c r="AA772" s="175">
        <f t="shared" si="372"/>
        <v>10142900.755189987</v>
      </c>
      <c r="AB772" s="5"/>
      <c r="AC772" s="5"/>
      <c r="AD772" s="5"/>
      <c r="AE772" s="5"/>
      <c r="AF772" s="5"/>
      <c r="AG772" s="5"/>
    </row>
    <row r="773" spans="1:33" x14ac:dyDescent="0.2">
      <c r="A773" s="169">
        <v>33</v>
      </c>
      <c r="B773" s="100" t="str">
        <f t="shared" si="358"/>
        <v>Retired</v>
      </c>
      <c r="C773" s="170">
        <f t="shared" si="359"/>
        <v>0</v>
      </c>
      <c r="D773" s="170">
        <f t="shared" si="360"/>
        <v>0</v>
      </c>
      <c r="E773" s="170">
        <f t="shared" si="361"/>
        <v>0</v>
      </c>
      <c r="F773" s="170">
        <f t="shared" si="362"/>
        <v>0</v>
      </c>
      <c r="G773" s="171">
        <f t="shared" si="363"/>
        <v>0</v>
      </c>
      <c r="H773" s="171">
        <f t="shared" si="364"/>
        <v>143894.09995896585</v>
      </c>
      <c r="I773" s="171">
        <f>IF(B773="Working",MIN(MAX(D773-E773-F773-G773-H773,0),'Tax Assumptions'!$B$20),0)</f>
        <v>0</v>
      </c>
      <c r="J773" s="171">
        <f t="shared" si="365"/>
        <v>-313894.09995896585</v>
      </c>
      <c r="K773" s="170">
        <f t="shared" si="366"/>
        <v>313894.09995896585</v>
      </c>
      <c r="L773" s="170">
        <f t="shared" si="367"/>
        <v>313894.09995896585</v>
      </c>
      <c r="M773" s="170">
        <f t="shared" si="373"/>
        <v>313894.09995896585</v>
      </c>
      <c r="N773" s="170">
        <f t="shared" si="374"/>
        <v>0</v>
      </c>
      <c r="O773" s="170">
        <f t="shared" si="375"/>
        <v>0</v>
      </c>
      <c r="P773" s="170">
        <f t="shared" si="376"/>
        <v>0</v>
      </c>
      <c r="Q773" s="171">
        <f t="shared" si="377"/>
        <v>5813019.4886175198</v>
      </c>
      <c r="R773" s="171">
        <f t="shared" si="378"/>
        <v>1233509.7570003709</v>
      </c>
      <c r="S773" s="171">
        <f t="shared" si="379"/>
        <v>377605.02765317471</v>
      </c>
      <c r="T773" s="171">
        <f t="shared" si="380"/>
        <v>0</v>
      </c>
      <c r="U773" s="171">
        <f t="shared" si="368"/>
        <v>7424134.2732710652</v>
      </c>
      <c r="V773" s="171">
        <f t="shared" si="381"/>
        <v>0</v>
      </c>
      <c r="W773" s="171">
        <f>IF(OR(A773&gt;=$C$13,B773="Retired"),IF(V773&gt;0,-V773,U773-'Model Inputs'!$B$18),"")</f>
        <v>6424134.2732710652</v>
      </c>
      <c r="X773" s="171">
        <f t="shared" si="369"/>
        <v>3335715.5630029151</v>
      </c>
      <c r="Y773" s="171">
        <f t="shared" si="370"/>
        <v>349537.24351682514</v>
      </c>
      <c r="Z773" s="171">
        <f t="shared" si="371"/>
        <v>2986178.31948609</v>
      </c>
      <c r="AA773" s="172">
        <f t="shared" si="372"/>
        <v>10410312.592757154</v>
      </c>
      <c r="AB773" s="5"/>
      <c r="AC773" s="5"/>
      <c r="AD773" s="5"/>
      <c r="AE773" s="5"/>
      <c r="AF773" s="5"/>
      <c r="AG773" s="5"/>
    </row>
    <row r="774" spans="1:33" x14ac:dyDescent="0.2">
      <c r="A774" s="173">
        <v>34</v>
      </c>
      <c r="B774" s="65" t="str">
        <f t="shared" si="358"/>
        <v>Retired</v>
      </c>
      <c r="C774" s="174">
        <f t="shared" si="359"/>
        <v>0</v>
      </c>
      <c r="D774" s="174">
        <f t="shared" si="360"/>
        <v>0</v>
      </c>
      <c r="E774" s="174">
        <f t="shared" si="361"/>
        <v>0</v>
      </c>
      <c r="F774" s="174">
        <f t="shared" si="362"/>
        <v>0</v>
      </c>
      <c r="G774" s="171">
        <f t="shared" si="363"/>
        <v>0</v>
      </c>
      <c r="H774" s="171">
        <f t="shared" si="364"/>
        <v>146095.67223054776</v>
      </c>
      <c r="I774" s="171">
        <f>IF(B774="Working",MIN(MAX(D774-E774-F774-G774-H774,0),'Tax Assumptions'!$B$20),0)</f>
        <v>0</v>
      </c>
      <c r="J774" s="171">
        <f t="shared" si="365"/>
        <v>-316095.67223054776</v>
      </c>
      <c r="K774" s="174">
        <f t="shared" si="366"/>
        <v>316095.67223054776</v>
      </c>
      <c r="L774" s="174">
        <f t="shared" si="367"/>
        <v>316095.67223054776</v>
      </c>
      <c r="M774" s="174">
        <f t="shared" si="373"/>
        <v>316095.67223054776</v>
      </c>
      <c r="N774" s="174">
        <f t="shared" si="374"/>
        <v>0</v>
      </c>
      <c r="O774" s="174">
        <f t="shared" si="375"/>
        <v>0</v>
      </c>
      <c r="P774" s="174">
        <f t="shared" si="376"/>
        <v>0</v>
      </c>
      <c r="Q774" s="171">
        <f t="shared" si="377"/>
        <v>5845704.9857040234</v>
      </c>
      <c r="R774" s="171">
        <f t="shared" si="378"/>
        <v>1307520.3424203931</v>
      </c>
      <c r="S774" s="171">
        <f t="shared" si="379"/>
        <v>400261.32931236521</v>
      </c>
      <c r="T774" s="171">
        <f t="shared" si="380"/>
        <v>0</v>
      </c>
      <c r="U774" s="171">
        <f t="shared" si="368"/>
        <v>7553486.6574367825</v>
      </c>
      <c r="V774" s="171">
        <f t="shared" si="381"/>
        <v>0</v>
      </c>
      <c r="W774" s="171">
        <f>IF(OR(A774&gt;=$C$13,B774="Retired"),IF(V774&gt;0,-V774,U774-'Model Inputs'!$B$18),"")</f>
        <v>6553486.6574367825</v>
      </c>
      <c r="X774" s="171">
        <f t="shared" si="369"/>
        <v>3435787.029893002</v>
      </c>
      <c r="Y774" s="171">
        <f t="shared" si="370"/>
        <v>300299.0879310919</v>
      </c>
      <c r="Z774" s="171">
        <f t="shared" si="371"/>
        <v>3135487.9419619101</v>
      </c>
      <c r="AA774" s="175">
        <f t="shared" si="372"/>
        <v>10688974.599398693</v>
      </c>
      <c r="AB774" s="5"/>
      <c r="AC774" s="5"/>
      <c r="AD774" s="5"/>
      <c r="AE774" s="5"/>
      <c r="AF774" s="5"/>
      <c r="AG774" s="5"/>
    </row>
    <row r="775" spans="1:33" x14ac:dyDescent="0.2">
      <c r="A775" s="169">
        <v>35</v>
      </c>
      <c r="B775" s="100" t="str">
        <f t="shared" si="358"/>
        <v>Retired</v>
      </c>
      <c r="C775" s="170">
        <f t="shared" si="359"/>
        <v>0</v>
      </c>
      <c r="D775" s="170">
        <f t="shared" si="360"/>
        <v>0</v>
      </c>
      <c r="E775" s="170">
        <f t="shared" si="361"/>
        <v>0</v>
      </c>
      <c r="F775" s="170">
        <f t="shared" si="362"/>
        <v>0</v>
      </c>
      <c r="G775" s="171">
        <f t="shared" si="363"/>
        <v>0</v>
      </c>
      <c r="H775" s="171">
        <f t="shared" si="364"/>
        <v>148363.29167027713</v>
      </c>
      <c r="I775" s="171">
        <f>IF(B775="Working",MIN(MAX(D775-E775-F775-G775-H775,0),'Tax Assumptions'!$B$20),0)</f>
        <v>0</v>
      </c>
      <c r="J775" s="171">
        <f t="shared" si="365"/>
        <v>-318363.29167027713</v>
      </c>
      <c r="K775" s="170">
        <f t="shared" si="366"/>
        <v>318363.29167027713</v>
      </c>
      <c r="L775" s="170">
        <f t="shared" si="367"/>
        <v>318363.29167027713</v>
      </c>
      <c r="M775" s="170">
        <f t="shared" si="373"/>
        <v>318363.29167027713</v>
      </c>
      <c r="N775" s="170">
        <f t="shared" si="374"/>
        <v>0</v>
      </c>
      <c r="O775" s="170">
        <f t="shared" si="375"/>
        <v>0</v>
      </c>
      <c r="P775" s="170">
        <f t="shared" si="376"/>
        <v>0</v>
      </c>
      <c r="Q775" s="171">
        <f t="shared" si="377"/>
        <v>5878083.9931759881</v>
      </c>
      <c r="R775" s="171">
        <f t="shared" si="378"/>
        <v>1385971.5629656168</v>
      </c>
      <c r="S775" s="171">
        <f t="shared" si="379"/>
        <v>424277.00907110714</v>
      </c>
      <c r="T775" s="171">
        <f t="shared" si="380"/>
        <v>0</v>
      </c>
      <c r="U775" s="171">
        <f t="shared" si="368"/>
        <v>7688332.5652127117</v>
      </c>
      <c r="V775" s="171">
        <f t="shared" si="381"/>
        <v>0</v>
      </c>
      <c r="W775" s="171">
        <f>IF(OR(A775&gt;=$C$13,B775="Retired"),IF(V775&gt;0,-V775,U775-'Model Inputs'!$B$18),"")</f>
        <v>6688332.5652127117</v>
      </c>
      <c r="X775" s="171">
        <f t="shared" si="369"/>
        <v>3538860.6407897919</v>
      </c>
      <c r="Y775" s="171">
        <f t="shared" si="370"/>
        <v>247763.36187659204</v>
      </c>
      <c r="Z775" s="171">
        <f t="shared" si="371"/>
        <v>3291097.2789131999</v>
      </c>
      <c r="AA775" s="172">
        <f t="shared" si="372"/>
        <v>10979429.844125912</v>
      </c>
      <c r="AB775" s="5"/>
      <c r="AC775" s="5"/>
      <c r="AD775" s="5"/>
      <c r="AE775" s="5"/>
      <c r="AF775" s="5"/>
      <c r="AG775" s="5"/>
    </row>
    <row r="776" spans="1:33" x14ac:dyDescent="0.2">
      <c r="A776" s="173">
        <v>36</v>
      </c>
      <c r="B776" s="65" t="str">
        <f t="shared" si="358"/>
        <v>Retired</v>
      </c>
      <c r="C776" s="174">
        <f t="shared" si="359"/>
        <v>0</v>
      </c>
      <c r="D776" s="174">
        <f t="shared" si="360"/>
        <v>0</v>
      </c>
      <c r="E776" s="174">
        <f t="shared" si="361"/>
        <v>0</v>
      </c>
      <c r="F776" s="174">
        <f t="shared" si="362"/>
        <v>0</v>
      </c>
      <c r="G776" s="171">
        <f t="shared" si="363"/>
        <v>0</v>
      </c>
      <c r="H776" s="171">
        <f t="shared" si="364"/>
        <v>150698.93969319839</v>
      </c>
      <c r="I776" s="171">
        <f>IF(B776="Working",MIN(MAX(D776-E776-F776-G776-H776,0),'Tax Assumptions'!$B$20),0)</f>
        <v>0</v>
      </c>
      <c r="J776" s="171">
        <f t="shared" si="365"/>
        <v>-320698.93969319842</v>
      </c>
      <c r="K776" s="174">
        <f t="shared" si="366"/>
        <v>320698.93969319842</v>
      </c>
      <c r="L776" s="174">
        <f t="shared" si="367"/>
        <v>320698.93969319842</v>
      </c>
      <c r="M776" s="174">
        <f t="shared" si="373"/>
        <v>320698.93969319842</v>
      </c>
      <c r="N776" s="174">
        <f t="shared" si="374"/>
        <v>0</v>
      </c>
      <c r="O776" s="174">
        <f t="shared" si="375"/>
        <v>0</v>
      </c>
      <c r="P776" s="174">
        <f t="shared" si="376"/>
        <v>0</v>
      </c>
      <c r="Q776" s="171">
        <f t="shared" si="377"/>
        <v>5910070.0930733494</v>
      </c>
      <c r="R776" s="171">
        <f t="shared" si="378"/>
        <v>1469129.8567435539</v>
      </c>
      <c r="S776" s="171">
        <f t="shared" si="379"/>
        <v>449733.62961537362</v>
      </c>
      <c r="T776" s="171">
        <f t="shared" si="380"/>
        <v>0</v>
      </c>
      <c r="U776" s="171">
        <f t="shared" si="368"/>
        <v>7828933.579432277</v>
      </c>
      <c r="V776" s="171">
        <f t="shared" si="381"/>
        <v>0</v>
      </c>
      <c r="W776" s="171">
        <f>IF(OR(A776&gt;=$C$13,B776="Retired"),IF(V776&gt;0,-V776,U776-'Model Inputs'!$B$18),"")</f>
        <v>6828933.579432277</v>
      </c>
      <c r="X776" s="171">
        <f t="shared" si="369"/>
        <v>3645026.4600134864</v>
      </c>
      <c r="Y776" s="171">
        <f t="shared" si="370"/>
        <v>191709.2209519241</v>
      </c>
      <c r="Z776" s="171">
        <f t="shared" si="371"/>
        <v>3453317.2390615623</v>
      </c>
      <c r="AA776" s="175">
        <f t="shared" si="372"/>
        <v>11282250.818493839</v>
      </c>
      <c r="AB776" s="5"/>
      <c r="AC776" s="5"/>
      <c r="AD776" s="5"/>
      <c r="AE776" s="5"/>
      <c r="AF776" s="5"/>
      <c r="AG776" s="5"/>
    </row>
    <row r="777" spans="1:33" x14ac:dyDescent="0.2">
      <c r="A777" s="169">
        <v>37</v>
      </c>
      <c r="B777" s="100" t="str">
        <f t="shared" si="358"/>
        <v>Retired</v>
      </c>
      <c r="C777" s="170">
        <f t="shared" si="359"/>
        <v>0</v>
      </c>
      <c r="D777" s="170">
        <f t="shared" si="360"/>
        <v>0</v>
      </c>
      <c r="E777" s="170">
        <f t="shared" si="361"/>
        <v>0</v>
      </c>
      <c r="F777" s="170">
        <f t="shared" si="362"/>
        <v>0</v>
      </c>
      <c r="G777" s="171">
        <f t="shared" si="363"/>
        <v>0</v>
      </c>
      <c r="H777" s="171">
        <f t="shared" si="364"/>
        <v>153104.65715680731</v>
      </c>
      <c r="I777" s="171">
        <f>IF(B777="Working",MIN(MAX(D777-E777-F777-G777-H777,0),'Tax Assumptions'!$B$20),0)</f>
        <v>0</v>
      </c>
      <c r="J777" s="171">
        <f t="shared" si="365"/>
        <v>-323104.65715680731</v>
      </c>
      <c r="K777" s="170">
        <f t="shared" si="366"/>
        <v>323104.65715680731</v>
      </c>
      <c r="L777" s="170">
        <f t="shared" si="367"/>
        <v>323104.65715680731</v>
      </c>
      <c r="M777" s="170">
        <f t="shared" si="373"/>
        <v>323104.65715680731</v>
      </c>
      <c r="N777" s="170">
        <f t="shared" si="374"/>
        <v>0</v>
      </c>
      <c r="O777" s="170">
        <f t="shared" si="375"/>
        <v>0</v>
      </c>
      <c r="P777" s="170">
        <f t="shared" si="376"/>
        <v>0</v>
      </c>
      <c r="Q777" s="171">
        <f t="shared" si="377"/>
        <v>5941569.6415009433</v>
      </c>
      <c r="R777" s="171">
        <f t="shared" si="378"/>
        <v>1557277.6481481672</v>
      </c>
      <c r="S777" s="171">
        <f t="shared" si="379"/>
        <v>476717.64739229606</v>
      </c>
      <c r="T777" s="171">
        <f t="shared" si="380"/>
        <v>0</v>
      </c>
      <c r="U777" s="171">
        <f t="shared" si="368"/>
        <v>7975564.9370414065</v>
      </c>
      <c r="V777" s="171">
        <f t="shared" si="381"/>
        <v>0</v>
      </c>
      <c r="W777" s="171">
        <f>IF(OR(A777&gt;=$C$13,B777="Retired"),IF(V777&gt;0,-V777,U777-'Model Inputs'!$B$18),"")</f>
        <v>6975564.9370414065</v>
      </c>
      <c r="X777" s="171">
        <f t="shared" si="369"/>
        <v>3754377.2538138907</v>
      </c>
      <c r="Y777" s="171">
        <f t="shared" si="370"/>
        <v>131901.03039712086</v>
      </c>
      <c r="Z777" s="171">
        <f t="shared" si="371"/>
        <v>3622476.2234167699</v>
      </c>
      <c r="AA777" s="172">
        <f t="shared" si="372"/>
        <v>11598041.160458177</v>
      </c>
      <c r="AB777" s="5"/>
      <c r="AC777" s="5"/>
      <c r="AD777" s="5"/>
      <c r="AE777" s="5"/>
      <c r="AF777" s="5"/>
      <c r="AG777" s="5"/>
    </row>
    <row r="778" spans="1:33" x14ac:dyDescent="0.2">
      <c r="A778" s="173">
        <v>38</v>
      </c>
      <c r="B778" s="65" t="str">
        <f t="shared" si="358"/>
        <v>Retired</v>
      </c>
      <c r="C778" s="174">
        <f t="shared" si="359"/>
        <v>0</v>
      </c>
      <c r="D778" s="174">
        <f t="shared" si="360"/>
        <v>0</v>
      </c>
      <c r="E778" s="174">
        <f t="shared" si="361"/>
        <v>0</v>
      </c>
      <c r="F778" s="174">
        <f t="shared" si="362"/>
        <v>0</v>
      </c>
      <c r="G778" s="171">
        <f t="shared" si="363"/>
        <v>0</v>
      </c>
      <c r="H778" s="171">
        <f t="shared" si="364"/>
        <v>155582.54614432447</v>
      </c>
      <c r="I778" s="171">
        <f>IF(B778="Working",MIN(MAX(D778-E778-F778-G778-H778,0),'Tax Assumptions'!$B$20),0)</f>
        <v>0</v>
      </c>
      <c r="J778" s="171">
        <f t="shared" si="365"/>
        <v>-325582.54614432447</v>
      </c>
      <c r="K778" s="174">
        <f t="shared" si="366"/>
        <v>325582.54614432447</v>
      </c>
      <c r="L778" s="174">
        <f t="shared" si="367"/>
        <v>325582.54614432447</v>
      </c>
      <c r="M778" s="174">
        <f t="shared" si="373"/>
        <v>325582.54614432447</v>
      </c>
      <c r="N778" s="174">
        <f t="shared" si="374"/>
        <v>0</v>
      </c>
      <c r="O778" s="174">
        <f t="shared" si="375"/>
        <v>0</v>
      </c>
      <c r="P778" s="174">
        <f t="shared" si="376"/>
        <v>0</v>
      </c>
      <c r="Q778" s="171">
        <f t="shared" si="377"/>
        <v>5972481.2738466756</v>
      </c>
      <c r="R778" s="171">
        <f t="shared" si="378"/>
        <v>1650714.3070370574</v>
      </c>
      <c r="S778" s="171">
        <f t="shared" si="379"/>
        <v>505320.70623583387</v>
      </c>
      <c r="T778" s="171">
        <f t="shared" si="380"/>
        <v>0</v>
      </c>
      <c r="U778" s="171">
        <f t="shared" si="368"/>
        <v>8128516.2871195665</v>
      </c>
      <c r="V778" s="171">
        <f t="shared" si="381"/>
        <v>0</v>
      </c>
      <c r="W778" s="171">
        <f>IF(OR(A778&gt;=$C$13,B778="Retired"),IF(V778&gt;0,-V778,U778-'Model Inputs'!$B$18),"")</f>
        <v>7128516.2871195665</v>
      </c>
      <c r="X778" s="171">
        <f t="shared" si="369"/>
        <v>3867008.5714283073</v>
      </c>
      <c r="Y778" s="171">
        <f t="shared" si="370"/>
        <v>68087.374555938877</v>
      </c>
      <c r="Z778" s="171">
        <f t="shared" si="371"/>
        <v>3798921.1968723685</v>
      </c>
      <c r="AA778" s="175">
        <f t="shared" si="372"/>
        <v>11927437.483991936</v>
      </c>
      <c r="AB778" s="5"/>
      <c r="AC778" s="5"/>
      <c r="AD778" s="5"/>
      <c r="AE778" s="5"/>
      <c r="AF778" s="5"/>
      <c r="AG778" s="5"/>
    </row>
    <row r="779" spans="1:33" x14ac:dyDescent="0.2">
      <c r="A779" s="169">
        <v>39</v>
      </c>
      <c r="B779" s="100" t="str">
        <f t="shared" si="358"/>
        <v>Retired</v>
      </c>
      <c r="C779" s="170">
        <f t="shared" si="359"/>
        <v>0</v>
      </c>
      <c r="D779" s="170">
        <f t="shared" si="360"/>
        <v>0</v>
      </c>
      <c r="E779" s="170">
        <f t="shared" si="361"/>
        <v>0</v>
      </c>
      <c r="F779" s="170">
        <f t="shared" si="362"/>
        <v>0</v>
      </c>
      <c r="G779" s="171">
        <f t="shared" si="363"/>
        <v>0</v>
      </c>
      <c r="H779" s="171">
        <f t="shared" si="364"/>
        <v>158134.77180146711</v>
      </c>
      <c r="I779" s="171">
        <f>IF(B779="Working",MIN(MAX(D779-E779-F779-G779-H779,0),'Tax Assumptions'!$B$20),0)</f>
        <v>0</v>
      </c>
      <c r="J779" s="171">
        <f t="shared" si="365"/>
        <v>-328134.77180146711</v>
      </c>
      <c r="K779" s="170">
        <f t="shared" si="366"/>
        <v>328134.77180146711</v>
      </c>
      <c r="L779" s="170">
        <f t="shared" si="367"/>
        <v>328134.77180146711</v>
      </c>
      <c r="M779" s="170">
        <f t="shared" si="373"/>
        <v>328134.77180146711</v>
      </c>
      <c r="N779" s="170">
        <f t="shared" si="374"/>
        <v>0</v>
      </c>
      <c r="O779" s="170">
        <f t="shared" si="375"/>
        <v>0</v>
      </c>
      <c r="P779" s="170">
        <f t="shared" si="376"/>
        <v>0</v>
      </c>
      <c r="Q779" s="171">
        <f t="shared" si="377"/>
        <v>6002695.3784760097</v>
      </c>
      <c r="R779" s="171">
        <f t="shared" si="378"/>
        <v>1749757.1654592808</v>
      </c>
      <c r="S779" s="171">
        <f t="shared" si="379"/>
        <v>535639.9486099839</v>
      </c>
      <c r="T779" s="171">
        <f t="shared" si="380"/>
        <v>0</v>
      </c>
      <c r="U779" s="171">
        <f t="shared" si="368"/>
        <v>8288092.4925452741</v>
      </c>
      <c r="V779" s="171">
        <f t="shared" si="381"/>
        <v>0</v>
      </c>
      <c r="W779" s="171">
        <f>IF(OR(A779&gt;=$C$13,B779="Retired"),IF(V779&gt;0,-V779,U779-'Model Inputs'!$B$18),"")</f>
        <v>7288092.4925452741</v>
      </c>
      <c r="X779" s="171">
        <f t="shared" si="369"/>
        <v>3983018.8285711561</v>
      </c>
      <c r="Y779" s="171">
        <f t="shared" si="370"/>
        <v>0</v>
      </c>
      <c r="Z779" s="171">
        <f t="shared" si="371"/>
        <v>3983018.8285711561</v>
      </c>
      <c r="AA779" s="172">
        <f t="shared" si="372"/>
        <v>12271111.321116431</v>
      </c>
      <c r="AB779" s="5"/>
      <c r="AC779" s="5"/>
      <c r="AD779" s="5"/>
      <c r="AE779" s="5"/>
      <c r="AF779" s="5"/>
      <c r="AG779" s="5"/>
    </row>
    <row r="780" spans="1:33" x14ac:dyDescent="0.2">
      <c r="A780" s="173">
        <v>40</v>
      </c>
      <c r="B780" s="65" t="str">
        <f t="shared" si="358"/>
        <v>Retired</v>
      </c>
      <c r="C780" s="174">
        <f t="shared" si="359"/>
        <v>0</v>
      </c>
      <c r="D780" s="174">
        <f t="shared" si="360"/>
        <v>0</v>
      </c>
      <c r="E780" s="174">
        <f t="shared" si="361"/>
        <v>0</v>
      </c>
      <c r="F780" s="174">
        <f t="shared" si="362"/>
        <v>0</v>
      </c>
      <c r="G780" s="171">
        <f t="shared" si="363"/>
        <v>0</v>
      </c>
      <c r="H780" s="171">
        <f t="shared" si="364"/>
        <v>90255.206655422386</v>
      </c>
      <c r="I780" s="171">
        <f>IF(B780="Working",MIN(MAX(D780-E780-F780-G780-H780,0),'Tax Assumptions'!$B$20),0)</f>
        <v>0</v>
      </c>
      <c r="J780" s="171">
        <f t="shared" si="365"/>
        <v>-260255.2066554224</v>
      </c>
      <c r="K780" s="174">
        <f t="shared" si="366"/>
        <v>260255.2066554224</v>
      </c>
      <c r="L780" s="174">
        <f t="shared" si="367"/>
        <v>260255.2066554224</v>
      </c>
      <c r="M780" s="174">
        <f t="shared" si="373"/>
        <v>260255.2066554224</v>
      </c>
      <c r="N780" s="174">
        <f t="shared" si="374"/>
        <v>0</v>
      </c>
      <c r="O780" s="174">
        <f t="shared" si="375"/>
        <v>0</v>
      </c>
      <c r="P780" s="174">
        <f t="shared" si="376"/>
        <v>0</v>
      </c>
      <c r="Q780" s="171">
        <f t="shared" si="377"/>
        <v>6102601.894529148</v>
      </c>
      <c r="R780" s="171">
        <f t="shared" si="378"/>
        <v>1854742.5953868378</v>
      </c>
      <c r="S780" s="171">
        <f t="shared" si="379"/>
        <v>567778.34552658291</v>
      </c>
      <c r="T780" s="171">
        <f t="shared" si="380"/>
        <v>0</v>
      </c>
      <c r="U780" s="171">
        <f t="shared" si="368"/>
        <v>8525122.8354425691</v>
      </c>
      <c r="V780" s="171">
        <f t="shared" si="381"/>
        <v>0</v>
      </c>
      <c r="W780" s="171">
        <f>IF(OR(A780&gt;=$C$13,B780="Retired"),IF(V780&gt;0,-V780,U780-'Model Inputs'!$B$18),"")</f>
        <v>7525122.8354425691</v>
      </c>
      <c r="X780" s="171">
        <f t="shared" si="369"/>
        <v>4102509.3934282907</v>
      </c>
      <c r="Y780" s="171">
        <f t="shared" si="370"/>
        <v>0</v>
      </c>
      <c r="Z780" s="171">
        <f t="shared" si="371"/>
        <v>4102509.3934282907</v>
      </c>
      <c r="AA780" s="175">
        <f t="shared" si="372"/>
        <v>12627632.228870859</v>
      </c>
      <c r="AB780" s="5"/>
      <c r="AC780" s="5"/>
      <c r="AD780" s="5"/>
      <c r="AE780" s="5"/>
      <c r="AF780" s="5"/>
      <c r="AG780" s="5"/>
    </row>
    <row r="781" spans="1:33" x14ac:dyDescent="0.2">
      <c r="A781" s="176" t="s">
        <v>369</v>
      </c>
      <c r="B781" s="177"/>
      <c r="C781" s="177"/>
      <c r="D781" s="177"/>
      <c r="E781" s="177"/>
      <c r="F781" s="177"/>
      <c r="G781" s="178">
        <f t="shared" ref="G781:P781" si="382">SUM(G741:G780)</f>
        <v>802835.28666899295</v>
      </c>
      <c r="H781" s="178">
        <f t="shared" si="382"/>
        <v>3974547.8183763544</v>
      </c>
      <c r="I781" s="178">
        <f t="shared" si="382"/>
        <v>75000</v>
      </c>
      <c r="J781" s="178">
        <f t="shared" si="382"/>
        <v>-5029790.8650048235</v>
      </c>
      <c r="K781" s="178">
        <f t="shared" si="382"/>
        <v>8966855.5106840469</v>
      </c>
      <c r="L781" s="178">
        <f t="shared" si="382"/>
        <v>8966855.5106840469</v>
      </c>
      <c r="M781" s="178">
        <f t="shared" si="382"/>
        <v>8966855.5106840469</v>
      </c>
      <c r="N781" s="178">
        <f t="shared" si="382"/>
        <v>0</v>
      </c>
      <c r="O781" s="178">
        <f t="shared" si="382"/>
        <v>0</v>
      </c>
      <c r="P781" s="178">
        <f t="shared" si="382"/>
        <v>0</v>
      </c>
      <c r="Q781" s="178">
        <f>Q780</f>
        <v>6102601.894529148</v>
      </c>
      <c r="R781" s="178">
        <f>R780</f>
        <v>1854742.5953868378</v>
      </c>
      <c r="S781" s="178">
        <f>S780</f>
        <v>567778.34552658291</v>
      </c>
      <c r="T781" s="178">
        <f>T780</f>
        <v>0</v>
      </c>
      <c r="U781" s="178">
        <f>U780</f>
        <v>8525122.8354425691</v>
      </c>
      <c r="V781" s="178">
        <f>SUM(V741:V780)</f>
        <v>0</v>
      </c>
      <c r="W781" s="178">
        <f>MIN(W741:W780)</f>
        <v>4519714.0461025937</v>
      </c>
      <c r="X781" s="178">
        <f>X780</f>
        <v>4102509.3934282907</v>
      </c>
      <c r="Y781" s="178">
        <f>Y780</f>
        <v>0</v>
      </c>
      <c r="Z781" s="178">
        <f>Z780</f>
        <v>4102509.3934282907</v>
      </c>
      <c r="AA781" s="179">
        <f>AA780</f>
        <v>12627632.228870859</v>
      </c>
      <c r="AB781" s="5"/>
      <c r="AC781" s="5"/>
      <c r="AD781" s="5"/>
      <c r="AE781" s="5"/>
      <c r="AF781" s="5"/>
      <c r="AG781" s="5"/>
    </row>
    <row r="782" spans="1:33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x14ac:dyDescent="0.2">
      <c r="A783" s="319" t="str">
        <f>J239&amp;" | House "&amp;TEXT($L$239,"$#,##0")&amp;" | Spend "&amp;TEXT($N$239,"$#,##0")</f>
        <v>Case 13 | House $1,690,180 | Spend $200,000</v>
      </c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8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9"/>
      <c r="AB783" s="5"/>
      <c r="AC783" s="5"/>
      <c r="AD783" s="5"/>
      <c r="AE783" s="5"/>
      <c r="AF783" s="5"/>
      <c r="AG783" s="5"/>
    </row>
    <row r="784" spans="1:33" ht="34" customHeight="1" x14ac:dyDescent="0.2">
      <c r="A784" s="167" t="s">
        <v>224</v>
      </c>
      <c r="B784" s="112" t="s">
        <v>106</v>
      </c>
      <c r="C784" s="112" t="s">
        <v>357</v>
      </c>
      <c r="D784" s="112" t="s">
        <v>66</v>
      </c>
      <c r="E784" s="112" t="s">
        <v>300</v>
      </c>
      <c r="F784" s="112" t="s">
        <v>301</v>
      </c>
      <c r="G784" s="112" t="s">
        <v>358</v>
      </c>
      <c r="H784" s="112" t="s">
        <v>359</v>
      </c>
      <c r="I784" s="112" t="s">
        <v>69</v>
      </c>
      <c r="J784" s="112" t="s">
        <v>360</v>
      </c>
      <c r="K784" s="112" t="s">
        <v>361</v>
      </c>
      <c r="L784" s="112" t="s">
        <v>362</v>
      </c>
      <c r="M784" s="112" t="s">
        <v>304</v>
      </c>
      <c r="N784" s="112" t="s">
        <v>305</v>
      </c>
      <c r="O784" s="112" t="s">
        <v>306</v>
      </c>
      <c r="P784" s="112" t="s">
        <v>307</v>
      </c>
      <c r="Q784" s="112" t="s">
        <v>363</v>
      </c>
      <c r="R784" s="112" t="s">
        <v>364</v>
      </c>
      <c r="S784" s="112" t="s">
        <v>365</v>
      </c>
      <c r="T784" s="112" t="s">
        <v>366</v>
      </c>
      <c r="U784" s="112" t="s">
        <v>308</v>
      </c>
      <c r="V784" s="112" t="s">
        <v>309</v>
      </c>
      <c r="W784" s="112" t="s">
        <v>367</v>
      </c>
      <c r="X784" s="112" t="s">
        <v>311</v>
      </c>
      <c r="Y784" s="112" t="s">
        <v>312</v>
      </c>
      <c r="Z784" s="112" t="s">
        <v>313</v>
      </c>
      <c r="AA784" s="168" t="s">
        <v>368</v>
      </c>
      <c r="AB784" s="5"/>
      <c r="AC784" s="5"/>
      <c r="AD784" s="5"/>
      <c r="AE784" s="5"/>
      <c r="AF784" s="5"/>
      <c r="AG784" s="5"/>
    </row>
    <row r="785" spans="1:33" x14ac:dyDescent="0.2">
      <c r="A785" s="169">
        <v>1</v>
      </c>
      <c r="B785" s="100" t="str">
        <f t="shared" ref="B785:B824" si="383">B80</f>
        <v>Working</v>
      </c>
      <c r="C785" s="170">
        <f t="shared" ref="C785:C824" si="384">D80</f>
        <v>550000</v>
      </c>
      <c r="D785" s="170">
        <f t="shared" ref="D785:D824" si="385">I80</f>
        <v>302665.46999999997</v>
      </c>
      <c r="E785" s="170">
        <f t="shared" ref="E785:E824" si="386">J80</f>
        <v>78000</v>
      </c>
      <c r="F785" s="170">
        <f t="shared" ref="F785:F824" si="387">K80</f>
        <v>40000</v>
      </c>
      <c r="G785" s="171">
        <f t="shared" ref="G785:G824" si="388">IF(AND($L$239&gt;0,A785=$C$13),$L$239*($C$15+$C$18),0)+IF(AND($L$239&gt;0,A785=$C$13),$C$24,0)</f>
        <v>0</v>
      </c>
      <c r="H785" s="171">
        <f t="shared" ref="H785:H824" si="389">IF(OR($L$239&lt;=0,A785&lt;$C$13),0,IF(AND($L$239&gt;0,$C$17&gt;0,A785&gt;=$C$13,A785&lt;($C$13+$C$17)),IF($C$17&lt;=0,0,IF($C$16=0,MAX($L$239*(1-$C$15),0)/$C$17,-PMT($C$16/12,$C$17*12,MAX($L$239*(1-$C$15),0))*12)),0)+X785*($C$19+$C$20+$C$21)+$C$22+$C$23)</f>
        <v>0</v>
      </c>
      <c r="I785" s="171">
        <f>IF(B785="Working",MIN(MAX(D785-E785-F785-G785-H785,0),'Tax Assumptions'!$B$20),0)</f>
        <v>7500</v>
      </c>
      <c r="J785" s="171">
        <f t="shared" ref="J785:J824" si="390">IF(B785="Working",D785-E785-F785-I785-G785-H785,-L785)</f>
        <v>177165.46999999997</v>
      </c>
      <c r="K785" s="170">
        <f t="shared" ref="K785:K824" si="391">IF(B785="Retired",$N$239+G785+H785,0)</f>
        <v>0</v>
      </c>
      <c r="L785" s="170">
        <f t="shared" ref="L785:L824" si="392">M785+N785+O785+P785</f>
        <v>0</v>
      </c>
      <c r="M785" s="170">
        <f>IF(B785="Retired",MIN((('Savings Projection'!$B$7)*(1+$C$10)+IF(B785="Working",J785,0)),K785),0)</f>
        <v>0</v>
      </c>
      <c r="N785" s="170">
        <f>IF(B785="Retired",MIN(MAX(K785-M785,0),(('Savings Projection'!$B$8)*(1+$C$10)+IF(B785="Working",E80,0))),0)</f>
        <v>0</v>
      </c>
      <c r="O785" s="170">
        <f>IF(B785="Retired",MIN(MAX(K785-M785-N785,0),(('Savings Projection'!$B$9)*(1+$C$10)+IF(B785="Working",I785,0))),0)</f>
        <v>0</v>
      </c>
      <c r="P785" s="170">
        <f>IF(B785="Retired",MIN(MAX(K785-M785-N785-O785,0),(('Savings Projection'!$B$10)*(1+$C$10)+IF(B785="Working",F80,0))),0)</f>
        <v>0</v>
      </c>
      <c r="Q785" s="171">
        <f>MAX((('Savings Projection'!$B$7)*(1+$C$10)+IF(B785="Working",J785,0))-M785,0)</f>
        <v>336165.47</v>
      </c>
      <c r="R785" s="171">
        <f>MAX((('Savings Projection'!$B$8)*(1+$C$10)+IF(B785="Working",E80,0))-N785,0)</f>
        <v>24500</v>
      </c>
      <c r="S785" s="171">
        <f>MAX((('Savings Projection'!$B$9)*(1+$C$10)+IF(B785="Working",I785,0))-O785,0)</f>
        <v>7500</v>
      </c>
      <c r="T785" s="171">
        <f>MAX((('Savings Projection'!$B$10)*(1+$C$10)+IF(B785="Working",F80,0))-P785,0)</f>
        <v>0</v>
      </c>
      <c r="U785" s="171">
        <f t="shared" ref="U785:U824" si="393">Q785+R785+S785+T785</f>
        <v>368165.47</v>
      </c>
      <c r="V785" s="171">
        <f>IF(B785="Working",MAX(-((('Savings Projection'!$B$7)*(1+$C$10)+IF(B785="Working",J785,0))),0),MAX(K785-L785,0))</f>
        <v>0</v>
      </c>
      <c r="W785" s="171" t="str">
        <f>IF(OR(A785&gt;=$C$13,B785="Retired"),IF(V785&gt;0,-V785,U785-'Model Inputs'!$B$18),"")</f>
        <v/>
      </c>
      <c r="X785" s="171">
        <f t="shared" ref="X785:X824" si="394">IF(AND($L$239&gt;0,A785&gt;=$C$13),$L$239*(1+$C$25)^(A785-$C$13),0)</f>
        <v>0</v>
      </c>
      <c r="Y785" s="171">
        <f t="shared" ref="Y785:Y824" si="395">IF(OR($L$239&lt;=0,$C$17&lt;=0,A785&lt;$C$13,MIN(MAX((A785-$C$13+1)*12,0),$C$17*12)&gt;=$C$17*12),0,IF($C$16=0,MAX(MAX($L$239*(1-$C$15),0)-(IF($C$17&lt;=0,0,IF($C$16=0,MAX($L$239*(1-$C$15),0)/$C$17,-PMT($C$16/12,$C$17*12,MAX($L$239*(1-$C$15),0))*12))/12)*MIN(MAX((A785-$C$13+1)*12,0),$C$17*12),0),MAX(MAX($L$239*(1-$C$15),0)*(1+$C$16/12)^MIN(MAX((A785-$C$13+1)*12,0),$C$17*12)-(IF($C$17&lt;=0,0,IF($C$16=0,MAX($L$239*(1-$C$15),0)/$C$17,-PMT($C$16/12,$C$17*12,MAX($L$239*(1-$C$15),0))*12))/12)*(((1+$C$16/12)^MIN(MAX((A785-$C$13+1)*12,0),$C$17*12)-1)/($C$16/12)),0)))</f>
        <v>0</v>
      </c>
      <c r="Z785" s="171">
        <f t="shared" ref="Z785:Z824" si="396">MAX(X785-Y785,0)</f>
        <v>0</v>
      </c>
      <c r="AA785" s="172">
        <f t="shared" ref="AA785:AA824" si="397">U785+Z785</f>
        <v>368165.47</v>
      </c>
      <c r="AB785" s="5"/>
      <c r="AC785" s="5"/>
      <c r="AD785" s="5"/>
      <c r="AE785" s="5"/>
      <c r="AF785" s="5"/>
      <c r="AG785" s="5"/>
    </row>
    <row r="786" spans="1:33" x14ac:dyDescent="0.2">
      <c r="A786" s="173">
        <v>2</v>
      </c>
      <c r="B786" s="65" t="str">
        <f t="shared" si="383"/>
        <v>Working</v>
      </c>
      <c r="C786" s="174">
        <f t="shared" si="384"/>
        <v>412500</v>
      </c>
      <c r="D786" s="174">
        <f t="shared" si="385"/>
        <v>231269.97</v>
      </c>
      <c r="E786" s="174">
        <f t="shared" si="386"/>
        <v>80340</v>
      </c>
      <c r="F786" s="174">
        <f t="shared" si="387"/>
        <v>41200</v>
      </c>
      <c r="G786" s="171">
        <f t="shared" si="388"/>
        <v>0</v>
      </c>
      <c r="H786" s="171">
        <f t="shared" si="389"/>
        <v>0</v>
      </c>
      <c r="I786" s="171">
        <f>IF(B786="Working",MIN(MAX(D786-E786-F786-G786-H786,0),'Tax Assumptions'!$B$20),0)</f>
        <v>7500</v>
      </c>
      <c r="J786" s="171">
        <f t="shared" si="390"/>
        <v>102229.97</v>
      </c>
      <c r="K786" s="174">
        <f t="shared" si="391"/>
        <v>0</v>
      </c>
      <c r="L786" s="174">
        <f t="shared" si="392"/>
        <v>0</v>
      </c>
      <c r="M786" s="174">
        <f t="shared" ref="M786:M824" si="398">IF(B786="Retired",MIN(((Q785)*(1+$C$10)+IF(B786="Working",J786,0)),K786),0)</f>
        <v>0</v>
      </c>
      <c r="N786" s="174">
        <f t="shared" ref="N786:N824" si="399">IF(B786="Retired",MIN(MAX(K786-M786,0),((R785)*(1+$C$10)+IF(B786="Working",E81,0))),0)</f>
        <v>0</v>
      </c>
      <c r="O786" s="174">
        <f t="shared" ref="O786:O824" si="400">IF(B786="Retired",MIN(MAX(K786-M786-N786,0),((S785)*(1+$C$10)+IF(B786="Working",I786,0))),0)</f>
        <v>0</v>
      </c>
      <c r="P786" s="174">
        <f t="shared" ref="P786:P824" si="401">IF(B786="Retired",MIN(MAX(K786-M786-N786-O786,0),((T785)*(1+$C$10)+IF(B786="Working",F81,0))),0)</f>
        <v>0</v>
      </c>
      <c r="Q786" s="171">
        <f t="shared" ref="Q786:Q824" si="402">MAX(((Q785)*(1+$C$10)+IF(B786="Working",J786,0))-M786,0)</f>
        <v>458565.36820000003</v>
      </c>
      <c r="R786" s="171">
        <f t="shared" ref="R786:R824" si="403">MAX(((R785)*(1+$C$10)+IF(B786="Working",E81,0))-N786,0)</f>
        <v>50470</v>
      </c>
      <c r="S786" s="171">
        <f t="shared" ref="S786:S824" si="404">MAX(((S785)*(1+$C$10)+IF(B786="Working",I786,0))-O786,0)</f>
        <v>15450</v>
      </c>
      <c r="T786" s="171">
        <f t="shared" ref="T786:T824" si="405">MAX(((T785)*(1+$C$10)+IF(B786="Working",F81,0))-P786,0)</f>
        <v>0</v>
      </c>
      <c r="U786" s="171">
        <f t="shared" si="393"/>
        <v>524485.36820000003</v>
      </c>
      <c r="V786" s="171">
        <f t="shared" ref="V786:V824" si="406">IF(B786="Working",MAX(-(((Q785)*(1+$C$10)+IF(B786="Working",J786,0))),0),MAX(K786-L786,0))</f>
        <v>0</v>
      </c>
      <c r="W786" s="171" t="str">
        <f>IF(OR(A786&gt;=$C$13,B786="Retired"),IF(V786&gt;0,-V786,U786-'Model Inputs'!$B$18),"")</f>
        <v/>
      </c>
      <c r="X786" s="171">
        <f t="shared" si="394"/>
        <v>0</v>
      </c>
      <c r="Y786" s="171">
        <f t="shared" si="395"/>
        <v>0</v>
      </c>
      <c r="Z786" s="171">
        <f t="shared" si="396"/>
        <v>0</v>
      </c>
      <c r="AA786" s="175">
        <f t="shared" si="397"/>
        <v>524485.36820000003</v>
      </c>
      <c r="AB786" s="5"/>
      <c r="AC786" s="5"/>
      <c r="AD786" s="5"/>
      <c r="AE786" s="5"/>
      <c r="AF786" s="5"/>
      <c r="AG786" s="5"/>
    </row>
    <row r="787" spans="1:33" x14ac:dyDescent="0.2">
      <c r="A787" s="169">
        <v>3</v>
      </c>
      <c r="B787" s="100" t="str">
        <f t="shared" si="383"/>
        <v>Working</v>
      </c>
      <c r="C787" s="170">
        <f t="shared" si="384"/>
        <v>675000</v>
      </c>
      <c r="D787" s="170">
        <f t="shared" si="385"/>
        <v>367570.47</v>
      </c>
      <c r="E787" s="170">
        <f t="shared" si="386"/>
        <v>82750.2</v>
      </c>
      <c r="F787" s="170">
        <f t="shared" si="387"/>
        <v>53045</v>
      </c>
      <c r="G787" s="171">
        <f t="shared" si="388"/>
        <v>0</v>
      </c>
      <c r="H787" s="171">
        <f t="shared" si="389"/>
        <v>0</v>
      </c>
      <c r="I787" s="171">
        <f>IF(B787="Working",MIN(MAX(D787-E787-F787-G787-H787,0),'Tax Assumptions'!$B$20),0)</f>
        <v>7500</v>
      </c>
      <c r="J787" s="171">
        <f t="shared" si="390"/>
        <v>224275.26999999996</v>
      </c>
      <c r="K787" s="170">
        <f t="shared" si="391"/>
        <v>0</v>
      </c>
      <c r="L787" s="170">
        <f t="shared" si="392"/>
        <v>0</v>
      </c>
      <c r="M787" s="170">
        <f t="shared" si="398"/>
        <v>0</v>
      </c>
      <c r="N787" s="170">
        <f t="shared" si="399"/>
        <v>0</v>
      </c>
      <c r="O787" s="170">
        <f t="shared" si="400"/>
        <v>0</v>
      </c>
      <c r="P787" s="170">
        <f t="shared" si="401"/>
        <v>0</v>
      </c>
      <c r="Q787" s="171">
        <f t="shared" si="402"/>
        <v>710354.56029199995</v>
      </c>
      <c r="R787" s="171">
        <f t="shared" si="403"/>
        <v>77998.200000000012</v>
      </c>
      <c r="S787" s="171">
        <f t="shared" si="404"/>
        <v>23877</v>
      </c>
      <c r="T787" s="171">
        <f t="shared" si="405"/>
        <v>0</v>
      </c>
      <c r="U787" s="171">
        <f t="shared" si="393"/>
        <v>812229.7602919999</v>
      </c>
      <c r="V787" s="171">
        <f t="shared" si="406"/>
        <v>0</v>
      </c>
      <c r="W787" s="171" t="str">
        <f>IF(OR(A787&gt;=$C$13,B787="Retired"),IF(V787&gt;0,-V787,U787-'Model Inputs'!$B$18),"")</f>
        <v/>
      </c>
      <c r="X787" s="171">
        <f t="shared" si="394"/>
        <v>0</v>
      </c>
      <c r="Y787" s="171">
        <f t="shared" si="395"/>
        <v>0</v>
      </c>
      <c r="Z787" s="171">
        <f t="shared" si="396"/>
        <v>0</v>
      </c>
      <c r="AA787" s="172">
        <f t="shared" si="397"/>
        <v>812229.7602919999</v>
      </c>
      <c r="AB787" s="5"/>
      <c r="AC787" s="5"/>
      <c r="AD787" s="5"/>
      <c r="AE787" s="5"/>
      <c r="AF787" s="5"/>
      <c r="AG787" s="5"/>
    </row>
    <row r="788" spans="1:33" x14ac:dyDescent="0.2">
      <c r="A788" s="173">
        <v>4</v>
      </c>
      <c r="B788" s="65" t="str">
        <f t="shared" si="383"/>
        <v>Working</v>
      </c>
      <c r="C788" s="174">
        <f t="shared" si="384"/>
        <v>750000</v>
      </c>
      <c r="D788" s="174">
        <f t="shared" si="385"/>
        <v>405137.47</v>
      </c>
      <c r="E788" s="174">
        <f t="shared" si="386"/>
        <v>85232.706000000006</v>
      </c>
      <c r="F788" s="174">
        <f t="shared" si="387"/>
        <v>54636.35</v>
      </c>
      <c r="G788" s="171">
        <f t="shared" si="388"/>
        <v>0</v>
      </c>
      <c r="H788" s="171">
        <f t="shared" si="389"/>
        <v>0</v>
      </c>
      <c r="I788" s="171">
        <f>IF(B788="Working",MIN(MAX(D788-E788-F788-G788-H788,0),'Tax Assumptions'!$B$20),0)</f>
        <v>7500</v>
      </c>
      <c r="J788" s="171">
        <f t="shared" si="390"/>
        <v>257768.41399999999</v>
      </c>
      <c r="K788" s="174">
        <f t="shared" si="391"/>
        <v>0</v>
      </c>
      <c r="L788" s="174">
        <f t="shared" si="392"/>
        <v>0</v>
      </c>
      <c r="M788" s="174">
        <f t="shared" si="398"/>
        <v>0</v>
      </c>
      <c r="N788" s="174">
        <f t="shared" si="399"/>
        <v>0</v>
      </c>
      <c r="O788" s="174">
        <f t="shared" si="400"/>
        <v>0</v>
      </c>
      <c r="P788" s="174">
        <f t="shared" si="401"/>
        <v>0</v>
      </c>
      <c r="Q788" s="171">
        <f t="shared" si="402"/>
        <v>1010744.2479095199</v>
      </c>
      <c r="R788" s="171">
        <f t="shared" si="403"/>
        <v>107178.09200000002</v>
      </c>
      <c r="S788" s="171">
        <f t="shared" si="404"/>
        <v>32809.620000000003</v>
      </c>
      <c r="T788" s="171">
        <f t="shared" si="405"/>
        <v>0</v>
      </c>
      <c r="U788" s="171">
        <f t="shared" si="393"/>
        <v>1150731.9599095201</v>
      </c>
      <c r="V788" s="171">
        <f t="shared" si="406"/>
        <v>0</v>
      </c>
      <c r="W788" s="171" t="str">
        <f>IF(OR(A788&gt;=$C$13,B788="Retired"),IF(V788&gt;0,-V788,U788-'Model Inputs'!$B$18),"")</f>
        <v/>
      </c>
      <c r="X788" s="171">
        <f t="shared" si="394"/>
        <v>0</v>
      </c>
      <c r="Y788" s="171">
        <f t="shared" si="395"/>
        <v>0</v>
      </c>
      <c r="Z788" s="171">
        <f t="shared" si="396"/>
        <v>0</v>
      </c>
      <c r="AA788" s="175">
        <f t="shared" si="397"/>
        <v>1150731.9599095201</v>
      </c>
      <c r="AB788" s="5"/>
      <c r="AC788" s="5"/>
      <c r="AD788" s="5"/>
      <c r="AE788" s="5"/>
      <c r="AF788" s="5"/>
      <c r="AG788" s="5"/>
    </row>
    <row r="789" spans="1:33" x14ac:dyDescent="0.2">
      <c r="A789" s="169">
        <v>5</v>
      </c>
      <c r="B789" s="100" t="str">
        <f t="shared" si="383"/>
        <v>Working</v>
      </c>
      <c r="C789" s="170">
        <f t="shared" si="384"/>
        <v>953837.51358640334</v>
      </c>
      <c r="D789" s="170">
        <f t="shared" si="385"/>
        <v>506901.31028287602</v>
      </c>
      <c r="E789" s="170">
        <f t="shared" si="386"/>
        <v>87789.687179999994</v>
      </c>
      <c r="F789" s="170">
        <f t="shared" si="387"/>
        <v>56275.440499999997</v>
      </c>
      <c r="G789" s="171">
        <f t="shared" si="388"/>
        <v>0</v>
      </c>
      <c r="H789" s="171">
        <f t="shared" si="389"/>
        <v>0</v>
      </c>
      <c r="I789" s="171">
        <f>IF(B789="Working",MIN(MAX(D789-E789-F789-G789-H789,0),'Tax Assumptions'!$B$20),0)</f>
        <v>7500</v>
      </c>
      <c r="J789" s="171">
        <f t="shared" si="390"/>
        <v>355336.18260287598</v>
      </c>
      <c r="K789" s="170">
        <f t="shared" si="391"/>
        <v>0</v>
      </c>
      <c r="L789" s="170">
        <f t="shared" si="392"/>
        <v>0</v>
      </c>
      <c r="M789" s="170">
        <f t="shared" si="398"/>
        <v>0</v>
      </c>
      <c r="N789" s="170">
        <f t="shared" si="399"/>
        <v>0</v>
      </c>
      <c r="O789" s="170">
        <f t="shared" si="400"/>
        <v>0</v>
      </c>
      <c r="P789" s="170">
        <f t="shared" si="401"/>
        <v>0</v>
      </c>
      <c r="Q789" s="171">
        <f t="shared" si="402"/>
        <v>1426725.0853869673</v>
      </c>
      <c r="R789" s="171">
        <f t="shared" si="403"/>
        <v>138108.77752000003</v>
      </c>
      <c r="S789" s="171">
        <f t="shared" si="404"/>
        <v>42278.197200000002</v>
      </c>
      <c r="T789" s="171">
        <f t="shared" si="405"/>
        <v>0</v>
      </c>
      <c r="U789" s="171">
        <f t="shared" si="393"/>
        <v>1607112.0601069673</v>
      </c>
      <c r="V789" s="171">
        <f t="shared" si="406"/>
        <v>0</v>
      </c>
      <c r="W789" s="171" t="str">
        <f>IF(OR(A789&gt;=$C$13,B789="Retired"),IF(V789&gt;0,-V789,U789-'Model Inputs'!$B$18),"")</f>
        <v/>
      </c>
      <c r="X789" s="171">
        <f t="shared" si="394"/>
        <v>0</v>
      </c>
      <c r="Y789" s="171">
        <f t="shared" si="395"/>
        <v>0</v>
      </c>
      <c r="Z789" s="171">
        <f t="shared" si="396"/>
        <v>0</v>
      </c>
      <c r="AA789" s="172">
        <f t="shared" si="397"/>
        <v>1607112.0601069673</v>
      </c>
      <c r="AB789" s="5"/>
      <c r="AC789" s="5"/>
      <c r="AD789" s="5"/>
      <c r="AE789" s="5"/>
      <c r="AF789" s="5"/>
      <c r="AG789" s="5"/>
    </row>
    <row r="790" spans="1:33" x14ac:dyDescent="0.2">
      <c r="A790" s="173">
        <v>6</v>
      </c>
      <c r="B790" s="65" t="str">
        <f t="shared" si="383"/>
        <v>Working</v>
      </c>
      <c r="C790" s="174">
        <f t="shared" si="384"/>
        <v>1118900.665838565</v>
      </c>
      <c r="D790" s="174">
        <f t="shared" si="385"/>
        <v>589060.11476976541</v>
      </c>
      <c r="E790" s="174">
        <f t="shared" si="386"/>
        <v>92741.925943999988</v>
      </c>
      <c r="F790" s="174">
        <f t="shared" si="387"/>
        <v>57963.703714999989</v>
      </c>
      <c r="G790" s="171">
        <f t="shared" si="388"/>
        <v>0</v>
      </c>
      <c r="H790" s="171">
        <f t="shared" si="389"/>
        <v>0</v>
      </c>
      <c r="I790" s="171">
        <f>IF(B790="Working",MIN(MAX(D790-E790-F790-G790-H790,0),'Tax Assumptions'!$B$20),0)</f>
        <v>7500</v>
      </c>
      <c r="J790" s="171">
        <f t="shared" si="390"/>
        <v>430854.48511076538</v>
      </c>
      <c r="K790" s="174">
        <f t="shared" si="391"/>
        <v>0</v>
      </c>
      <c r="L790" s="174">
        <f t="shared" si="392"/>
        <v>0</v>
      </c>
      <c r="M790" s="174">
        <f t="shared" si="398"/>
        <v>0</v>
      </c>
      <c r="N790" s="174">
        <f t="shared" si="399"/>
        <v>0</v>
      </c>
      <c r="O790" s="174">
        <f t="shared" si="400"/>
        <v>0</v>
      </c>
      <c r="P790" s="174">
        <f t="shared" si="401"/>
        <v>0</v>
      </c>
      <c r="Q790" s="171">
        <f t="shared" si="402"/>
        <v>1943183.0756209507</v>
      </c>
      <c r="R790" s="171">
        <f t="shared" si="403"/>
        <v>170895.30417120006</v>
      </c>
      <c r="S790" s="171">
        <f t="shared" si="404"/>
        <v>52314.889032000006</v>
      </c>
      <c r="T790" s="171">
        <f t="shared" si="405"/>
        <v>0</v>
      </c>
      <c r="U790" s="171">
        <f t="shared" si="393"/>
        <v>2166393.2688241508</v>
      </c>
      <c r="V790" s="171">
        <f t="shared" si="406"/>
        <v>0</v>
      </c>
      <c r="W790" s="171" t="str">
        <f>IF(OR(A790&gt;=$C$13,B790="Retired"),IF(V790&gt;0,-V790,U790-'Model Inputs'!$B$18),"")</f>
        <v/>
      </c>
      <c r="X790" s="171">
        <f t="shared" si="394"/>
        <v>0</v>
      </c>
      <c r="Y790" s="171">
        <f t="shared" si="395"/>
        <v>0</v>
      </c>
      <c r="Z790" s="171">
        <f t="shared" si="396"/>
        <v>0</v>
      </c>
      <c r="AA790" s="175">
        <f t="shared" si="397"/>
        <v>2166393.2688241508</v>
      </c>
      <c r="AB790" s="5"/>
      <c r="AC790" s="5"/>
      <c r="AD790" s="5"/>
      <c r="AE790" s="5"/>
      <c r="AF790" s="5"/>
      <c r="AG790" s="5"/>
    </row>
    <row r="791" spans="1:33" x14ac:dyDescent="0.2">
      <c r="A791" s="169">
        <v>7</v>
      </c>
      <c r="B791" s="100" t="str">
        <f t="shared" si="383"/>
        <v>Working</v>
      </c>
      <c r="C791" s="170">
        <f t="shared" si="384"/>
        <v>1418318.448466131</v>
      </c>
      <c r="D791" s="170">
        <f t="shared" si="385"/>
        <v>730157.75065517949</v>
      </c>
      <c r="E791" s="170">
        <f t="shared" si="386"/>
        <v>95524.183722319998</v>
      </c>
      <c r="F791" s="170">
        <f t="shared" si="387"/>
        <v>59702.614826449993</v>
      </c>
      <c r="G791" s="171">
        <f t="shared" si="388"/>
        <v>0</v>
      </c>
      <c r="H791" s="171">
        <f t="shared" si="389"/>
        <v>0</v>
      </c>
      <c r="I791" s="171">
        <f>IF(B791="Working",MIN(MAX(D791-E791-F791-G791-H791,0),'Tax Assumptions'!$B$20),0)</f>
        <v>7500</v>
      </c>
      <c r="J791" s="171">
        <f t="shared" si="390"/>
        <v>567430.95210640947</v>
      </c>
      <c r="K791" s="170">
        <f t="shared" si="391"/>
        <v>0</v>
      </c>
      <c r="L791" s="170">
        <f t="shared" si="392"/>
        <v>0</v>
      </c>
      <c r="M791" s="170">
        <f t="shared" si="398"/>
        <v>0</v>
      </c>
      <c r="N791" s="170">
        <f t="shared" si="399"/>
        <v>0</v>
      </c>
      <c r="O791" s="170">
        <f t="shared" si="400"/>
        <v>0</v>
      </c>
      <c r="P791" s="170">
        <f t="shared" si="401"/>
        <v>0</v>
      </c>
      <c r="Q791" s="171">
        <f t="shared" si="402"/>
        <v>2627205.0122646173</v>
      </c>
      <c r="R791" s="171">
        <f t="shared" si="403"/>
        <v>205649.02242147207</v>
      </c>
      <c r="S791" s="171">
        <f t="shared" si="404"/>
        <v>62953.78237392001</v>
      </c>
      <c r="T791" s="171">
        <f t="shared" si="405"/>
        <v>0</v>
      </c>
      <c r="U791" s="171">
        <f t="shared" si="393"/>
        <v>2895807.8170600096</v>
      </c>
      <c r="V791" s="171">
        <f t="shared" si="406"/>
        <v>0</v>
      </c>
      <c r="W791" s="171" t="str">
        <f>IF(OR(A791&gt;=$C$13,B791="Retired"),IF(V791&gt;0,-V791,U791-'Model Inputs'!$B$18),"")</f>
        <v/>
      </c>
      <c r="X791" s="171">
        <f t="shared" si="394"/>
        <v>0</v>
      </c>
      <c r="Y791" s="171">
        <f t="shared" si="395"/>
        <v>0</v>
      </c>
      <c r="Z791" s="171">
        <f t="shared" si="396"/>
        <v>0</v>
      </c>
      <c r="AA791" s="172">
        <f t="shared" si="397"/>
        <v>2895807.8170600096</v>
      </c>
      <c r="AB791" s="5"/>
      <c r="AC791" s="5"/>
      <c r="AD791" s="5"/>
      <c r="AE791" s="5"/>
      <c r="AF791" s="5"/>
      <c r="AG791" s="5"/>
    </row>
    <row r="792" spans="1:33" x14ac:dyDescent="0.2">
      <c r="A792" s="173">
        <v>8</v>
      </c>
      <c r="B792" s="65" t="str">
        <f t="shared" si="383"/>
        <v>Working</v>
      </c>
      <c r="C792" s="174">
        <f t="shared" si="384"/>
        <v>1872205.6657868917</v>
      </c>
      <c r="D792" s="174">
        <f t="shared" si="385"/>
        <v>944047.5629454148</v>
      </c>
      <c r="E792" s="174">
        <f t="shared" si="386"/>
        <v>98389.909233989601</v>
      </c>
      <c r="F792" s="174">
        <f t="shared" si="387"/>
        <v>61493.693271243501</v>
      </c>
      <c r="G792" s="171">
        <f t="shared" si="388"/>
        <v>0</v>
      </c>
      <c r="H792" s="171">
        <f t="shared" si="389"/>
        <v>0</v>
      </c>
      <c r="I792" s="171">
        <f>IF(B792="Working",MIN(MAX(D792-E792-F792-G792-H792,0),'Tax Assumptions'!$B$20),0)</f>
        <v>7500</v>
      </c>
      <c r="J792" s="171">
        <f t="shared" si="390"/>
        <v>776663.96044018166</v>
      </c>
      <c r="K792" s="174">
        <f t="shared" si="391"/>
        <v>0</v>
      </c>
      <c r="L792" s="174">
        <f t="shared" si="392"/>
        <v>0</v>
      </c>
      <c r="M792" s="174">
        <f t="shared" si="398"/>
        <v>0</v>
      </c>
      <c r="N792" s="174">
        <f t="shared" si="399"/>
        <v>0</v>
      </c>
      <c r="O792" s="174">
        <f t="shared" si="400"/>
        <v>0</v>
      </c>
      <c r="P792" s="174">
        <f t="shared" si="401"/>
        <v>0</v>
      </c>
      <c r="Q792" s="171">
        <f t="shared" si="402"/>
        <v>3561501.2734406763</v>
      </c>
      <c r="R792" s="171">
        <f t="shared" si="403"/>
        <v>242487.9637667604</v>
      </c>
      <c r="S792" s="171">
        <f t="shared" si="404"/>
        <v>74231.009316355208</v>
      </c>
      <c r="T792" s="171">
        <f t="shared" si="405"/>
        <v>0</v>
      </c>
      <c r="U792" s="171">
        <f t="shared" si="393"/>
        <v>3878220.2465237915</v>
      </c>
      <c r="V792" s="171">
        <f t="shared" si="406"/>
        <v>0</v>
      </c>
      <c r="W792" s="171" t="str">
        <f>IF(OR(A792&gt;=$C$13,B792="Retired"),IF(V792&gt;0,-V792,U792-'Model Inputs'!$B$18),"")</f>
        <v/>
      </c>
      <c r="X792" s="171">
        <f t="shared" si="394"/>
        <v>0</v>
      </c>
      <c r="Y792" s="171">
        <f t="shared" si="395"/>
        <v>0</v>
      </c>
      <c r="Z792" s="171">
        <f t="shared" si="396"/>
        <v>0</v>
      </c>
      <c r="AA792" s="175">
        <f t="shared" si="397"/>
        <v>3878220.2465237915</v>
      </c>
      <c r="AB792" s="5"/>
      <c r="AC792" s="5"/>
      <c r="AD792" s="5"/>
      <c r="AE792" s="5"/>
      <c r="AF792" s="5"/>
      <c r="AG792" s="5"/>
    </row>
    <row r="793" spans="1:33" x14ac:dyDescent="0.2">
      <c r="A793" s="169">
        <v>9</v>
      </c>
      <c r="B793" s="100" t="str">
        <f t="shared" si="383"/>
        <v>Working</v>
      </c>
      <c r="C793" s="170">
        <f t="shared" si="384"/>
        <v>2033969.9666232408</v>
      </c>
      <c r="D793" s="170">
        <f t="shared" si="385"/>
        <v>1020277.372071536</v>
      </c>
      <c r="E793" s="170">
        <f t="shared" si="386"/>
        <v>101341.60651100927</v>
      </c>
      <c r="F793" s="170">
        <f t="shared" si="387"/>
        <v>63338.504069380797</v>
      </c>
      <c r="G793" s="171">
        <f t="shared" si="388"/>
        <v>0</v>
      </c>
      <c r="H793" s="171">
        <f t="shared" si="389"/>
        <v>0</v>
      </c>
      <c r="I793" s="171">
        <f>IF(B793="Working",MIN(MAX(D793-E793-F793-G793-H793,0),'Tax Assumptions'!$B$20),0)</f>
        <v>7500</v>
      </c>
      <c r="J793" s="171">
        <f t="shared" si="390"/>
        <v>848097.26149114594</v>
      </c>
      <c r="K793" s="170">
        <f t="shared" si="391"/>
        <v>0</v>
      </c>
      <c r="L793" s="170">
        <f t="shared" si="392"/>
        <v>0</v>
      </c>
      <c r="M793" s="170">
        <f t="shared" si="398"/>
        <v>0</v>
      </c>
      <c r="N793" s="170">
        <f t="shared" si="399"/>
        <v>0</v>
      </c>
      <c r="O793" s="170">
        <f t="shared" si="400"/>
        <v>0</v>
      </c>
      <c r="P793" s="170">
        <f t="shared" si="401"/>
        <v>0</v>
      </c>
      <c r="Q793" s="171">
        <f t="shared" si="402"/>
        <v>4623288.6113382634</v>
      </c>
      <c r="R793" s="171">
        <f t="shared" si="403"/>
        <v>281537.24159276602</v>
      </c>
      <c r="S793" s="171">
        <f t="shared" si="404"/>
        <v>86184.869875336532</v>
      </c>
      <c r="T793" s="171">
        <f t="shared" si="405"/>
        <v>0</v>
      </c>
      <c r="U793" s="171">
        <f t="shared" si="393"/>
        <v>4991010.7228063662</v>
      </c>
      <c r="V793" s="171">
        <f t="shared" si="406"/>
        <v>0</v>
      </c>
      <c r="W793" s="171" t="str">
        <f>IF(OR(A793&gt;=$C$13,B793="Retired"),IF(V793&gt;0,-V793,U793-'Model Inputs'!$B$18),"")</f>
        <v/>
      </c>
      <c r="X793" s="171">
        <f t="shared" si="394"/>
        <v>0</v>
      </c>
      <c r="Y793" s="171">
        <f t="shared" si="395"/>
        <v>0</v>
      </c>
      <c r="Z793" s="171">
        <f t="shared" si="396"/>
        <v>0</v>
      </c>
      <c r="AA793" s="172">
        <f t="shared" si="397"/>
        <v>4991010.7228063662</v>
      </c>
      <c r="AB793" s="5"/>
      <c r="AC793" s="5"/>
      <c r="AD793" s="5"/>
      <c r="AE793" s="5"/>
      <c r="AF793" s="5"/>
      <c r="AG793" s="5"/>
    </row>
    <row r="794" spans="1:33" x14ac:dyDescent="0.2">
      <c r="A794" s="173">
        <v>10</v>
      </c>
      <c r="B794" s="65" t="str">
        <f t="shared" si="383"/>
        <v>Working</v>
      </c>
      <c r="C794" s="174">
        <f t="shared" si="384"/>
        <v>2595495.7626410057</v>
      </c>
      <c r="D794" s="174">
        <f t="shared" si="385"/>
        <v>1284890.7881869476</v>
      </c>
      <c r="E794" s="174">
        <f t="shared" si="386"/>
        <v>104381.85470633955</v>
      </c>
      <c r="F794" s="174">
        <f t="shared" si="387"/>
        <v>65238.659191462226</v>
      </c>
      <c r="G794" s="171">
        <f t="shared" si="388"/>
        <v>802835.28666899295</v>
      </c>
      <c r="H794" s="171">
        <f t="shared" si="389"/>
        <v>107692.30769230769</v>
      </c>
      <c r="I794" s="171">
        <f>IF(B794="Working",MIN(MAX(D794-E794-F794-G794-H794,0),'Tax Assumptions'!$B$20),0)</f>
        <v>7500</v>
      </c>
      <c r="J794" s="171">
        <f t="shared" si="390"/>
        <v>197242.67992784519</v>
      </c>
      <c r="K794" s="174">
        <f t="shared" si="391"/>
        <v>0</v>
      </c>
      <c r="L794" s="174">
        <f t="shared" si="392"/>
        <v>0</v>
      </c>
      <c r="M794" s="174">
        <f t="shared" si="398"/>
        <v>0</v>
      </c>
      <c r="N794" s="174">
        <f t="shared" si="399"/>
        <v>0</v>
      </c>
      <c r="O794" s="174">
        <f t="shared" si="400"/>
        <v>0</v>
      </c>
      <c r="P794" s="174">
        <f t="shared" si="401"/>
        <v>0</v>
      </c>
      <c r="Q794" s="171">
        <f t="shared" si="402"/>
        <v>5097928.6079464052</v>
      </c>
      <c r="R794" s="171">
        <f t="shared" si="403"/>
        <v>322929.47608833201</v>
      </c>
      <c r="S794" s="171">
        <f t="shared" si="404"/>
        <v>98855.96206785673</v>
      </c>
      <c r="T794" s="171">
        <f t="shared" si="405"/>
        <v>0</v>
      </c>
      <c r="U794" s="171">
        <f t="shared" si="393"/>
        <v>5519714.0461025937</v>
      </c>
      <c r="V794" s="171">
        <f t="shared" si="406"/>
        <v>0</v>
      </c>
      <c r="W794" s="171">
        <f>IF(OR(A794&gt;=$C$13,B794="Retired"),IF(V794&gt;0,-V794,U794-'Model Inputs'!$B$18),"")</f>
        <v>4519714.0461025937</v>
      </c>
      <c r="X794" s="171">
        <f t="shared" si="394"/>
        <v>1690179.5508820903</v>
      </c>
      <c r="Y794" s="171">
        <f t="shared" si="395"/>
        <v>919208.39096390037</v>
      </c>
      <c r="Z794" s="171">
        <f t="shared" si="396"/>
        <v>770971.15991818998</v>
      </c>
      <c r="AA794" s="175">
        <f t="shared" si="397"/>
        <v>6290685.2060207836</v>
      </c>
      <c r="AB794" s="5"/>
      <c r="AC794" s="5"/>
      <c r="AD794" s="5"/>
      <c r="AE794" s="5"/>
      <c r="AF794" s="5"/>
      <c r="AG794" s="5"/>
    </row>
    <row r="795" spans="1:33" x14ac:dyDescent="0.2">
      <c r="A795" s="169">
        <v>11</v>
      </c>
      <c r="B795" s="100" t="str">
        <f t="shared" si="383"/>
        <v>Retired</v>
      </c>
      <c r="C795" s="170">
        <f t="shared" si="384"/>
        <v>0</v>
      </c>
      <c r="D795" s="170">
        <f t="shared" si="385"/>
        <v>0</v>
      </c>
      <c r="E795" s="170">
        <f t="shared" si="386"/>
        <v>0</v>
      </c>
      <c r="F795" s="170">
        <f t="shared" si="387"/>
        <v>0</v>
      </c>
      <c r="G795" s="171">
        <f t="shared" si="388"/>
        <v>0</v>
      </c>
      <c r="H795" s="171">
        <f t="shared" si="389"/>
        <v>108807.82619588988</v>
      </c>
      <c r="I795" s="171">
        <f>IF(B795="Working",MIN(MAX(D795-E795-F795-G795-H795,0),'Tax Assumptions'!$B$20),0)</f>
        <v>0</v>
      </c>
      <c r="J795" s="171">
        <f t="shared" si="390"/>
        <v>-308807.82619588985</v>
      </c>
      <c r="K795" s="170">
        <f t="shared" si="391"/>
        <v>308807.82619588985</v>
      </c>
      <c r="L795" s="170">
        <f t="shared" si="392"/>
        <v>308807.82619588985</v>
      </c>
      <c r="M795" s="170">
        <f t="shared" si="398"/>
        <v>308807.82619588985</v>
      </c>
      <c r="N795" s="170">
        <f t="shared" si="399"/>
        <v>0</v>
      </c>
      <c r="O795" s="170">
        <f t="shared" si="400"/>
        <v>0</v>
      </c>
      <c r="P795" s="170">
        <f t="shared" si="401"/>
        <v>0</v>
      </c>
      <c r="Q795" s="171">
        <f t="shared" si="402"/>
        <v>5094996.4982273001</v>
      </c>
      <c r="R795" s="171">
        <f t="shared" si="403"/>
        <v>342305.24465363193</v>
      </c>
      <c r="S795" s="171">
        <f t="shared" si="404"/>
        <v>104787.31979192814</v>
      </c>
      <c r="T795" s="171">
        <f t="shared" si="405"/>
        <v>0</v>
      </c>
      <c r="U795" s="171">
        <f t="shared" si="393"/>
        <v>5542089.06267286</v>
      </c>
      <c r="V795" s="171">
        <f t="shared" si="406"/>
        <v>0</v>
      </c>
      <c r="W795" s="171">
        <f>IF(OR(A795&gt;=$C$13,B795="Retired"),IF(V795&gt;0,-V795,U795-'Model Inputs'!$B$18),"")</f>
        <v>4542089.06267286</v>
      </c>
      <c r="X795" s="171">
        <f t="shared" si="394"/>
        <v>1740884.9374085532</v>
      </c>
      <c r="Y795" s="171">
        <f t="shared" si="395"/>
        <v>908122.16715511121</v>
      </c>
      <c r="Z795" s="171">
        <f t="shared" si="396"/>
        <v>832762.770253442</v>
      </c>
      <c r="AA795" s="172">
        <f t="shared" si="397"/>
        <v>6374851.8329263022</v>
      </c>
      <c r="AB795" s="5"/>
      <c r="AC795" s="5"/>
      <c r="AD795" s="5"/>
      <c r="AE795" s="5"/>
      <c r="AF795" s="5"/>
      <c r="AG795" s="5"/>
    </row>
    <row r="796" spans="1:33" x14ac:dyDescent="0.2">
      <c r="A796" s="173">
        <v>12</v>
      </c>
      <c r="B796" s="65" t="str">
        <f t="shared" si="383"/>
        <v>Retired</v>
      </c>
      <c r="C796" s="174">
        <f t="shared" si="384"/>
        <v>0</v>
      </c>
      <c r="D796" s="174">
        <f t="shared" si="385"/>
        <v>0</v>
      </c>
      <c r="E796" s="174">
        <f t="shared" si="386"/>
        <v>0</v>
      </c>
      <c r="F796" s="174">
        <f t="shared" si="387"/>
        <v>0</v>
      </c>
      <c r="G796" s="171">
        <f t="shared" si="388"/>
        <v>0</v>
      </c>
      <c r="H796" s="171">
        <f t="shared" si="389"/>
        <v>109956.81025457951</v>
      </c>
      <c r="I796" s="171">
        <f>IF(B796="Working",MIN(MAX(D796-E796-F796-G796-H796,0),'Tax Assumptions'!$B$20),0)</f>
        <v>0</v>
      </c>
      <c r="J796" s="171">
        <f t="shared" si="390"/>
        <v>-309956.81025457953</v>
      </c>
      <c r="K796" s="174">
        <f t="shared" si="391"/>
        <v>309956.81025457953</v>
      </c>
      <c r="L796" s="174">
        <f t="shared" si="392"/>
        <v>309956.81025457953</v>
      </c>
      <c r="M796" s="174">
        <f t="shared" si="398"/>
        <v>309956.81025457953</v>
      </c>
      <c r="N796" s="174">
        <f t="shared" si="399"/>
        <v>0</v>
      </c>
      <c r="O796" s="174">
        <f t="shared" si="400"/>
        <v>0</v>
      </c>
      <c r="P796" s="174">
        <f t="shared" si="401"/>
        <v>0</v>
      </c>
      <c r="Q796" s="171">
        <f t="shared" si="402"/>
        <v>5090739.4778663591</v>
      </c>
      <c r="R796" s="171">
        <f t="shared" si="403"/>
        <v>362843.55933284987</v>
      </c>
      <c r="S796" s="171">
        <f t="shared" si="404"/>
        <v>111074.55897944383</v>
      </c>
      <c r="T796" s="171">
        <f t="shared" si="405"/>
        <v>0</v>
      </c>
      <c r="U796" s="171">
        <f t="shared" si="393"/>
        <v>5564657.5961786527</v>
      </c>
      <c r="V796" s="171">
        <f t="shared" si="406"/>
        <v>0</v>
      </c>
      <c r="W796" s="171">
        <f>IF(OR(A796&gt;=$C$13,B796="Retired"),IF(V796&gt;0,-V796,U796-'Model Inputs'!$B$18),"")</f>
        <v>4564657.5961786527</v>
      </c>
      <c r="X796" s="171">
        <f t="shared" si="394"/>
        <v>1793111.4855308095</v>
      </c>
      <c r="Y796" s="171">
        <f t="shared" si="395"/>
        <v>896293.47840613243</v>
      </c>
      <c r="Z796" s="171">
        <f t="shared" si="396"/>
        <v>896818.00712467707</v>
      </c>
      <c r="AA796" s="175">
        <f t="shared" si="397"/>
        <v>6461475.60330333</v>
      </c>
      <c r="AB796" s="5"/>
      <c r="AC796" s="5"/>
      <c r="AD796" s="5"/>
      <c r="AE796" s="5"/>
      <c r="AF796" s="5"/>
      <c r="AG796" s="5"/>
    </row>
    <row r="797" spans="1:33" x14ac:dyDescent="0.2">
      <c r="A797" s="169">
        <v>13</v>
      </c>
      <c r="B797" s="100" t="str">
        <f t="shared" si="383"/>
        <v>Retired</v>
      </c>
      <c r="C797" s="170">
        <f t="shared" si="384"/>
        <v>0</v>
      </c>
      <c r="D797" s="170">
        <f t="shared" si="385"/>
        <v>0</v>
      </c>
      <c r="E797" s="170">
        <f t="shared" si="386"/>
        <v>0</v>
      </c>
      <c r="F797" s="170">
        <f t="shared" si="387"/>
        <v>0</v>
      </c>
      <c r="G797" s="171">
        <f t="shared" si="388"/>
        <v>0</v>
      </c>
      <c r="H797" s="171">
        <f t="shared" si="389"/>
        <v>111140.26383502985</v>
      </c>
      <c r="I797" s="171">
        <f>IF(B797="Working",MIN(MAX(D797-E797-F797-G797-H797,0),'Tax Assumptions'!$B$20),0)</f>
        <v>0</v>
      </c>
      <c r="J797" s="171">
        <f t="shared" si="390"/>
        <v>-311140.26383502985</v>
      </c>
      <c r="K797" s="170">
        <f t="shared" si="391"/>
        <v>311140.26383502985</v>
      </c>
      <c r="L797" s="170">
        <f t="shared" si="392"/>
        <v>311140.26383502985</v>
      </c>
      <c r="M797" s="170">
        <f t="shared" si="398"/>
        <v>311140.26383502985</v>
      </c>
      <c r="N797" s="170">
        <f t="shared" si="399"/>
        <v>0</v>
      </c>
      <c r="O797" s="170">
        <f t="shared" si="400"/>
        <v>0</v>
      </c>
      <c r="P797" s="170">
        <f t="shared" si="401"/>
        <v>0</v>
      </c>
      <c r="Q797" s="171">
        <f t="shared" si="402"/>
        <v>5085043.582703311</v>
      </c>
      <c r="R797" s="171">
        <f t="shared" si="403"/>
        <v>384614.1728928209</v>
      </c>
      <c r="S797" s="171">
        <f t="shared" si="404"/>
        <v>117739.03251821046</v>
      </c>
      <c r="T797" s="171">
        <f t="shared" si="405"/>
        <v>0</v>
      </c>
      <c r="U797" s="171">
        <f t="shared" si="393"/>
        <v>5587396.7881143428</v>
      </c>
      <c r="V797" s="171">
        <f t="shared" si="406"/>
        <v>0</v>
      </c>
      <c r="W797" s="171">
        <f>IF(OR(A797&gt;=$C$13,B797="Retired"),IF(V797&gt;0,-V797,U797-'Model Inputs'!$B$18),"")</f>
        <v>4587396.7881143428</v>
      </c>
      <c r="X797" s="171">
        <f t="shared" si="394"/>
        <v>1846904.830096734</v>
      </c>
      <c r="Y797" s="171">
        <f t="shared" si="395"/>
        <v>883672.60046487302</v>
      </c>
      <c r="Z797" s="171">
        <f t="shared" si="396"/>
        <v>963232.22963186097</v>
      </c>
      <c r="AA797" s="172">
        <f t="shared" si="397"/>
        <v>6550629.0177462036</v>
      </c>
      <c r="AB797" s="5"/>
      <c r="AC797" s="5"/>
      <c r="AD797" s="5"/>
      <c r="AE797" s="5"/>
      <c r="AF797" s="5"/>
      <c r="AG797" s="5"/>
    </row>
    <row r="798" spans="1:33" x14ac:dyDescent="0.2">
      <c r="A798" s="173">
        <v>14</v>
      </c>
      <c r="B798" s="65" t="str">
        <f t="shared" si="383"/>
        <v>Retired</v>
      </c>
      <c r="C798" s="174">
        <f t="shared" si="384"/>
        <v>0</v>
      </c>
      <c r="D798" s="174">
        <f t="shared" si="385"/>
        <v>0</v>
      </c>
      <c r="E798" s="174">
        <f t="shared" si="386"/>
        <v>0</v>
      </c>
      <c r="F798" s="174">
        <f t="shared" si="387"/>
        <v>0</v>
      </c>
      <c r="G798" s="171">
        <f t="shared" si="388"/>
        <v>0</v>
      </c>
      <c r="H798" s="171">
        <f t="shared" si="389"/>
        <v>112359.22102289369</v>
      </c>
      <c r="I798" s="171">
        <f>IF(B798="Working",MIN(MAX(D798-E798-F798-G798-H798,0),'Tax Assumptions'!$B$20),0)</f>
        <v>0</v>
      </c>
      <c r="J798" s="171">
        <f t="shared" si="390"/>
        <v>-312359.22102289367</v>
      </c>
      <c r="K798" s="174">
        <f t="shared" si="391"/>
        <v>312359.22102289367</v>
      </c>
      <c r="L798" s="174">
        <f t="shared" si="392"/>
        <v>312359.22102289367</v>
      </c>
      <c r="M798" s="174">
        <f t="shared" si="398"/>
        <v>312359.22102289367</v>
      </c>
      <c r="N798" s="174">
        <f t="shared" si="399"/>
        <v>0</v>
      </c>
      <c r="O798" s="174">
        <f t="shared" si="400"/>
        <v>0</v>
      </c>
      <c r="P798" s="174">
        <f t="shared" si="401"/>
        <v>0</v>
      </c>
      <c r="Q798" s="171">
        <f t="shared" si="402"/>
        <v>5077786.9766426161</v>
      </c>
      <c r="R798" s="171">
        <f t="shared" si="403"/>
        <v>407691.0232663902</v>
      </c>
      <c r="S798" s="171">
        <f t="shared" si="404"/>
        <v>124803.37446930309</v>
      </c>
      <c r="T798" s="171">
        <f t="shared" si="405"/>
        <v>0</v>
      </c>
      <c r="U798" s="171">
        <f t="shared" si="393"/>
        <v>5610281.3743783096</v>
      </c>
      <c r="V798" s="171">
        <f t="shared" si="406"/>
        <v>0</v>
      </c>
      <c r="W798" s="171">
        <f>IF(OR(A798&gt;=$C$13,B798="Retired"),IF(V798&gt;0,-V798,U798-'Model Inputs'!$B$18),"")</f>
        <v>4610281.3743783096</v>
      </c>
      <c r="X798" s="171">
        <f t="shared" si="394"/>
        <v>1902311.9749996357</v>
      </c>
      <c r="Y798" s="171">
        <f t="shared" si="395"/>
        <v>870206.47895398969</v>
      </c>
      <c r="Z798" s="171">
        <f t="shared" si="396"/>
        <v>1032105.496045646</v>
      </c>
      <c r="AA798" s="175">
        <f t="shared" si="397"/>
        <v>6642386.8704239558</v>
      </c>
      <c r="AB798" s="5"/>
      <c r="AC798" s="5"/>
      <c r="AD798" s="5"/>
      <c r="AE798" s="5"/>
      <c r="AF798" s="5"/>
      <c r="AG798" s="5"/>
    </row>
    <row r="799" spans="1:33" x14ac:dyDescent="0.2">
      <c r="A799" s="169">
        <v>15</v>
      </c>
      <c r="B799" s="100" t="str">
        <f t="shared" si="383"/>
        <v>Retired</v>
      </c>
      <c r="C799" s="170">
        <f t="shared" si="384"/>
        <v>0</v>
      </c>
      <c r="D799" s="170">
        <f t="shared" si="385"/>
        <v>0</v>
      </c>
      <c r="E799" s="170">
        <f t="shared" si="386"/>
        <v>0</v>
      </c>
      <c r="F799" s="170">
        <f t="shared" si="387"/>
        <v>0</v>
      </c>
      <c r="G799" s="171">
        <f t="shared" si="388"/>
        <v>0</v>
      </c>
      <c r="H799" s="171">
        <f t="shared" si="389"/>
        <v>113614.74692639345</v>
      </c>
      <c r="I799" s="171">
        <f>IF(B799="Working",MIN(MAX(D799-E799-F799-G799-H799,0),'Tax Assumptions'!$B$20),0)</f>
        <v>0</v>
      </c>
      <c r="J799" s="171">
        <f t="shared" si="390"/>
        <v>-313614.74692639348</v>
      </c>
      <c r="K799" s="170">
        <f t="shared" si="391"/>
        <v>313614.74692639348</v>
      </c>
      <c r="L799" s="170">
        <f t="shared" si="392"/>
        <v>313614.74692639348</v>
      </c>
      <c r="M799" s="170">
        <f t="shared" si="398"/>
        <v>313614.74692639348</v>
      </c>
      <c r="N799" s="170">
        <f t="shared" si="399"/>
        <v>0</v>
      </c>
      <c r="O799" s="170">
        <f t="shared" si="400"/>
        <v>0</v>
      </c>
      <c r="P799" s="170">
        <f t="shared" si="401"/>
        <v>0</v>
      </c>
      <c r="Q799" s="171">
        <f t="shared" si="402"/>
        <v>5068839.4483147804</v>
      </c>
      <c r="R799" s="171">
        <f t="shared" si="403"/>
        <v>432152.48466237361</v>
      </c>
      <c r="S799" s="171">
        <f t="shared" si="404"/>
        <v>132291.57693746127</v>
      </c>
      <c r="T799" s="171">
        <f t="shared" si="405"/>
        <v>0</v>
      </c>
      <c r="U799" s="171">
        <f t="shared" si="393"/>
        <v>5633283.5099146152</v>
      </c>
      <c r="V799" s="171">
        <f t="shared" si="406"/>
        <v>0</v>
      </c>
      <c r="W799" s="171">
        <f>IF(OR(A799&gt;=$C$13,B799="Retired"),IF(V799&gt;0,-V799,U799-'Model Inputs'!$B$18),"")</f>
        <v>4633283.5099146152</v>
      </c>
      <c r="X799" s="171">
        <f t="shared" si="394"/>
        <v>1959381.3342496247</v>
      </c>
      <c r="Y799" s="171">
        <f t="shared" si="395"/>
        <v>855838.50634623086</v>
      </c>
      <c r="Z799" s="171">
        <f t="shared" si="396"/>
        <v>1103542.8279033939</v>
      </c>
      <c r="AA799" s="172">
        <f t="shared" si="397"/>
        <v>6736826.3378180088</v>
      </c>
      <c r="AB799" s="5"/>
      <c r="AC799" s="5"/>
      <c r="AD799" s="5"/>
      <c r="AE799" s="5"/>
      <c r="AF799" s="5"/>
      <c r="AG799" s="5"/>
    </row>
    <row r="800" spans="1:33" x14ac:dyDescent="0.2">
      <c r="A800" s="173">
        <v>16</v>
      </c>
      <c r="B800" s="65" t="str">
        <f t="shared" si="383"/>
        <v>Retired</v>
      </c>
      <c r="C800" s="174">
        <f t="shared" si="384"/>
        <v>0</v>
      </c>
      <c r="D800" s="174">
        <f t="shared" si="385"/>
        <v>0</v>
      </c>
      <c r="E800" s="174">
        <f t="shared" si="386"/>
        <v>0</v>
      </c>
      <c r="F800" s="174">
        <f t="shared" si="387"/>
        <v>0</v>
      </c>
      <c r="G800" s="171">
        <f t="shared" si="388"/>
        <v>0</v>
      </c>
      <c r="H800" s="171">
        <f t="shared" si="389"/>
        <v>114907.9386069982</v>
      </c>
      <c r="I800" s="171">
        <f>IF(B800="Working",MIN(MAX(D800-E800-F800-G800-H800,0),'Tax Assumptions'!$B$20),0)</f>
        <v>0</v>
      </c>
      <c r="J800" s="171">
        <f t="shared" si="390"/>
        <v>-314907.93860699818</v>
      </c>
      <c r="K800" s="174">
        <f t="shared" si="391"/>
        <v>314907.93860699818</v>
      </c>
      <c r="L800" s="174">
        <f t="shared" si="392"/>
        <v>314907.93860699818</v>
      </c>
      <c r="M800" s="174">
        <f t="shared" si="398"/>
        <v>314907.93860699818</v>
      </c>
      <c r="N800" s="174">
        <f t="shared" si="399"/>
        <v>0</v>
      </c>
      <c r="O800" s="174">
        <f t="shared" si="400"/>
        <v>0</v>
      </c>
      <c r="P800" s="174">
        <f t="shared" si="401"/>
        <v>0</v>
      </c>
      <c r="Q800" s="171">
        <f t="shared" si="402"/>
        <v>5058061.8766066693</v>
      </c>
      <c r="R800" s="171">
        <f t="shared" si="403"/>
        <v>458081.63374211604</v>
      </c>
      <c r="S800" s="171">
        <f t="shared" si="404"/>
        <v>140229.07155370896</v>
      </c>
      <c r="T800" s="171">
        <f t="shared" si="405"/>
        <v>0</v>
      </c>
      <c r="U800" s="171">
        <f t="shared" si="393"/>
        <v>5656372.5819024947</v>
      </c>
      <c r="V800" s="171">
        <f t="shared" si="406"/>
        <v>0</v>
      </c>
      <c r="W800" s="171">
        <f>IF(OR(A800&gt;=$C$13,B800="Retired"),IF(V800&gt;0,-V800,U800-'Model Inputs'!$B$18),"")</f>
        <v>4656372.5819024947</v>
      </c>
      <c r="X800" s="171">
        <f t="shared" si="394"/>
        <v>2018162.7742771136</v>
      </c>
      <c r="Y800" s="171">
        <f t="shared" si="395"/>
        <v>840508.28400340897</v>
      </c>
      <c r="Z800" s="171">
        <f t="shared" si="396"/>
        <v>1177654.4902737048</v>
      </c>
      <c r="AA800" s="175">
        <f t="shared" si="397"/>
        <v>6834027.0721761994</v>
      </c>
      <c r="AB800" s="5"/>
      <c r="AC800" s="5"/>
      <c r="AD800" s="5"/>
      <c r="AE800" s="5"/>
      <c r="AF800" s="5"/>
      <c r="AG800" s="5"/>
    </row>
    <row r="801" spans="1:33" x14ac:dyDescent="0.2">
      <c r="A801" s="169">
        <v>17</v>
      </c>
      <c r="B801" s="100" t="str">
        <f t="shared" si="383"/>
        <v>Retired</v>
      </c>
      <c r="C801" s="170">
        <f t="shared" si="384"/>
        <v>0</v>
      </c>
      <c r="D801" s="170">
        <f t="shared" si="385"/>
        <v>0</v>
      </c>
      <c r="E801" s="170">
        <f t="shared" si="386"/>
        <v>0</v>
      </c>
      <c r="F801" s="170">
        <f t="shared" si="387"/>
        <v>0</v>
      </c>
      <c r="G801" s="171">
        <f t="shared" si="388"/>
        <v>0</v>
      </c>
      <c r="H801" s="171">
        <f t="shared" si="389"/>
        <v>116239.92603802111</v>
      </c>
      <c r="I801" s="171">
        <f>IF(B801="Working",MIN(MAX(D801-E801-F801-G801-H801,0),'Tax Assumptions'!$B$20),0)</f>
        <v>0</v>
      </c>
      <c r="J801" s="171">
        <f t="shared" si="390"/>
        <v>-316239.92603802111</v>
      </c>
      <c r="K801" s="170">
        <f t="shared" si="391"/>
        <v>316239.92603802111</v>
      </c>
      <c r="L801" s="170">
        <f t="shared" si="392"/>
        <v>316239.92603802111</v>
      </c>
      <c r="M801" s="170">
        <f t="shared" si="398"/>
        <v>316239.92603802111</v>
      </c>
      <c r="N801" s="170">
        <f t="shared" si="399"/>
        <v>0</v>
      </c>
      <c r="O801" s="170">
        <f t="shared" si="400"/>
        <v>0</v>
      </c>
      <c r="P801" s="170">
        <f t="shared" si="401"/>
        <v>0</v>
      </c>
      <c r="Q801" s="171">
        <f t="shared" si="402"/>
        <v>5045305.6631650487</v>
      </c>
      <c r="R801" s="171">
        <f t="shared" si="403"/>
        <v>485566.53176664305</v>
      </c>
      <c r="S801" s="171">
        <f t="shared" si="404"/>
        <v>148642.81584693151</v>
      </c>
      <c r="T801" s="171">
        <f t="shared" si="405"/>
        <v>0</v>
      </c>
      <c r="U801" s="171">
        <f t="shared" si="393"/>
        <v>5679515.0107786227</v>
      </c>
      <c r="V801" s="171">
        <f t="shared" si="406"/>
        <v>0</v>
      </c>
      <c r="W801" s="171">
        <f>IF(OR(A801&gt;=$C$13,B801="Retired"),IF(V801&gt;0,-V801,U801-'Model Inputs'!$B$18),"")</f>
        <v>4679515.0107786227</v>
      </c>
      <c r="X801" s="171">
        <f t="shared" si="394"/>
        <v>2078707.6575054273</v>
      </c>
      <c r="Y801" s="171">
        <f t="shared" si="395"/>
        <v>824151.36827867723</v>
      </c>
      <c r="Z801" s="171">
        <f t="shared" si="396"/>
        <v>1254556.2892267499</v>
      </c>
      <c r="AA801" s="172">
        <f t="shared" si="397"/>
        <v>6934071.3000053726</v>
      </c>
      <c r="AB801" s="5"/>
      <c r="AC801" s="5"/>
      <c r="AD801" s="5"/>
      <c r="AE801" s="5"/>
      <c r="AF801" s="5"/>
      <c r="AG801" s="5"/>
    </row>
    <row r="802" spans="1:33" x14ac:dyDescent="0.2">
      <c r="A802" s="173">
        <v>18</v>
      </c>
      <c r="B802" s="65" t="str">
        <f t="shared" si="383"/>
        <v>Retired</v>
      </c>
      <c r="C802" s="174">
        <f t="shared" si="384"/>
        <v>0</v>
      </c>
      <c r="D802" s="174">
        <f t="shared" si="385"/>
        <v>0</v>
      </c>
      <c r="E802" s="174">
        <f t="shared" si="386"/>
        <v>0</v>
      </c>
      <c r="F802" s="174">
        <f t="shared" si="387"/>
        <v>0</v>
      </c>
      <c r="G802" s="171">
        <f t="shared" si="388"/>
        <v>0</v>
      </c>
      <c r="H802" s="171">
        <f t="shared" si="389"/>
        <v>117611.87309197467</v>
      </c>
      <c r="I802" s="171">
        <f>IF(B802="Working",MIN(MAX(D802-E802-F802-G802-H802,0),'Tax Assumptions'!$B$20),0)</f>
        <v>0</v>
      </c>
      <c r="J802" s="171">
        <f t="shared" si="390"/>
        <v>-317611.87309197464</v>
      </c>
      <c r="K802" s="174">
        <f t="shared" si="391"/>
        <v>317611.87309197464</v>
      </c>
      <c r="L802" s="174">
        <f t="shared" si="392"/>
        <v>317611.87309197464</v>
      </c>
      <c r="M802" s="174">
        <f t="shared" si="398"/>
        <v>317611.87309197464</v>
      </c>
      <c r="N802" s="174">
        <f t="shared" si="399"/>
        <v>0</v>
      </c>
      <c r="O802" s="174">
        <f t="shared" si="400"/>
        <v>0</v>
      </c>
      <c r="P802" s="174">
        <f t="shared" si="401"/>
        <v>0</v>
      </c>
      <c r="Q802" s="171">
        <f t="shared" si="402"/>
        <v>5030412.1298629772</v>
      </c>
      <c r="R802" s="171">
        <f t="shared" si="403"/>
        <v>514700.52367264166</v>
      </c>
      <c r="S802" s="171">
        <f t="shared" si="404"/>
        <v>157561.38479774742</v>
      </c>
      <c r="T802" s="171">
        <f t="shared" si="405"/>
        <v>0</v>
      </c>
      <c r="U802" s="171">
        <f t="shared" si="393"/>
        <v>5702674.0383333657</v>
      </c>
      <c r="V802" s="171">
        <f t="shared" si="406"/>
        <v>0</v>
      </c>
      <c r="W802" s="171">
        <f>IF(OR(A802&gt;=$C$13,B802="Retired"),IF(V802&gt;0,-V802,U802-'Model Inputs'!$B$18),"")</f>
        <v>4702674.0383333657</v>
      </c>
      <c r="X802" s="171">
        <f t="shared" si="394"/>
        <v>2141068.8872305895</v>
      </c>
      <c r="Y802" s="171">
        <f t="shared" si="395"/>
        <v>806698.99961481092</v>
      </c>
      <c r="Z802" s="171">
        <f t="shared" si="396"/>
        <v>1334369.8876157785</v>
      </c>
      <c r="AA802" s="175">
        <f t="shared" si="397"/>
        <v>7037043.9259491442</v>
      </c>
      <c r="AB802" s="5"/>
      <c r="AC802" s="5"/>
      <c r="AD802" s="5"/>
      <c r="AE802" s="5"/>
      <c r="AF802" s="5"/>
      <c r="AG802" s="5"/>
    </row>
    <row r="803" spans="1:33" x14ac:dyDescent="0.2">
      <c r="A803" s="169">
        <v>19</v>
      </c>
      <c r="B803" s="100" t="str">
        <f t="shared" si="383"/>
        <v>Retired</v>
      </c>
      <c r="C803" s="170">
        <f t="shared" si="384"/>
        <v>0</v>
      </c>
      <c r="D803" s="170">
        <f t="shared" si="385"/>
        <v>0</v>
      </c>
      <c r="E803" s="170">
        <f t="shared" si="386"/>
        <v>0</v>
      </c>
      <c r="F803" s="170">
        <f t="shared" si="387"/>
        <v>0</v>
      </c>
      <c r="G803" s="171">
        <f t="shared" si="388"/>
        <v>0</v>
      </c>
      <c r="H803" s="171">
        <f t="shared" si="389"/>
        <v>119024.97855754686</v>
      </c>
      <c r="I803" s="171">
        <f>IF(B803="Working",MIN(MAX(D803-E803-F803-G803-H803,0),'Tax Assumptions'!$B$20),0)</f>
        <v>0</v>
      </c>
      <c r="J803" s="171">
        <f t="shared" si="390"/>
        <v>-319024.97855754686</v>
      </c>
      <c r="K803" s="170">
        <f t="shared" si="391"/>
        <v>319024.97855754686</v>
      </c>
      <c r="L803" s="170">
        <f t="shared" si="392"/>
        <v>319024.97855754686</v>
      </c>
      <c r="M803" s="170">
        <f t="shared" si="398"/>
        <v>319024.97855754686</v>
      </c>
      <c r="N803" s="170">
        <f t="shared" si="399"/>
        <v>0</v>
      </c>
      <c r="O803" s="170">
        <f t="shared" si="400"/>
        <v>0</v>
      </c>
      <c r="P803" s="170">
        <f t="shared" si="401"/>
        <v>0</v>
      </c>
      <c r="Q803" s="171">
        <f t="shared" si="402"/>
        <v>5013211.8790972093</v>
      </c>
      <c r="R803" s="171">
        <f t="shared" si="403"/>
        <v>545582.55509300018</v>
      </c>
      <c r="S803" s="171">
        <f t="shared" si="404"/>
        <v>167015.06788561228</v>
      </c>
      <c r="T803" s="171">
        <f t="shared" si="405"/>
        <v>0</v>
      </c>
      <c r="U803" s="171">
        <f t="shared" si="393"/>
        <v>5725809.5020758221</v>
      </c>
      <c r="V803" s="171">
        <f t="shared" si="406"/>
        <v>0</v>
      </c>
      <c r="W803" s="171">
        <f>IF(OR(A803&gt;=$C$13,B803="Retired"),IF(V803&gt;0,-V803,U803-'Model Inputs'!$B$18),"")</f>
        <v>4725809.5020758221</v>
      </c>
      <c r="X803" s="171">
        <f t="shared" si="394"/>
        <v>2205300.9538475075</v>
      </c>
      <c r="Y803" s="171">
        <f t="shared" si="395"/>
        <v>788077.81349969411</v>
      </c>
      <c r="Z803" s="171">
        <f t="shared" si="396"/>
        <v>1417223.1403478133</v>
      </c>
      <c r="AA803" s="172">
        <f t="shared" si="397"/>
        <v>7143032.6424236353</v>
      </c>
      <c r="AB803" s="5"/>
      <c r="AC803" s="5"/>
      <c r="AD803" s="5"/>
      <c r="AE803" s="5"/>
      <c r="AF803" s="5"/>
      <c r="AG803" s="5"/>
    </row>
    <row r="804" spans="1:33" x14ac:dyDescent="0.2">
      <c r="A804" s="173">
        <v>20</v>
      </c>
      <c r="B804" s="65" t="str">
        <f t="shared" si="383"/>
        <v>Retired</v>
      </c>
      <c r="C804" s="174">
        <f t="shared" si="384"/>
        <v>0</v>
      </c>
      <c r="D804" s="174">
        <f t="shared" si="385"/>
        <v>0</v>
      </c>
      <c r="E804" s="174">
        <f t="shared" si="386"/>
        <v>0</v>
      </c>
      <c r="F804" s="174">
        <f t="shared" si="387"/>
        <v>0</v>
      </c>
      <c r="G804" s="171">
        <f t="shared" si="388"/>
        <v>0</v>
      </c>
      <c r="H804" s="171">
        <f t="shared" si="389"/>
        <v>120480.47718708622</v>
      </c>
      <c r="I804" s="171">
        <f>IF(B804="Working",MIN(MAX(D804-E804-F804-G804-H804,0),'Tax Assumptions'!$B$20),0)</f>
        <v>0</v>
      </c>
      <c r="J804" s="171">
        <f t="shared" si="390"/>
        <v>-320480.47718708625</v>
      </c>
      <c r="K804" s="174">
        <f t="shared" si="391"/>
        <v>320480.47718708625</v>
      </c>
      <c r="L804" s="174">
        <f t="shared" si="392"/>
        <v>320480.47718708625</v>
      </c>
      <c r="M804" s="174">
        <f t="shared" si="398"/>
        <v>320480.47718708625</v>
      </c>
      <c r="N804" s="174">
        <f t="shared" si="399"/>
        <v>0</v>
      </c>
      <c r="O804" s="174">
        <f t="shared" si="400"/>
        <v>0</v>
      </c>
      <c r="P804" s="174">
        <f t="shared" si="401"/>
        <v>0</v>
      </c>
      <c r="Q804" s="171">
        <f t="shared" si="402"/>
        <v>4993524.1146559566</v>
      </c>
      <c r="R804" s="171">
        <f t="shared" si="403"/>
        <v>578317.50839858025</v>
      </c>
      <c r="S804" s="171">
        <f t="shared" si="404"/>
        <v>177035.97195874903</v>
      </c>
      <c r="T804" s="171">
        <f t="shared" si="405"/>
        <v>0</v>
      </c>
      <c r="U804" s="171">
        <f t="shared" si="393"/>
        <v>5748877.595013286</v>
      </c>
      <c r="V804" s="171">
        <f t="shared" si="406"/>
        <v>0</v>
      </c>
      <c r="W804" s="171">
        <f>IF(OR(A804&gt;=$C$13,B804="Retired"),IF(V804&gt;0,-V804,U804-'Model Inputs'!$B$18),"")</f>
        <v>4748877.595013286</v>
      </c>
      <c r="X804" s="171">
        <f t="shared" si="394"/>
        <v>2271459.9824629328</v>
      </c>
      <c r="Y804" s="171">
        <f t="shared" si="395"/>
        <v>768209.53206396382</v>
      </c>
      <c r="Z804" s="171">
        <f t="shared" si="396"/>
        <v>1503250.450398969</v>
      </c>
      <c r="AA804" s="175">
        <f t="shared" si="397"/>
        <v>7252128.0454122555</v>
      </c>
      <c r="AB804" s="5"/>
      <c r="AC804" s="5"/>
      <c r="AD804" s="5"/>
      <c r="AE804" s="5"/>
      <c r="AF804" s="5"/>
      <c r="AG804" s="5"/>
    </row>
    <row r="805" spans="1:33" x14ac:dyDescent="0.2">
      <c r="A805" s="169">
        <v>21</v>
      </c>
      <c r="B805" s="100" t="str">
        <f t="shared" si="383"/>
        <v>Retired</v>
      </c>
      <c r="C805" s="170">
        <f t="shared" si="384"/>
        <v>0</v>
      </c>
      <c r="D805" s="170">
        <f t="shared" si="385"/>
        <v>0</v>
      </c>
      <c r="E805" s="170">
        <f t="shared" si="386"/>
        <v>0</v>
      </c>
      <c r="F805" s="170">
        <f t="shared" si="387"/>
        <v>0</v>
      </c>
      <c r="G805" s="171">
        <f t="shared" si="388"/>
        <v>0</v>
      </c>
      <c r="H805" s="171">
        <f t="shared" si="389"/>
        <v>121979.64077551175</v>
      </c>
      <c r="I805" s="171">
        <f>IF(B805="Working",MIN(MAX(D805-E805-F805-G805-H805,0),'Tax Assumptions'!$B$20),0)</f>
        <v>0</v>
      </c>
      <c r="J805" s="171">
        <f t="shared" si="390"/>
        <v>-321979.64077551174</v>
      </c>
      <c r="K805" s="170">
        <f t="shared" si="391"/>
        <v>321979.64077551174</v>
      </c>
      <c r="L805" s="170">
        <f t="shared" si="392"/>
        <v>321979.64077551174</v>
      </c>
      <c r="M805" s="170">
        <f t="shared" si="398"/>
        <v>321979.64077551174</v>
      </c>
      <c r="N805" s="170">
        <f t="shared" si="399"/>
        <v>0</v>
      </c>
      <c r="O805" s="170">
        <f t="shared" si="400"/>
        <v>0</v>
      </c>
      <c r="P805" s="170">
        <f t="shared" si="401"/>
        <v>0</v>
      </c>
      <c r="Q805" s="171">
        <f t="shared" si="402"/>
        <v>4971155.9207598027</v>
      </c>
      <c r="R805" s="171">
        <f t="shared" si="403"/>
        <v>613016.55890249508</v>
      </c>
      <c r="S805" s="171">
        <f t="shared" si="404"/>
        <v>187658.13027627397</v>
      </c>
      <c r="T805" s="171">
        <f t="shared" si="405"/>
        <v>0</v>
      </c>
      <c r="U805" s="171">
        <f t="shared" si="393"/>
        <v>5771830.6099385712</v>
      </c>
      <c r="V805" s="171">
        <f t="shared" si="406"/>
        <v>0</v>
      </c>
      <c r="W805" s="171">
        <f>IF(OR(A805&gt;=$C$13,B805="Retired"),IF(V805&gt;0,-V805,U805-'Model Inputs'!$B$18),"")</f>
        <v>4771830.6099385712</v>
      </c>
      <c r="X805" s="171">
        <f t="shared" si="394"/>
        <v>2339603.7819368206</v>
      </c>
      <c r="Y805" s="171">
        <f t="shared" si="395"/>
        <v>747010.63502437528</v>
      </c>
      <c r="Z805" s="171">
        <f t="shared" si="396"/>
        <v>1592593.1469124453</v>
      </c>
      <c r="AA805" s="172">
        <f t="shared" si="397"/>
        <v>7364423.7568510165</v>
      </c>
      <c r="AB805" s="5"/>
      <c r="AC805" s="5"/>
      <c r="AD805" s="5"/>
      <c r="AE805" s="5"/>
      <c r="AF805" s="5"/>
      <c r="AG805" s="5"/>
    </row>
    <row r="806" spans="1:33" x14ac:dyDescent="0.2">
      <c r="A806" s="173">
        <v>22</v>
      </c>
      <c r="B806" s="65" t="str">
        <f t="shared" si="383"/>
        <v>Retired</v>
      </c>
      <c r="C806" s="174">
        <f t="shared" si="384"/>
        <v>0</v>
      </c>
      <c r="D806" s="174">
        <f t="shared" si="385"/>
        <v>0</v>
      </c>
      <c r="E806" s="174">
        <f t="shared" si="386"/>
        <v>0</v>
      </c>
      <c r="F806" s="174">
        <f t="shared" si="387"/>
        <v>0</v>
      </c>
      <c r="G806" s="171">
        <f t="shared" si="388"/>
        <v>0</v>
      </c>
      <c r="H806" s="171">
        <f t="shared" si="389"/>
        <v>123523.77927159006</v>
      </c>
      <c r="I806" s="171">
        <f>IF(B806="Working",MIN(MAX(D806-E806-F806-G806-H806,0),'Tax Assumptions'!$B$20),0)</f>
        <v>0</v>
      </c>
      <c r="J806" s="171">
        <f t="shared" si="390"/>
        <v>-323523.77927159006</v>
      </c>
      <c r="K806" s="174">
        <f t="shared" si="391"/>
        <v>323523.77927159006</v>
      </c>
      <c r="L806" s="174">
        <f t="shared" si="392"/>
        <v>323523.77927159006</v>
      </c>
      <c r="M806" s="174">
        <f t="shared" si="398"/>
        <v>323523.77927159006</v>
      </c>
      <c r="N806" s="174">
        <f t="shared" si="399"/>
        <v>0</v>
      </c>
      <c r="O806" s="174">
        <f t="shared" si="400"/>
        <v>0</v>
      </c>
      <c r="P806" s="174">
        <f t="shared" si="401"/>
        <v>0</v>
      </c>
      <c r="Q806" s="171">
        <f t="shared" si="402"/>
        <v>4945901.4967338014</v>
      </c>
      <c r="R806" s="171">
        <f t="shared" si="403"/>
        <v>649797.55243664479</v>
      </c>
      <c r="S806" s="171">
        <f t="shared" si="404"/>
        <v>198917.6180928504</v>
      </c>
      <c r="T806" s="171">
        <f t="shared" si="405"/>
        <v>0</v>
      </c>
      <c r="U806" s="171">
        <f t="shared" si="393"/>
        <v>5794616.6672632974</v>
      </c>
      <c r="V806" s="171">
        <f t="shared" si="406"/>
        <v>0</v>
      </c>
      <c r="W806" s="171">
        <f>IF(OR(A806&gt;=$C$13,B806="Retired"),IF(V806&gt;0,-V806,U806-'Model Inputs'!$B$18),"")</f>
        <v>4794616.6672632974</v>
      </c>
      <c r="X806" s="171">
        <f t="shared" si="394"/>
        <v>2409791.895394925</v>
      </c>
      <c r="Y806" s="171">
        <f t="shared" si="395"/>
        <v>724392.00858963397</v>
      </c>
      <c r="Z806" s="171">
        <f t="shared" si="396"/>
        <v>1685399.8868052911</v>
      </c>
      <c r="AA806" s="175">
        <f t="shared" si="397"/>
        <v>7480016.5540685887</v>
      </c>
      <c r="AB806" s="5"/>
      <c r="AC806" s="5"/>
      <c r="AD806" s="5"/>
      <c r="AE806" s="5"/>
      <c r="AF806" s="5"/>
      <c r="AG806" s="5"/>
    </row>
    <row r="807" spans="1:33" x14ac:dyDescent="0.2">
      <c r="A807" s="169">
        <v>23</v>
      </c>
      <c r="B807" s="100" t="str">
        <f t="shared" si="383"/>
        <v>Retired</v>
      </c>
      <c r="C807" s="170">
        <f t="shared" si="384"/>
        <v>0</v>
      </c>
      <c r="D807" s="170">
        <f t="shared" si="385"/>
        <v>0</v>
      </c>
      <c r="E807" s="170">
        <f t="shared" si="386"/>
        <v>0</v>
      </c>
      <c r="F807" s="170">
        <f t="shared" si="387"/>
        <v>0</v>
      </c>
      <c r="G807" s="171">
        <f t="shared" si="388"/>
        <v>0</v>
      </c>
      <c r="H807" s="171">
        <f t="shared" si="389"/>
        <v>125114.2419225507</v>
      </c>
      <c r="I807" s="171">
        <f>IF(B807="Working",MIN(MAX(D807-E807-F807-G807-H807,0),'Tax Assumptions'!$B$20),0)</f>
        <v>0</v>
      </c>
      <c r="J807" s="171">
        <f t="shared" si="390"/>
        <v>-325114.24192255072</v>
      </c>
      <c r="K807" s="170">
        <f t="shared" si="391"/>
        <v>325114.24192255072</v>
      </c>
      <c r="L807" s="170">
        <f t="shared" si="392"/>
        <v>325114.24192255072</v>
      </c>
      <c r="M807" s="170">
        <f t="shared" si="398"/>
        <v>325114.24192255072</v>
      </c>
      <c r="N807" s="170">
        <f t="shared" si="399"/>
        <v>0</v>
      </c>
      <c r="O807" s="170">
        <f t="shared" si="400"/>
        <v>0</v>
      </c>
      <c r="P807" s="170">
        <f t="shared" si="401"/>
        <v>0</v>
      </c>
      <c r="Q807" s="171">
        <f t="shared" si="402"/>
        <v>4917541.3446152788</v>
      </c>
      <c r="R807" s="171">
        <f t="shared" si="403"/>
        <v>688785.40558284346</v>
      </c>
      <c r="S807" s="171">
        <f t="shared" si="404"/>
        <v>210852.67517842143</v>
      </c>
      <c r="T807" s="171">
        <f t="shared" si="405"/>
        <v>0</v>
      </c>
      <c r="U807" s="171">
        <f t="shared" si="393"/>
        <v>5817179.4253765438</v>
      </c>
      <c r="V807" s="171">
        <f t="shared" si="406"/>
        <v>0</v>
      </c>
      <c r="W807" s="171">
        <f>IF(OR(A807&gt;=$C$13,B807="Retired"),IF(V807&gt;0,-V807,U807-'Model Inputs'!$B$18),"")</f>
        <v>4817179.4253765438</v>
      </c>
      <c r="X807" s="171">
        <f t="shared" si="394"/>
        <v>2482085.6522567729</v>
      </c>
      <c r="Y807" s="171">
        <f t="shared" si="395"/>
        <v>700258.57085280493</v>
      </c>
      <c r="Z807" s="171">
        <f t="shared" si="396"/>
        <v>1781827.0814039679</v>
      </c>
      <c r="AA807" s="172">
        <f t="shared" si="397"/>
        <v>7599006.5067805117</v>
      </c>
      <c r="AB807" s="5"/>
      <c r="AC807" s="5"/>
      <c r="AD807" s="5"/>
      <c r="AE807" s="5"/>
      <c r="AF807" s="5"/>
      <c r="AG807" s="5"/>
    </row>
    <row r="808" spans="1:33" x14ac:dyDescent="0.2">
      <c r="A808" s="173">
        <v>24</v>
      </c>
      <c r="B808" s="65" t="str">
        <f t="shared" si="383"/>
        <v>Retired</v>
      </c>
      <c r="C808" s="174">
        <f t="shared" si="384"/>
        <v>0</v>
      </c>
      <c r="D808" s="174">
        <f t="shared" si="385"/>
        <v>0</v>
      </c>
      <c r="E808" s="174">
        <f t="shared" si="386"/>
        <v>0</v>
      </c>
      <c r="F808" s="174">
        <f t="shared" si="387"/>
        <v>0</v>
      </c>
      <c r="G808" s="171">
        <f t="shared" si="388"/>
        <v>0</v>
      </c>
      <c r="H808" s="171">
        <f t="shared" si="389"/>
        <v>126752.41845304017</v>
      </c>
      <c r="I808" s="171">
        <f>IF(B808="Working",MIN(MAX(D808-E808-F808-G808-H808,0),'Tax Assumptions'!$B$20),0)</f>
        <v>0</v>
      </c>
      <c r="J808" s="171">
        <f t="shared" si="390"/>
        <v>-326752.41845304018</v>
      </c>
      <c r="K808" s="174">
        <f t="shared" si="391"/>
        <v>326752.41845304018</v>
      </c>
      <c r="L808" s="174">
        <f t="shared" si="392"/>
        <v>326752.41845304018</v>
      </c>
      <c r="M808" s="174">
        <f t="shared" si="398"/>
        <v>326752.41845304018</v>
      </c>
      <c r="N808" s="174">
        <f t="shared" si="399"/>
        <v>0</v>
      </c>
      <c r="O808" s="174">
        <f t="shared" si="400"/>
        <v>0</v>
      </c>
      <c r="P808" s="174">
        <f t="shared" si="401"/>
        <v>0</v>
      </c>
      <c r="Q808" s="171">
        <f t="shared" si="402"/>
        <v>4885841.4068391556</v>
      </c>
      <c r="R808" s="171">
        <f t="shared" si="403"/>
        <v>730112.52991781407</v>
      </c>
      <c r="S808" s="171">
        <f t="shared" si="404"/>
        <v>223503.83568912672</v>
      </c>
      <c r="T808" s="171">
        <f t="shared" si="405"/>
        <v>0</v>
      </c>
      <c r="U808" s="171">
        <f t="shared" si="393"/>
        <v>5839457.7724460959</v>
      </c>
      <c r="V808" s="171">
        <f t="shared" si="406"/>
        <v>0</v>
      </c>
      <c r="W808" s="171">
        <f>IF(OR(A808&gt;=$C$13,B808="Retired"),IF(V808&gt;0,-V808,U808-'Model Inputs'!$B$18),"")</f>
        <v>4839457.7724460959</v>
      </c>
      <c r="X808" s="171">
        <f t="shared" si="394"/>
        <v>2556548.221824476</v>
      </c>
      <c r="Y808" s="171">
        <f t="shared" si="395"/>
        <v>674508.87209555157</v>
      </c>
      <c r="Z808" s="171">
        <f t="shared" si="396"/>
        <v>1882039.3497289245</v>
      </c>
      <c r="AA808" s="175">
        <f t="shared" si="397"/>
        <v>7721497.1221750202</v>
      </c>
      <c r="AB808" s="5"/>
      <c r="AC808" s="5"/>
      <c r="AD808" s="5"/>
      <c r="AE808" s="5"/>
      <c r="AF808" s="5"/>
      <c r="AG808" s="5"/>
    </row>
    <row r="809" spans="1:33" x14ac:dyDescent="0.2">
      <c r="A809" s="169">
        <v>25</v>
      </c>
      <c r="B809" s="100" t="str">
        <f t="shared" si="383"/>
        <v>Retired</v>
      </c>
      <c r="C809" s="170">
        <f t="shared" si="384"/>
        <v>0</v>
      </c>
      <c r="D809" s="170">
        <f t="shared" si="385"/>
        <v>0</v>
      </c>
      <c r="E809" s="170">
        <f t="shared" si="386"/>
        <v>0</v>
      </c>
      <c r="F809" s="170">
        <f t="shared" si="387"/>
        <v>0</v>
      </c>
      <c r="G809" s="171">
        <f t="shared" si="388"/>
        <v>0</v>
      </c>
      <c r="H809" s="171">
        <f t="shared" si="389"/>
        <v>128439.74027944433</v>
      </c>
      <c r="I809" s="171">
        <f>IF(B809="Working",MIN(MAX(D809-E809-F809-G809-H809,0),'Tax Assumptions'!$B$20),0)</f>
        <v>0</v>
      </c>
      <c r="J809" s="171">
        <f t="shared" si="390"/>
        <v>-328439.74027944432</v>
      </c>
      <c r="K809" s="170">
        <f t="shared" si="391"/>
        <v>328439.74027944432</v>
      </c>
      <c r="L809" s="170">
        <f t="shared" si="392"/>
        <v>328439.74027944432</v>
      </c>
      <c r="M809" s="170">
        <f t="shared" si="398"/>
        <v>328439.74027944432</v>
      </c>
      <c r="N809" s="170">
        <f t="shared" si="399"/>
        <v>0</v>
      </c>
      <c r="O809" s="170">
        <f t="shared" si="400"/>
        <v>0</v>
      </c>
      <c r="P809" s="170">
        <f t="shared" si="401"/>
        <v>0</v>
      </c>
      <c r="Q809" s="171">
        <f t="shared" si="402"/>
        <v>4850552.1509700604</v>
      </c>
      <c r="R809" s="171">
        <f t="shared" si="403"/>
        <v>773919.28171288292</v>
      </c>
      <c r="S809" s="171">
        <f t="shared" si="404"/>
        <v>236914.06583047434</v>
      </c>
      <c r="T809" s="171">
        <f t="shared" si="405"/>
        <v>0</v>
      </c>
      <c r="U809" s="171">
        <f t="shared" si="393"/>
        <v>5861385.4985134182</v>
      </c>
      <c r="V809" s="171">
        <f t="shared" si="406"/>
        <v>0</v>
      </c>
      <c r="W809" s="171">
        <f>IF(OR(A809&gt;=$C$13,B809="Retired"),IF(V809&gt;0,-V809,U809-'Model Inputs'!$B$18),"")</f>
        <v>4861385.4985134182</v>
      </c>
      <c r="X809" s="171">
        <f t="shared" si="394"/>
        <v>2633244.6684792107</v>
      </c>
      <c r="Y809" s="171">
        <f t="shared" si="395"/>
        <v>647034.66832401766</v>
      </c>
      <c r="Z809" s="171">
        <f t="shared" si="396"/>
        <v>1986210.000155193</v>
      </c>
      <c r="AA809" s="172">
        <f t="shared" si="397"/>
        <v>7847595.498668611</v>
      </c>
      <c r="AB809" s="5"/>
      <c r="AC809" s="5"/>
      <c r="AD809" s="5"/>
      <c r="AE809" s="5"/>
      <c r="AF809" s="5"/>
      <c r="AG809" s="5"/>
    </row>
    <row r="810" spans="1:33" x14ac:dyDescent="0.2">
      <c r="A810" s="173">
        <v>26</v>
      </c>
      <c r="B810" s="65" t="str">
        <f t="shared" si="383"/>
        <v>Retired</v>
      </c>
      <c r="C810" s="174">
        <f t="shared" si="384"/>
        <v>0</v>
      </c>
      <c r="D810" s="174">
        <f t="shared" si="385"/>
        <v>0</v>
      </c>
      <c r="E810" s="174">
        <f t="shared" si="386"/>
        <v>0</v>
      </c>
      <c r="F810" s="174">
        <f t="shared" si="387"/>
        <v>0</v>
      </c>
      <c r="G810" s="171">
        <f t="shared" si="388"/>
        <v>0</v>
      </c>
      <c r="H810" s="171">
        <f t="shared" si="389"/>
        <v>130177.6817606406</v>
      </c>
      <c r="I810" s="171">
        <f>IF(B810="Working",MIN(MAX(D810-E810-F810-G810-H810,0),'Tax Assumptions'!$B$20),0)</f>
        <v>0</v>
      </c>
      <c r="J810" s="171">
        <f t="shared" si="390"/>
        <v>-330177.68176064058</v>
      </c>
      <c r="K810" s="174">
        <f t="shared" si="391"/>
        <v>330177.68176064058</v>
      </c>
      <c r="L810" s="174">
        <f t="shared" si="392"/>
        <v>330177.68176064058</v>
      </c>
      <c r="M810" s="174">
        <f t="shared" si="398"/>
        <v>330177.68176064058</v>
      </c>
      <c r="N810" s="174">
        <f t="shared" si="399"/>
        <v>0</v>
      </c>
      <c r="O810" s="174">
        <f t="shared" si="400"/>
        <v>0</v>
      </c>
      <c r="P810" s="174">
        <f t="shared" si="401"/>
        <v>0</v>
      </c>
      <c r="Q810" s="171">
        <f t="shared" si="402"/>
        <v>4811407.5982676232</v>
      </c>
      <c r="R810" s="171">
        <f t="shared" si="403"/>
        <v>820354.43861565599</v>
      </c>
      <c r="S810" s="171">
        <f t="shared" si="404"/>
        <v>251128.90978030281</v>
      </c>
      <c r="T810" s="171">
        <f t="shared" si="405"/>
        <v>0</v>
      </c>
      <c r="U810" s="171">
        <f t="shared" si="393"/>
        <v>5882890.9466635827</v>
      </c>
      <c r="V810" s="171">
        <f t="shared" si="406"/>
        <v>0</v>
      </c>
      <c r="W810" s="171">
        <f>IF(OR(A810&gt;=$C$13,B810="Retired"),IF(V810&gt;0,-V810,U810-'Model Inputs'!$B$18),"")</f>
        <v>4882890.9466635827</v>
      </c>
      <c r="X810" s="171">
        <f t="shared" si="394"/>
        <v>2712242.0085335863</v>
      </c>
      <c r="Y810" s="171">
        <f t="shared" si="395"/>
        <v>617720.46624360932</v>
      </c>
      <c r="Z810" s="171">
        <f t="shared" si="396"/>
        <v>2094521.542289977</v>
      </c>
      <c r="AA810" s="175">
        <f t="shared" si="397"/>
        <v>7977412.4889535597</v>
      </c>
      <c r="AB810" s="5"/>
      <c r="AC810" s="5"/>
      <c r="AD810" s="5"/>
      <c r="AE810" s="5"/>
      <c r="AF810" s="5"/>
      <c r="AG810" s="5"/>
    </row>
    <row r="811" spans="1:33" x14ac:dyDescent="0.2">
      <c r="A811" s="169">
        <v>27</v>
      </c>
      <c r="B811" s="100" t="str">
        <f t="shared" si="383"/>
        <v>Retired</v>
      </c>
      <c r="C811" s="170">
        <f t="shared" si="384"/>
        <v>0</v>
      </c>
      <c r="D811" s="170">
        <f t="shared" si="385"/>
        <v>0</v>
      </c>
      <c r="E811" s="170">
        <f t="shared" si="386"/>
        <v>0</v>
      </c>
      <c r="F811" s="170">
        <f t="shared" si="387"/>
        <v>0</v>
      </c>
      <c r="G811" s="171">
        <f t="shared" si="388"/>
        <v>0</v>
      </c>
      <c r="H811" s="171">
        <f t="shared" si="389"/>
        <v>131967.76148627276</v>
      </c>
      <c r="I811" s="171">
        <f>IF(B811="Working",MIN(MAX(D811-E811-F811-G811-H811,0),'Tax Assumptions'!$B$20),0)</f>
        <v>0</v>
      </c>
      <c r="J811" s="171">
        <f t="shared" si="390"/>
        <v>-331967.76148627279</v>
      </c>
      <c r="K811" s="170">
        <f t="shared" si="391"/>
        <v>331967.76148627279</v>
      </c>
      <c r="L811" s="170">
        <f t="shared" si="392"/>
        <v>331967.76148627279</v>
      </c>
      <c r="M811" s="170">
        <f t="shared" si="398"/>
        <v>331967.76148627279</v>
      </c>
      <c r="N811" s="170">
        <f t="shared" si="399"/>
        <v>0</v>
      </c>
      <c r="O811" s="170">
        <f t="shared" si="400"/>
        <v>0</v>
      </c>
      <c r="P811" s="170">
        <f t="shared" si="401"/>
        <v>0</v>
      </c>
      <c r="Q811" s="171">
        <f t="shared" si="402"/>
        <v>4768124.2926774081</v>
      </c>
      <c r="R811" s="171">
        <f t="shared" si="403"/>
        <v>869575.70493259537</v>
      </c>
      <c r="S811" s="171">
        <f t="shared" si="404"/>
        <v>266196.64436712099</v>
      </c>
      <c r="T811" s="171">
        <f t="shared" si="405"/>
        <v>0</v>
      </c>
      <c r="U811" s="171">
        <f t="shared" si="393"/>
        <v>5903896.6419771248</v>
      </c>
      <c r="V811" s="171">
        <f t="shared" si="406"/>
        <v>0</v>
      </c>
      <c r="W811" s="171">
        <f>IF(OR(A811&gt;=$C$13,B811="Retired"),IF(V811&gt;0,-V811,U811-'Model Inputs'!$B$18),"")</f>
        <v>4903896.6419771248</v>
      </c>
      <c r="X811" s="171">
        <f t="shared" si="394"/>
        <v>2793609.2687895941</v>
      </c>
      <c r="Y811" s="171">
        <f t="shared" si="395"/>
        <v>586443.0377598987</v>
      </c>
      <c r="Z811" s="171">
        <f t="shared" si="396"/>
        <v>2207166.2310296954</v>
      </c>
      <c r="AA811" s="172">
        <f t="shared" si="397"/>
        <v>8111062.8730068207</v>
      </c>
      <c r="AB811" s="5"/>
      <c r="AC811" s="5"/>
      <c r="AD811" s="5"/>
      <c r="AE811" s="5"/>
      <c r="AF811" s="5"/>
      <c r="AG811" s="5"/>
    </row>
    <row r="812" spans="1:33" x14ac:dyDescent="0.2">
      <c r="A812" s="173">
        <v>28</v>
      </c>
      <c r="B812" s="65" t="str">
        <f t="shared" si="383"/>
        <v>Retired</v>
      </c>
      <c r="C812" s="174">
        <f t="shared" si="384"/>
        <v>0</v>
      </c>
      <c r="D812" s="174">
        <f t="shared" si="385"/>
        <v>0</v>
      </c>
      <c r="E812" s="174">
        <f t="shared" si="386"/>
        <v>0</v>
      </c>
      <c r="F812" s="174">
        <f t="shared" si="387"/>
        <v>0</v>
      </c>
      <c r="G812" s="171">
        <f t="shared" si="388"/>
        <v>0</v>
      </c>
      <c r="H812" s="171">
        <f t="shared" si="389"/>
        <v>133811.5436036739</v>
      </c>
      <c r="I812" s="171">
        <f>IF(B812="Working",MIN(MAX(D812-E812-F812-G812-H812,0),'Tax Assumptions'!$B$20),0)</f>
        <v>0</v>
      </c>
      <c r="J812" s="171">
        <f t="shared" si="390"/>
        <v>-333811.54360367393</v>
      </c>
      <c r="K812" s="174">
        <f t="shared" si="391"/>
        <v>333811.54360367393</v>
      </c>
      <c r="L812" s="174">
        <f t="shared" si="392"/>
        <v>333811.54360367393</v>
      </c>
      <c r="M812" s="174">
        <f t="shared" si="398"/>
        <v>333811.54360367393</v>
      </c>
      <c r="N812" s="174">
        <f t="shared" si="399"/>
        <v>0</v>
      </c>
      <c r="O812" s="174">
        <f t="shared" si="400"/>
        <v>0</v>
      </c>
      <c r="P812" s="174">
        <f t="shared" si="401"/>
        <v>0</v>
      </c>
      <c r="Q812" s="171">
        <f t="shared" si="402"/>
        <v>4720400.206634379</v>
      </c>
      <c r="R812" s="171">
        <f t="shared" si="403"/>
        <v>921750.24722855119</v>
      </c>
      <c r="S812" s="171">
        <f t="shared" si="404"/>
        <v>282168.44302914827</v>
      </c>
      <c r="T812" s="171">
        <f t="shared" si="405"/>
        <v>0</v>
      </c>
      <c r="U812" s="171">
        <f t="shared" si="393"/>
        <v>5924318.8968920782</v>
      </c>
      <c r="V812" s="171">
        <f t="shared" si="406"/>
        <v>0</v>
      </c>
      <c r="W812" s="171">
        <f>IF(OR(A812&gt;=$C$13,B812="Retired"),IF(V812&gt;0,-V812,U812-'Model Inputs'!$B$18),"")</f>
        <v>4924318.8968920782</v>
      </c>
      <c r="X812" s="171">
        <f t="shared" si="394"/>
        <v>2877417.546853282</v>
      </c>
      <c r="Y812" s="171">
        <f t="shared" si="395"/>
        <v>553070.90196475713</v>
      </c>
      <c r="Z812" s="171">
        <f t="shared" si="396"/>
        <v>2324346.6448885249</v>
      </c>
      <c r="AA812" s="175">
        <f t="shared" si="397"/>
        <v>8248665.5417806031</v>
      </c>
      <c r="AB812" s="5"/>
      <c r="AC812" s="5"/>
      <c r="AD812" s="5"/>
      <c r="AE812" s="5"/>
      <c r="AF812" s="5"/>
      <c r="AG812" s="5"/>
    </row>
    <row r="813" spans="1:33" x14ac:dyDescent="0.2">
      <c r="A813" s="169">
        <v>29</v>
      </c>
      <c r="B813" s="100" t="str">
        <f t="shared" si="383"/>
        <v>Retired</v>
      </c>
      <c r="C813" s="170">
        <f t="shared" si="384"/>
        <v>0</v>
      </c>
      <c r="D813" s="170">
        <f t="shared" si="385"/>
        <v>0</v>
      </c>
      <c r="E813" s="170">
        <f t="shared" si="386"/>
        <v>0</v>
      </c>
      <c r="F813" s="170">
        <f t="shared" si="387"/>
        <v>0</v>
      </c>
      <c r="G813" s="171">
        <f t="shared" si="388"/>
        <v>0</v>
      </c>
      <c r="H813" s="171">
        <f t="shared" si="389"/>
        <v>135710.63918459706</v>
      </c>
      <c r="I813" s="171">
        <f>IF(B813="Working",MIN(MAX(D813-E813-F813-G813-H813,0),'Tax Assumptions'!$B$20),0)</f>
        <v>0</v>
      </c>
      <c r="J813" s="171">
        <f t="shared" si="390"/>
        <v>-335710.63918459706</v>
      </c>
      <c r="K813" s="170">
        <f t="shared" si="391"/>
        <v>335710.63918459706</v>
      </c>
      <c r="L813" s="170">
        <f t="shared" si="392"/>
        <v>335710.63918459706</v>
      </c>
      <c r="M813" s="170">
        <f t="shared" si="398"/>
        <v>335710.63918459706</v>
      </c>
      <c r="N813" s="170">
        <f t="shared" si="399"/>
        <v>0</v>
      </c>
      <c r="O813" s="170">
        <f t="shared" si="400"/>
        <v>0</v>
      </c>
      <c r="P813" s="170">
        <f t="shared" si="401"/>
        <v>0</v>
      </c>
      <c r="Q813" s="171">
        <f t="shared" si="402"/>
        <v>4667913.5798478452</v>
      </c>
      <c r="R813" s="171">
        <f t="shared" si="403"/>
        <v>977055.26206226426</v>
      </c>
      <c r="S813" s="171">
        <f t="shared" si="404"/>
        <v>299098.5496108972</v>
      </c>
      <c r="T813" s="171">
        <f t="shared" si="405"/>
        <v>0</v>
      </c>
      <c r="U813" s="171">
        <f t="shared" si="393"/>
        <v>5944067.3915210068</v>
      </c>
      <c r="V813" s="171">
        <f t="shared" si="406"/>
        <v>0</v>
      </c>
      <c r="W813" s="171">
        <f>IF(OR(A813&gt;=$C$13,B813="Retired"),IF(V813&gt;0,-V813,U813-'Model Inputs'!$B$18),"")</f>
        <v>4944067.3915210068</v>
      </c>
      <c r="X813" s="171">
        <f t="shared" si="394"/>
        <v>2963740.0732588801</v>
      </c>
      <c r="Y813" s="171">
        <f t="shared" si="395"/>
        <v>517463.77243013401</v>
      </c>
      <c r="Z813" s="171">
        <f t="shared" si="396"/>
        <v>2446276.3008287461</v>
      </c>
      <c r="AA813" s="172">
        <f t="shared" si="397"/>
        <v>8390343.6923497524</v>
      </c>
      <c r="AB813" s="5"/>
      <c r="AC813" s="5"/>
      <c r="AD813" s="5"/>
      <c r="AE813" s="5"/>
      <c r="AF813" s="5"/>
      <c r="AG813" s="5"/>
    </row>
    <row r="814" spans="1:33" x14ac:dyDescent="0.2">
      <c r="A814" s="173">
        <v>30</v>
      </c>
      <c r="B814" s="65" t="str">
        <f t="shared" si="383"/>
        <v>Retired</v>
      </c>
      <c r="C814" s="174">
        <f t="shared" si="384"/>
        <v>0</v>
      </c>
      <c r="D814" s="174">
        <f t="shared" si="385"/>
        <v>0</v>
      </c>
      <c r="E814" s="174">
        <f t="shared" si="386"/>
        <v>0</v>
      </c>
      <c r="F814" s="174">
        <f t="shared" si="387"/>
        <v>0</v>
      </c>
      <c r="G814" s="171">
        <f t="shared" si="388"/>
        <v>0</v>
      </c>
      <c r="H814" s="171">
        <f t="shared" si="389"/>
        <v>137666.70763294792</v>
      </c>
      <c r="I814" s="171">
        <f>IF(B814="Working",MIN(MAX(D814-E814-F814-G814-H814,0),'Tax Assumptions'!$B$20),0)</f>
        <v>0</v>
      </c>
      <c r="J814" s="171">
        <f t="shared" si="390"/>
        <v>-337666.70763294795</v>
      </c>
      <c r="K814" s="174">
        <f t="shared" si="391"/>
        <v>337666.70763294795</v>
      </c>
      <c r="L814" s="174">
        <f t="shared" si="392"/>
        <v>337666.70763294795</v>
      </c>
      <c r="M814" s="174">
        <f t="shared" si="398"/>
        <v>337666.70763294795</v>
      </c>
      <c r="N814" s="174">
        <f t="shared" si="399"/>
        <v>0</v>
      </c>
      <c r="O814" s="174">
        <f t="shared" si="400"/>
        <v>0</v>
      </c>
      <c r="P814" s="174">
        <f t="shared" si="401"/>
        <v>0</v>
      </c>
      <c r="Q814" s="171">
        <f t="shared" si="402"/>
        <v>4610321.6870057685</v>
      </c>
      <c r="R814" s="171">
        <f t="shared" si="403"/>
        <v>1035678.5777860002</v>
      </c>
      <c r="S814" s="171">
        <f t="shared" si="404"/>
        <v>317044.46258755104</v>
      </c>
      <c r="T814" s="171">
        <f t="shared" si="405"/>
        <v>0</v>
      </c>
      <c r="U814" s="171">
        <f t="shared" si="393"/>
        <v>5963044.7273793202</v>
      </c>
      <c r="V814" s="171">
        <f t="shared" si="406"/>
        <v>0</v>
      </c>
      <c r="W814" s="171">
        <f>IF(OR(A814&gt;=$C$13,B814="Retired"),IF(V814&gt;0,-V814,U814-'Model Inputs'!$B$18),"")</f>
        <v>4963044.7273793202</v>
      </c>
      <c r="X814" s="171">
        <f t="shared" si="394"/>
        <v>3052652.2754566465</v>
      </c>
      <c r="Y814" s="171">
        <f t="shared" si="395"/>
        <v>479471.96748608351</v>
      </c>
      <c r="Z814" s="171">
        <f t="shared" si="396"/>
        <v>2573180.3079705629</v>
      </c>
      <c r="AA814" s="175">
        <f t="shared" si="397"/>
        <v>8536225.0353498831</v>
      </c>
      <c r="AB814" s="5"/>
      <c r="AC814" s="5"/>
      <c r="AD814" s="5"/>
      <c r="AE814" s="5"/>
      <c r="AF814" s="5"/>
      <c r="AG814" s="5"/>
    </row>
    <row r="815" spans="1:33" x14ac:dyDescent="0.2">
      <c r="A815" s="169">
        <v>31</v>
      </c>
      <c r="B815" s="100" t="str">
        <f t="shared" si="383"/>
        <v>Retired</v>
      </c>
      <c r="C815" s="170">
        <f t="shared" si="384"/>
        <v>0</v>
      </c>
      <c r="D815" s="170">
        <f t="shared" si="385"/>
        <v>0</v>
      </c>
      <c r="E815" s="170">
        <f t="shared" si="386"/>
        <v>0</v>
      </c>
      <c r="F815" s="170">
        <f t="shared" si="387"/>
        <v>0</v>
      </c>
      <c r="G815" s="171">
        <f t="shared" si="388"/>
        <v>0</v>
      </c>
      <c r="H815" s="171">
        <f t="shared" si="389"/>
        <v>139681.45813474932</v>
      </c>
      <c r="I815" s="171">
        <f>IF(B815="Working",MIN(MAX(D815-E815-F815-G815-H815,0),'Tax Assumptions'!$B$20),0)</f>
        <v>0</v>
      </c>
      <c r="J815" s="171">
        <f t="shared" si="390"/>
        <v>-339681.45813474932</v>
      </c>
      <c r="K815" s="170">
        <f t="shared" si="391"/>
        <v>339681.45813474932</v>
      </c>
      <c r="L815" s="170">
        <f t="shared" si="392"/>
        <v>339681.45813474932</v>
      </c>
      <c r="M815" s="170">
        <f t="shared" si="398"/>
        <v>339681.45813474932</v>
      </c>
      <c r="N815" s="170">
        <f t="shared" si="399"/>
        <v>0</v>
      </c>
      <c r="O815" s="170">
        <f t="shared" si="400"/>
        <v>0</v>
      </c>
      <c r="P815" s="170">
        <f t="shared" si="401"/>
        <v>0</v>
      </c>
      <c r="Q815" s="171">
        <f t="shared" si="402"/>
        <v>4547259.5300913658</v>
      </c>
      <c r="R815" s="171">
        <f t="shared" si="403"/>
        <v>1097819.2924531603</v>
      </c>
      <c r="S815" s="171">
        <f t="shared" si="404"/>
        <v>336067.13034280413</v>
      </c>
      <c r="T815" s="171">
        <f t="shared" si="405"/>
        <v>0</v>
      </c>
      <c r="U815" s="171">
        <f t="shared" si="393"/>
        <v>5981145.9528873302</v>
      </c>
      <c r="V815" s="171">
        <f t="shared" si="406"/>
        <v>0</v>
      </c>
      <c r="W815" s="171">
        <f>IF(OR(A815&gt;=$C$13,B815="Retired"),IF(V815&gt;0,-V815,U815-'Model Inputs'!$B$18),"")</f>
        <v>4981145.9528873302</v>
      </c>
      <c r="X815" s="171">
        <f t="shared" si="394"/>
        <v>3144231.8437203458</v>
      </c>
      <c r="Y815" s="171">
        <f t="shared" si="395"/>
        <v>438935.7810040107</v>
      </c>
      <c r="Z815" s="171">
        <f t="shared" si="396"/>
        <v>2705296.0627163351</v>
      </c>
      <c r="AA815" s="172">
        <f t="shared" si="397"/>
        <v>8686442.0156036653</v>
      </c>
      <c r="AB815" s="5"/>
      <c r="AC815" s="5"/>
      <c r="AD815" s="5"/>
      <c r="AE815" s="5"/>
      <c r="AF815" s="5"/>
      <c r="AG815" s="5"/>
    </row>
    <row r="816" spans="1:33" x14ac:dyDescent="0.2">
      <c r="A816" s="173">
        <v>32</v>
      </c>
      <c r="B816" s="65" t="str">
        <f t="shared" si="383"/>
        <v>Retired</v>
      </c>
      <c r="C816" s="174">
        <f t="shared" si="384"/>
        <v>0</v>
      </c>
      <c r="D816" s="174">
        <f t="shared" si="385"/>
        <v>0</v>
      </c>
      <c r="E816" s="174">
        <f t="shared" si="386"/>
        <v>0</v>
      </c>
      <c r="F816" s="174">
        <f t="shared" si="387"/>
        <v>0</v>
      </c>
      <c r="G816" s="171">
        <f t="shared" si="388"/>
        <v>0</v>
      </c>
      <c r="H816" s="171">
        <f t="shared" si="389"/>
        <v>141756.65115160472</v>
      </c>
      <c r="I816" s="171">
        <f>IF(B816="Working",MIN(MAX(D816-E816-F816-G816-H816,0),'Tax Assumptions'!$B$20),0)</f>
        <v>0</v>
      </c>
      <c r="J816" s="171">
        <f t="shared" si="390"/>
        <v>-341756.65115160472</v>
      </c>
      <c r="K816" s="174">
        <f t="shared" si="391"/>
        <v>341756.65115160472</v>
      </c>
      <c r="L816" s="174">
        <f t="shared" si="392"/>
        <v>341756.65115160472</v>
      </c>
      <c r="M816" s="174">
        <f t="shared" si="398"/>
        <v>341756.65115160472</v>
      </c>
      <c r="N816" s="174">
        <f t="shared" si="399"/>
        <v>0</v>
      </c>
      <c r="O816" s="174">
        <f t="shared" si="400"/>
        <v>0</v>
      </c>
      <c r="P816" s="174">
        <f t="shared" si="401"/>
        <v>0</v>
      </c>
      <c r="Q816" s="171">
        <f t="shared" si="402"/>
        <v>4478338.4507452426</v>
      </c>
      <c r="R816" s="171">
        <f t="shared" si="403"/>
        <v>1163688.4500003499</v>
      </c>
      <c r="S816" s="171">
        <f t="shared" si="404"/>
        <v>356231.15816337237</v>
      </c>
      <c r="T816" s="171">
        <f t="shared" si="405"/>
        <v>0</v>
      </c>
      <c r="U816" s="171">
        <f t="shared" si="393"/>
        <v>5998258.0589089654</v>
      </c>
      <c r="V816" s="171">
        <f t="shared" si="406"/>
        <v>0</v>
      </c>
      <c r="W816" s="171">
        <f>IF(OR(A816&gt;=$C$13,B816="Retired"),IF(V816&gt;0,-V816,U816-'Model Inputs'!$B$18),"")</f>
        <v>4998258.0589089654</v>
      </c>
      <c r="X816" s="171">
        <f t="shared" si="394"/>
        <v>3238558.7990319561</v>
      </c>
      <c r="Y816" s="171">
        <f t="shared" si="395"/>
        <v>395684.81104011135</v>
      </c>
      <c r="Z816" s="171">
        <f t="shared" si="396"/>
        <v>2842873.9879918448</v>
      </c>
      <c r="AA816" s="175">
        <f t="shared" si="397"/>
        <v>8841132.0469008107</v>
      </c>
      <c r="AB816" s="5"/>
      <c r="AC816" s="5"/>
      <c r="AD816" s="5"/>
      <c r="AE816" s="5"/>
      <c r="AF816" s="5"/>
      <c r="AG816" s="5"/>
    </row>
    <row r="817" spans="1:33" x14ac:dyDescent="0.2">
      <c r="A817" s="169">
        <v>33</v>
      </c>
      <c r="B817" s="100" t="str">
        <f t="shared" si="383"/>
        <v>Retired</v>
      </c>
      <c r="C817" s="170">
        <f t="shared" si="384"/>
        <v>0</v>
      </c>
      <c r="D817" s="170">
        <f t="shared" si="385"/>
        <v>0</v>
      </c>
      <c r="E817" s="170">
        <f t="shared" si="386"/>
        <v>0</v>
      </c>
      <c r="F817" s="170">
        <f t="shared" si="387"/>
        <v>0</v>
      </c>
      <c r="G817" s="171">
        <f t="shared" si="388"/>
        <v>0</v>
      </c>
      <c r="H817" s="171">
        <f t="shared" si="389"/>
        <v>143894.09995896585</v>
      </c>
      <c r="I817" s="171">
        <f>IF(B817="Working",MIN(MAX(D817-E817-F817-G817-H817,0),'Tax Assumptions'!$B$20),0)</f>
        <v>0</v>
      </c>
      <c r="J817" s="171">
        <f t="shared" si="390"/>
        <v>-343894.09995896585</v>
      </c>
      <c r="K817" s="170">
        <f t="shared" si="391"/>
        <v>343894.09995896585</v>
      </c>
      <c r="L817" s="170">
        <f t="shared" si="392"/>
        <v>343894.09995896585</v>
      </c>
      <c r="M817" s="170">
        <f t="shared" si="398"/>
        <v>343894.09995896585</v>
      </c>
      <c r="N817" s="170">
        <f t="shared" si="399"/>
        <v>0</v>
      </c>
      <c r="O817" s="170">
        <f t="shared" si="400"/>
        <v>0</v>
      </c>
      <c r="P817" s="170">
        <f t="shared" si="401"/>
        <v>0</v>
      </c>
      <c r="Q817" s="171">
        <f t="shared" si="402"/>
        <v>4403144.6578309918</v>
      </c>
      <c r="R817" s="171">
        <f t="shared" si="403"/>
        <v>1233509.7570003709</v>
      </c>
      <c r="S817" s="171">
        <f t="shared" si="404"/>
        <v>377605.02765317471</v>
      </c>
      <c r="T817" s="171">
        <f t="shared" si="405"/>
        <v>0</v>
      </c>
      <c r="U817" s="171">
        <f t="shared" si="393"/>
        <v>6014259.4424845371</v>
      </c>
      <c r="V817" s="171">
        <f t="shared" si="406"/>
        <v>0</v>
      </c>
      <c r="W817" s="171">
        <f>IF(OR(A817&gt;=$C$13,B817="Retired"),IF(V817&gt;0,-V817,U817-'Model Inputs'!$B$18),"")</f>
        <v>5014259.4424845371</v>
      </c>
      <c r="X817" s="171">
        <f t="shared" si="394"/>
        <v>3335715.5630029151</v>
      </c>
      <c r="Y817" s="171">
        <f t="shared" si="395"/>
        <v>349537.24351682514</v>
      </c>
      <c r="Z817" s="171">
        <f t="shared" si="396"/>
        <v>2986178.31948609</v>
      </c>
      <c r="AA817" s="172">
        <f t="shared" si="397"/>
        <v>9000437.7619706281</v>
      </c>
      <c r="AB817" s="5"/>
      <c r="AC817" s="5"/>
      <c r="AD817" s="5"/>
      <c r="AE817" s="5"/>
      <c r="AF817" s="5"/>
      <c r="AG817" s="5"/>
    </row>
    <row r="818" spans="1:33" x14ac:dyDescent="0.2">
      <c r="A818" s="173">
        <v>34</v>
      </c>
      <c r="B818" s="65" t="str">
        <f t="shared" si="383"/>
        <v>Retired</v>
      </c>
      <c r="C818" s="174">
        <f t="shared" si="384"/>
        <v>0</v>
      </c>
      <c r="D818" s="174">
        <f t="shared" si="385"/>
        <v>0</v>
      </c>
      <c r="E818" s="174">
        <f t="shared" si="386"/>
        <v>0</v>
      </c>
      <c r="F818" s="174">
        <f t="shared" si="387"/>
        <v>0</v>
      </c>
      <c r="G818" s="171">
        <f t="shared" si="388"/>
        <v>0</v>
      </c>
      <c r="H818" s="171">
        <f t="shared" si="389"/>
        <v>146095.67223054776</v>
      </c>
      <c r="I818" s="171">
        <f>IF(B818="Working",MIN(MAX(D818-E818-F818-G818-H818,0),'Tax Assumptions'!$B$20),0)</f>
        <v>0</v>
      </c>
      <c r="J818" s="171">
        <f t="shared" si="390"/>
        <v>-346095.67223054776</v>
      </c>
      <c r="K818" s="174">
        <f t="shared" si="391"/>
        <v>346095.67223054776</v>
      </c>
      <c r="L818" s="174">
        <f t="shared" si="392"/>
        <v>346095.67223054776</v>
      </c>
      <c r="M818" s="174">
        <f t="shared" si="398"/>
        <v>346095.67223054776</v>
      </c>
      <c r="N818" s="174">
        <f t="shared" si="399"/>
        <v>0</v>
      </c>
      <c r="O818" s="174">
        <f t="shared" si="400"/>
        <v>0</v>
      </c>
      <c r="P818" s="174">
        <f t="shared" si="401"/>
        <v>0</v>
      </c>
      <c r="Q818" s="171">
        <f t="shared" si="402"/>
        <v>4321237.6650703046</v>
      </c>
      <c r="R818" s="171">
        <f t="shared" si="403"/>
        <v>1307520.3424203931</v>
      </c>
      <c r="S818" s="171">
        <f t="shared" si="404"/>
        <v>400261.32931236521</v>
      </c>
      <c r="T818" s="171">
        <f t="shared" si="405"/>
        <v>0</v>
      </c>
      <c r="U818" s="171">
        <f t="shared" si="393"/>
        <v>6029019.3368030638</v>
      </c>
      <c r="V818" s="171">
        <f t="shared" si="406"/>
        <v>0</v>
      </c>
      <c r="W818" s="171">
        <f>IF(OR(A818&gt;=$C$13,B818="Retired"),IF(V818&gt;0,-V818,U818-'Model Inputs'!$B$18),"")</f>
        <v>5029019.3368030638</v>
      </c>
      <c r="X818" s="171">
        <f t="shared" si="394"/>
        <v>3435787.029893002</v>
      </c>
      <c r="Y818" s="171">
        <f t="shared" si="395"/>
        <v>300299.0879310919</v>
      </c>
      <c r="Z818" s="171">
        <f t="shared" si="396"/>
        <v>3135487.9419619101</v>
      </c>
      <c r="AA818" s="175">
        <f t="shared" si="397"/>
        <v>9164507.2787649743</v>
      </c>
      <c r="AB818" s="5"/>
      <c r="AC818" s="5"/>
      <c r="AD818" s="5"/>
      <c r="AE818" s="5"/>
      <c r="AF818" s="5"/>
      <c r="AG818" s="5"/>
    </row>
    <row r="819" spans="1:33" x14ac:dyDescent="0.2">
      <c r="A819" s="169">
        <v>35</v>
      </c>
      <c r="B819" s="100" t="str">
        <f t="shared" si="383"/>
        <v>Retired</v>
      </c>
      <c r="C819" s="170">
        <f t="shared" si="384"/>
        <v>0</v>
      </c>
      <c r="D819" s="170">
        <f t="shared" si="385"/>
        <v>0</v>
      </c>
      <c r="E819" s="170">
        <f t="shared" si="386"/>
        <v>0</v>
      </c>
      <c r="F819" s="170">
        <f t="shared" si="387"/>
        <v>0</v>
      </c>
      <c r="G819" s="171">
        <f t="shared" si="388"/>
        <v>0</v>
      </c>
      <c r="H819" s="171">
        <f t="shared" si="389"/>
        <v>148363.29167027713</v>
      </c>
      <c r="I819" s="171">
        <f>IF(B819="Working",MIN(MAX(D819-E819-F819-G819-H819,0),'Tax Assumptions'!$B$20),0)</f>
        <v>0</v>
      </c>
      <c r="J819" s="171">
        <f t="shared" si="390"/>
        <v>-348363.29167027713</v>
      </c>
      <c r="K819" s="170">
        <f t="shared" si="391"/>
        <v>348363.29167027713</v>
      </c>
      <c r="L819" s="170">
        <f t="shared" si="392"/>
        <v>348363.29167027713</v>
      </c>
      <c r="M819" s="170">
        <f t="shared" si="398"/>
        <v>348363.29167027713</v>
      </c>
      <c r="N819" s="170">
        <f t="shared" si="399"/>
        <v>0</v>
      </c>
      <c r="O819" s="170">
        <f t="shared" si="400"/>
        <v>0</v>
      </c>
      <c r="P819" s="170">
        <f t="shared" si="401"/>
        <v>0</v>
      </c>
      <c r="Q819" s="171">
        <f t="shared" si="402"/>
        <v>4232148.6333042467</v>
      </c>
      <c r="R819" s="171">
        <f t="shared" si="403"/>
        <v>1385971.5629656168</v>
      </c>
      <c r="S819" s="171">
        <f t="shared" si="404"/>
        <v>424277.00907110714</v>
      </c>
      <c r="T819" s="171">
        <f t="shared" si="405"/>
        <v>0</v>
      </c>
      <c r="U819" s="171">
        <f t="shared" si="393"/>
        <v>6042397.2053409703</v>
      </c>
      <c r="V819" s="171">
        <f t="shared" si="406"/>
        <v>0</v>
      </c>
      <c r="W819" s="171">
        <f>IF(OR(A819&gt;=$C$13,B819="Retired"),IF(V819&gt;0,-V819,U819-'Model Inputs'!$B$18),"")</f>
        <v>5042397.2053409703</v>
      </c>
      <c r="X819" s="171">
        <f t="shared" si="394"/>
        <v>3538860.6407897919</v>
      </c>
      <c r="Y819" s="171">
        <f t="shared" si="395"/>
        <v>247763.36187659204</v>
      </c>
      <c r="Z819" s="171">
        <f t="shared" si="396"/>
        <v>3291097.2789131999</v>
      </c>
      <c r="AA819" s="172">
        <f t="shared" si="397"/>
        <v>9333494.4842541702</v>
      </c>
      <c r="AB819" s="5"/>
      <c r="AC819" s="5"/>
      <c r="AD819" s="5"/>
      <c r="AE819" s="5"/>
      <c r="AF819" s="5"/>
      <c r="AG819" s="5"/>
    </row>
    <row r="820" spans="1:33" x14ac:dyDescent="0.2">
      <c r="A820" s="173">
        <v>36</v>
      </c>
      <c r="B820" s="65" t="str">
        <f t="shared" si="383"/>
        <v>Retired</v>
      </c>
      <c r="C820" s="174">
        <f t="shared" si="384"/>
        <v>0</v>
      </c>
      <c r="D820" s="174">
        <f t="shared" si="385"/>
        <v>0</v>
      </c>
      <c r="E820" s="174">
        <f t="shared" si="386"/>
        <v>0</v>
      </c>
      <c r="F820" s="174">
        <f t="shared" si="387"/>
        <v>0</v>
      </c>
      <c r="G820" s="171">
        <f t="shared" si="388"/>
        <v>0</v>
      </c>
      <c r="H820" s="171">
        <f t="shared" si="389"/>
        <v>150698.93969319839</v>
      </c>
      <c r="I820" s="171">
        <f>IF(B820="Working",MIN(MAX(D820-E820-F820-G820-H820,0),'Tax Assumptions'!$B$20),0)</f>
        <v>0</v>
      </c>
      <c r="J820" s="171">
        <f t="shared" si="390"/>
        <v>-350698.93969319842</v>
      </c>
      <c r="K820" s="174">
        <f t="shared" si="391"/>
        <v>350698.93969319842</v>
      </c>
      <c r="L820" s="174">
        <f t="shared" si="392"/>
        <v>350698.93969319842</v>
      </c>
      <c r="M820" s="174">
        <f t="shared" si="398"/>
        <v>350698.93969319842</v>
      </c>
      <c r="N820" s="174">
        <f t="shared" si="399"/>
        <v>0</v>
      </c>
      <c r="O820" s="174">
        <f t="shared" si="400"/>
        <v>0</v>
      </c>
      <c r="P820" s="174">
        <f t="shared" si="401"/>
        <v>0</v>
      </c>
      <c r="Q820" s="171">
        <f t="shared" si="402"/>
        <v>4135378.6116093034</v>
      </c>
      <c r="R820" s="171">
        <f t="shared" si="403"/>
        <v>1469129.8567435539</v>
      </c>
      <c r="S820" s="171">
        <f t="shared" si="404"/>
        <v>449733.62961537362</v>
      </c>
      <c r="T820" s="171">
        <f t="shared" si="405"/>
        <v>0</v>
      </c>
      <c r="U820" s="171">
        <f t="shared" si="393"/>
        <v>6054242.097968231</v>
      </c>
      <c r="V820" s="171">
        <f t="shared" si="406"/>
        <v>0</v>
      </c>
      <c r="W820" s="171">
        <f>IF(OR(A820&gt;=$C$13,B820="Retired"),IF(V820&gt;0,-V820,U820-'Model Inputs'!$B$18),"")</f>
        <v>5054242.097968231</v>
      </c>
      <c r="X820" s="171">
        <f t="shared" si="394"/>
        <v>3645026.4600134864</v>
      </c>
      <c r="Y820" s="171">
        <f t="shared" si="395"/>
        <v>191709.2209519241</v>
      </c>
      <c r="Z820" s="171">
        <f t="shared" si="396"/>
        <v>3453317.2390615623</v>
      </c>
      <c r="AA820" s="175">
        <f t="shared" si="397"/>
        <v>9507559.3370297924</v>
      </c>
      <c r="AB820" s="5"/>
      <c r="AC820" s="5"/>
      <c r="AD820" s="5"/>
      <c r="AE820" s="5"/>
      <c r="AF820" s="5"/>
      <c r="AG820" s="5"/>
    </row>
    <row r="821" spans="1:33" x14ac:dyDescent="0.2">
      <c r="A821" s="169">
        <v>37</v>
      </c>
      <c r="B821" s="100" t="str">
        <f t="shared" si="383"/>
        <v>Retired</v>
      </c>
      <c r="C821" s="170">
        <f t="shared" si="384"/>
        <v>0</v>
      </c>
      <c r="D821" s="170">
        <f t="shared" si="385"/>
        <v>0</v>
      </c>
      <c r="E821" s="170">
        <f t="shared" si="386"/>
        <v>0</v>
      </c>
      <c r="F821" s="170">
        <f t="shared" si="387"/>
        <v>0</v>
      </c>
      <c r="G821" s="171">
        <f t="shared" si="388"/>
        <v>0</v>
      </c>
      <c r="H821" s="171">
        <f t="shared" si="389"/>
        <v>153104.65715680731</v>
      </c>
      <c r="I821" s="171">
        <f>IF(B821="Working",MIN(MAX(D821-E821-F821-G821-H821,0),'Tax Assumptions'!$B$20),0)</f>
        <v>0</v>
      </c>
      <c r="J821" s="171">
        <f t="shared" si="390"/>
        <v>-353104.65715680731</v>
      </c>
      <c r="K821" s="170">
        <f t="shared" si="391"/>
        <v>353104.65715680731</v>
      </c>
      <c r="L821" s="170">
        <f t="shared" si="392"/>
        <v>353104.65715680731</v>
      </c>
      <c r="M821" s="170">
        <f t="shared" si="398"/>
        <v>353104.65715680731</v>
      </c>
      <c r="N821" s="170">
        <f t="shared" si="399"/>
        <v>0</v>
      </c>
      <c r="O821" s="170">
        <f t="shared" si="400"/>
        <v>0</v>
      </c>
      <c r="P821" s="170">
        <f t="shared" si="401"/>
        <v>0</v>
      </c>
      <c r="Q821" s="171">
        <f t="shared" si="402"/>
        <v>4030396.6711490545</v>
      </c>
      <c r="R821" s="171">
        <f t="shared" si="403"/>
        <v>1557277.6481481672</v>
      </c>
      <c r="S821" s="171">
        <f t="shared" si="404"/>
        <v>476717.64739229606</v>
      </c>
      <c r="T821" s="171">
        <f t="shared" si="405"/>
        <v>0</v>
      </c>
      <c r="U821" s="171">
        <f t="shared" si="393"/>
        <v>6064391.9666895177</v>
      </c>
      <c r="V821" s="171">
        <f t="shared" si="406"/>
        <v>0</v>
      </c>
      <c r="W821" s="171">
        <f>IF(OR(A821&gt;=$C$13,B821="Retired"),IF(V821&gt;0,-V821,U821-'Model Inputs'!$B$18),"")</f>
        <v>5064391.9666895177</v>
      </c>
      <c r="X821" s="171">
        <f t="shared" si="394"/>
        <v>3754377.2538138907</v>
      </c>
      <c r="Y821" s="171">
        <f t="shared" si="395"/>
        <v>131901.03039712086</v>
      </c>
      <c r="Z821" s="171">
        <f t="shared" si="396"/>
        <v>3622476.2234167699</v>
      </c>
      <c r="AA821" s="172">
        <f t="shared" si="397"/>
        <v>9686868.1901062876</v>
      </c>
      <c r="AB821" s="5"/>
      <c r="AC821" s="5"/>
      <c r="AD821" s="5"/>
      <c r="AE821" s="5"/>
      <c r="AF821" s="5"/>
      <c r="AG821" s="5"/>
    </row>
    <row r="822" spans="1:33" x14ac:dyDescent="0.2">
      <c r="A822" s="173">
        <v>38</v>
      </c>
      <c r="B822" s="65" t="str">
        <f t="shared" si="383"/>
        <v>Retired</v>
      </c>
      <c r="C822" s="174">
        <f t="shared" si="384"/>
        <v>0</v>
      </c>
      <c r="D822" s="174">
        <f t="shared" si="385"/>
        <v>0</v>
      </c>
      <c r="E822" s="174">
        <f t="shared" si="386"/>
        <v>0</v>
      </c>
      <c r="F822" s="174">
        <f t="shared" si="387"/>
        <v>0</v>
      </c>
      <c r="G822" s="171">
        <f t="shared" si="388"/>
        <v>0</v>
      </c>
      <c r="H822" s="171">
        <f t="shared" si="389"/>
        <v>155582.54614432447</v>
      </c>
      <c r="I822" s="171">
        <f>IF(B822="Working",MIN(MAX(D822-E822-F822-G822-H822,0),'Tax Assumptions'!$B$20),0)</f>
        <v>0</v>
      </c>
      <c r="J822" s="171">
        <f t="shared" si="390"/>
        <v>-355582.54614432447</v>
      </c>
      <c r="K822" s="174">
        <f t="shared" si="391"/>
        <v>355582.54614432447</v>
      </c>
      <c r="L822" s="174">
        <f t="shared" si="392"/>
        <v>355582.54614432447</v>
      </c>
      <c r="M822" s="174">
        <f t="shared" si="398"/>
        <v>355582.54614432447</v>
      </c>
      <c r="N822" s="174">
        <f t="shared" si="399"/>
        <v>0</v>
      </c>
      <c r="O822" s="174">
        <f t="shared" si="400"/>
        <v>0</v>
      </c>
      <c r="P822" s="174">
        <f t="shared" si="401"/>
        <v>0</v>
      </c>
      <c r="Q822" s="171">
        <f t="shared" si="402"/>
        <v>3916637.9252736736</v>
      </c>
      <c r="R822" s="171">
        <f t="shared" si="403"/>
        <v>1650714.3070370574</v>
      </c>
      <c r="S822" s="171">
        <f t="shared" si="404"/>
        <v>505320.70623583387</v>
      </c>
      <c r="T822" s="171">
        <f t="shared" si="405"/>
        <v>0</v>
      </c>
      <c r="U822" s="171">
        <f t="shared" si="393"/>
        <v>6072672.9385465644</v>
      </c>
      <c r="V822" s="171">
        <f t="shared" si="406"/>
        <v>0</v>
      </c>
      <c r="W822" s="171">
        <f>IF(OR(A822&gt;=$C$13,B822="Retired"),IF(V822&gt;0,-V822,U822-'Model Inputs'!$B$18),"")</f>
        <v>5072672.9385465644</v>
      </c>
      <c r="X822" s="171">
        <f t="shared" si="394"/>
        <v>3867008.5714283073</v>
      </c>
      <c r="Y822" s="171">
        <f t="shared" si="395"/>
        <v>68087.374555938877</v>
      </c>
      <c r="Z822" s="171">
        <f t="shared" si="396"/>
        <v>3798921.1968723685</v>
      </c>
      <c r="AA822" s="175">
        <f t="shared" si="397"/>
        <v>9871594.1354189329</v>
      </c>
      <c r="AB822" s="5"/>
      <c r="AC822" s="5"/>
      <c r="AD822" s="5"/>
      <c r="AE822" s="5"/>
      <c r="AF822" s="5"/>
      <c r="AG822" s="5"/>
    </row>
    <row r="823" spans="1:33" x14ac:dyDescent="0.2">
      <c r="A823" s="169">
        <v>39</v>
      </c>
      <c r="B823" s="100" t="str">
        <f t="shared" si="383"/>
        <v>Retired</v>
      </c>
      <c r="C823" s="170">
        <f t="shared" si="384"/>
        <v>0</v>
      </c>
      <c r="D823" s="170">
        <f t="shared" si="385"/>
        <v>0</v>
      </c>
      <c r="E823" s="170">
        <f t="shared" si="386"/>
        <v>0</v>
      </c>
      <c r="F823" s="170">
        <f t="shared" si="387"/>
        <v>0</v>
      </c>
      <c r="G823" s="171">
        <f t="shared" si="388"/>
        <v>0</v>
      </c>
      <c r="H823" s="171">
        <f t="shared" si="389"/>
        <v>158134.77180146711</v>
      </c>
      <c r="I823" s="171">
        <f>IF(B823="Working",MIN(MAX(D823-E823-F823-G823-H823,0),'Tax Assumptions'!$B$20),0)</f>
        <v>0</v>
      </c>
      <c r="J823" s="171">
        <f t="shared" si="390"/>
        <v>-358134.77180146711</v>
      </c>
      <c r="K823" s="170">
        <f t="shared" si="391"/>
        <v>358134.77180146711</v>
      </c>
      <c r="L823" s="170">
        <f t="shared" si="392"/>
        <v>358134.77180146711</v>
      </c>
      <c r="M823" s="170">
        <f t="shared" si="398"/>
        <v>358134.77180146711</v>
      </c>
      <c r="N823" s="170">
        <f t="shared" si="399"/>
        <v>0</v>
      </c>
      <c r="O823" s="170">
        <f t="shared" si="400"/>
        <v>0</v>
      </c>
      <c r="P823" s="170">
        <f t="shared" si="401"/>
        <v>0</v>
      </c>
      <c r="Q823" s="171">
        <f t="shared" si="402"/>
        <v>3793501.4289886272</v>
      </c>
      <c r="R823" s="171">
        <f t="shared" si="403"/>
        <v>1749757.1654592808</v>
      </c>
      <c r="S823" s="171">
        <f t="shared" si="404"/>
        <v>535639.9486099839</v>
      </c>
      <c r="T823" s="171">
        <f t="shared" si="405"/>
        <v>0</v>
      </c>
      <c r="U823" s="171">
        <f t="shared" si="393"/>
        <v>6078898.5430578915</v>
      </c>
      <c r="V823" s="171">
        <f t="shared" si="406"/>
        <v>0</v>
      </c>
      <c r="W823" s="171">
        <f>IF(OR(A823&gt;=$C$13,B823="Retired"),IF(V823&gt;0,-V823,U823-'Model Inputs'!$B$18),"")</f>
        <v>5078898.5430578915</v>
      </c>
      <c r="X823" s="171">
        <f t="shared" si="394"/>
        <v>3983018.8285711561</v>
      </c>
      <c r="Y823" s="171">
        <f t="shared" si="395"/>
        <v>0</v>
      </c>
      <c r="Z823" s="171">
        <f t="shared" si="396"/>
        <v>3983018.8285711561</v>
      </c>
      <c r="AA823" s="172">
        <f t="shared" si="397"/>
        <v>10061917.371629048</v>
      </c>
      <c r="AB823" s="5"/>
      <c r="AC823" s="5"/>
      <c r="AD823" s="5"/>
      <c r="AE823" s="5"/>
      <c r="AF823" s="5"/>
      <c r="AG823" s="5"/>
    </row>
    <row r="824" spans="1:33" x14ac:dyDescent="0.2">
      <c r="A824" s="173">
        <v>40</v>
      </c>
      <c r="B824" s="65" t="str">
        <f t="shared" si="383"/>
        <v>Retired</v>
      </c>
      <c r="C824" s="174">
        <f t="shared" si="384"/>
        <v>0</v>
      </c>
      <c r="D824" s="174">
        <f t="shared" si="385"/>
        <v>0</v>
      </c>
      <c r="E824" s="174">
        <f t="shared" si="386"/>
        <v>0</v>
      </c>
      <c r="F824" s="174">
        <f t="shared" si="387"/>
        <v>0</v>
      </c>
      <c r="G824" s="171">
        <f t="shared" si="388"/>
        <v>0</v>
      </c>
      <c r="H824" s="171">
        <f t="shared" si="389"/>
        <v>90255.206655422386</v>
      </c>
      <c r="I824" s="171">
        <f>IF(B824="Working",MIN(MAX(D824-E824-F824-G824-H824,0),'Tax Assumptions'!$B$20),0)</f>
        <v>0</v>
      </c>
      <c r="J824" s="171">
        <f t="shared" si="390"/>
        <v>-290255.2066554224</v>
      </c>
      <c r="K824" s="174">
        <f t="shared" si="391"/>
        <v>290255.2066554224</v>
      </c>
      <c r="L824" s="174">
        <f t="shared" si="392"/>
        <v>290255.2066554224</v>
      </c>
      <c r="M824" s="174">
        <f t="shared" si="398"/>
        <v>290255.2066554224</v>
      </c>
      <c r="N824" s="174">
        <f t="shared" si="399"/>
        <v>0</v>
      </c>
      <c r="O824" s="174">
        <f t="shared" si="400"/>
        <v>0</v>
      </c>
      <c r="P824" s="174">
        <f t="shared" si="401"/>
        <v>0</v>
      </c>
      <c r="Q824" s="171">
        <f t="shared" si="402"/>
        <v>3730856.3080725227</v>
      </c>
      <c r="R824" s="171">
        <f t="shared" si="403"/>
        <v>1854742.5953868378</v>
      </c>
      <c r="S824" s="171">
        <f t="shared" si="404"/>
        <v>567778.34552658291</v>
      </c>
      <c r="T824" s="171">
        <f t="shared" si="405"/>
        <v>0</v>
      </c>
      <c r="U824" s="171">
        <f t="shared" si="393"/>
        <v>6153377.2489859434</v>
      </c>
      <c r="V824" s="171">
        <f t="shared" si="406"/>
        <v>0</v>
      </c>
      <c r="W824" s="171">
        <f>IF(OR(A824&gt;=$C$13,B824="Retired"),IF(V824&gt;0,-V824,U824-'Model Inputs'!$B$18),"")</f>
        <v>5153377.2489859434</v>
      </c>
      <c r="X824" s="171">
        <f t="shared" si="394"/>
        <v>4102509.3934282907</v>
      </c>
      <c r="Y824" s="171">
        <f t="shared" si="395"/>
        <v>0</v>
      </c>
      <c r="Z824" s="171">
        <f t="shared" si="396"/>
        <v>4102509.3934282907</v>
      </c>
      <c r="AA824" s="175">
        <f t="shared" si="397"/>
        <v>10255886.642414235</v>
      </c>
      <c r="AB824" s="5"/>
      <c r="AC824" s="5"/>
      <c r="AD824" s="5"/>
      <c r="AE824" s="5"/>
      <c r="AF824" s="5"/>
      <c r="AG824" s="5"/>
    </row>
    <row r="825" spans="1:33" x14ac:dyDescent="0.2">
      <c r="A825" s="176" t="s">
        <v>369</v>
      </c>
      <c r="B825" s="177"/>
      <c r="C825" s="177"/>
      <c r="D825" s="177"/>
      <c r="E825" s="177"/>
      <c r="F825" s="177"/>
      <c r="G825" s="178">
        <f t="shared" ref="G825:P825" si="407">SUM(G785:G824)</f>
        <v>802835.28666899295</v>
      </c>
      <c r="H825" s="178">
        <f t="shared" si="407"/>
        <v>3974547.8183763544</v>
      </c>
      <c r="I825" s="178">
        <f t="shared" si="407"/>
        <v>75000</v>
      </c>
      <c r="J825" s="178">
        <f t="shared" si="407"/>
        <v>-5929790.8650048235</v>
      </c>
      <c r="K825" s="178">
        <f t="shared" si="407"/>
        <v>9866855.5106840469</v>
      </c>
      <c r="L825" s="178">
        <f t="shared" si="407"/>
        <v>9866855.5106840469</v>
      </c>
      <c r="M825" s="178">
        <f t="shared" si="407"/>
        <v>9866855.5106840469</v>
      </c>
      <c r="N825" s="178">
        <f t="shared" si="407"/>
        <v>0</v>
      </c>
      <c r="O825" s="178">
        <f t="shared" si="407"/>
        <v>0</v>
      </c>
      <c r="P825" s="178">
        <f t="shared" si="407"/>
        <v>0</v>
      </c>
      <c r="Q825" s="178">
        <f>Q824</f>
        <v>3730856.3080725227</v>
      </c>
      <c r="R825" s="178">
        <f>R824</f>
        <v>1854742.5953868378</v>
      </c>
      <c r="S825" s="178">
        <f>S824</f>
        <v>567778.34552658291</v>
      </c>
      <c r="T825" s="178">
        <f>T824</f>
        <v>0</v>
      </c>
      <c r="U825" s="178">
        <f>U824</f>
        <v>6153377.2489859434</v>
      </c>
      <c r="V825" s="178">
        <f>SUM(V785:V824)</f>
        <v>0</v>
      </c>
      <c r="W825" s="178">
        <f>MIN(W785:W824)</f>
        <v>4519714.0461025937</v>
      </c>
      <c r="X825" s="178">
        <f>X824</f>
        <v>4102509.3934282907</v>
      </c>
      <c r="Y825" s="178">
        <f>Y824</f>
        <v>0</v>
      </c>
      <c r="Z825" s="178">
        <f>Z824</f>
        <v>4102509.3934282907</v>
      </c>
      <c r="AA825" s="179">
        <f>AA824</f>
        <v>10255886.642414235</v>
      </c>
      <c r="AB825" s="5"/>
      <c r="AC825" s="5"/>
      <c r="AD825" s="5"/>
      <c r="AE825" s="5"/>
      <c r="AF825" s="5"/>
      <c r="AG825" s="5"/>
    </row>
    <row r="826" spans="1:33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x14ac:dyDescent="0.2">
      <c r="A827" s="319" t="str">
        <f>J240&amp;" | House "&amp;TEXT($L$240,"$#,##0")&amp;" | Spend "&amp;TEXT($N$240,"$#,##0")</f>
        <v>Case 14 | House $1,690,180 | Spend $230,000</v>
      </c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8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9"/>
      <c r="AB827" s="5"/>
      <c r="AC827" s="5"/>
      <c r="AD827" s="5"/>
      <c r="AE827" s="5"/>
      <c r="AF827" s="5"/>
      <c r="AG827" s="5"/>
    </row>
    <row r="828" spans="1:33" ht="34" customHeight="1" x14ac:dyDescent="0.2">
      <c r="A828" s="167" t="s">
        <v>224</v>
      </c>
      <c r="B828" s="112" t="s">
        <v>106</v>
      </c>
      <c r="C828" s="112" t="s">
        <v>357</v>
      </c>
      <c r="D828" s="112" t="s">
        <v>66</v>
      </c>
      <c r="E828" s="112" t="s">
        <v>300</v>
      </c>
      <c r="F828" s="112" t="s">
        <v>301</v>
      </c>
      <c r="G828" s="112" t="s">
        <v>358</v>
      </c>
      <c r="H828" s="112" t="s">
        <v>359</v>
      </c>
      <c r="I828" s="112" t="s">
        <v>69</v>
      </c>
      <c r="J828" s="112" t="s">
        <v>360</v>
      </c>
      <c r="K828" s="112" t="s">
        <v>361</v>
      </c>
      <c r="L828" s="112" t="s">
        <v>362</v>
      </c>
      <c r="M828" s="112" t="s">
        <v>304</v>
      </c>
      <c r="N828" s="112" t="s">
        <v>305</v>
      </c>
      <c r="O828" s="112" t="s">
        <v>306</v>
      </c>
      <c r="P828" s="112" t="s">
        <v>307</v>
      </c>
      <c r="Q828" s="112" t="s">
        <v>363</v>
      </c>
      <c r="R828" s="112" t="s">
        <v>364</v>
      </c>
      <c r="S828" s="112" t="s">
        <v>365</v>
      </c>
      <c r="T828" s="112" t="s">
        <v>366</v>
      </c>
      <c r="U828" s="112" t="s">
        <v>308</v>
      </c>
      <c r="V828" s="112" t="s">
        <v>309</v>
      </c>
      <c r="W828" s="112" t="s">
        <v>367</v>
      </c>
      <c r="X828" s="112" t="s">
        <v>311</v>
      </c>
      <c r="Y828" s="112" t="s">
        <v>312</v>
      </c>
      <c r="Z828" s="112" t="s">
        <v>313</v>
      </c>
      <c r="AA828" s="168" t="s">
        <v>368</v>
      </c>
      <c r="AB828" s="5"/>
      <c r="AC828" s="5"/>
      <c r="AD828" s="5"/>
      <c r="AE828" s="5"/>
      <c r="AF828" s="5"/>
      <c r="AG828" s="5"/>
    </row>
    <row r="829" spans="1:33" x14ac:dyDescent="0.2">
      <c r="A829" s="169">
        <v>1</v>
      </c>
      <c r="B829" s="100" t="str">
        <f t="shared" ref="B829:B868" si="408">B80</f>
        <v>Working</v>
      </c>
      <c r="C829" s="170">
        <f t="shared" ref="C829:C868" si="409">D80</f>
        <v>550000</v>
      </c>
      <c r="D829" s="170">
        <f t="shared" ref="D829:D868" si="410">I80</f>
        <v>302665.46999999997</v>
      </c>
      <c r="E829" s="170">
        <f t="shared" ref="E829:E868" si="411">J80</f>
        <v>78000</v>
      </c>
      <c r="F829" s="170">
        <f t="shared" ref="F829:F868" si="412">K80</f>
        <v>40000</v>
      </c>
      <c r="G829" s="171">
        <f t="shared" ref="G829:G868" si="413">IF(AND($L$240&gt;0,A829=$C$13),$L$240*($C$15+$C$18),0)+IF(AND($L$240&gt;0,A829=$C$13),$C$24,0)</f>
        <v>0</v>
      </c>
      <c r="H829" s="171">
        <f t="shared" ref="H829:H868" si="414">IF(OR($L$240&lt;=0,A829&lt;$C$13),0,IF(AND($L$240&gt;0,$C$17&gt;0,A829&gt;=$C$13,A829&lt;($C$13+$C$17)),IF($C$17&lt;=0,0,IF($C$16=0,MAX($L$240*(1-$C$15),0)/$C$17,-PMT($C$16/12,$C$17*12,MAX($L$240*(1-$C$15),0))*12)),0)+X829*($C$19+$C$20+$C$21)+$C$22+$C$23)</f>
        <v>0</v>
      </c>
      <c r="I829" s="171">
        <f>IF(B829="Working",MIN(MAX(D829-E829-F829-G829-H829,0),'Tax Assumptions'!$B$20),0)</f>
        <v>7500</v>
      </c>
      <c r="J829" s="171">
        <f t="shared" ref="J829:J868" si="415">IF(B829="Working",D829-E829-F829-I829-G829-H829,-L829)</f>
        <v>177165.46999999997</v>
      </c>
      <c r="K829" s="170">
        <f t="shared" ref="K829:K868" si="416">IF(B829="Retired",$N$240+G829+H829,0)</f>
        <v>0</v>
      </c>
      <c r="L829" s="170">
        <f t="shared" ref="L829:L868" si="417">M829+N829+O829+P829</f>
        <v>0</v>
      </c>
      <c r="M829" s="170">
        <f>IF(B829="Retired",MIN((('Savings Projection'!$B$7)*(1+$C$10)+IF(B829="Working",J829,0)),K829),0)</f>
        <v>0</v>
      </c>
      <c r="N829" s="170">
        <f>IF(B829="Retired",MIN(MAX(K829-M829,0),(('Savings Projection'!$B$8)*(1+$C$10)+IF(B829="Working",E80,0))),0)</f>
        <v>0</v>
      </c>
      <c r="O829" s="170">
        <f>IF(B829="Retired",MIN(MAX(K829-M829-N829,0),(('Savings Projection'!$B$9)*(1+$C$10)+IF(B829="Working",I829,0))),0)</f>
        <v>0</v>
      </c>
      <c r="P829" s="170">
        <f>IF(B829="Retired",MIN(MAX(K829-M829-N829-O829,0),(('Savings Projection'!$B$10)*(1+$C$10)+IF(B829="Working",F80,0))),0)</f>
        <v>0</v>
      </c>
      <c r="Q829" s="171">
        <f>MAX((('Savings Projection'!$B$7)*(1+$C$10)+IF(B829="Working",J829,0))-M829,0)</f>
        <v>336165.47</v>
      </c>
      <c r="R829" s="171">
        <f>MAX((('Savings Projection'!$B$8)*(1+$C$10)+IF(B829="Working",E80,0))-N829,0)</f>
        <v>24500</v>
      </c>
      <c r="S829" s="171">
        <f>MAX((('Savings Projection'!$B$9)*(1+$C$10)+IF(B829="Working",I829,0))-O829,0)</f>
        <v>7500</v>
      </c>
      <c r="T829" s="171">
        <f>MAX((('Savings Projection'!$B$10)*(1+$C$10)+IF(B829="Working",F80,0))-P829,0)</f>
        <v>0</v>
      </c>
      <c r="U829" s="171">
        <f t="shared" ref="U829:U868" si="418">Q829+R829+S829+T829</f>
        <v>368165.47</v>
      </c>
      <c r="V829" s="171">
        <f>IF(B829="Working",MAX(-((('Savings Projection'!$B$7)*(1+$C$10)+IF(B829="Working",J829,0))),0),MAX(K829-L829,0))</f>
        <v>0</v>
      </c>
      <c r="W829" s="171" t="str">
        <f>IF(OR(A829&gt;=$C$13,B829="Retired"),IF(V829&gt;0,-V829,U829-'Model Inputs'!$B$18),"")</f>
        <v/>
      </c>
      <c r="X829" s="171">
        <f t="shared" ref="X829:X868" si="419">IF(AND($L$240&gt;0,A829&gt;=$C$13),$L$240*(1+$C$25)^(A829-$C$13),0)</f>
        <v>0</v>
      </c>
      <c r="Y829" s="171">
        <f t="shared" ref="Y829:Y868" si="420">IF(OR($L$240&lt;=0,$C$17&lt;=0,A829&lt;$C$13,MIN(MAX((A829-$C$13+1)*12,0),$C$17*12)&gt;=$C$17*12),0,IF($C$16=0,MAX(MAX($L$240*(1-$C$15),0)-(IF($C$17&lt;=0,0,IF($C$16=0,MAX($L$240*(1-$C$15),0)/$C$17,-PMT($C$16/12,$C$17*12,MAX($L$240*(1-$C$15),0))*12))/12)*MIN(MAX((A829-$C$13+1)*12,0),$C$17*12),0),MAX(MAX($L$240*(1-$C$15),0)*(1+$C$16/12)^MIN(MAX((A829-$C$13+1)*12,0),$C$17*12)-(IF($C$17&lt;=0,0,IF($C$16=0,MAX($L$240*(1-$C$15),0)/$C$17,-PMT($C$16/12,$C$17*12,MAX($L$240*(1-$C$15),0))*12))/12)*(((1+$C$16/12)^MIN(MAX((A829-$C$13+1)*12,0),$C$17*12)-1)/($C$16/12)),0)))</f>
        <v>0</v>
      </c>
      <c r="Z829" s="171">
        <f t="shared" ref="Z829:Z868" si="421">MAX(X829-Y829,0)</f>
        <v>0</v>
      </c>
      <c r="AA829" s="172">
        <f t="shared" ref="AA829:AA868" si="422">U829+Z829</f>
        <v>368165.47</v>
      </c>
      <c r="AB829" s="5"/>
      <c r="AC829" s="5"/>
      <c r="AD829" s="5"/>
      <c r="AE829" s="5"/>
      <c r="AF829" s="5"/>
      <c r="AG829" s="5"/>
    </row>
    <row r="830" spans="1:33" x14ac:dyDescent="0.2">
      <c r="A830" s="173">
        <v>2</v>
      </c>
      <c r="B830" s="65" t="str">
        <f t="shared" si="408"/>
        <v>Working</v>
      </c>
      <c r="C830" s="174">
        <f t="shared" si="409"/>
        <v>412500</v>
      </c>
      <c r="D830" s="174">
        <f t="shared" si="410"/>
        <v>231269.97</v>
      </c>
      <c r="E830" s="174">
        <f t="shared" si="411"/>
        <v>80340</v>
      </c>
      <c r="F830" s="174">
        <f t="shared" si="412"/>
        <v>41200</v>
      </c>
      <c r="G830" s="171">
        <f t="shared" si="413"/>
        <v>0</v>
      </c>
      <c r="H830" s="171">
        <f t="shared" si="414"/>
        <v>0</v>
      </c>
      <c r="I830" s="171">
        <f>IF(B830="Working",MIN(MAX(D830-E830-F830-G830-H830,0),'Tax Assumptions'!$B$20),0)</f>
        <v>7500</v>
      </c>
      <c r="J830" s="171">
        <f t="shared" si="415"/>
        <v>102229.97</v>
      </c>
      <c r="K830" s="174">
        <f t="shared" si="416"/>
        <v>0</v>
      </c>
      <c r="L830" s="174">
        <f t="shared" si="417"/>
        <v>0</v>
      </c>
      <c r="M830" s="174">
        <f t="shared" ref="M830:M868" si="423">IF(B830="Retired",MIN(((Q829)*(1+$C$10)+IF(B830="Working",J830,0)),K830),0)</f>
        <v>0</v>
      </c>
      <c r="N830" s="174">
        <f t="shared" ref="N830:N868" si="424">IF(B830="Retired",MIN(MAX(K830-M830,0),((R829)*(1+$C$10)+IF(B830="Working",E81,0))),0)</f>
        <v>0</v>
      </c>
      <c r="O830" s="174">
        <f t="shared" ref="O830:O868" si="425">IF(B830="Retired",MIN(MAX(K830-M830-N830,0),((S829)*(1+$C$10)+IF(B830="Working",I830,0))),0)</f>
        <v>0</v>
      </c>
      <c r="P830" s="174">
        <f t="shared" ref="P830:P868" si="426">IF(B830="Retired",MIN(MAX(K830-M830-N830-O830,0),((T829)*(1+$C$10)+IF(B830="Working",F81,0))),0)</f>
        <v>0</v>
      </c>
      <c r="Q830" s="171">
        <f t="shared" ref="Q830:Q868" si="427">MAX(((Q829)*(1+$C$10)+IF(B830="Working",J830,0))-M830,0)</f>
        <v>458565.36820000003</v>
      </c>
      <c r="R830" s="171">
        <f t="shared" ref="R830:R868" si="428">MAX(((R829)*(1+$C$10)+IF(B830="Working",E81,0))-N830,0)</f>
        <v>50470</v>
      </c>
      <c r="S830" s="171">
        <f t="shared" ref="S830:S868" si="429">MAX(((S829)*(1+$C$10)+IF(B830="Working",I830,0))-O830,0)</f>
        <v>15450</v>
      </c>
      <c r="T830" s="171">
        <f t="shared" ref="T830:T868" si="430">MAX(((T829)*(1+$C$10)+IF(B830="Working",F81,0))-P830,0)</f>
        <v>0</v>
      </c>
      <c r="U830" s="171">
        <f t="shared" si="418"/>
        <v>524485.36820000003</v>
      </c>
      <c r="V830" s="171">
        <f t="shared" ref="V830:V868" si="431">IF(B830="Working",MAX(-(((Q829)*(1+$C$10)+IF(B830="Working",J830,0))),0),MAX(K830-L830,0))</f>
        <v>0</v>
      </c>
      <c r="W830" s="171" t="str">
        <f>IF(OR(A830&gt;=$C$13,B830="Retired"),IF(V830&gt;0,-V830,U830-'Model Inputs'!$B$18),"")</f>
        <v/>
      </c>
      <c r="X830" s="171">
        <f t="shared" si="419"/>
        <v>0</v>
      </c>
      <c r="Y830" s="171">
        <f t="shared" si="420"/>
        <v>0</v>
      </c>
      <c r="Z830" s="171">
        <f t="shared" si="421"/>
        <v>0</v>
      </c>
      <c r="AA830" s="175">
        <f t="shared" si="422"/>
        <v>524485.36820000003</v>
      </c>
      <c r="AB830" s="5"/>
      <c r="AC830" s="5"/>
      <c r="AD830" s="5"/>
      <c r="AE830" s="5"/>
      <c r="AF830" s="5"/>
      <c r="AG830" s="5"/>
    </row>
    <row r="831" spans="1:33" x14ac:dyDescent="0.2">
      <c r="A831" s="169">
        <v>3</v>
      </c>
      <c r="B831" s="100" t="str">
        <f t="shared" si="408"/>
        <v>Working</v>
      </c>
      <c r="C831" s="170">
        <f t="shared" si="409"/>
        <v>675000</v>
      </c>
      <c r="D831" s="170">
        <f t="shared" si="410"/>
        <v>367570.47</v>
      </c>
      <c r="E831" s="170">
        <f t="shared" si="411"/>
        <v>82750.2</v>
      </c>
      <c r="F831" s="170">
        <f t="shared" si="412"/>
        <v>53045</v>
      </c>
      <c r="G831" s="171">
        <f t="shared" si="413"/>
        <v>0</v>
      </c>
      <c r="H831" s="171">
        <f t="shared" si="414"/>
        <v>0</v>
      </c>
      <c r="I831" s="171">
        <f>IF(B831="Working",MIN(MAX(D831-E831-F831-G831-H831,0),'Tax Assumptions'!$B$20),0)</f>
        <v>7500</v>
      </c>
      <c r="J831" s="171">
        <f t="shared" si="415"/>
        <v>224275.26999999996</v>
      </c>
      <c r="K831" s="170">
        <f t="shared" si="416"/>
        <v>0</v>
      </c>
      <c r="L831" s="170">
        <f t="shared" si="417"/>
        <v>0</v>
      </c>
      <c r="M831" s="170">
        <f t="shared" si="423"/>
        <v>0</v>
      </c>
      <c r="N831" s="170">
        <f t="shared" si="424"/>
        <v>0</v>
      </c>
      <c r="O831" s="170">
        <f t="shared" si="425"/>
        <v>0</v>
      </c>
      <c r="P831" s="170">
        <f t="shared" si="426"/>
        <v>0</v>
      </c>
      <c r="Q831" s="171">
        <f t="shared" si="427"/>
        <v>710354.56029199995</v>
      </c>
      <c r="R831" s="171">
        <f t="shared" si="428"/>
        <v>77998.200000000012</v>
      </c>
      <c r="S831" s="171">
        <f t="shared" si="429"/>
        <v>23877</v>
      </c>
      <c r="T831" s="171">
        <f t="shared" si="430"/>
        <v>0</v>
      </c>
      <c r="U831" s="171">
        <f t="shared" si="418"/>
        <v>812229.7602919999</v>
      </c>
      <c r="V831" s="171">
        <f t="shared" si="431"/>
        <v>0</v>
      </c>
      <c r="W831" s="171" t="str">
        <f>IF(OR(A831&gt;=$C$13,B831="Retired"),IF(V831&gt;0,-V831,U831-'Model Inputs'!$B$18),"")</f>
        <v/>
      </c>
      <c r="X831" s="171">
        <f t="shared" si="419"/>
        <v>0</v>
      </c>
      <c r="Y831" s="171">
        <f t="shared" si="420"/>
        <v>0</v>
      </c>
      <c r="Z831" s="171">
        <f t="shared" si="421"/>
        <v>0</v>
      </c>
      <c r="AA831" s="172">
        <f t="shared" si="422"/>
        <v>812229.7602919999</v>
      </c>
      <c r="AB831" s="5"/>
      <c r="AC831" s="5"/>
      <c r="AD831" s="5"/>
      <c r="AE831" s="5"/>
      <c r="AF831" s="5"/>
      <c r="AG831" s="5"/>
    </row>
    <row r="832" spans="1:33" x14ac:dyDescent="0.2">
      <c r="A832" s="173">
        <v>4</v>
      </c>
      <c r="B832" s="65" t="str">
        <f t="shared" si="408"/>
        <v>Working</v>
      </c>
      <c r="C832" s="174">
        <f t="shared" si="409"/>
        <v>750000</v>
      </c>
      <c r="D832" s="174">
        <f t="shared" si="410"/>
        <v>405137.47</v>
      </c>
      <c r="E832" s="174">
        <f t="shared" si="411"/>
        <v>85232.706000000006</v>
      </c>
      <c r="F832" s="174">
        <f t="shared" si="412"/>
        <v>54636.35</v>
      </c>
      <c r="G832" s="171">
        <f t="shared" si="413"/>
        <v>0</v>
      </c>
      <c r="H832" s="171">
        <f t="shared" si="414"/>
        <v>0</v>
      </c>
      <c r="I832" s="171">
        <f>IF(B832="Working",MIN(MAX(D832-E832-F832-G832-H832,0),'Tax Assumptions'!$B$20),0)</f>
        <v>7500</v>
      </c>
      <c r="J832" s="171">
        <f t="shared" si="415"/>
        <v>257768.41399999999</v>
      </c>
      <c r="K832" s="174">
        <f t="shared" si="416"/>
        <v>0</v>
      </c>
      <c r="L832" s="174">
        <f t="shared" si="417"/>
        <v>0</v>
      </c>
      <c r="M832" s="174">
        <f t="shared" si="423"/>
        <v>0</v>
      </c>
      <c r="N832" s="174">
        <f t="shared" si="424"/>
        <v>0</v>
      </c>
      <c r="O832" s="174">
        <f t="shared" si="425"/>
        <v>0</v>
      </c>
      <c r="P832" s="174">
        <f t="shared" si="426"/>
        <v>0</v>
      </c>
      <c r="Q832" s="171">
        <f t="shared" si="427"/>
        <v>1010744.2479095199</v>
      </c>
      <c r="R832" s="171">
        <f t="shared" si="428"/>
        <v>107178.09200000002</v>
      </c>
      <c r="S832" s="171">
        <f t="shared" si="429"/>
        <v>32809.620000000003</v>
      </c>
      <c r="T832" s="171">
        <f t="shared" si="430"/>
        <v>0</v>
      </c>
      <c r="U832" s="171">
        <f t="shared" si="418"/>
        <v>1150731.9599095201</v>
      </c>
      <c r="V832" s="171">
        <f t="shared" si="431"/>
        <v>0</v>
      </c>
      <c r="W832" s="171" t="str">
        <f>IF(OR(A832&gt;=$C$13,B832="Retired"),IF(V832&gt;0,-V832,U832-'Model Inputs'!$B$18),"")</f>
        <v/>
      </c>
      <c r="X832" s="171">
        <f t="shared" si="419"/>
        <v>0</v>
      </c>
      <c r="Y832" s="171">
        <f t="shared" si="420"/>
        <v>0</v>
      </c>
      <c r="Z832" s="171">
        <f t="shared" si="421"/>
        <v>0</v>
      </c>
      <c r="AA832" s="175">
        <f t="shared" si="422"/>
        <v>1150731.9599095201</v>
      </c>
      <c r="AB832" s="5"/>
      <c r="AC832" s="5"/>
      <c r="AD832" s="5"/>
      <c r="AE832" s="5"/>
      <c r="AF832" s="5"/>
      <c r="AG832" s="5"/>
    </row>
    <row r="833" spans="1:33" x14ac:dyDescent="0.2">
      <c r="A833" s="169">
        <v>5</v>
      </c>
      <c r="B833" s="100" t="str">
        <f t="shared" si="408"/>
        <v>Working</v>
      </c>
      <c r="C833" s="170">
        <f t="shared" si="409"/>
        <v>953837.51358640334</v>
      </c>
      <c r="D833" s="170">
        <f t="shared" si="410"/>
        <v>506901.31028287602</v>
      </c>
      <c r="E833" s="170">
        <f t="shared" si="411"/>
        <v>87789.687179999994</v>
      </c>
      <c r="F833" s="170">
        <f t="shared" si="412"/>
        <v>56275.440499999997</v>
      </c>
      <c r="G833" s="171">
        <f t="shared" si="413"/>
        <v>0</v>
      </c>
      <c r="H833" s="171">
        <f t="shared" si="414"/>
        <v>0</v>
      </c>
      <c r="I833" s="171">
        <f>IF(B833="Working",MIN(MAX(D833-E833-F833-G833-H833,0),'Tax Assumptions'!$B$20),0)</f>
        <v>7500</v>
      </c>
      <c r="J833" s="171">
        <f t="shared" si="415"/>
        <v>355336.18260287598</v>
      </c>
      <c r="K833" s="170">
        <f t="shared" si="416"/>
        <v>0</v>
      </c>
      <c r="L833" s="170">
        <f t="shared" si="417"/>
        <v>0</v>
      </c>
      <c r="M833" s="170">
        <f t="shared" si="423"/>
        <v>0</v>
      </c>
      <c r="N833" s="170">
        <f t="shared" si="424"/>
        <v>0</v>
      </c>
      <c r="O833" s="170">
        <f t="shared" si="425"/>
        <v>0</v>
      </c>
      <c r="P833" s="170">
        <f t="shared" si="426"/>
        <v>0</v>
      </c>
      <c r="Q833" s="171">
        <f t="shared" si="427"/>
        <v>1426725.0853869673</v>
      </c>
      <c r="R833" s="171">
        <f t="shared" si="428"/>
        <v>138108.77752000003</v>
      </c>
      <c r="S833" s="171">
        <f t="shared" si="429"/>
        <v>42278.197200000002</v>
      </c>
      <c r="T833" s="171">
        <f t="shared" si="430"/>
        <v>0</v>
      </c>
      <c r="U833" s="171">
        <f t="shared" si="418"/>
        <v>1607112.0601069673</v>
      </c>
      <c r="V833" s="171">
        <f t="shared" si="431"/>
        <v>0</v>
      </c>
      <c r="W833" s="171" t="str">
        <f>IF(OR(A833&gt;=$C$13,B833="Retired"),IF(V833&gt;0,-V833,U833-'Model Inputs'!$B$18),"")</f>
        <v/>
      </c>
      <c r="X833" s="171">
        <f t="shared" si="419"/>
        <v>0</v>
      </c>
      <c r="Y833" s="171">
        <f t="shared" si="420"/>
        <v>0</v>
      </c>
      <c r="Z833" s="171">
        <f t="shared" si="421"/>
        <v>0</v>
      </c>
      <c r="AA833" s="172">
        <f t="shared" si="422"/>
        <v>1607112.0601069673</v>
      </c>
      <c r="AB833" s="5"/>
      <c r="AC833" s="5"/>
      <c r="AD833" s="5"/>
      <c r="AE833" s="5"/>
      <c r="AF833" s="5"/>
      <c r="AG833" s="5"/>
    </row>
    <row r="834" spans="1:33" x14ac:dyDescent="0.2">
      <c r="A834" s="173">
        <v>6</v>
      </c>
      <c r="B834" s="65" t="str">
        <f t="shared" si="408"/>
        <v>Working</v>
      </c>
      <c r="C834" s="174">
        <f t="shared" si="409"/>
        <v>1118900.665838565</v>
      </c>
      <c r="D834" s="174">
        <f t="shared" si="410"/>
        <v>589060.11476976541</v>
      </c>
      <c r="E834" s="174">
        <f t="shared" si="411"/>
        <v>92741.925943999988</v>
      </c>
      <c r="F834" s="174">
        <f t="shared" si="412"/>
        <v>57963.703714999989</v>
      </c>
      <c r="G834" s="171">
        <f t="shared" si="413"/>
        <v>0</v>
      </c>
      <c r="H834" s="171">
        <f t="shared" si="414"/>
        <v>0</v>
      </c>
      <c r="I834" s="171">
        <f>IF(B834="Working",MIN(MAX(D834-E834-F834-G834-H834,0),'Tax Assumptions'!$B$20),0)</f>
        <v>7500</v>
      </c>
      <c r="J834" s="171">
        <f t="shared" si="415"/>
        <v>430854.48511076538</v>
      </c>
      <c r="K834" s="174">
        <f t="shared" si="416"/>
        <v>0</v>
      </c>
      <c r="L834" s="174">
        <f t="shared" si="417"/>
        <v>0</v>
      </c>
      <c r="M834" s="174">
        <f t="shared" si="423"/>
        <v>0</v>
      </c>
      <c r="N834" s="174">
        <f t="shared" si="424"/>
        <v>0</v>
      </c>
      <c r="O834" s="174">
        <f t="shared" si="425"/>
        <v>0</v>
      </c>
      <c r="P834" s="174">
        <f t="shared" si="426"/>
        <v>0</v>
      </c>
      <c r="Q834" s="171">
        <f t="shared" si="427"/>
        <v>1943183.0756209507</v>
      </c>
      <c r="R834" s="171">
        <f t="shared" si="428"/>
        <v>170895.30417120006</v>
      </c>
      <c r="S834" s="171">
        <f t="shared" si="429"/>
        <v>52314.889032000006</v>
      </c>
      <c r="T834" s="171">
        <f t="shared" si="430"/>
        <v>0</v>
      </c>
      <c r="U834" s="171">
        <f t="shared" si="418"/>
        <v>2166393.2688241508</v>
      </c>
      <c r="V834" s="171">
        <f t="shared" si="431"/>
        <v>0</v>
      </c>
      <c r="W834" s="171" t="str">
        <f>IF(OR(A834&gt;=$C$13,B834="Retired"),IF(V834&gt;0,-V834,U834-'Model Inputs'!$B$18),"")</f>
        <v/>
      </c>
      <c r="X834" s="171">
        <f t="shared" si="419"/>
        <v>0</v>
      </c>
      <c r="Y834" s="171">
        <f t="shared" si="420"/>
        <v>0</v>
      </c>
      <c r="Z834" s="171">
        <f t="shared" si="421"/>
        <v>0</v>
      </c>
      <c r="AA834" s="175">
        <f t="shared" si="422"/>
        <v>2166393.2688241508</v>
      </c>
      <c r="AB834" s="5"/>
      <c r="AC834" s="5"/>
      <c r="AD834" s="5"/>
      <c r="AE834" s="5"/>
      <c r="AF834" s="5"/>
      <c r="AG834" s="5"/>
    </row>
    <row r="835" spans="1:33" x14ac:dyDescent="0.2">
      <c r="A835" s="169">
        <v>7</v>
      </c>
      <c r="B835" s="100" t="str">
        <f t="shared" si="408"/>
        <v>Working</v>
      </c>
      <c r="C835" s="170">
        <f t="shared" si="409"/>
        <v>1418318.448466131</v>
      </c>
      <c r="D835" s="170">
        <f t="shared" si="410"/>
        <v>730157.75065517949</v>
      </c>
      <c r="E835" s="170">
        <f t="shared" si="411"/>
        <v>95524.183722319998</v>
      </c>
      <c r="F835" s="170">
        <f t="shared" si="412"/>
        <v>59702.614826449993</v>
      </c>
      <c r="G835" s="171">
        <f t="shared" si="413"/>
        <v>0</v>
      </c>
      <c r="H835" s="171">
        <f t="shared" si="414"/>
        <v>0</v>
      </c>
      <c r="I835" s="171">
        <f>IF(B835="Working",MIN(MAX(D835-E835-F835-G835-H835,0),'Tax Assumptions'!$B$20),0)</f>
        <v>7500</v>
      </c>
      <c r="J835" s="171">
        <f t="shared" si="415"/>
        <v>567430.95210640947</v>
      </c>
      <c r="K835" s="170">
        <f t="shared" si="416"/>
        <v>0</v>
      </c>
      <c r="L835" s="170">
        <f t="shared" si="417"/>
        <v>0</v>
      </c>
      <c r="M835" s="170">
        <f t="shared" si="423"/>
        <v>0</v>
      </c>
      <c r="N835" s="170">
        <f t="shared" si="424"/>
        <v>0</v>
      </c>
      <c r="O835" s="170">
        <f t="shared" si="425"/>
        <v>0</v>
      </c>
      <c r="P835" s="170">
        <f t="shared" si="426"/>
        <v>0</v>
      </c>
      <c r="Q835" s="171">
        <f t="shared" si="427"/>
        <v>2627205.0122646173</v>
      </c>
      <c r="R835" s="171">
        <f t="shared" si="428"/>
        <v>205649.02242147207</v>
      </c>
      <c r="S835" s="171">
        <f t="shared" si="429"/>
        <v>62953.78237392001</v>
      </c>
      <c r="T835" s="171">
        <f t="shared" si="430"/>
        <v>0</v>
      </c>
      <c r="U835" s="171">
        <f t="shared" si="418"/>
        <v>2895807.8170600096</v>
      </c>
      <c r="V835" s="171">
        <f t="shared" si="431"/>
        <v>0</v>
      </c>
      <c r="W835" s="171" t="str">
        <f>IF(OR(A835&gt;=$C$13,B835="Retired"),IF(V835&gt;0,-V835,U835-'Model Inputs'!$B$18),"")</f>
        <v/>
      </c>
      <c r="X835" s="171">
        <f t="shared" si="419"/>
        <v>0</v>
      </c>
      <c r="Y835" s="171">
        <f t="shared" si="420"/>
        <v>0</v>
      </c>
      <c r="Z835" s="171">
        <f t="shared" si="421"/>
        <v>0</v>
      </c>
      <c r="AA835" s="172">
        <f t="shared" si="422"/>
        <v>2895807.8170600096</v>
      </c>
      <c r="AB835" s="5"/>
      <c r="AC835" s="5"/>
      <c r="AD835" s="5"/>
      <c r="AE835" s="5"/>
      <c r="AF835" s="5"/>
      <c r="AG835" s="5"/>
    </row>
    <row r="836" spans="1:33" x14ac:dyDescent="0.2">
      <c r="A836" s="173">
        <v>8</v>
      </c>
      <c r="B836" s="65" t="str">
        <f t="shared" si="408"/>
        <v>Working</v>
      </c>
      <c r="C836" s="174">
        <f t="shared" si="409"/>
        <v>1872205.6657868917</v>
      </c>
      <c r="D836" s="174">
        <f t="shared" si="410"/>
        <v>944047.5629454148</v>
      </c>
      <c r="E836" s="174">
        <f t="shared" si="411"/>
        <v>98389.909233989601</v>
      </c>
      <c r="F836" s="174">
        <f t="shared" si="412"/>
        <v>61493.693271243501</v>
      </c>
      <c r="G836" s="171">
        <f t="shared" si="413"/>
        <v>0</v>
      </c>
      <c r="H836" s="171">
        <f t="shared" si="414"/>
        <v>0</v>
      </c>
      <c r="I836" s="171">
        <f>IF(B836="Working",MIN(MAX(D836-E836-F836-G836-H836,0),'Tax Assumptions'!$B$20),0)</f>
        <v>7500</v>
      </c>
      <c r="J836" s="171">
        <f t="shared" si="415"/>
        <v>776663.96044018166</v>
      </c>
      <c r="K836" s="174">
        <f t="shared" si="416"/>
        <v>0</v>
      </c>
      <c r="L836" s="174">
        <f t="shared" si="417"/>
        <v>0</v>
      </c>
      <c r="M836" s="174">
        <f t="shared" si="423"/>
        <v>0</v>
      </c>
      <c r="N836" s="174">
        <f t="shared" si="424"/>
        <v>0</v>
      </c>
      <c r="O836" s="174">
        <f t="shared" si="425"/>
        <v>0</v>
      </c>
      <c r="P836" s="174">
        <f t="shared" si="426"/>
        <v>0</v>
      </c>
      <c r="Q836" s="171">
        <f t="shared" si="427"/>
        <v>3561501.2734406763</v>
      </c>
      <c r="R836" s="171">
        <f t="shared" si="428"/>
        <v>242487.9637667604</v>
      </c>
      <c r="S836" s="171">
        <f t="shared" si="429"/>
        <v>74231.009316355208</v>
      </c>
      <c r="T836" s="171">
        <f t="shared" si="430"/>
        <v>0</v>
      </c>
      <c r="U836" s="171">
        <f t="shared" si="418"/>
        <v>3878220.2465237915</v>
      </c>
      <c r="V836" s="171">
        <f t="shared" si="431"/>
        <v>0</v>
      </c>
      <c r="W836" s="171" t="str">
        <f>IF(OR(A836&gt;=$C$13,B836="Retired"),IF(V836&gt;0,-V836,U836-'Model Inputs'!$B$18),"")</f>
        <v/>
      </c>
      <c r="X836" s="171">
        <f t="shared" si="419"/>
        <v>0</v>
      </c>
      <c r="Y836" s="171">
        <f t="shared" si="420"/>
        <v>0</v>
      </c>
      <c r="Z836" s="171">
        <f t="shared" si="421"/>
        <v>0</v>
      </c>
      <c r="AA836" s="175">
        <f t="shared" si="422"/>
        <v>3878220.2465237915</v>
      </c>
      <c r="AB836" s="5"/>
      <c r="AC836" s="5"/>
      <c r="AD836" s="5"/>
      <c r="AE836" s="5"/>
      <c r="AF836" s="5"/>
      <c r="AG836" s="5"/>
    </row>
    <row r="837" spans="1:33" x14ac:dyDescent="0.2">
      <c r="A837" s="169">
        <v>9</v>
      </c>
      <c r="B837" s="100" t="str">
        <f t="shared" si="408"/>
        <v>Working</v>
      </c>
      <c r="C837" s="170">
        <f t="shared" si="409"/>
        <v>2033969.9666232408</v>
      </c>
      <c r="D837" s="170">
        <f t="shared" si="410"/>
        <v>1020277.372071536</v>
      </c>
      <c r="E837" s="170">
        <f t="shared" si="411"/>
        <v>101341.60651100927</v>
      </c>
      <c r="F837" s="170">
        <f t="shared" si="412"/>
        <v>63338.504069380797</v>
      </c>
      <c r="G837" s="171">
        <f t="shared" si="413"/>
        <v>0</v>
      </c>
      <c r="H837" s="171">
        <f t="shared" si="414"/>
        <v>0</v>
      </c>
      <c r="I837" s="171">
        <f>IF(B837="Working",MIN(MAX(D837-E837-F837-G837-H837,0),'Tax Assumptions'!$B$20),0)</f>
        <v>7500</v>
      </c>
      <c r="J837" s="171">
        <f t="shared" si="415"/>
        <v>848097.26149114594</v>
      </c>
      <c r="K837" s="170">
        <f t="shared" si="416"/>
        <v>0</v>
      </c>
      <c r="L837" s="170">
        <f t="shared" si="417"/>
        <v>0</v>
      </c>
      <c r="M837" s="170">
        <f t="shared" si="423"/>
        <v>0</v>
      </c>
      <c r="N837" s="170">
        <f t="shared" si="424"/>
        <v>0</v>
      </c>
      <c r="O837" s="170">
        <f t="shared" si="425"/>
        <v>0</v>
      </c>
      <c r="P837" s="170">
        <f t="shared" si="426"/>
        <v>0</v>
      </c>
      <c r="Q837" s="171">
        <f t="shared" si="427"/>
        <v>4623288.6113382634</v>
      </c>
      <c r="R837" s="171">
        <f t="shared" si="428"/>
        <v>281537.24159276602</v>
      </c>
      <c r="S837" s="171">
        <f t="shared" si="429"/>
        <v>86184.869875336532</v>
      </c>
      <c r="T837" s="171">
        <f t="shared" si="430"/>
        <v>0</v>
      </c>
      <c r="U837" s="171">
        <f t="shared" si="418"/>
        <v>4991010.7228063662</v>
      </c>
      <c r="V837" s="171">
        <f t="shared" si="431"/>
        <v>0</v>
      </c>
      <c r="W837" s="171" t="str">
        <f>IF(OR(A837&gt;=$C$13,B837="Retired"),IF(V837&gt;0,-V837,U837-'Model Inputs'!$B$18),"")</f>
        <v/>
      </c>
      <c r="X837" s="171">
        <f t="shared" si="419"/>
        <v>0</v>
      </c>
      <c r="Y837" s="171">
        <f t="shared" si="420"/>
        <v>0</v>
      </c>
      <c r="Z837" s="171">
        <f t="shared" si="421"/>
        <v>0</v>
      </c>
      <c r="AA837" s="172">
        <f t="shared" si="422"/>
        <v>4991010.7228063662</v>
      </c>
      <c r="AB837" s="5"/>
      <c r="AC837" s="5"/>
      <c r="AD837" s="5"/>
      <c r="AE837" s="5"/>
      <c r="AF837" s="5"/>
      <c r="AG837" s="5"/>
    </row>
    <row r="838" spans="1:33" x14ac:dyDescent="0.2">
      <c r="A838" s="173">
        <v>10</v>
      </c>
      <c r="B838" s="65" t="str">
        <f t="shared" si="408"/>
        <v>Working</v>
      </c>
      <c r="C838" s="174">
        <f t="shared" si="409"/>
        <v>2595495.7626410057</v>
      </c>
      <c r="D838" s="174">
        <f t="shared" si="410"/>
        <v>1284890.7881869476</v>
      </c>
      <c r="E838" s="174">
        <f t="shared" si="411"/>
        <v>104381.85470633955</v>
      </c>
      <c r="F838" s="174">
        <f t="shared" si="412"/>
        <v>65238.659191462226</v>
      </c>
      <c r="G838" s="171">
        <f t="shared" si="413"/>
        <v>802835.28666899295</v>
      </c>
      <c r="H838" s="171">
        <f t="shared" si="414"/>
        <v>107692.30769230769</v>
      </c>
      <c r="I838" s="171">
        <f>IF(B838="Working",MIN(MAX(D838-E838-F838-G838-H838,0),'Tax Assumptions'!$B$20),0)</f>
        <v>7500</v>
      </c>
      <c r="J838" s="171">
        <f t="shared" si="415"/>
        <v>197242.67992784519</v>
      </c>
      <c r="K838" s="174">
        <f t="shared" si="416"/>
        <v>0</v>
      </c>
      <c r="L838" s="174">
        <f t="shared" si="417"/>
        <v>0</v>
      </c>
      <c r="M838" s="174">
        <f t="shared" si="423"/>
        <v>0</v>
      </c>
      <c r="N838" s="174">
        <f t="shared" si="424"/>
        <v>0</v>
      </c>
      <c r="O838" s="174">
        <f t="shared" si="425"/>
        <v>0</v>
      </c>
      <c r="P838" s="174">
        <f t="shared" si="426"/>
        <v>0</v>
      </c>
      <c r="Q838" s="171">
        <f t="shared" si="427"/>
        <v>5097928.6079464052</v>
      </c>
      <c r="R838" s="171">
        <f t="shared" si="428"/>
        <v>322929.47608833201</v>
      </c>
      <c r="S838" s="171">
        <f t="shared" si="429"/>
        <v>98855.96206785673</v>
      </c>
      <c r="T838" s="171">
        <f t="shared" si="430"/>
        <v>0</v>
      </c>
      <c r="U838" s="171">
        <f t="shared" si="418"/>
        <v>5519714.0461025937</v>
      </c>
      <c r="V838" s="171">
        <f t="shared" si="431"/>
        <v>0</v>
      </c>
      <c r="W838" s="171">
        <f>IF(OR(A838&gt;=$C$13,B838="Retired"),IF(V838&gt;0,-V838,U838-'Model Inputs'!$B$18),"")</f>
        <v>4519714.0461025937</v>
      </c>
      <c r="X838" s="171">
        <f t="shared" si="419"/>
        <v>1690179.5508820903</v>
      </c>
      <c r="Y838" s="171">
        <f t="shared" si="420"/>
        <v>919208.39096390037</v>
      </c>
      <c r="Z838" s="171">
        <f t="shared" si="421"/>
        <v>770971.15991818998</v>
      </c>
      <c r="AA838" s="175">
        <f t="shared" si="422"/>
        <v>6290685.2060207836</v>
      </c>
      <c r="AB838" s="5"/>
      <c r="AC838" s="5"/>
      <c r="AD838" s="5"/>
      <c r="AE838" s="5"/>
      <c r="AF838" s="5"/>
      <c r="AG838" s="5"/>
    </row>
    <row r="839" spans="1:33" x14ac:dyDescent="0.2">
      <c r="A839" s="169">
        <v>11</v>
      </c>
      <c r="B839" s="100" t="str">
        <f t="shared" si="408"/>
        <v>Retired</v>
      </c>
      <c r="C839" s="170">
        <f t="shared" si="409"/>
        <v>0</v>
      </c>
      <c r="D839" s="170">
        <f t="shared" si="410"/>
        <v>0</v>
      </c>
      <c r="E839" s="170">
        <f t="shared" si="411"/>
        <v>0</v>
      </c>
      <c r="F839" s="170">
        <f t="shared" si="412"/>
        <v>0</v>
      </c>
      <c r="G839" s="171">
        <f t="shared" si="413"/>
        <v>0</v>
      </c>
      <c r="H839" s="171">
        <f t="shared" si="414"/>
        <v>108807.82619588988</v>
      </c>
      <c r="I839" s="171">
        <f>IF(B839="Working",MIN(MAX(D839-E839-F839-G839-H839,0),'Tax Assumptions'!$B$20),0)</f>
        <v>0</v>
      </c>
      <c r="J839" s="171">
        <f t="shared" si="415"/>
        <v>-338807.82619588985</v>
      </c>
      <c r="K839" s="170">
        <f t="shared" si="416"/>
        <v>338807.82619588985</v>
      </c>
      <c r="L839" s="170">
        <f t="shared" si="417"/>
        <v>338807.82619588985</v>
      </c>
      <c r="M839" s="170">
        <f t="shared" si="423"/>
        <v>338807.82619588985</v>
      </c>
      <c r="N839" s="170">
        <f t="shared" si="424"/>
        <v>0</v>
      </c>
      <c r="O839" s="170">
        <f t="shared" si="425"/>
        <v>0</v>
      </c>
      <c r="P839" s="170">
        <f t="shared" si="426"/>
        <v>0</v>
      </c>
      <c r="Q839" s="171">
        <f t="shared" si="427"/>
        <v>5064996.4982273001</v>
      </c>
      <c r="R839" s="171">
        <f t="shared" si="428"/>
        <v>342305.24465363193</v>
      </c>
      <c r="S839" s="171">
        <f t="shared" si="429"/>
        <v>104787.31979192814</v>
      </c>
      <c r="T839" s="171">
        <f t="shared" si="430"/>
        <v>0</v>
      </c>
      <c r="U839" s="171">
        <f t="shared" si="418"/>
        <v>5512089.06267286</v>
      </c>
      <c r="V839" s="171">
        <f t="shared" si="431"/>
        <v>0</v>
      </c>
      <c r="W839" s="171">
        <f>IF(OR(A839&gt;=$C$13,B839="Retired"),IF(V839&gt;0,-V839,U839-'Model Inputs'!$B$18),"")</f>
        <v>4512089.06267286</v>
      </c>
      <c r="X839" s="171">
        <f t="shared" si="419"/>
        <v>1740884.9374085532</v>
      </c>
      <c r="Y839" s="171">
        <f t="shared" si="420"/>
        <v>908122.16715511121</v>
      </c>
      <c r="Z839" s="171">
        <f t="shared" si="421"/>
        <v>832762.770253442</v>
      </c>
      <c r="AA839" s="172">
        <f t="shared" si="422"/>
        <v>6344851.8329263022</v>
      </c>
      <c r="AB839" s="5"/>
      <c r="AC839" s="5"/>
      <c r="AD839" s="5"/>
      <c r="AE839" s="5"/>
      <c r="AF839" s="5"/>
      <c r="AG839" s="5"/>
    </row>
    <row r="840" spans="1:33" x14ac:dyDescent="0.2">
      <c r="A840" s="173">
        <v>12</v>
      </c>
      <c r="B840" s="65" t="str">
        <f t="shared" si="408"/>
        <v>Retired</v>
      </c>
      <c r="C840" s="174">
        <f t="shared" si="409"/>
        <v>0</v>
      </c>
      <c r="D840" s="174">
        <f t="shared" si="410"/>
        <v>0</v>
      </c>
      <c r="E840" s="174">
        <f t="shared" si="411"/>
        <v>0</v>
      </c>
      <c r="F840" s="174">
        <f t="shared" si="412"/>
        <v>0</v>
      </c>
      <c r="G840" s="171">
        <f t="shared" si="413"/>
        <v>0</v>
      </c>
      <c r="H840" s="171">
        <f t="shared" si="414"/>
        <v>109956.81025457951</v>
      </c>
      <c r="I840" s="171">
        <f>IF(B840="Working",MIN(MAX(D840-E840-F840-G840-H840,0),'Tax Assumptions'!$B$20),0)</f>
        <v>0</v>
      </c>
      <c r="J840" s="171">
        <f t="shared" si="415"/>
        <v>-339956.81025457947</v>
      </c>
      <c r="K840" s="174">
        <f t="shared" si="416"/>
        <v>339956.81025457947</v>
      </c>
      <c r="L840" s="174">
        <f t="shared" si="417"/>
        <v>339956.81025457947</v>
      </c>
      <c r="M840" s="174">
        <f t="shared" si="423"/>
        <v>339956.81025457947</v>
      </c>
      <c r="N840" s="174">
        <f t="shared" si="424"/>
        <v>0</v>
      </c>
      <c r="O840" s="174">
        <f t="shared" si="425"/>
        <v>0</v>
      </c>
      <c r="P840" s="174">
        <f t="shared" si="426"/>
        <v>0</v>
      </c>
      <c r="Q840" s="171">
        <f t="shared" si="427"/>
        <v>5028939.4778663591</v>
      </c>
      <c r="R840" s="171">
        <f t="shared" si="428"/>
        <v>362843.55933284987</v>
      </c>
      <c r="S840" s="171">
        <f t="shared" si="429"/>
        <v>111074.55897944383</v>
      </c>
      <c r="T840" s="171">
        <f t="shared" si="430"/>
        <v>0</v>
      </c>
      <c r="U840" s="171">
        <f t="shared" si="418"/>
        <v>5502857.5961786527</v>
      </c>
      <c r="V840" s="171">
        <f t="shared" si="431"/>
        <v>0</v>
      </c>
      <c r="W840" s="171">
        <f>IF(OR(A840&gt;=$C$13,B840="Retired"),IF(V840&gt;0,-V840,U840-'Model Inputs'!$B$18),"")</f>
        <v>4502857.5961786527</v>
      </c>
      <c r="X840" s="171">
        <f t="shared" si="419"/>
        <v>1793111.4855308095</v>
      </c>
      <c r="Y840" s="171">
        <f t="shared" si="420"/>
        <v>896293.47840613243</v>
      </c>
      <c r="Z840" s="171">
        <f t="shared" si="421"/>
        <v>896818.00712467707</v>
      </c>
      <c r="AA840" s="175">
        <f t="shared" si="422"/>
        <v>6399675.60330333</v>
      </c>
      <c r="AB840" s="5"/>
      <c r="AC840" s="5"/>
      <c r="AD840" s="5"/>
      <c r="AE840" s="5"/>
      <c r="AF840" s="5"/>
      <c r="AG840" s="5"/>
    </row>
    <row r="841" spans="1:33" x14ac:dyDescent="0.2">
      <c r="A841" s="169">
        <v>13</v>
      </c>
      <c r="B841" s="100" t="str">
        <f t="shared" si="408"/>
        <v>Retired</v>
      </c>
      <c r="C841" s="170">
        <f t="shared" si="409"/>
        <v>0</v>
      </c>
      <c r="D841" s="170">
        <f t="shared" si="410"/>
        <v>0</v>
      </c>
      <c r="E841" s="170">
        <f t="shared" si="411"/>
        <v>0</v>
      </c>
      <c r="F841" s="170">
        <f t="shared" si="412"/>
        <v>0</v>
      </c>
      <c r="G841" s="171">
        <f t="shared" si="413"/>
        <v>0</v>
      </c>
      <c r="H841" s="171">
        <f t="shared" si="414"/>
        <v>111140.26383502985</v>
      </c>
      <c r="I841" s="171">
        <f>IF(B841="Working",MIN(MAX(D841-E841-F841-G841-H841,0),'Tax Assumptions'!$B$20),0)</f>
        <v>0</v>
      </c>
      <c r="J841" s="171">
        <f t="shared" si="415"/>
        <v>-341140.26383502979</v>
      </c>
      <c r="K841" s="170">
        <f t="shared" si="416"/>
        <v>341140.26383502979</v>
      </c>
      <c r="L841" s="170">
        <f t="shared" si="417"/>
        <v>341140.26383502979</v>
      </c>
      <c r="M841" s="170">
        <f t="shared" si="423"/>
        <v>341140.26383502979</v>
      </c>
      <c r="N841" s="170">
        <f t="shared" si="424"/>
        <v>0</v>
      </c>
      <c r="O841" s="170">
        <f t="shared" si="425"/>
        <v>0</v>
      </c>
      <c r="P841" s="170">
        <f t="shared" si="426"/>
        <v>0</v>
      </c>
      <c r="Q841" s="171">
        <f t="shared" si="427"/>
        <v>4989535.582703311</v>
      </c>
      <c r="R841" s="171">
        <f t="shared" si="428"/>
        <v>384614.1728928209</v>
      </c>
      <c r="S841" s="171">
        <f t="shared" si="429"/>
        <v>117739.03251821046</v>
      </c>
      <c r="T841" s="171">
        <f t="shared" si="430"/>
        <v>0</v>
      </c>
      <c r="U841" s="171">
        <f t="shared" si="418"/>
        <v>5491888.7881143428</v>
      </c>
      <c r="V841" s="171">
        <f t="shared" si="431"/>
        <v>0</v>
      </c>
      <c r="W841" s="171">
        <f>IF(OR(A841&gt;=$C$13,B841="Retired"),IF(V841&gt;0,-V841,U841-'Model Inputs'!$B$18),"")</f>
        <v>4491888.7881143428</v>
      </c>
      <c r="X841" s="171">
        <f t="shared" si="419"/>
        <v>1846904.830096734</v>
      </c>
      <c r="Y841" s="171">
        <f t="shared" si="420"/>
        <v>883672.60046487302</v>
      </c>
      <c r="Z841" s="171">
        <f t="shared" si="421"/>
        <v>963232.22963186097</v>
      </c>
      <c r="AA841" s="172">
        <f t="shared" si="422"/>
        <v>6455121.0177462036</v>
      </c>
      <c r="AB841" s="5"/>
      <c r="AC841" s="5"/>
      <c r="AD841" s="5"/>
      <c r="AE841" s="5"/>
      <c r="AF841" s="5"/>
      <c r="AG841" s="5"/>
    </row>
    <row r="842" spans="1:33" x14ac:dyDescent="0.2">
      <c r="A842" s="173">
        <v>14</v>
      </c>
      <c r="B842" s="65" t="str">
        <f t="shared" si="408"/>
        <v>Retired</v>
      </c>
      <c r="C842" s="174">
        <f t="shared" si="409"/>
        <v>0</v>
      </c>
      <c r="D842" s="174">
        <f t="shared" si="410"/>
        <v>0</v>
      </c>
      <c r="E842" s="174">
        <f t="shared" si="411"/>
        <v>0</v>
      </c>
      <c r="F842" s="174">
        <f t="shared" si="412"/>
        <v>0</v>
      </c>
      <c r="G842" s="171">
        <f t="shared" si="413"/>
        <v>0</v>
      </c>
      <c r="H842" s="171">
        <f t="shared" si="414"/>
        <v>112359.22102289369</v>
      </c>
      <c r="I842" s="171">
        <f>IF(B842="Working",MIN(MAX(D842-E842-F842-G842-H842,0),'Tax Assumptions'!$B$20),0)</f>
        <v>0</v>
      </c>
      <c r="J842" s="171">
        <f t="shared" si="415"/>
        <v>-342359.22102289367</v>
      </c>
      <c r="K842" s="174">
        <f t="shared" si="416"/>
        <v>342359.22102289367</v>
      </c>
      <c r="L842" s="174">
        <f t="shared" si="417"/>
        <v>342359.22102289367</v>
      </c>
      <c r="M842" s="174">
        <f t="shared" si="423"/>
        <v>342359.22102289367</v>
      </c>
      <c r="N842" s="174">
        <f t="shared" si="424"/>
        <v>0</v>
      </c>
      <c r="O842" s="174">
        <f t="shared" si="425"/>
        <v>0</v>
      </c>
      <c r="P842" s="174">
        <f t="shared" si="426"/>
        <v>0</v>
      </c>
      <c r="Q842" s="171">
        <f t="shared" si="427"/>
        <v>4946548.4966426166</v>
      </c>
      <c r="R842" s="171">
        <f t="shared" si="428"/>
        <v>407691.0232663902</v>
      </c>
      <c r="S842" s="171">
        <f t="shared" si="429"/>
        <v>124803.37446930309</v>
      </c>
      <c r="T842" s="171">
        <f t="shared" si="430"/>
        <v>0</v>
      </c>
      <c r="U842" s="171">
        <f t="shared" si="418"/>
        <v>5479042.8943783101</v>
      </c>
      <c r="V842" s="171">
        <f t="shared" si="431"/>
        <v>0</v>
      </c>
      <c r="W842" s="171">
        <f>IF(OR(A842&gt;=$C$13,B842="Retired"),IF(V842&gt;0,-V842,U842-'Model Inputs'!$B$18),"")</f>
        <v>4479042.8943783101</v>
      </c>
      <c r="X842" s="171">
        <f t="shared" si="419"/>
        <v>1902311.9749996357</v>
      </c>
      <c r="Y842" s="171">
        <f t="shared" si="420"/>
        <v>870206.47895398969</v>
      </c>
      <c r="Z842" s="171">
        <f t="shared" si="421"/>
        <v>1032105.496045646</v>
      </c>
      <c r="AA842" s="175">
        <f t="shared" si="422"/>
        <v>6511148.3904239563</v>
      </c>
      <c r="AB842" s="5"/>
      <c r="AC842" s="5"/>
      <c r="AD842" s="5"/>
      <c r="AE842" s="5"/>
      <c r="AF842" s="5"/>
      <c r="AG842" s="5"/>
    </row>
    <row r="843" spans="1:33" x14ac:dyDescent="0.2">
      <c r="A843" s="169">
        <v>15</v>
      </c>
      <c r="B843" s="100" t="str">
        <f t="shared" si="408"/>
        <v>Retired</v>
      </c>
      <c r="C843" s="170">
        <f t="shared" si="409"/>
        <v>0</v>
      </c>
      <c r="D843" s="170">
        <f t="shared" si="410"/>
        <v>0</v>
      </c>
      <c r="E843" s="170">
        <f t="shared" si="411"/>
        <v>0</v>
      </c>
      <c r="F843" s="170">
        <f t="shared" si="412"/>
        <v>0</v>
      </c>
      <c r="G843" s="171">
        <f t="shared" si="413"/>
        <v>0</v>
      </c>
      <c r="H843" s="171">
        <f t="shared" si="414"/>
        <v>113614.74692639345</v>
      </c>
      <c r="I843" s="171">
        <f>IF(B843="Working",MIN(MAX(D843-E843-F843-G843-H843,0),'Tax Assumptions'!$B$20),0)</f>
        <v>0</v>
      </c>
      <c r="J843" s="171">
        <f t="shared" si="415"/>
        <v>-343614.74692639342</v>
      </c>
      <c r="K843" s="170">
        <f t="shared" si="416"/>
        <v>343614.74692639342</v>
      </c>
      <c r="L843" s="170">
        <f t="shared" si="417"/>
        <v>343614.74692639342</v>
      </c>
      <c r="M843" s="170">
        <f t="shared" si="423"/>
        <v>343614.74692639342</v>
      </c>
      <c r="N843" s="170">
        <f t="shared" si="424"/>
        <v>0</v>
      </c>
      <c r="O843" s="170">
        <f t="shared" si="425"/>
        <v>0</v>
      </c>
      <c r="P843" s="170">
        <f t="shared" si="426"/>
        <v>0</v>
      </c>
      <c r="Q843" s="171">
        <f t="shared" si="427"/>
        <v>4899726.6595147802</v>
      </c>
      <c r="R843" s="171">
        <f t="shared" si="428"/>
        <v>432152.48466237361</v>
      </c>
      <c r="S843" s="171">
        <f t="shared" si="429"/>
        <v>132291.57693746127</v>
      </c>
      <c r="T843" s="171">
        <f t="shared" si="430"/>
        <v>0</v>
      </c>
      <c r="U843" s="171">
        <f t="shared" si="418"/>
        <v>5464170.721114615</v>
      </c>
      <c r="V843" s="171">
        <f t="shared" si="431"/>
        <v>0</v>
      </c>
      <c r="W843" s="171">
        <f>IF(OR(A843&gt;=$C$13,B843="Retired"),IF(V843&gt;0,-V843,U843-'Model Inputs'!$B$18),"")</f>
        <v>4464170.721114615</v>
      </c>
      <c r="X843" s="171">
        <f t="shared" si="419"/>
        <v>1959381.3342496247</v>
      </c>
      <c r="Y843" s="171">
        <f t="shared" si="420"/>
        <v>855838.50634623086</v>
      </c>
      <c r="Z843" s="171">
        <f t="shared" si="421"/>
        <v>1103542.8279033939</v>
      </c>
      <c r="AA843" s="172">
        <f t="shared" si="422"/>
        <v>6567713.5490180086</v>
      </c>
      <c r="AB843" s="5"/>
      <c r="AC843" s="5"/>
      <c r="AD843" s="5"/>
      <c r="AE843" s="5"/>
      <c r="AF843" s="5"/>
      <c r="AG843" s="5"/>
    </row>
    <row r="844" spans="1:33" x14ac:dyDescent="0.2">
      <c r="A844" s="173">
        <v>16</v>
      </c>
      <c r="B844" s="65" t="str">
        <f t="shared" si="408"/>
        <v>Retired</v>
      </c>
      <c r="C844" s="174">
        <f t="shared" si="409"/>
        <v>0</v>
      </c>
      <c r="D844" s="174">
        <f t="shared" si="410"/>
        <v>0</v>
      </c>
      <c r="E844" s="174">
        <f t="shared" si="411"/>
        <v>0</v>
      </c>
      <c r="F844" s="174">
        <f t="shared" si="412"/>
        <v>0</v>
      </c>
      <c r="G844" s="171">
        <f t="shared" si="413"/>
        <v>0</v>
      </c>
      <c r="H844" s="171">
        <f t="shared" si="414"/>
        <v>114907.9386069982</v>
      </c>
      <c r="I844" s="171">
        <f>IF(B844="Working",MIN(MAX(D844-E844-F844-G844-H844,0),'Tax Assumptions'!$B$20),0)</f>
        <v>0</v>
      </c>
      <c r="J844" s="171">
        <f t="shared" si="415"/>
        <v>-344907.93860699818</v>
      </c>
      <c r="K844" s="174">
        <f t="shared" si="416"/>
        <v>344907.93860699818</v>
      </c>
      <c r="L844" s="174">
        <f t="shared" si="417"/>
        <v>344907.93860699818</v>
      </c>
      <c r="M844" s="174">
        <f t="shared" si="423"/>
        <v>344907.93860699818</v>
      </c>
      <c r="N844" s="174">
        <f t="shared" si="424"/>
        <v>0</v>
      </c>
      <c r="O844" s="174">
        <f t="shared" si="425"/>
        <v>0</v>
      </c>
      <c r="P844" s="174">
        <f t="shared" si="426"/>
        <v>0</v>
      </c>
      <c r="Q844" s="171">
        <f t="shared" si="427"/>
        <v>4848802.3204786694</v>
      </c>
      <c r="R844" s="171">
        <f t="shared" si="428"/>
        <v>458081.63374211604</v>
      </c>
      <c r="S844" s="171">
        <f t="shared" si="429"/>
        <v>140229.07155370896</v>
      </c>
      <c r="T844" s="171">
        <f t="shared" si="430"/>
        <v>0</v>
      </c>
      <c r="U844" s="171">
        <f t="shared" si="418"/>
        <v>5447113.0257744947</v>
      </c>
      <c r="V844" s="171">
        <f t="shared" si="431"/>
        <v>0</v>
      </c>
      <c r="W844" s="171">
        <f>IF(OR(A844&gt;=$C$13,B844="Retired"),IF(V844&gt;0,-V844,U844-'Model Inputs'!$B$18),"")</f>
        <v>4447113.0257744947</v>
      </c>
      <c r="X844" s="171">
        <f t="shared" si="419"/>
        <v>2018162.7742771136</v>
      </c>
      <c r="Y844" s="171">
        <f t="shared" si="420"/>
        <v>840508.28400340897</v>
      </c>
      <c r="Z844" s="171">
        <f t="shared" si="421"/>
        <v>1177654.4902737048</v>
      </c>
      <c r="AA844" s="175">
        <f t="shared" si="422"/>
        <v>6624767.5160481995</v>
      </c>
      <c r="AB844" s="5"/>
      <c r="AC844" s="5"/>
      <c r="AD844" s="5"/>
      <c r="AE844" s="5"/>
      <c r="AF844" s="5"/>
      <c r="AG844" s="5"/>
    </row>
    <row r="845" spans="1:33" x14ac:dyDescent="0.2">
      <c r="A845" s="169">
        <v>17</v>
      </c>
      <c r="B845" s="100" t="str">
        <f t="shared" si="408"/>
        <v>Retired</v>
      </c>
      <c r="C845" s="170">
        <f t="shared" si="409"/>
        <v>0</v>
      </c>
      <c r="D845" s="170">
        <f t="shared" si="410"/>
        <v>0</v>
      </c>
      <c r="E845" s="170">
        <f t="shared" si="411"/>
        <v>0</v>
      </c>
      <c r="F845" s="170">
        <f t="shared" si="412"/>
        <v>0</v>
      </c>
      <c r="G845" s="171">
        <f t="shared" si="413"/>
        <v>0</v>
      </c>
      <c r="H845" s="171">
        <f t="shared" si="414"/>
        <v>116239.92603802111</v>
      </c>
      <c r="I845" s="171">
        <f>IF(B845="Working",MIN(MAX(D845-E845-F845-G845-H845,0),'Tax Assumptions'!$B$20),0)</f>
        <v>0</v>
      </c>
      <c r="J845" s="171">
        <f t="shared" si="415"/>
        <v>-346239.92603802111</v>
      </c>
      <c r="K845" s="170">
        <f t="shared" si="416"/>
        <v>346239.92603802111</v>
      </c>
      <c r="L845" s="170">
        <f t="shared" si="417"/>
        <v>346239.92603802111</v>
      </c>
      <c r="M845" s="170">
        <f t="shared" si="423"/>
        <v>346239.92603802111</v>
      </c>
      <c r="N845" s="170">
        <f t="shared" si="424"/>
        <v>0</v>
      </c>
      <c r="O845" s="170">
        <f t="shared" si="425"/>
        <v>0</v>
      </c>
      <c r="P845" s="170">
        <f t="shared" si="426"/>
        <v>0</v>
      </c>
      <c r="Q845" s="171">
        <f t="shared" si="427"/>
        <v>4793490.5336693684</v>
      </c>
      <c r="R845" s="171">
        <f t="shared" si="428"/>
        <v>485566.53176664305</v>
      </c>
      <c r="S845" s="171">
        <f t="shared" si="429"/>
        <v>148642.81584693151</v>
      </c>
      <c r="T845" s="171">
        <f t="shared" si="430"/>
        <v>0</v>
      </c>
      <c r="U845" s="171">
        <f t="shared" si="418"/>
        <v>5427699.8812829424</v>
      </c>
      <c r="V845" s="171">
        <f t="shared" si="431"/>
        <v>0</v>
      </c>
      <c r="W845" s="171">
        <f>IF(OR(A845&gt;=$C$13,B845="Retired"),IF(V845&gt;0,-V845,U845-'Model Inputs'!$B$18),"")</f>
        <v>4427699.8812829424</v>
      </c>
      <c r="X845" s="171">
        <f t="shared" si="419"/>
        <v>2078707.6575054273</v>
      </c>
      <c r="Y845" s="171">
        <f t="shared" si="420"/>
        <v>824151.36827867723</v>
      </c>
      <c r="Z845" s="171">
        <f t="shared" si="421"/>
        <v>1254556.2892267499</v>
      </c>
      <c r="AA845" s="172">
        <f t="shared" si="422"/>
        <v>6682256.1705096923</v>
      </c>
      <c r="AB845" s="5"/>
      <c r="AC845" s="5"/>
      <c r="AD845" s="5"/>
      <c r="AE845" s="5"/>
      <c r="AF845" s="5"/>
      <c r="AG845" s="5"/>
    </row>
    <row r="846" spans="1:33" x14ac:dyDescent="0.2">
      <c r="A846" s="173">
        <v>18</v>
      </c>
      <c r="B846" s="65" t="str">
        <f t="shared" si="408"/>
        <v>Retired</v>
      </c>
      <c r="C846" s="174">
        <f t="shared" si="409"/>
        <v>0</v>
      </c>
      <c r="D846" s="174">
        <f t="shared" si="410"/>
        <v>0</v>
      </c>
      <c r="E846" s="174">
        <f t="shared" si="411"/>
        <v>0</v>
      </c>
      <c r="F846" s="174">
        <f t="shared" si="412"/>
        <v>0</v>
      </c>
      <c r="G846" s="171">
        <f t="shared" si="413"/>
        <v>0</v>
      </c>
      <c r="H846" s="171">
        <f t="shared" si="414"/>
        <v>117611.87309197467</v>
      </c>
      <c r="I846" s="171">
        <f>IF(B846="Working",MIN(MAX(D846-E846-F846-G846-H846,0),'Tax Assumptions'!$B$20),0)</f>
        <v>0</v>
      </c>
      <c r="J846" s="171">
        <f t="shared" si="415"/>
        <v>-347611.87309197464</v>
      </c>
      <c r="K846" s="174">
        <f t="shared" si="416"/>
        <v>347611.87309197464</v>
      </c>
      <c r="L846" s="174">
        <f t="shared" si="417"/>
        <v>347611.87309197464</v>
      </c>
      <c r="M846" s="174">
        <f t="shared" si="423"/>
        <v>347611.87309197464</v>
      </c>
      <c r="N846" s="174">
        <f t="shared" si="424"/>
        <v>0</v>
      </c>
      <c r="O846" s="174">
        <f t="shared" si="425"/>
        <v>0</v>
      </c>
      <c r="P846" s="174">
        <f t="shared" si="426"/>
        <v>0</v>
      </c>
      <c r="Q846" s="171">
        <f t="shared" si="427"/>
        <v>4733488.0925975563</v>
      </c>
      <c r="R846" s="171">
        <f t="shared" si="428"/>
        <v>514700.52367264166</v>
      </c>
      <c r="S846" s="171">
        <f t="shared" si="429"/>
        <v>157561.38479774742</v>
      </c>
      <c r="T846" s="171">
        <f t="shared" si="430"/>
        <v>0</v>
      </c>
      <c r="U846" s="171">
        <f t="shared" si="418"/>
        <v>5405750.0010679448</v>
      </c>
      <c r="V846" s="171">
        <f t="shared" si="431"/>
        <v>0</v>
      </c>
      <c r="W846" s="171">
        <f>IF(OR(A846&gt;=$C$13,B846="Retired"),IF(V846&gt;0,-V846,U846-'Model Inputs'!$B$18),"")</f>
        <v>4405750.0010679448</v>
      </c>
      <c r="X846" s="171">
        <f t="shared" si="419"/>
        <v>2141068.8872305895</v>
      </c>
      <c r="Y846" s="171">
        <f t="shared" si="420"/>
        <v>806698.99961481092</v>
      </c>
      <c r="Z846" s="171">
        <f t="shared" si="421"/>
        <v>1334369.8876157785</v>
      </c>
      <c r="AA846" s="175">
        <f t="shared" si="422"/>
        <v>6740119.8886837233</v>
      </c>
      <c r="AB846" s="5"/>
      <c r="AC846" s="5"/>
      <c r="AD846" s="5"/>
      <c r="AE846" s="5"/>
      <c r="AF846" s="5"/>
      <c r="AG846" s="5"/>
    </row>
    <row r="847" spans="1:33" x14ac:dyDescent="0.2">
      <c r="A847" s="169">
        <v>19</v>
      </c>
      <c r="B847" s="100" t="str">
        <f t="shared" si="408"/>
        <v>Retired</v>
      </c>
      <c r="C847" s="170">
        <f t="shared" si="409"/>
        <v>0</v>
      </c>
      <c r="D847" s="170">
        <f t="shared" si="410"/>
        <v>0</v>
      </c>
      <c r="E847" s="170">
        <f t="shared" si="411"/>
        <v>0</v>
      </c>
      <c r="F847" s="170">
        <f t="shared" si="412"/>
        <v>0</v>
      </c>
      <c r="G847" s="171">
        <f t="shared" si="413"/>
        <v>0</v>
      </c>
      <c r="H847" s="171">
        <f t="shared" si="414"/>
        <v>119024.97855754686</v>
      </c>
      <c r="I847" s="171">
        <f>IF(B847="Working",MIN(MAX(D847-E847-F847-G847-H847,0),'Tax Assumptions'!$B$20),0)</f>
        <v>0</v>
      </c>
      <c r="J847" s="171">
        <f t="shared" si="415"/>
        <v>-349024.97855754686</v>
      </c>
      <c r="K847" s="170">
        <f t="shared" si="416"/>
        <v>349024.97855754686</v>
      </c>
      <c r="L847" s="170">
        <f t="shared" si="417"/>
        <v>349024.97855754686</v>
      </c>
      <c r="M847" s="170">
        <f t="shared" si="423"/>
        <v>349024.97855754686</v>
      </c>
      <c r="N847" s="170">
        <f t="shared" si="424"/>
        <v>0</v>
      </c>
      <c r="O847" s="170">
        <f t="shared" si="425"/>
        <v>0</v>
      </c>
      <c r="P847" s="170">
        <f t="shared" si="426"/>
        <v>0</v>
      </c>
      <c r="Q847" s="171">
        <f t="shared" si="427"/>
        <v>4668472.3995958632</v>
      </c>
      <c r="R847" s="171">
        <f t="shared" si="428"/>
        <v>545582.55509300018</v>
      </c>
      <c r="S847" s="171">
        <f t="shared" si="429"/>
        <v>167015.06788561228</v>
      </c>
      <c r="T847" s="171">
        <f t="shared" si="430"/>
        <v>0</v>
      </c>
      <c r="U847" s="171">
        <f t="shared" si="418"/>
        <v>5381070.022574476</v>
      </c>
      <c r="V847" s="171">
        <f t="shared" si="431"/>
        <v>0</v>
      </c>
      <c r="W847" s="171">
        <f>IF(OR(A847&gt;=$C$13,B847="Retired"),IF(V847&gt;0,-V847,U847-'Model Inputs'!$B$18),"")</f>
        <v>4381070.022574476</v>
      </c>
      <c r="X847" s="171">
        <f t="shared" si="419"/>
        <v>2205300.9538475075</v>
      </c>
      <c r="Y847" s="171">
        <f t="shared" si="420"/>
        <v>788077.81349969411</v>
      </c>
      <c r="Z847" s="171">
        <f t="shared" si="421"/>
        <v>1417223.1403478133</v>
      </c>
      <c r="AA847" s="172">
        <f t="shared" si="422"/>
        <v>6798293.1629222892</v>
      </c>
      <c r="AB847" s="5"/>
      <c r="AC847" s="5"/>
      <c r="AD847" s="5"/>
      <c r="AE847" s="5"/>
      <c r="AF847" s="5"/>
      <c r="AG847" s="5"/>
    </row>
    <row r="848" spans="1:33" x14ac:dyDescent="0.2">
      <c r="A848" s="173">
        <v>20</v>
      </c>
      <c r="B848" s="65" t="str">
        <f t="shared" si="408"/>
        <v>Retired</v>
      </c>
      <c r="C848" s="174">
        <f t="shared" si="409"/>
        <v>0</v>
      </c>
      <c r="D848" s="174">
        <f t="shared" si="410"/>
        <v>0</v>
      </c>
      <c r="E848" s="174">
        <f t="shared" si="411"/>
        <v>0</v>
      </c>
      <c r="F848" s="174">
        <f t="shared" si="412"/>
        <v>0</v>
      </c>
      <c r="G848" s="171">
        <f t="shared" si="413"/>
        <v>0</v>
      </c>
      <c r="H848" s="171">
        <f t="shared" si="414"/>
        <v>120480.47718708622</v>
      </c>
      <c r="I848" s="171">
        <f>IF(B848="Working",MIN(MAX(D848-E848-F848-G848-H848,0),'Tax Assumptions'!$B$20),0)</f>
        <v>0</v>
      </c>
      <c r="J848" s="171">
        <f t="shared" si="415"/>
        <v>-350480.47718708619</v>
      </c>
      <c r="K848" s="174">
        <f t="shared" si="416"/>
        <v>350480.47718708619</v>
      </c>
      <c r="L848" s="174">
        <f t="shared" si="417"/>
        <v>350480.47718708619</v>
      </c>
      <c r="M848" s="174">
        <f t="shared" si="423"/>
        <v>350480.47718708619</v>
      </c>
      <c r="N848" s="174">
        <f t="shared" si="424"/>
        <v>0</v>
      </c>
      <c r="O848" s="174">
        <f t="shared" si="425"/>
        <v>0</v>
      </c>
      <c r="P848" s="174">
        <f t="shared" si="426"/>
        <v>0</v>
      </c>
      <c r="Q848" s="171">
        <f t="shared" si="427"/>
        <v>4598100.2663845289</v>
      </c>
      <c r="R848" s="171">
        <f t="shared" si="428"/>
        <v>578317.50839858025</v>
      </c>
      <c r="S848" s="171">
        <f t="shared" si="429"/>
        <v>177035.97195874903</v>
      </c>
      <c r="T848" s="171">
        <f t="shared" si="430"/>
        <v>0</v>
      </c>
      <c r="U848" s="171">
        <f t="shared" si="418"/>
        <v>5353453.7467418583</v>
      </c>
      <c r="V848" s="171">
        <f t="shared" si="431"/>
        <v>0</v>
      </c>
      <c r="W848" s="171">
        <f>IF(OR(A848&gt;=$C$13,B848="Retired"),IF(V848&gt;0,-V848,U848-'Model Inputs'!$B$18),"")</f>
        <v>4353453.7467418583</v>
      </c>
      <c r="X848" s="171">
        <f t="shared" si="419"/>
        <v>2271459.9824629328</v>
      </c>
      <c r="Y848" s="171">
        <f t="shared" si="420"/>
        <v>768209.53206396382</v>
      </c>
      <c r="Z848" s="171">
        <f t="shared" si="421"/>
        <v>1503250.450398969</v>
      </c>
      <c r="AA848" s="175">
        <f t="shared" si="422"/>
        <v>6856704.1971408278</v>
      </c>
      <c r="AB848" s="5"/>
      <c r="AC848" s="5"/>
      <c r="AD848" s="5"/>
      <c r="AE848" s="5"/>
      <c r="AF848" s="5"/>
      <c r="AG848" s="5"/>
    </row>
    <row r="849" spans="1:33" x14ac:dyDescent="0.2">
      <c r="A849" s="169">
        <v>21</v>
      </c>
      <c r="B849" s="100" t="str">
        <f t="shared" si="408"/>
        <v>Retired</v>
      </c>
      <c r="C849" s="170">
        <f t="shared" si="409"/>
        <v>0</v>
      </c>
      <c r="D849" s="170">
        <f t="shared" si="410"/>
        <v>0</v>
      </c>
      <c r="E849" s="170">
        <f t="shared" si="411"/>
        <v>0</v>
      </c>
      <c r="F849" s="170">
        <f t="shared" si="412"/>
        <v>0</v>
      </c>
      <c r="G849" s="171">
        <f t="shared" si="413"/>
        <v>0</v>
      </c>
      <c r="H849" s="171">
        <f t="shared" si="414"/>
        <v>121979.64077551175</v>
      </c>
      <c r="I849" s="171">
        <f>IF(B849="Working",MIN(MAX(D849-E849-F849-G849-H849,0),'Tax Assumptions'!$B$20),0)</f>
        <v>0</v>
      </c>
      <c r="J849" s="171">
        <f t="shared" si="415"/>
        <v>-351979.64077551174</v>
      </c>
      <c r="K849" s="170">
        <f t="shared" si="416"/>
        <v>351979.64077551174</v>
      </c>
      <c r="L849" s="170">
        <f t="shared" si="417"/>
        <v>351979.64077551174</v>
      </c>
      <c r="M849" s="170">
        <f t="shared" si="423"/>
        <v>351979.64077551174</v>
      </c>
      <c r="N849" s="170">
        <f t="shared" si="424"/>
        <v>0</v>
      </c>
      <c r="O849" s="170">
        <f t="shared" si="425"/>
        <v>0</v>
      </c>
      <c r="P849" s="170">
        <f t="shared" si="426"/>
        <v>0</v>
      </c>
      <c r="Q849" s="171">
        <f t="shared" si="427"/>
        <v>4522006.6415920891</v>
      </c>
      <c r="R849" s="171">
        <f t="shared" si="428"/>
        <v>613016.55890249508</v>
      </c>
      <c r="S849" s="171">
        <f t="shared" si="429"/>
        <v>187658.13027627397</v>
      </c>
      <c r="T849" s="171">
        <f t="shared" si="430"/>
        <v>0</v>
      </c>
      <c r="U849" s="171">
        <f t="shared" si="418"/>
        <v>5322681.3307708576</v>
      </c>
      <c r="V849" s="171">
        <f t="shared" si="431"/>
        <v>0</v>
      </c>
      <c r="W849" s="171">
        <f>IF(OR(A849&gt;=$C$13,B849="Retired"),IF(V849&gt;0,-V849,U849-'Model Inputs'!$B$18),"")</f>
        <v>4322681.3307708576</v>
      </c>
      <c r="X849" s="171">
        <f t="shared" si="419"/>
        <v>2339603.7819368206</v>
      </c>
      <c r="Y849" s="171">
        <f t="shared" si="420"/>
        <v>747010.63502437528</v>
      </c>
      <c r="Z849" s="171">
        <f t="shared" si="421"/>
        <v>1592593.1469124453</v>
      </c>
      <c r="AA849" s="172">
        <f t="shared" si="422"/>
        <v>6915274.4776833029</v>
      </c>
      <c r="AB849" s="5"/>
      <c r="AC849" s="5"/>
      <c r="AD849" s="5"/>
      <c r="AE849" s="5"/>
      <c r="AF849" s="5"/>
      <c r="AG849" s="5"/>
    </row>
    <row r="850" spans="1:33" x14ac:dyDescent="0.2">
      <c r="A850" s="173">
        <v>22</v>
      </c>
      <c r="B850" s="65" t="str">
        <f t="shared" si="408"/>
        <v>Retired</v>
      </c>
      <c r="C850" s="174">
        <f t="shared" si="409"/>
        <v>0</v>
      </c>
      <c r="D850" s="174">
        <f t="shared" si="410"/>
        <v>0</v>
      </c>
      <c r="E850" s="174">
        <f t="shared" si="411"/>
        <v>0</v>
      </c>
      <c r="F850" s="174">
        <f t="shared" si="412"/>
        <v>0</v>
      </c>
      <c r="G850" s="171">
        <f t="shared" si="413"/>
        <v>0</v>
      </c>
      <c r="H850" s="171">
        <f t="shared" si="414"/>
        <v>123523.77927159006</v>
      </c>
      <c r="I850" s="171">
        <f>IF(B850="Working",MIN(MAX(D850-E850-F850-G850-H850,0),'Tax Assumptions'!$B$20),0)</f>
        <v>0</v>
      </c>
      <c r="J850" s="171">
        <f t="shared" si="415"/>
        <v>-353523.77927159006</v>
      </c>
      <c r="K850" s="174">
        <f t="shared" si="416"/>
        <v>353523.77927159006</v>
      </c>
      <c r="L850" s="174">
        <f t="shared" si="417"/>
        <v>353523.77927159006</v>
      </c>
      <c r="M850" s="174">
        <f t="shared" si="423"/>
        <v>353523.77927159006</v>
      </c>
      <c r="N850" s="174">
        <f t="shared" si="424"/>
        <v>0</v>
      </c>
      <c r="O850" s="174">
        <f t="shared" si="425"/>
        <v>0</v>
      </c>
      <c r="P850" s="174">
        <f t="shared" si="426"/>
        <v>0</v>
      </c>
      <c r="Q850" s="171">
        <f t="shared" si="427"/>
        <v>4439803.2608160246</v>
      </c>
      <c r="R850" s="171">
        <f t="shared" si="428"/>
        <v>649797.55243664479</v>
      </c>
      <c r="S850" s="171">
        <f t="shared" si="429"/>
        <v>198917.6180928504</v>
      </c>
      <c r="T850" s="171">
        <f t="shared" si="430"/>
        <v>0</v>
      </c>
      <c r="U850" s="171">
        <f t="shared" si="418"/>
        <v>5288518.4313455205</v>
      </c>
      <c r="V850" s="171">
        <f t="shared" si="431"/>
        <v>0</v>
      </c>
      <c r="W850" s="171">
        <f>IF(OR(A850&gt;=$C$13,B850="Retired"),IF(V850&gt;0,-V850,U850-'Model Inputs'!$B$18),"")</f>
        <v>4288518.4313455205</v>
      </c>
      <c r="X850" s="171">
        <f t="shared" si="419"/>
        <v>2409791.895394925</v>
      </c>
      <c r="Y850" s="171">
        <f t="shared" si="420"/>
        <v>724392.00858963397</v>
      </c>
      <c r="Z850" s="171">
        <f t="shared" si="421"/>
        <v>1685399.8868052911</v>
      </c>
      <c r="AA850" s="175">
        <f t="shared" si="422"/>
        <v>6973918.3181508118</v>
      </c>
      <c r="AB850" s="5"/>
      <c r="AC850" s="5"/>
      <c r="AD850" s="5"/>
      <c r="AE850" s="5"/>
      <c r="AF850" s="5"/>
      <c r="AG850" s="5"/>
    </row>
    <row r="851" spans="1:33" x14ac:dyDescent="0.2">
      <c r="A851" s="169">
        <v>23</v>
      </c>
      <c r="B851" s="100" t="str">
        <f t="shared" si="408"/>
        <v>Retired</v>
      </c>
      <c r="C851" s="170">
        <f t="shared" si="409"/>
        <v>0</v>
      </c>
      <c r="D851" s="170">
        <f t="shared" si="410"/>
        <v>0</v>
      </c>
      <c r="E851" s="170">
        <f t="shared" si="411"/>
        <v>0</v>
      </c>
      <c r="F851" s="170">
        <f t="shared" si="412"/>
        <v>0</v>
      </c>
      <c r="G851" s="171">
        <f t="shared" si="413"/>
        <v>0</v>
      </c>
      <c r="H851" s="171">
        <f t="shared" si="414"/>
        <v>125114.2419225507</v>
      </c>
      <c r="I851" s="171">
        <f>IF(B851="Working",MIN(MAX(D851-E851-F851-G851-H851,0),'Tax Assumptions'!$B$20),0)</f>
        <v>0</v>
      </c>
      <c r="J851" s="171">
        <f t="shared" si="415"/>
        <v>-355114.24192255066</v>
      </c>
      <c r="K851" s="170">
        <f t="shared" si="416"/>
        <v>355114.24192255066</v>
      </c>
      <c r="L851" s="170">
        <f t="shared" si="417"/>
        <v>355114.24192255066</v>
      </c>
      <c r="M851" s="170">
        <f t="shared" si="423"/>
        <v>355114.24192255066</v>
      </c>
      <c r="N851" s="170">
        <f t="shared" si="424"/>
        <v>0</v>
      </c>
      <c r="O851" s="170">
        <f t="shared" si="425"/>
        <v>0</v>
      </c>
      <c r="P851" s="170">
        <f t="shared" si="426"/>
        <v>0</v>
      </c>
      <c r="Q851" s="171">
        <f t="shared" si="427"/>
        <v>4351077.2145424355</v>
      </c>
      <c r="R851" s="171">
        <f t="shared" si="428"/>
        <v>688785.40558284346</v>
      </c>
      <c r="S851" s="171">
        <f t="shared" si="429"/>
        <v>210852.67517842143</v>
      </c>
      <c r="T851" s="171">
        <f t="shared" si="430"/>
        <v>0</v>
      </c>
      <c r="U851" s="171">
        <f t="shared" si="418"/>
        <v>5250715.2953037005</v>
      </c>
      <c r="V851" s="171">
        <f t="shared" si="431"/>
        <v>0</v>
      </c>
      <c r="W851" s="171">
        <f>IF(OR(A851&gt;=$C$13,B851="Retired"),IF(V851&gt;0,-V851,U851-'Model Inputs'!$B$18),"")</f>
        <v>4250715.2953037005</v>
      </c>
      <c r="X851" s="171">
        <f t="shared" si="419"/>
        <v>2482085.6522567729</v>
      </c>
      <c r="Y851" s="171">
        <f t="shared" si="420"/>
        <v>700258.57085280493</v>
      </c>
      <c r="Z851" s="171">
        <f t="shared" si="421"/>
        <v>1781827.0814039679</v>
      </c>
      <c r="AA851" s="172">
        <f t="shared" si="422"/>
        <v>7032542.3767076684</v>
      </c>
      <c r="AB851" s="5"/>
      <c r="AC851" s="5"/>
      <c r="AD851" s="5"/>
      <c r="AE851" s="5"/>
      <c r="AF851" s="5"/>
      <c r="AG851" s="5"/>
    </row>
    <row r="852" spans="1:33" x14ac:dyDescent="0.2">
      <c r="A852" s="173">
        <v>24</v>
      </c>
      <c r="B852" s="65" t="str">
        <f t="shared" si="408"/>
        <v>Retired</v>
      </c>
      <c r="C852" s="174">
        <f t="shared" si="409"/>
        <v>0</v>
      </c>
      <c r="D852" s="174">
        <f t="shared" si="410"/>
        <v>0</v>
      </c>
      <c r="E852" s="174">
        <f t="shared" si="411"/>
        <v>0</v>
      </c>
      <c r="F852" s="174">
        <f t="shared" si="412"/>
        <v>0</v>
      </c>
      <c r="G852" s="171">
        <f t="shared" si="413"/>
        <v>0</v>
      </c>
      <c r="H852" s="171">
        <f t="shared" si="414"/>
        <v>126752.41845304017</v>
      </c>
      <c r="I852" s="171">
        <f>IF(B852="Working",MIN(MAX(D852-E852-F852-G852-H852,0),'Tax Assumptions'!$B$20),0)</f>
        <v>0</v>
      </c>
      <c r="J852" s="171">
        <f t="shared" si="415"/>
        <v>-356752.41845304013</v>
      </c>
      <c r="K852" s="174">
        <f t="shared" si="416"/>
        <v>356752.41845304013</v>
      </c>
      <c r="L852" s="174">
        <f t="shared" si="417"/>
        <v>356752.41845304013</v>
      </c>
      <c r="M852" s="174">
        <f t="shared" si="423"/>
        <v>356752.41845304013</v>
      </c>
      <c r="N852" s="174">
        <f t="shared" si="424"/>
        <v>0</v>
      </c>
      <c r="O852" s="174">
        <f t="shared" si="425"/>
        <v>0</v>
      </c>
      <c r="P852" s="174">
        <f t="shared" si="426"/>
        <v>0</v>
      </c>
      <c r="Q852" s="171">
        <f t="shared" si="427"/>
        <v>4255389.428961941</v>
      </c>
      <c r="R852" s="171">
        <f t="shared" si="428"/>
        <v>730112.52991781407</v>
      </c>
      <c r="S852" s="171">
        <f t="shared" si="429"/>
        <v>223503.83568912672</v>
      </c>
      <c r="T852" s="171">
        <f t="shared" si="430"/>
        <v>0</v>
      </c>
      <c r="U852" s="171">
        <f t="shared" si="418"/>
        <v>5209005.7945688814</v>
      </c>
      <c r="V852" s="171">
        <f t="shared" si="431"/>
        <v>0</v>
      </c>
      <c r="W852" s="171">
        <f>IF(OR(A852&gt;=$C$13,B852="Retired"),IF(V852&gt;0,-V852,U852-'Model Inputs'!$B$18),"")</f>
        <v>4209005.7945688814</v>
      </c>
      <c r="X852" s="171">
        <f t="shared" si="419"/>
        <v>2556548.221824476</v>
      </c>
      <c r="Y852" s="171">
        <f t="shared" si="420"/>
        <v>674508.87209555157</v>
      </c>
      <c r="Z852" s="171">
        <f t="shared" si="421"/>
        <v>1882039.3497289245</v>
      </c>
      <c r="AA852" s="175">
        <f t="shared" si="422"/>
        <v>7091045.1442978056</v>
      </c>
      <c r="AB852" s="5"/>
      <c r="AC852" s="5"/>
      <c r="AD852" s="5"/>
      <c r="AE852" s="5"/>
      <c r="AF852" s="5"/>
      <c r="AG852" s="5"/>
    </row>
    <row r="853" spans="1:33" x14ac:dyDescent="0.2">
      <c r="A853" s="169">
        <v>25</v>
      </c>
      <c r="B853" s="100" t="str">
        <f t="shared" si="408"/>
        <v>Retired</v>
      </c>
      <c r="C853" s="170">
        <f t="shared" si="409"/>
        <v>0</v>
      </c>
      <c r="D853" s="170">
        <f t="shared" si="410"/>
        <v>0</v>
      </c>
      <c r="E853" s="170">
        <f t="shared" si="411"/>
        <v>0</v>
      </c>
      <c r="F853" s="170">
        <f t="shared" si="412"/>
        <v>0</v>
      </c>
      <c r="G853" s="171">
        <f t="shared" si="413"/>
        <v>0</v>
      </c>
      <c r="H853" s="171">
        <f t="shared" si="414"/>
        <v>128439.74027944433</v>
      </c>
      <c r="I853" s="171">
        <f>IF(B853="Working",MIN(MAX(D853-E853-F853-G853-H853,0),'Tax Assumptions'!$B$20),0)</f>
        <v>0</v>
      </c>
      <c r="J853" s="171">
        <f t="shared" si="415"/>
        <v>-358439.74027944432</v>
      </c>
      <c r="K853" s="170">
        <f t="shared" si="416"/>
        <v>358439.74027944432</v>
      </c>
      <c r="L853" s="170">
        <f t="shared" si="417"/>
        <v>358439.74027944432</v>
      </c>
      <c r="M853" s="170">
        <f t="shared" si="423"/>
        <v>358439.74027944432</v>
      </c>
      <c r="N853" s="170">
        <f t="shared" si="424"/>
        <v>0</v>
      </c>
      <c r="O853" s="170">
        <f t="shared" si="425"/>
        <v>0</v>
      </c>
      <c r="P853" s="170">
        <f t="shared" si="426"/>
        <v>0</v>
      </c>
      <c r="Q853" s="171">
        <f t="shared" si="427"/>
        <v>4152273.0544202132</v>
      </c>
      <c r="R853" s="171">
        <f t="shared" si="428"/>
        <v>773919.28171288292</v>
      </c>
      <c r="S853" s="171">
        <f t="shared" si="429"/>
        <v>236914.06583047434</v>
      </c>
      <c r="T853" s="171">
        <f t="shared" si="430"/>
        <v>0</v>
      </c>
      <c r="U853" s="171">
        <f t="shared" si="418"/>
        <v>5163106.4019635711</v>
      </c>
      <c r="V853" s="171">
        <f t="shared" si="431"/>
        <v>0</v>
      </c>
      <c r="W853" s="171">
        <f>IF(OR(A853&gt;=$C$13,B853="Retired"),IF(V853&gt;0,-V853,U853-'Model Inputs'!$B$18),"")</f>
        <v>4163106.4019635711</v>
      </c>
      <c r="X853" s="171">
        <f t="shared" si="419"/>
        <v>2633244.6684792107</v>
      </c>
      <c r="Y853" s="171">
        <f t="shared" si="420"/>
        <v>647034.66832401766</v>
      </c>
      <c r="Z853" s="171">
        <f t="shared" si="421"/>
        <v>1986210.000155193</v>
      </c>
      <c r="AA853" s="172">
        <f t="shared" si="422"/>
        <v>7149316.4021187639</v>
      </c>
      <c r="AB853" s="5"/>
      <c r="AC853" s="5"/>
      <c r="AD853" s="5"/>
      <c r="AE853" s="5"/>
      <c r="AF853" s="5"/>
      <c r="AG853" s="5"/>
    </row>
    <row r="854" spans="1:33" x14ac:dyDescent="0.2">
      <c r="A854" s="173">
        <v>26</v>
      </c>
      <c r="B854" s="65" t="str">
        <f t="shared" si="408"/>
        <v>Retired</v>
      </c>
      <c r="C854" s="174">
        <f t="shared" si="409"/>
        <v>0</v>
      </c>
      <c r="D854" s="174">
        <f t="shared" si="410"/>
        <v>0</v>
      </c>
      <c r="E854" s="174">
        <f t="shared" si="411"/>
        <v>0</v>
      </c>
      <c r="F854" s="174">
        <f t="shared" si="412"/>
        <v>0</v>
      </c>
      <c r="G854" s="171">
        <f t="shared" si="413"/>
        <v>0</v>
      </c>
      <c r="H854" s="171">
        <f t="shared" si="414"/>
        <v>130177.6817606406</v>
      </c>
      <c r="I854" s="171">
        <f>IF(B854="Working",MIN(MAX(D854-E854-F854-G854-H854,0),'Tax Assumptions'!$B$20),0)</f>
        <v>0</v>
      </c>
      <c r="J854" s="171">
        <f t="shared" si="415"/>
        <v>-360177.68176064058</v>
      </c>
      <c r="K854" s="174">
        <f t="shared" si="416"/>
        <v>360177.68176064058</v>
      </c>
      <c r="L854" s="174">
        <f t="shared" si="417"/>
        <v>360177.68176064058</v>
      </c>
      <c r="M854" s="174">
        <f t="shared" si="423"/>
        <v>360177.68176064058</v>
      </c>
      <c r="N854" s="174">
        <f t="shared" si="424"/>
        <v>0</v>
      </c>
      <c r="O854" s="174">
        <f t="shared" si="425"/>
        <v>0</v>
      </c>
      <c r="P854" s="174">
        <f t="shared" si="426"/>
        <v>0</v>
      </c>
      <c r="Q854" s="171">
        <f t="shared" si="427"/>
        <v>4041231.7559247855</v>
      </c>
      <c r="R854" s="171">
        <f t="shared" si="428"/>
        <v>820354.43861565599</v>
      </c>
      <c r="S854" s="171">
        <f t="shared" si="429"/>
        <v>251128.90978030281</v>
      </c>
      <c r="T854" s="171">
        <f t="shared" si="430"/>
        <v>0</v>
      </c>
      <c r="U854" s="171">
        <f t="shared" si="418"/>
        <v>5112715.1043207441</v>
      </c>
      <c r="V854" s="171">
        <f t="shared" si="431"/>
        <v>0</v>
      </c>
      <c r="W854" s="171">
        <f>IF(OR(A854&gt;=$C$13,B854="Retired"),IF(V854&gt;0,-V854,U854-'Model Inputs'!$B$18),"")</f>
        <v>4112715.1043207441</v>
      </c>
      <c r="X854" s="171">
        <f t="shared" si="419"/>
        <v>2712242.0085335863</v>
      </c>
      <c r="Y854" s="171">
        <f t="shared" si="420"/>
        <v>617720.46624360932</v>
      </c>
      <c r="Z854" s="171">
        <f t="shared" si="421"/>
        <v>2094521.542289977</v>
      </c>
      <c r="AA854" s="175">
        <f t="shared" si="422"/>
        <v>7207236.646610721</v>
      </c>
      <c r="AB854" s="5"/>
      <c r="AC854" s="5"/>
      <c r="AD854" s="5"/>
      <c r="AE854" s="5"/>
      <c r="AF854" s="5"/>
      <c r="AG854" s="5"/>
    </row>
    <row r="855" spans="1:33" x14ac:dyDescent="0.2">
      <c r="A855" s="169">
        <v>27</v>
      </c>
      <c r="B855" s="100" t="str">
        <f t="shared" si="408"/>
        <v>Retired</v>
      </c>
      <c r="C855" s="170">
        <f t="shared" si="409"/>
        <v>0</v>
      </c>
      <c r="D855" s="170">
        <f t="shared" si="410"/>
        <v>0</v>
      </c>
      <c r="E855" s="170">
        <f t="shared" si="411"/>
        <v>0</v>
      </c>
      <c r="F855" s="170">
        <f t="shared" si="412"/>
        <v>0</v>
      </c>
      <c r="G855" s="171">
        <f t="shared" si="413"/>
        <v>0</v>
      </c>
      <c r="H855" s="171">
        <f t="shared" si="414"/>
        <v>131967.76148627276</v>
      </c>
      <c r="I855" s="171">
        <f>IF(B855="Working",MIN(MAX(D855-E855-F855-G855-H855,0),'Tax Assumptions'!$B$20),0)</f>
        <v>0</v>
      </c>
      <c r="J855" s="171">
        <f t="shared" si="415"/>
        <v>-361967.76148627274</v>
      </c>
      <c r="K855" s="170">
        <f t="shared" si="416"/>
        <v>361967.76148627274</v>
      </c>
      <c r="L855" s="170">
        <f t="shared" si="417"/>
        <v>361967.76148627274</v>
      </c>
      <c r="M855" s="170">
        <f t="shared" si="423"/>
        <v>361967.76148627274</v>
      </c>
      <c r="N855" s="170">
        <f t="shared" si="424"/>
        <v>0</v>
      </c>
      <c r="O855" s="170">
        <f t="shared" si="425"/>
        <v>0</v>
      </c>
      <c r="P855" s="170">
        <f t="shared" si="426"/>
        <v>0</v>
      </c>
      <c r="Q855" s="171">
        <f t="shared" si="427"/>
        <v>3921737.8997939997</v>
      </c>
      <c r="R855" s="171">
        <f t="shared" si="428"/>
        <v>869575.70493259537</v>
      </c>
      <c r="S855" s="171">
        <f t="shared" si="429"/>
        <v>266196.64436712099</v>
      </c>
      <c r="T855" s="171">
        <f t="shared" si="430"/>
        <v>0</v>
      </c>
      <c r="U855" s="171">
        <f t="shared" si="418"/>
        <v>5057510.249093716</v>
      </c>
      <c r="V855" s="171">
        <f t="shared" si="431"/>
        <v>0</v>
      </c>
      <c r="W855" s="171">
        <f>IF(OR(A855&gt;=$C$13,B855="Retired"),IF(V855&gt;0,-V855,U855-'Model Inputs'!$B$18),"")</f>
        <v>4057510.249093716</v>
      </c>
      <c r="X855" s="171">
        <f t="shared" si="419"/>
        <v>2793609.2687895941</v>
      </c>
      <c r="Y855" s="171">
        <f t="shared" si="420"/>
        <v>586443.0377598987</v>
      </c>
      <c r="Z855" s="171">
        <f t="shared" si="421"/>
        <v>2207166.2310296954</v>
      </c>
      <c r="AA855" s="172">
        <f t="shared" si="422"/>
        <v>7264676.4801234119</v>
      </c>
      <c r="AB855" s="5"/>
      <c r="AC855" s="5"/>
      <c r="AD855" s="5"/>
      <c r="AE855" s="5"/>
      <c r="AF855" s="5"/>
      <c r="AG855" s="5"/>
    </row>
    <row r="856" spans="1:33" x14ac:dyDescent="0.2">
      <c r="A856" s="173">
        <v>28</v>
      </c>
      <c r="B856" s="65" t="str">
        <f t="shared" si="408"/>
        <v>Retired</v>
      </c>
      <c r="C856" s="174">
        <f t="shared" si="409"/>
        <v>0</v>
      </c>
      <c r="D856" s="174">
        <f t="shared" si="410"/>
        <v>0</v>
      </c>
      <c r="E856" s="174">
        <f t="shared" si="411"/>
        <v>0</v>
      </c>
      <c r="F856" s="174">
        <f t="shared" si="412"/>
        <v>0</v>
      </c>
      <c r="G856" s="171">
        <f t="shared" si="413"/>
        <v>0</v>
      </c>
      <c r="H856" s="171">
        <f t="shared" si="414"/>
        <v>133811.5436036739</v>
      </c>
      <c r="I856" s="171">
        <f>IF(B856="Working",MIN(MAX(D856-E856-F856-G856-H856,0),'Tax Assumptions'!$B$20),0)</f>
        <v>0</v>
      </c>
      <c r="J856" s="171">
        <f t="shared" si="415"/>
        <v>-363811.54360367387</v>
      </c>
      <c r="K856" s="174">
        <f t="shared" si="416"/>
        <v>363811.54360367387</v>
      </c>
      <c r="L856" s="174">
        <f t="shared" si="417"/>
        <v>363811.54360367387</v>
      </c>
      <c r="M856" s="174">
        <f t="shared" si="423"/>
        <v>363811.54360367387</v>
      </c>
      <c r="N856" s="174">
        <f t="shared" si="424"/>
        <v>0</v>
      </c>
      <c r="O856" s="174">
        <f t="shared" si="425"/>
        <v>0</v>
      </c>
      <c r="P856" s="174">
        <f t="shared" si="426"/>
        <v>0</v>
      </c>
      <c r="Q856" s="171">
        <f t="shared" si="427"/>
        <v>3793230.6301779659</v>
      </c>
      <c r="R856" s="171">
        <f t="shared" si="428"/>
        <v>921750.24722855119</v>
      </c>
      <c r="S856" s="171">
        <f t="shared" si="429"/>
        <v>282168.44302914827</v>
      </c>
      <c r="T856" s="171">
        <f t="shared" si="430"/>
        <v>0</v>
      </c>
      <c r="U856" s="171">
        <f t="shared" si="418"/>
        <v>4997149.3204356655</v>
      </c>
      <c r="V856" s="171">
        <f t="shared" si="431"/>
        <v>0</v>
      </c>
      <c r="W856" s="171">
        <f>IF(OR(A856&gt;=$C$13,B856="Retired"),IF(V856&gt;0,-V856,U856-'Model Inputs'!$B$18),"")</f>
        <v>3997149.3204356655</v>
      </c>
      <c r="X856" s="171">
        <f t="shared" si="419"/>
        <v>2877417.546853282</v>
      </c>
      <c r="Y856" s="171">
        <f t="shared" si="420"/>
        <v>553070.90196475713</v>
      </c>
      <c r="Z856" s="171">
        <f t="shared" si="421"/>
        <v>2324346.6448885249</v>
      </c>
      <c r="AA856" s="175">
        <f t="shared" si="422"/>
        <v>7321495.9653241904</v>
      </c>
      <c r="AB856" s="5"/>
      <c r="AC856" s="5"/>
      <c r="AD856" s="5"/>
      <c r="AE856" s="5"/>
      <c r="AF856" s="5"/>
      <c r="AG856" s="5"/>
    </row>
    <row r="857" spans="1:33" x14ac:dyDescent="0.2">
      <c r="A857" s="169">
        <v>29</v>
      </c>
      <c r="B857" s="100" t="str">
        <f t="shared" si="408"/>
        <v>Retired</v>
      </c>
      <c r="C857" s="170">
        <f t="shared" si="409"/>
        <v>0</v>
      </c>
      <c r="D857" s="170">
        <f t="shared" si="410"/>
        <v>0</v>
      </c>
      <c r="E857" s="170">
        <f t="shared" si="411"/>
        <v>0</v>
      </c>
      <c r="F857" s="170">
        <f t="shared" si="412"/>
        <v>0</v>
      </c>
      <c r="G857" s="171">
        <f t="shared" si="413"/>
        <v>0</v>
      </c>
      <c r="H857" s="171">
        <f t="shared" si="414"/>
        <v>135710.63918459706</v>
      </c>
      <c r="I857" s="171">
        <f>IF(B857="Working",MIN(MAX(D857-E857-F857-G857-H857,0),'Tax Assumptions'!$B$20),0)</f>
        <v>0</v>
      </c>
      <c r="J857" s="171">
        <f t="shared" si="415"/>
        <v>-365710.63918459706</v>
      </c>
      <c r="K857" s="170">
        <f t="shared" si="416"/>
        <v>365710.63918459706</v>
      </c>
      <c r="L857" s="170">
        <f t="shared" si="417"/>
        <v>365710.63918459706</v>
      </c>
      <c r="M857" s="170">
        <f t="shared" si="423"/>
        <v>365710.63918459706</v>
      </c>
      <c r="N857" s="170">
        <f t="shared" si="424"/>
        <v>0</v>
      </c>
      <c r="O857" s="170">
        <f t="shared" si="425"/>
        <v>0</v>
      </c>
      <c r="P857" s="170">
        <f t="shared" si="426"/>
        <v>0</v>
      </c>
      <c r="Q857" s="171">
        <f t="shared" si="427"/>
        <v>3655113.8288040468</v>
      </c>
      <c r="R857" s="171">
        <f t="shared" si="428"/>
        <v>977055.26206226426</v>
      </c>
      <c r="S857" s="171">
        <f t="shared" si="429"/>
        <v>299098.5496108972</v>
      </c>
      <c r="T857" s="171">
        <f t="shared" si="430"/>
        <v>0</v>
      </c>
      <c r="U857" s="171">
        <f t="shared" si="418"/>
        <v>4931267.6404772084</v>
      </c>
      <c r="V857" s="171">
        <f t="shared" si="431"/>
        <v>0</v>
      </c>
      <c r="W857" s="171">
        <f>IF(OR(A857&gt;=$C$13,B857="Retired"),IF(V857&gt;0,-V857,U857-'Model Inputs'!$B$18),"")</f>
        <v>3931267.6404772084</v>
      </c>
      <c r="X857" s="171">
        <f t="shared" si="419"/>
        <v>2963740.0732588801</v>
      </c>
      <c r="Y857" s="171">
        <f t="shared" si="420"/>
        <v>517463.77243013401</v>
      </c>
      <c r="Z857" s="171">
        <f t="shared" si="421"/>
        <v>2446276.3008287461</v>
      </c>
      <c r="AA857" s="172">
        <f t="shared" si="422"/>
        <v>7377543.941305954</v>
      </c>
      <c r="AB857" s="5"/>
      <c r="AC857" s="5"/>
      <c r="AD857" s="5"/>
      <c r="AE857" s="5"/>
      <c r="AF857" s="5"/>
      <c r="AG857" s="5"/>
    </row>
    <row r="858" spans="1:33" x14ac:dyDescent="0.2">
      <c r="A858" s="173">
        <v>30</v>
      </c>
      <c r="B858" s="65" t="str">
        <f t="shared" si="408"/>
        <v>Retired</v>
      </c>
      <c r="C858" s="174">
        <f t="shared" si="409"/>
        <v>0</v>
      </c>
      <c r="D858" s="174">
        <f t="shared" si="410"/>
        <v>0</v>
      </c>
      <c r="E858" s="174">
        <f t="shared" si="411"/>
        <v>0</v>
      </c>
      <c r="F858" s="174">
        <f t="shared" si="412"/>
        <v>0</v>
      </c>
      <c r="G858" s="171">
        <f t="shared" si="413"/>
        <v>0</v>
      </c>
      <c r="H858" s="171">
        <f t="shared" si="414"/>
        <v>137666.70763294792</v>
      </c>
      <c r="I858" s="171">
        <f>IF(B858="Working",MIN(MAX(D858-E858-F858-G858-H858,0),'Tax Assumptions'!$B$20),0)</f>
        <v>0</v>
      </c>
      <c r="J858" s="171">
        <f t="shared" si="415"/>
        <v>-367666.70763294789</v>
      </c>
      <c r="K858" s="174">
        <f t="shared" si="416"/>
        <v>367666.70763294789</v>
      </c>
      <c r="L858" s="174">
        <f t="shared" si="417"/>
        <v>367666.70763294789</v>
      </c>
      <c r="M858" s="174">
        <f t="shared" si="423"/>
        <v>367666.70763294789</v>
      </c>
      <c r="N858" s="174">
        <f t="shared" si="424"/>
        <v>0</v>
      </c>
      <c r="O858" s="174">
        <f t="shared" si="425"/>
        <v>0</v>
      </c>
      <c r="P858" s="174">
        <f t="shared" si="426"/>
        <v>0</v>
      </c>
      <c r="Q858" s="171">
        <f t="shared" si="427"/>
        <v>3506753.9508993421</v>
      </c>
      <c r="R858" s="171">
        <f t="shared" si="428"/>
        <v>1035678.5777860002</v>
      </c>
      <c r="S858" s="171">
        <f t="shared" si="429"/>
        <v>317044.46258755104</v>
      </c>
      <c r="T858" s="171">
        <f t="shared" si="430"/>
        <v>0</v>
      </c>
      <c r="U858" s="171">
        <f t="shared" si="418"/>
        <v>4859476.9912728937</v>
      </c>
      <c r="V858" s="171">
        <f t="shared" si="431"/>
        <v>0</v>
      </c>
      <c r="W858" s="171">
        <f>IF(OR(A858&gt;=$C$13,B858="Retired"),IF(V858&gt;0,-V858,U858-'Model Inputs'!$B$18),"")</f>
        <v>3859476.9912728937</v>
      </c>
      <c r="X858" s="171">
        <f t="shared" si="419"/>
        <v>3052652.2754566465</v>
      </c>
      <c r="Y858" s="171">
        <f t="shared" si="420"/>
        <v>479471.96748608351</v>
      </c>
      <c r="Z858" s="171">
        <f t="shared" si="421"/>
        <v>2573180.3079705629</v>
      </c>
      <c r="AA858" s="175">
        <f t="shared" si="422"/>
        <v>7432657.2992434567</v>
      </c>
      <c r="AB858" s="5"/>
      <c r="AC858" s="5"/>
      <c r="AD858" s="5"/>
      <c r="AE858" s="5"/>
      <c r="AF858" s="5"/>
      <c r="AG858" s="5"/>
    </row>
    <row r="859" spans="1:33" x14ac:dyDescent="0.2">
      <c r="A859" s="169">
        <v>31</v>
      </c>
      <c r="B859" s="100" t="str">
        <f t="shared" si="408"/>
        <v>Retired</v>
      </c>
      <c r="C859" s="170">
        <f t="shared" si="409"/>
        <v>0</v>
      </c>
      <c r="D859" s="170">
        <f t="shared" si="410"/>
        <v>0</v>
      </c>
      <c r="E859" s="170">
        <f t="shared" si="411"/>
        <v>0</v>
      </c>
      <c r="F859" s="170">
        <f t="shared" si="412"/>
        <v>0</v>
      </c>
      <c r="G859" s="171">
        <f t="shared" si="413"/>
        <v>0</v>
      </c>
      <c r="H859" s="171">
        <f t="shared" si="414"/>
        <v>139681.45813474932</v>
      </c>
      <c r="I859" s="171">
        <f>IF(B859="Working",MIN(MAX(D859-E859-F859-G859-H859,0),'Tax Assumptions'!$B$20),0)</f>
        <v>0</v>
      </c>
      <c r="J859" s="171">
        <f t="shared" si="415"/>
        <v>-369681.45813474932</v>
      </c>
      <c r="K859" s="170">
        <f t="shared" si="416"/>
        <v>369681.45813474932</v>
      </c>
      <c r="L859" s="170">
        <f t="shared" si="417"/>
        <v>369681.45813474932</v>
      </c>
      <c r="M859" s="170">
        <f t="shared" si="423"/>
        <v>369681.45813474932</v>
      </c>
      <c r="N859" s="170">
        <f t="shared" si="424"/>
        <v>0</v>
      </c>
      <c r="O859" s="170">
        <f t="shared" si="425"/>
        <v>0</v>
      </c>
      <c r="P859" s="170">
        <f t="shared" si="426"/>
        <v>0</v>
      </c>
      <c r="Q859" s="171">
        <f t="shared" si="427"/>
        <v>3347477.7298185532</v>
      </c>
      <c r="R859" s="171">
        <f t="shared" si="428"/>
        <v>1097819.2924531603</v>
      </c>
      <c r="S859" s="171">
        <f t="shared" si="429"/>
        <v>336067.13034280413</v>
      </c>
      <c r="T859" s="171">
        <f t="shared" si="430"/>
        <v>0</v>
      </c>
      <c r="U859" s="171">
        <f t="shared" si="418"/>
        <v>4781364.1526145171</v>
      </c>
      <c r="V859" s="171">
        <f t="shared" si="431"/>
        <v>0</v>
      </c>
      <c r="W859" s="171">
        <f>IF(OR(A859&gt;=$C$13,B859="Retired"),IF(V859&gt;0,-V859,U859-'Model Inputs'!$B$18),"")</f>
        <v>3781364.1526145171</v>
      </c>
      <c r="X859" s="171">
        <f t="shared" si="419"/>
        <v>3144231.8437203458</v>
      </c>
      <c r="Y859" s="171">
        <f t="shared" si="420"/>
        <v>438935.7810040107</v>
      </c>
      <c r="Z859" s="171">
        <f t="shared" si="421"/>
        <v>2705296.0627163351</v>
      </c>
      <c r="AA859" s="172">
        <f t="shared" si="422"/>
        <v>7486660.2153308522</v>
      </c>
      <c r="AB859" s="5"/>
      <c r="AC859" s="5"/>
      <c r="AD859" s="5"/>
      <c r="AE859" s="5"/>
      <c r="AF859" s="5"/>
      <c r="AG859" s="5"/>
    </row>
    <row r="860" spans="1:33" x14ac:dyDescent="0.2">
      <c r="A860" s="173">
        <v>32</v>
      </c>
      <c r="B860" s="65" t="str">
        <f t="shared" si="408"/>
        <v>Retired</v>
      </c>
      <c r="C860" s="174">
        <f t="shared" si="409"/>
        <v>0</v>
      </c>
      <c r="D860" s="174">
        <f t="shared" si="410"/>
        <v>0</v>
      </c>
      <c r="E860" s="174">
        <f t="shared" si="411"/>
        <v>0</v>
      </c>
      <c r="F860" s="174">
        <f t="shared" si="412"/>
        <v>0</v>
      </c>
      <c r="G860" s="171">
        <f t="shared" si="413"/>
        <v>0</v>
      </c>
      <c r="H860" s="171">
        <f t="shared" si="414"/>
        <v>141756.65115160472</v>
      </c>
      <c r="I860" s="171">
        <f>IF(B860="Working",MIN(MAX(D860-E860-F860-G860-H860,0),'Tax Assumptions'!$B$20),0)</f>
        <v>0</v>
      </c>
      <c r="J860" s="171">
        <f t="shared" si="415"/>
        <v>-371756.65115160472</v>
      </c>
      <c r="K860" s="174">
        <f t="shared" si="416"/>
        <v>371756.65115160472</v>
      </c>
      <c r="L860" s="174">
        <f t="shared" si="417"/>
        <v>371756.65115160472</v>
      </c>
      <c r="M860" s="174">
        <f t="shared" si="423"/>
        <v>371756.65115160472</v>
      </c>
      <c r="N860" s="174">
        <f t="shared" si="424"/>
        <v>0</v>
      </c>
      <c r="O860" s="174">
        <f t="shared" si="425"/>
        <v>0</v>
      </c>
      <c r="P860" s="174">
        <f t="shared" si="426"/>
        <v>0</v>
      </c>
      <c r="Q860" s="171">
        <f t="shared" si="427"/>
        <v>3176569.7424560618</v>
      </c>
      <c r="R860" s="171">
        <f t="shared" si="428"/>
        <v>1163688.4500003499</v>
      </c>
      <c r="S860" s="171">
        <f t="shared" si="429"/>
        <v>356231.15816337237</v>
      </c>
      <c r="T860" s="171">
        <f t="shared" si="430"/>
        <v>0</v>
      </c>
      <c r="U860" s="171">
        <f t="shared" si="418"/>
        <v>4696489.3506197836</v>
      </c>
      <c r="V860" s="171">
        <f t="shared" si="431"/>
        <v>0</v>
      </c>
      <c r="W860" s="171">
        <f>IF(OR(A860&gt;=$C$13,B860="Retired"),IF(V860&gt;0,-V860,U860-'Model Inputs'!$B$18),"")</f>
        <v>3696489.3506197836</v>
      </c>
      <c r="X860" s="171">
        <f t="shared" si="419"/>
        <v>3238558.7990319561</v>
      </c>
      <c r="Y860" s="171">
        <f t="shared" si="420"/>
        <v>395684.81104011135</v>
      </c>
      <c r="Z860" s="171">
        <f t="shared" si="421"/>
        <v>2842873.9879918448</v>
      </c>
      <c r="AA860" s="175">
        <f t="shared" si="422"/>
        <v>7539363.3386116289</v>
      </c>
      <c r="AB860" s="5"/>
      <c r="AC860" s="5"/>
      <c r="AD860" s="5"/>
      <c r="AE860" s="5"/>
      <c r="AF860" s="5"/>
      <c r="AG860" s="5"/>
    </row>
    <row r="861" spans="1:33" x14ac:dyDescent="0.2">
      <c r="A861" s="169">
        <v>33</v>
      </c>
      <c r="B861" s="100" t="str">
        <f t="shared" si="408"/>
        <v>Retired</v>
      </c>
      <c r="C861" s="170">
        <f t="shared" si="409"/>
        <v>0</v>
      </c>
      <c r="D861" s="170">
        <f t="shared" si="410"/>
        <v>0</v>
      </c>
      <c r="E861" s="170">
        <f t="shared" si="411"/>
        <v>0</v>
      </c>
      <c r="F861" s="170">
        <f t="shared" si="412"/>
        <v>0</v>
      </c>
      <c r="G861" s="171">
        <f t="shared" si="413"/>
        <v>0</v>
      </c>
      <c r="H861" s="171">
        <f t="shared" si="414"/>
        <v>143894.09995896585</v>
      </c>
      <c r="I861" s="171">
        <f>IF(B861="Working",MIN(MAX(D861-E861-F861-G861-H861,0),'Tax Assumptions'!$B$20),0)</f>
        <v>0</v>
      </c>
      <c r="J861" s="171">
        <f t="shared" si="415"/>
        <v>-373894.09995896579</v>
      </c>
      <c r="K861" s="170">
        <f t="shared" si="416"/>
        <v>373894.09995896579</v>
      </c>
      <c r="L861" s="170">
        <f t="shared" si="417"/>
        <v>373894.09995896579</v>
      </c>
      <c r="M861" s="170">
        <f t="shared" si="423"/>
        <v>373894.09995896579</v>
      </c>
      <c r="N861" s="170">
        <f t="shared" si="424"/>
        <v>0</v>
      </c>
      <c r="O861" s="170">
        <f t="shared" si="425"/>
        <v>0</v>
      </c>
      <c r="P861" s="170">
        <f t="shared" si="426"/>
        <v>0</v>
      </c>
      <c r="Q861" s="171">
        <f t="shared" si="427"/>
        <v>2993269.82704446</v>
      </c>
      <c r="R861" s="171">
        <f t="shared" si="428"/>
        <v>1233509.7570003709</v>
      </c>
      <c r="S861" s="171">
        <f t="shared" si="429"/>
        <v>377605.02765317471</v>
      </c>
      <c r="T861" s="171">
        <f t="shared" si="430"/>
        <v>0</v>
      </c>
      <c r="U861" s="171">
        <f t="shared" si="418"/>
        <v>4604384.6116980053</v>
      </c>
      <c r="V861" s="171">
        <f t="shared" si="431"/>
        <v>0</v>
      </c>
      <c r="W861" s="171">
        <f>IF(OR(A861&gt;=$C$13,B861="Retired"),IF(V861&gt;0,-V861,U861-'Model Inputs'!$B$18),"")</f>
        <v>3604384.6116980053</v>
      </c>
      <c r="X861" s="171">
        <f t="shared" si="419"/>
        <v>3335715.5630029151</v>
      </c>
      <c r="Y861" s="171">
        <f t="shared" si="420"/>
        <v>349537.24351682514</v>
      </c>
      <c r="Z861" s="171">
        <f t="shared" si="421"/>
        <v>2986178.31948609</v>
      </c>
      <c r="AA861" s="172">
        <f t="shared" si="422"/>
        <v>7590562.9311840953</v>
      </c>
      <c r="AB861" s="5"/>
      <c r="AC861" s="5"/>
      <c r="AD861" s="5"/>
      <c r="AE861" s="5"/>
      <c r="AF861" s="5"/>
      <c r="AG861" s="5"/>
    </row>
    <row r="862" spans="1:33" x14ac:dyDescent="0.2">
      <c r="A862" s="173">
        <v>34</v>
      </c>
      <c r="B862" s="65" t="str">
        <f t="shared" si="408"/>
        <v>Retired</v>
      </c>
      <c r="C862" s="174">
        <f t="shared" si="409"/>
        <v>0</v>
      </c>
      <c r="D862" s="174">
        <f t="shared" si="410"/>
        <v>0</v>
      </c>
      <c r="E862" s="174">
        <f t="shared" si="411"/>
        <v>0</v>
      </c>
      <c r="F862" s="174">
        <f t="shared" si="412"/>
        <v>0</v>
      </c>
      <c r="G862" s="171">
        <f t="shared" si="413"/>
        <v>0</v>
      </c>
      <c r="H862" s="171">
        <f t="shared" si="414"/>
        <v>146095.67223054776</v>
      </c>
      <c r="I862" s="171">
        <f>IF(B862="Working",MIN(MAX(D862-E862-F862-G862-H862,0),'Tax Assumptions'!$B$20),0)</f>
        <v>0</v>
      </c>
      <c r="J862" s="171">
        <f t="shared" si="415"/>
        <v>-376095.67223054776</v>
      </c>
      <c r="K862" s="174">
        <f t="shared" si="416"/>
        <v>376095.67223054776</v>
      </c>
      <c r="L862" s="174">
        <f t="shared" si="417"/>
        <v>376095.67223054776</v>
      </c>
      <c r="M862" s="174">
        <f t="shared" si="423"/>
        <v>376095.67223054776</v>
      </c>
      <c r="N862" s="174">
        <f t="shared" si="424"/>
        <v>0</v>
      </c>
      <c r="O862" s="174">
        <f t="shared" si="425"/>
        <v>0</v>
      </c>
      <c r="P862" s="174">
        <f t="shared" si="426"/>
        <v>0</v>
      </c>
      <c r="Q862" s="171">
        <f t="shared" si="427"/>
        <v>2796770.3444365798</v>
      </c>
      <c r="R862" s="171">
        <f t="shared" si="428"/>
        <v>1307520.3424203931</v>
      </c>
      <c r="S862" s="171">
        <f t="shared" si="429"/>
        <v>400261.32931236521</v>
      </c>
      <c r="T862" s="171">
        <f t="shared" si="430"/>
        <v>0</v>
      </c>
      <c r="U862" s="171">
        <f t="shared" si="418"/>
        <v>4504552.0161693385</v>
      </c>
      <c r="V862" s="171">
        <f t="shared" si="431"/>
        <v>0</v>
      </c>
      <c r="W862" s="171">
        <f>IF(OR(A862&gt;=$C$13,B862="Retired"),IF(V862&gt;0,-V862,U862-'Model Inputs'!$B$18),"")</f>
        <v>3504552.0161693385</v>
      </c>
      <c r="X862" s="171">
        <f t="shared" si="419"/>
        <v>3435787.029893002</v>
      </c>
      <c r="Y862" s="171">
        <f t="shared" si="420"/>
        <v>300299.0879310919</v>
      </c>
      <c r="Z862" s="171">
        <f t="shared" si="421"/>
        <v>3135487.9419619101</v>
      </c>
      <c r="AA862" s="175">
        <f t="shared" si="422"/>
        <v>7640039.9581312481</v>
      </c>
      <c r="AB862" s="5"/>
      <c r="AC862" s="5"/>
      <c r="AD862" s="5"/>
      <c r="AE862" s="5"/>
      <c r="AF862" s="5"/>
      <c r="AG862" s="5"/>
    </row>
    <row r="863" spans="1:33" x14ac:dyDescent="0.2">
      <c r="A863" s="169">
        <v>35</v>
      </c>
      <c r="B863" s="100" t="str">
        <f t="shared" si="408"/>
        <v>Retired</v>
      </c>
      <c r="C863" s="170">
        <f t="shared" si="409"/>
        <v>0</v>
      </c>
      <c r="D863" s="170">
        <f t="shared" si="410"/>
        <v>0</v>
      </c>
      <c r="E863" s="170">
        <f t="shared" si="411"/>
        <v>0</v>
      </c>
      <c r="F863" s="170">
        <f t="shared" si="412"/>
        <v>0</v>
      </c>
      <c r="G863" s="171">
        <f t="shared" si="413"/>
        <v>0</v>
      </c>
      <c r="H863" s="171">
        <f t="shared" si="414"/>
        <v>148363.29167027713</v>
      </c>
      <c r="I863" s="171">
        <f>IF(B863="Working",MIN(MAX(D863-E863-F863-G863-H863,0),'Tax Assumptions'!$B$20),0)</f>
        <v>0</v>
      </c>
      <c r="J863" s="171">
        <f t="shared" si="415"/>
        <v>-378363.29167027713</v>
      </c>
      <c r="K863" s="170">
        <f t="shared" si="416"/>
        <v>378363.29167027713</v>
      </c>
      <c r="L863" s="170">
        <f t="shared" si="417"/>
        <v>378363.29167027713</v>
      </c>
      <c r="M863" s="170">
        <f t="shared" si="423"/>
        <v>378363.29167027713</v>
      </c>
      <c r="N863" s="170">
        <f t="shared" si="424"/>
        <v>0</v>
      </c>
      <c r="O863" s="170">
        <f t="shared" si="425"/>
        <v>0</v>
      </c>
      <c r="P863" s="170">
        <f t="shared" si="426"/>
        <v>0</v>
      </c>
      <c r="Q863" s="171">
        <f t="shared" si="427"/>
        <v>2586213.2734324974</v>
      </c>
      <c r="R863" s="171">
        <f t="shared" si="428"/>
        <v>1385971.5629656168</v>
      </c>
      <c r="S863" s="171">
        <f t="shared" si="429"/>
        <v>424277.00907110714</v>
      </c>
      <c r="T863" s="171">
        <f t="shared" si="430"/>
        <v>0</v>
      </c>
      <c r="U863" s="171">
        <f t="shared" si="418"/>
        <v>4396461.8454692215</v>
      </c>
      <c r="V863" s="171">
        <f t="shared" si="431"/>
        <v>0</v>
      </c>
      <c r="W863" s="171">
        <f>IF(OR(A863&gt;=$C$13,B863="Retired"),IF(V863&gt;0,-V863,U863-'Model Inputs'!$B$18),"")</f>
        <v>3396461.8454692215</v>
      </c>
      <c r="X863" s="171">
        <f t="shared" si="419"/>
        <v>3538860.6407897919</v>
      </c>
      <c r="Y863" s="171">
        <f t="shared" si="420"/>
        <v>247763.36187659204</v>
      </c>
      <c r="Z863" s="171">
        <f t="shared" si="421"/>
        <v>3291097.2789131999</v>
      </c>
      <c r="AA863" s="172">
        <f t="shared" si="422"/>
        <v>7687559.1243824214</v>
      </c>
      <c r="AB863" s="5"/>
      <c r="AC863" s="5"/>
      <c r="AD863" s="5"/>
      <c r="AE863" s="5"/>
      <c r="AF863" s="5"/>
      <c r="AG863" s="5"/>
    </row>
    <row r="864" spans="1:33" x14ac:dyDescent="0.2">
      <c r="A864" s="173">
        <v>36</v>
      </c>
      <c r="B864" s="65" t="str">
        <f t="shared" si="408"/>
        <v>Retired</v>
      </c>
      <c r="C864" s="174">
        <f t="shared" si="409"/>
        <v>0</v>
      </c>
      <c r="D864" s="174">
        <f t="shared" si="410"/>
        <v>0</v>
      </c>
      <c r="E864" s="174">
        <f t="shared" si="411"/>
        <v>0</v>
      </c>
      <c r="F864" s="174">
        <f t="shared" si="412"/>
        <v>0</v>
      </c>
      <c r="G864" s="171">
        <f t="shared" si="413"/>
        <v>0</v>
      </c>
      <c r="H864" s="171">
        <f t="shared" si="414"/>
        <v>150698.93969319839</v>
      </c>
      <c r="I864" s="171">
        <f>IF(B864="Working",MIN(MAX(D864-E864-F864-G864-H864,0),'Tax Assumptions'!$B$20),0)</f>
        <v>0</v>
      </c>
      <c r="J864" s="171">
        <f t="shared" si="415"/>
        <v>-380698.93969319836</v>
      </c>
      <c r="K864" s="174">
        <f t="shared" si="416"/>
        <v>380698.93969319836</v>
      </c>
      <c r="L864" s="174">
        <f t="shared" si="417"/>
        <v>380698.93969319836</v>
      </c>
      <c r="M864" s="174">
        <f t="shared" si="423"/>
        <v>380698.93969319836</v>
      </c>
      <c r="N864" s="174">
        <f t="shared" si="424"/>
        <v>0</v>
      </c>
      <c r="O864" s="174">
        <f t="shared" si="425"/>
        <v>0</v>
      </c>
      <c r="P864" s="174">
        <f t="shared" si="426"/>
        <v>0</v>
      </c>
      <c r="Q864" s="171">
        <f t="shared" si="427"/>
        <v>2360687.130145249</v>
      </c>
      <c r="R864" s="171">
        <f t="shared" si="428"/>
        <v>1469129.8567435539</v>
      </c>
      <c r="S864" s="171">
        <f t="shared" si="429"/>
        <v>449733.62961537362</v>
      </c>
      <c r="T864" s="171">
        <f t="shared" si="430"/>
        <v>0</v>
      </c>
      <c r="U864" s="171">
        <f t="shared" si="418"/>
        <v>4279550.6165041765</v>
      </c>
      <c r="V864" s="171">
        <f t="shared" si="431"/>
        <v>0</v>
      </c>
      <c r="W864" s="171">
        <f>IF(OR(A864&gt;=$C$13,B864="Retired"),IF(V864&gt;0,-V864,U864-'Model Inputs'!$B$18),"")</f>
        <v>3279550.6165041765</v>
      </c>
      <c r="X864" s="171">
        <f t="shared" si="419"/>
        <v>3645026.4600134864</v>
      </c>
      <c r="Y864" s="171">
        <f t="shared" si="420"/>
        <v>191709.2209519241</v>
      </c>
      <c r="Z864" s="171">
        <f t="shared" si="421"/>
        <v>3453317.2390615623</v>
      </c>
      <c r="AA864" s="175">
        <f t="shared" si="422"/>
        <v>7732867.8555657389</v>
      </c>
      <c r="AB864" s="5"/>
      <c r="AC864" s="5"/>
      <c r="AD864" s="5"/>
      <c r="AE864" s="5"/>
      <c r="AF864" s="5"/>
      <c r="AG864" s="5"/>
    </row>
    <row r="865" spans="1:33" x14ac:dyDescent="0.2">
      <c r="A865" s="169">
        <v>37</v>
      </c>
      <c r="B865" s="100" t="str">
        <f t="shared" si="408"/>
        <v>Retired</v>
      </c>
      <c r="C865" s="170">
        <f t="shared" si="409"/>
        <v>0</v>
      </c>
      <c r="D865" s="170">
        <f t="shared" si="410"/>
        <v>0</v>
      </c>
      <c r="E865" s="170">
        <f t="shared" si="411"/>
        <v>0</v>
      </c>
      <c r="F865" s="170">
        <f t="shared" si="412"/>
        <v>0</v>
      </c>
      <c r="G865" s="171">
        <f t="shared" si="413"/>
        <v>0</v>
      </c>
      <c r="H865" s="171">
        <f t="shared" si="414"/>
        <v>153104.65715680731</v>
      </c>
      <c r="I865" s="171">
        <f>IF(B865="Working",MIN(MAX(D865-E865-F865-G865-H865,0),'Tax Assumptions'!$B$20),0)</f>
        <v>0</v>
      </c>
      <c r="J865" s="171">
        <f t="shared" si="415"/>
        <v>-383104.65715680725</v>
      </c>
      <c r="K865" s="170">
        <f t="shared" si="416"/>
        <v>383104.65715680725</v>
      </c>
      <c r="L865" s="170">
        <f t="shared" si="417"/>
        <v>383104.65715680725</v>
      </c>
      <c r="M865" s="170">
        <f t="shared" si="423"/>
        <v>383104.65715680725</v>
      </c>
      <c r="N865" s="170">
        <f t="shared" si="424"/>
        <v>0</v>
      </c>
      <c r="O865" s="170">
        <f t="shared" si="425"/>
        <v>0</v>
      </c>
      <c r="P865" s="170">
        <f t="shared" si="426"/>
        <v>0</v>
      </c>
      <c r="Q865" s="171">
        <f t="shared" si="427"/>
        <v>2119223.7007971564</v>
      </c>
      <c r="R865" s="171">
        <f t="shared" si="428"/>
        <v>1557277.6481481672</v>
      </c>
      <c r="S865" s="171">
        <f t="shared" si="429"/>
        <v>476717.64739229606</v>
      </c>
      <c r="T865" s="171">
        <f t="shared" si="430"/>
        <v>0</v>
      </c>
      <c r="U865" s="171">
        <f t="shared" si="418"/>
        <v>4153218.9963376196</v>
      </c>
      <c r="V865" s="171">
        <f t="shared" si="431"/>
        <v>0</v>
      </c>
      <c r="W865" s="171">
        <f>IF(OR(A865&gt;=$C$13,B865="Retired"),IF(V865&gt;0,-V865,U865-'Model Inputs'!$B$18),"")</f>
        <v>3153218.9963376196</v>
      </c>
      <c r="X865" s="171">
        <f t="shared" si="419"/>
        <v>3754377.2538138907</v>
      </c>
      <c r="Y865" s="171">
        <f t="shared" si="420"/>
        <v>131901.03039712086</v>
      </c>
      <c r="Z865" s="171">
        <f t="shared" si="421"/>
        <v>3622476.2234167699</v>
      </c>
      <c r="AA865" s="172">
        <f t="shared" si="422"/>
        <v>7775695.2197543895</v>
      </c>
      <c r="AB865" s="5"/>
      <c r="AC865" s="5"/>
      <c r="AD865" s="5"/>
      <c r="AE865" s="5"/>
      <c r="AF865" s="5"/>
      <c r="AG865" s="5"/>
    </row>
    <row r="866" spans="1:33" x14ac:dyDescent="0.2">
      <c r="A866" s="173">
        <v>38</v>
      </c>
      <c r="B866" s="65" t="str">
        <f t="shared" si="408"/>
        <v>Retired</v>
      </c>
      <c r="C866" s="174">
        <f t="shared" si="409"/>
        <v>0</v>
      </c>
      <c r="D866" s="174">
        <f t="shared" si="410"/>
        <v>0</v>
      </c>
      <c r="E866" s="174">
        <f t="shared" si="411"/>
        <v>0</v>
      </c>
      <c r="F866" s="174">
        <f t="shared" si="412"/>
        <v>0</v>
      </c>
      <c r="G866" s="171">
        <f t="shared" si="413"/>
        <v>0</v>
      </c>
      <c r="H866" s="171">
        <f t="shared" si="414"/>
        <v>155582.54614432447</v>
      </c>
      <c r="I866" s="171">
        <f>IF(B866="Working",MIN(MAX(D866-E866-F866-G866-H866,0),'Tax Assumptions'!$B$20),0)</f>
        <v>0</v>
      </c>
      <c r="J866" s="171">
        <f t="shared" si="415"/>
        <v>-385582.54614432447</v>
      </c>
      <c r="K866" s="174">
        <f t="shared" si="416"/>
        <v>385582.54614432447</v>
      </c>
      <c r="L866" s="174">
        <f t="shared" si="417"/>
        <v>385582.54614432447</v>
      </c>
      <c r="M866" s="174">
        <f t="shared" si="423"/>
        <v>385582.54614432447</v>
      </c>
      <c r="N866" s="174">
        <f t="shared" si="424"/>
        <v>0</v>
      </c>
      <c r="O866" s="174">
        <f t="shared" si="425"/>
        <v>0</v>
      </c>
      <c r="P866" s="174">
        <f t="shared" si="426"/>
        <v>0</v>
      </c>
      <c r="Q866" s="171">
        <f t="shared" si="427"/>
        <v>1860794.5767006618</v>
      </c>
      <c r="R866" s="171">
        <f t="shared" si="428"/>
        <v>1650714.3070370574</v>
      </c>
      <c r="S866" s="171">
        <f t="shared" si="429"/>
        <v>505320.70623583387</v>
      </c>
      <c r="T866" s="171">
        <f t="shared" si="430"/>
        <v>0</v>
      </c>
      <c r="U866" s="171">
        <f t="shared" si="418"/>
        <v>4016829.5899735531</v>
      </c>
      <c r="V866" s="171">
        <f t="shared" si="431"/>
        <v>0</v>
      </c>
      <c r="W866" s="171">
        <f>IF(OR(A866&gt;=$C$13,B866="Retired"),IF(V866&gt;0,-V866,U866-'Model Inputs'!$B$18),"")</f>
        <v>3016829.5899735531</v>
      </c>
      <c r="X866" s="171">
        <f t="shared" si="419"/>
        <v>3867008.5714283073</v>
      </c>
      <c r="Y866" s="171">
        <f t="shared" si="420"/>
        <v>68087.374555938877</v>
      </c>
      <c r="Z866" s="171">
        <f t="shared" si="421"/>
        <v>3798921.1968723685</v>
      </c>
      <c r="AA866" s="175">
        <f t="shared" si="422"/>
        <v>7815750.7868459215</v>
      </c>
      <c r="AB866" s="5"/>
      <c r="AC866" s="5"/>
      <c r="AD866" s="5"/>
      <c r="AE866" s="5"/>
      <c r="AF866" s="5"/>
      <c r="AG866" s="5"/>
    </row>
    <row r="867" spans="1:33" x14ac:dyDescent="0.2">
      <c r="A867" s="169">
        <v>39</v>
      </c>
      <c r="B867" s="100" t="str">
        <f t="shared" si="408"/>
        <v>Retired</v>
      </c>
      <c r="C867" s="170">
        <f t="shared" si="409"/>
        <v>0</v>
      </c>
      <c r="D867" s="170">
        <f t="shared" si="410"/>
        <v>0</v>
      </c>
      <c r="E867" s="170">
        <f t="shared" si="411"/>
        <v>0</v>
      </c>
      <c r="F867" s="170">
        <f t="shared" si="412"/>
        <v>0</v>
      </c>
      <c r="G867" s="171">
        <f t="shared" si="413"/>
        <v>0</v>
      </c>
      <c r="H867" s="171">
        <f t="shared" si="414"/>
        <v>158134.77180146711</v>
      </c>
      <c r="I867" s="171">
        <f>IF(B867="Working",MIN(MAX(D867-E867-F867-G867-H867,0),'Tax Assumptions'!$B$20),0)</f>
        <v>0</v>
      </c>
      <c r="J867" s="171">
        <f t="shared" si="415"/>
        <v>-388134.77180146705</v>
      </c>
      <c r="K867" s="170">
        <f t="shared" si="416"/>
        <v>388134.77180146705</v>
      </c>
      <c r="L867" s="170">
        <f t="shared" si="417"/>
        <v>388134.77180146705</v>
      </c>
      <c r="M867" s="170">
        <f t="shared" si="423"/>
        <v>388134.77180146705</v>
      </c>
      <c r="N867" s="170">
        <f t="shared" si="424"/>
        <v>0</v>
      </c>
      <c r="O867" s="170">
        <f t="shared" si="425"/>
        <v>0</v>
      </c>
      <c r="P867" s="170">
        <f t="shared" si="426"/>
        <v>0</v>
      </c>
      <c r="Q867" s="171">
        <f t="shared" si="427"/>
        <v>1584307.4795012346</v>
      </c>
      <c r="R867" s="171">
        <f t="shared" si="428"/>
        <v>1749757.1654592808</v>
      </c>
      <c r="S867" s="171">
        <f t="shared" si="429"/>
        <v>535639.9486099839</v>
      </c>
      <c r="T867" s="171">
        <f t="shared" si="430"/>
        <v>0</v>
      </c>
      <c r="U867" s="171">
        <f t="shared" si="418"/>
        <v>3869704.5935704992</v>
      </c>
      <c r="V867" s="171">
        <f t="shared" si="431"/>
        <v>0</v>
      </c>
      <c r="W867" s="171">
        <f>IF(OR(A867&gt;=$C$13,B867="Retired"),IF(V867&gt;0,-V867,U867-'Model Inputs'!$B$18),"")</f>
        <v>2869704.5935704992</v>
      </c>
      <c r="X867" s="171">
        <f t="shared" si="419"/>
        <v>3983018.8285711561</v>
      </c>
      <c r="Y867" s="171">
        <f t="shared" si="420"/>
        <v>0</v>
      </c>
      <c r="Z867" s="171">
        <f t="shared" si="421"/>
        <v>3983018.8285711561</v>
      </c>
      <c r="AA867" s="172">
        <f t="shared" si="422"/>
        <v>7852723.4221416553</v>
      </c>
      <c r="AB867" s="5"/>
      <c r="AC867" s="5"/>
      <c r="AD867" s="5"/>
      <c r="AE867" s="5"/>
      <c r="AF867" s="5"/>
      <c r="AG867" s="5"/>
    </row>
    <row r="868" spans="1:33" x14ac:dyDescent="0.2">
      <c r="A868" s="173">
        <v>40</v>
      </c>
      <c r="B868" s="65" t="str">
        <f t="shared" si="408"/>
        <v>Retired</v>
      </c>
      <c r="C868" s="174">
        <f t="shared" si="409"/>
        <v>0</v>
      </c>
      <c r="D868" s="174">
        <f t="shared" si="410"/>
        <v>0</v>
      </c>
      <c r="E868" s="174">
        <f t="shared" si="411"/>
        <v>0</v>
      </c>
      <c r="F868" s="174">
        <f t="shared" si="412"/>
        <v>0</v>
      </c>
      <c r="G868" s="171">
        <f t="shared" si="413"/>
        <v>0</v>
      </c>
      <c r="H868" s="171">
        <f t="shared" si="414"/>
        <v>90255.206655422386</v>
      </c>
      <c r="I868" s="171">
        <f>IF(B868="Working",MIN(MAX(D868-E868-F868-G868-H868,0),'Tax Assumptions'!$B$20),0)</f>
        <v>0</v>
      </c>
      <c r="J868" s="171">
        <f t="shared" si="415"/>
        <v>-320255.20665542234</v>
      </c>
      <c r="K868" s="174">
        <f t="shared" si="416"/>
        <v>320255.20665542234</v>
      </c>
      <c r="L868" s="174">
        <f t="shared" si="417"/>
        <v>320255.20665542234</v>
      </c>
      <c r="M868" s="174">
        <f t="shared" si="423"/>
        <v>320255.20665542234</v>
      </c>
      <c r="N868" s="174">
        <f t="shared" si="424"/>
        <v>0</v>
      </c>
      <c r="O868" s="174">
        <f t="shared" si="425"/>
        <v>0</v>
      </c>
      <c r="P868" s="174">
        <f t="shared" si="426"/>
        <v>0</v>
      </c>
      <c r="Q868" s="171">
        <f t="shared" si="427"/>
        <v>1359110.7216158863</v>
      </c>
      <c r="R868" s="171">
        <f t="shared" si="428"/>
        <v>1854742.5953868378</v>
      </c>
      <c r="S868" s="171">
        <f t="shared" si="429"/>
        <v>567778.34552658291</v>
      </c>
      <c r="T868" s="171">
        <f t="shared" si="430"/>
        <v>0</v>
      </c>
      <c r="U868" s="171">
        <f t="shared" si="418"/>
        <v>3781631.662529307</v>
      </c>
      <c r="V868" s="171">
        <f t="shared" si="431"/>
        <v>0</v>
      </c>
      <c r="W868" s="171">
        <f>IF(OR(A868&gt;=$C$13,B868="Retired"),IF(V868&gt;0,-V868,U868-'Model Inputs'!$B$18),"")</f>
        <v>2781631.662529307</v>
      </c>
      <c r="X868" s="171">
        <f t="shared" si="419"/>
        <v>4102509.3934282907</v>
      </c>
      <c r="Y868" s="171">
        <f t="shared" si="420"/>
        <v>0</v>
      </c>
      <c r="Z868" s="171">
        <f t="shared" si="421"/>
        <v>4102509.3934282907</v>
      </c>
      <c r="AA868" s="175">
        <f t="shared" si="422"/>
        <v>7884141.0559575977</v>
      </c>
      <c r="AB868" s="5"/>
      <c r="AC868" s="5"/>
      <c r="AD868" s="5"/>
      <c r="AE868" s="5"/>
      <c r="AF868" s="5"/>
      <c r="AG868" s="5"/>
    </row>
    <row r="869" spans="1:33" x14ac:dyDescent="0.2">
      <c r="A869" s="176" t="s">
        <v>369</v>
      </c>
      <c r="B869" s="177"/>
      <c r="C869" s="177"/>
      <c r="D869" s="177"/>
      <c r="E869" s="177"/>
      <c r="F869" s="177"/>
      <c r="G869" s="178">
        <f t="shared" ref="G869:P869" si="432">SUM(G829:G868)</f>
        <v>802835.28666899295</v>
      </c>
      <c r="H869" s="178">
        <f t="shared" si="432"/>
        <v>3974547.8183763544</v>
      </c>
      <c r="I869" s="178">
        <f t="shared" si="432"/>
        <v>75000</v>
      </c>
      <c r="J869" s="178">
        <f t="shared" si="432"/>
        <v>-6829790.8650048217</v>
      </c>
      <c r="K869" s="178">
        <f t="shared" si="432"/>
        <v>10766855.510684045</v>
      </c>
      <c r="L869" s="178">
        <f t="shared" si="432"/>
        <v>10766855.510684045</v>
      </c>
      <c r="M869" s="178">
        <f t="shared" si="432"/>
        <v>10766855.510684045</v>
      </c>
      <c r="N869" s="178">
        <f t="shared" si="432"/>
        <v>0</v>
      </c>
      <c r="O869" s="178">
        <f t="shared" si="432"/>
        <v>0</v>
      </c>
      <c r="P869" s="178">
        <f t="shared" si="432"/>
        <v>0</v>
      </c>
      <c r="Q869" s="178">
        <f>Q868</f>
        <v>1359110.7216158863</v>
      </c>
      <c r="R869" s="178">
        <f>R868</f>
        <v>1854742.5953868378</v>
      </c>
      <c r="S869" s="178">
        <f>S868</f>
        <v>567778.34552658291</v>
      </c>
      <c r="T869" s="178">
        <f>T868</f>
        <v>0</v>
      </c>
      <c r="U869" s="178">
        <f>U868</f>
        <v>3781631.662529307</v>
      </c>
      <c r="V869" s="178">
        <f>SUM(V829:V868)</f>
        <v>0</v>
      </c>
      <c r="W869" s="178">
        <f>MIN(W829:W868)</f>
        <v>2781631.662529307</v>
      </c>
      <c r="X869" s="178">
        <f>X868</f>
        <v>4102509.3934282907</v>
      </c>
      <c r="Y869" s="178">
        <f>Y868</f>
        <v>0</v>
      </c>
      <c r="Z869" s="178">
        <f>Z868</f>
        <v>4102509.3934282907</v>
      </c>
      <c r="AA869" s="179">
        <f>AA868</f>
        <v>7884141.0559575977</v>
      </c>
      <c r="AB869" s="5"/>
      <c r="AC869" s="5"/>
      <c r="AD869" s="5"/>
      <c r="AE869" s="5"/>
      <c r="AF869" s="5"/>
      <c r="AG869" s="5"/>
    </row>
    <row r="870" spans="1:33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x14ac:dyDescent="0.2">
      <c r="A871" s="319" t="str">
        <f>J241&amp;" | House "&amp;TEXT($L$241,"$#,##0")&amp;" | Spend "&amp;TEXT($N$241,"$#,##0")</f>
        <v>Case 15 | House $1,690,180 | Spend $260,000</v>
      </c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8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9"/>
      <c r="AB871" s="5"/>
      <c r="AC871" s="5"/>
      <c r="AD871" s="5"/>
      <c r="AE871" s="5"/>
      <c r="AF871" s="5"/>
      <c r="AG871" s="5"/>
    </row>
    <row r="872" spans="1:33" ht="34" customHeight="1" x14ac:dyDescent="0.2">
      <c r="A872" s="167" t="s">
        <v>224</v>
      </c>
      <c r="B872" s="112" t="s">
        <v>106</v>
      </c>
      <c r="C872" s="112" t="s">
        <v>357</v>
      </c>
      <c r="D872" s="112" t="s">
        <v>66</v>
      </c>
      <c r="E872" s="112" t="s">
        <v>300</v>
      </c>
      <c r="F872" s="112" t="s">
        <v>301</v>
      </c>
      <c r="G872" s="112" t="s">
        <v>358</v>
      </c>
      <c r="H872" s="112" t="s">
        <v>359</v>
      </c>
      <c r="I872" s="112" t="s">
        <v>69</v>
      </c>
      <c r="J872" s="112" t="s">
        <v>360</v>
      </c>
      <c r="K872" s="112" t="s">
        <v>361</v>
      </c>
      <c r="L872" s="112" t="s">
        <v>362</v>
      </c>
      <c r="M872" s="112" t="s">
        <v>304</v>
      </c>
      <c r="N872" s="112" t="s">
        <v>305</v>
      </c>
      <c r="O872" s="112" t="s">
        <v>306</v>
      </c>
      <c r="P872" s="112" t="s">
        <v>307</v>
      </c>
      <c r="Q872" s="112" t="s">
        <v>363</v>
      </c>
      <c r="R872" s="112" t="s">
        <v>364</v>
      </c>
      <c r="S872" s="112" t="s">
        <v>365</v>
      </c>
      <c r="T872" s="112" t="s">
        <v>366</v>
      </c>
      <c r="U872" s="112" t="s">
        <v>308</v>
      </c>
      <c r="V872" s="112" t="s">
        <v>309</v>
      </c>
      <c r="W872" s="112" t="s">
        <v>367</v>
      </c>
      <c r="X872" s="112" t="s">
        <v>311</v>
      </c>
      <c r="Y872" s="112" t="s">
        <v>312</v>
      </c>
      <c r="Z872" s="112" t="s">
        <v>313</v>
      </c>
      <c r="AA872" s="168" t="s">
        <v>368</v>
      </c>
      <c r="AB872" s="5"/>
      <c r="AC872" s="5"/>
      <c r="AD872" s="5"/>
      <c r="AE872" s="5"/>
      <c r="AF872" s="5"/>
      <c r="AG872" s="5"/>
    </row>
    <row r="873" spans="1:33" x14ac:dyDescent="0.2">
      <c r="A873" s="169">
        <v>1</v>
      </c>
      <c r="B873" s="100" t="str">
        <f t="shared" ref="B873:B912" si="433">B80</f>
        <v>Working</v>
      </c>
      <c r="C873" s="170">
        <f t="shared" ref="C873:C912" si="434">D80</f>
        <v>550000</v>
      </c>
      <c r="D873" s="170">
        <f t="shared" ref="D873:D912" si="435">I80</f>
        <v>302665.46999999997</v>
      </c>
      <c r="E873" s="170">
        <f t="shared" ref="E873:E912" si="436">J80</f>
        <v>78000</v>
      </c>
      <c r="F873" s="170">
        <f t="shared" ref="F873:F912" si="437">K80</f>
        <v>40000</v>
      </c>
      <c r="G873" s="171">
        <f t="shared" ref="G873:G912" si="438">IF(AND($L$241&gt;0,A873=$C$13),$L$241*($C$15+$C$18),0)+IF(AND($L$241&gt;0,A873=$C$13),$C$24,0)</f>
        <v>0</v>
      </c>
      <c r="H873" s="171">
        <f t="shared" ref="H873:H912" si="439">IF(OR($L$241&lt;=0,A873&lt;$C$13),0,IF(AND($L$241&gt;0,$C$17&gt;0,A873&gt;=$C$13,A873&lt;($C$13+$C$17)),IF($C$17&lt;=0,0,IF($C$16=0,MAX($L$241*(1-$C$15),0)/$C$17,-PMT($C$16/12,$C$17*12,MAX($L$241*(1-$C$15),0))*12)),0)+X873*($C$19+$C$20+$C$21)+$C$22+$C$23)</f>
        <v>0</v>
      </c>
      <c r="I873" s="171">
        <f>IF(B873="Working",MIN(MAX(D873-E873-F873-G873-H873,0),'Tax Assumptions'!$B$20),0)</f>
        <v>7500</v>
      </c>
      <c r="J873" s="171">
        <f t="shared" ref="J873:J912" si="440">IF(B873="Working",D873-E873-F873-I873-G873-H873,-L873)</f>
        <v>177165.46999999997</v>
      </c>
      <c r="K873" s="170">
        <f t="shared" ref="K873:K912" si="441">IF(B873="Retired",$N$241+G873+H873,0)</f>
        <v>0</v>
      </c>
      <c r="L873" s="170">
        <f t="shared" ref="L873:L912" si="442">M873+N873+O873+P873</f>
        <v>0</v>
      </c>
      <c r="M873" s="170">
        <f>IF(B873="Retired",MIN((('Savings Projection'!$B$7)*(1+$C$10)+IF(B873="Working",J873,0)),K873),0)</f>
        <v>0</v>
      </c>
      <c r="N873" s="170">
        <f>IF(B873="Retired",MIN(MAX(K873-M873,0),(('Savings Projection'!$B$8)*(1+$C$10)+IF(B873="Working",E80,0))),0)</f>
        <v>0</v>
      </c>
      <c r="O873" s="170">
        <f>IF(B873="Retired",MIN(MAX(K873-M873-N873,0),(('Savings Projection'!$B$9)*(1+$C$10)+IF(B873="Working",I873,0))),0)</f>
        <v>0</v>
      </c>
      <c r="P873" s="170">
        <f>IF(B873="Retired",MIN(MAX(K873-M873-N873-O873,0),(('Savings Projection'!$B$10)*(1+$C$10)+IF(B873="Working",F80,0))),0)</f>
        <v>0</v>
      </c>
      <c r="Q873" s="171">
        <f>MAX((('Savings Projection'!$B$7)*(1+$C$10)+IF(B873="Working",J873,0))-M873,0)</f>
        <v>336165.47</v>
      </c>
      <c r="R873" s="171">
        <f>MAX((('Savings Projection'!$B$8)*(1+$C$10)+IF(B873="Working",E80,0))-N873,0)</f>
        <v>24500</v>
      </c>
      <c r="S873" s="171">
        <f>MAX((('Savings Projection'!$B$9)*(1+$C$10)+IF(B873="Working",I873,0))-O873,0)</f>
        <v>7500</v>
      </c>
      <c r="T873" s="171">
        <f>MAX((('Savings Projection'!$B$10)*(1+$C$10)+IF(B873="Working",F80,0))-P873,0)</f>
        <v>0</v>
      </c>
      <c r="U873" s="171">
        <f t="shared" ref="U873:U912" si="443">Q873+R873+S873+T873</f>
        <v>368165.47</v>
      </c>
      <c r="V873" s="171">
        <f>IF(B873="Working",MAX(-((('Savings Projection'!$B$7)*(1+$C$10)+IF(B873="Working",J873,0))),0),MAX(K873-L873,0))</f>
        <v>0</v>
      </c>
      <c r="W873" s="171" t="str">
        <f>IF(OR(A873&gt;=$C$13,B873="Retired"),IF(V873&gt;0,-V873,U873-'Model Inputs'!$B$18),"")</f>
        <v/>
      </c>
      <c r="X873" s="171">
        <f t="shared" ref="X873:X912" si="444">IF(AND($L$241&gt;0,A873&gt;=$C$13),$L$241*(1+$C$25)^(A873-$C$13),0)</f>
        <v>0</v>
      </c>
      <c r="Y873" s="171">
        <f t="shared" ref="Y873:Y912" si="445">IF(OR($L$241&lt;=0,$C$17&lt;=0,A873&lt;$C$13,MIN(MAX((A873-$C$13+1)*12,0),$C$17*12)&gt;=$C$17*12),0,IF($C$16=0,MAX(MAX($L$241*(1-$C$15),0)-(IF($C$17&lt;=0,0,IF($C$16=0,MAX($L$241*(1-$C$15),0)/$C$17,-PMT($C$16/12,$C$17*12,MAX($L$241*(1-$C$15),0))*12))/12)*MIN(MAX((A873-$C$13+1)*12,0),$C$17*12),0),MAX(MAX($L$241*(1-$C$15),0)*(1+$C$16/12)^MIN(MAX((A873-$C$13+1)*12,0),$C$17*12)-(IF($C$17&lt;=0,0,IF($C$16=0,MAX($L$241*(1-$C$15),0)/$C$17,-PMT($C$16/12,$C$17*12,MAX($L$241*(1-$C$15),0))*12))/12)*(((1+$C$16/12)^MIN(MAX((A873-$C$13+1)*12,0),$C$17*12)-1)/($C$16/12)),0)))</f>
        <v>0</v>
      </c>
      <c r="Z873" s="171">
        <f t="shared" ref="Z873:Z912" si="446">MAX(X873-Y873,0)</f>
        <v>0</v>
      </c>
      <c r="AA873" s="172">
        <f t="shared" ref="AA873:AA912" si="447">U873+Z873</f>
        <v>368165.47</v>
      </c>
      <c r="AB873" s="5"/>
      <c r="AC873" s="5"/>
      <c r="AD873" s="5"/>
      <c r="AE873" s="5"/>
      <c r="AF873" s="5"/>
      <c r="AG873" s="5"/>
    </row>
    <row r="874" spans="1:33" x14ac:dyDescent="0.2">
      <c r="A874" s="173">
        <v>2</v>
      </c>
      <c r="B874" s="65" t="str">
        <f t="shared" si="433"/>
        <v>Working</v>
      </c>
      <c r="C874" s="174">
        <f t="shared" si="434"/>
        <v>412500</v>
      </c>
      <c r="D874" s="174">
        <f t="shared" si="435"/>
        <v>231269.97</v>
      </c>
      <c r="E874" s="174">
        <f t="shared" si="436"/>
        <v>80340</v>
      </c>
      <c r="F874" s="174">
        <f t="shared" si="437"/>
        <v>41200</v>
      </c>
      <c r="G874" s="171">
        <f t="shared" si="438"/>
        <v>0</v>
      </c>
      <c r="H874" s="171">
        <f t="shared" si="439"/>
        <v>0</v>
      </c>
      <c r="I874" s="171">
        <f>IF(B874="Working",MIN(MAX(D874-E874-F874-G874-H874,0),'Tax Assumptions'!$B$20),0)</f>
        <v>7500</v>
      </c>
      <c r="J874" s="171">
        <f t="shared" si="440"/>
        <v>102229.97</v>
      </c>
      <c r="K874" s="174">
        <f t="shared" si="441"/>
        <v>0</v>
      </c>
      <c r="L874" s="174">
        <f t="shared" si="442"/>
        <v>0</v>
      </c>
      <c r="M874" s="174">
        <f t="shared" ref="M874:M912" si="448">IF(B874="Retired",MIN(((Q873)*(1+$C$10)+IF(B874="Working",J874,0)),K874),0)</f>
        <v>0</v>
      </c>
      <c r="N874" s="174">
        <f t="shared" ref="N874:N912" si="449">IF(B874="Retired",MIN(MAX(K874-M874,0),((R873)*(1+$C$10)+IF(B874="Working",E81,0))),0)</f>
        <v>0</v>
      </c>
      <c r="O874" s="174">
        <f t="shared" ref="O874:O912" si="450">IF(B874="Retired",MIN(MAX(K874-M874-N874,0),((S873)*(1+$C$10)+IF(B874="Working",I874,0))),0)</f>
        <v>0</v>
      </c>
      <c r="P874" s="174">
        <f t="shared" ref="P874:P912" si="451">IF(B874="Retired",MIN(MAX(K874-M874-N874-O874,0),((T873)*(1+$C$10)+IF(B874="Working",F81,0))),0)</f>
        <v>0</v>
      </c>
      <c r="Q874" s="171">
        <f t="shared" ref="Q874:Q912" si="452">MAX(((Q873)*(1+$C$10)+IF(B874="Working",J874,0))-M874,0)</f>
        <v>458565.36820000003</v>
      </c>
      <c r="R874" s="171">
        <f t="shared" ref="R874:R912" si="453">MAX(((R873)*(1+$C$10)+IF(B874="Working",E81,0))-N874,0)</f>
        <v>50470</v>
      </c>
      <c r="S874" s="171">
        <f t="shared" ref="S874:S912" si="454">MAX(((S873)*(1+$C$10)+IF(B874="Working",I874,0))-O874,0)</f>
        <v>15450</v>
      </c>
      <c r="T874" s="171">
        <f t="shared" ref="T874:T912" si="455">MAX(((T873)*(1+$C$10)+IF(B874="Working",F81,0))-P874,0)</f>
        <v>0</v>
      </c>
      <c r="U874" s="171">
        <f t="shared" si="443"/>
        <v>524485.36820000003</v>
      </c>
      <c r="V874" s="171">
        <f t="shared" ref="V874:V912" si="456">IF(B874="Working",MAX(-(((Q873)*(1+$C$10)+IF(B874="Working",J874,0))),0),MAX(K874-L874,0))</f>
        <v>0</v>
      </c>
      <c r="W874" s="171" t="str">
        <f>IF(OR(A874&gt;=$C$13,B874="Retired"),IF(V874&gt;0,-V874,U874-'Model Inputs'!$B$18),"")</f>
        <v/>
      </c>
      <c r="X874" s="171">
        <f t="shared" si="444"/>
        <v>0</v>
      </c>
      <c r="Y874" s="171">
        <f t="shared" si="445"/>
        <v>0</v>
      </c>
      <c r="Z874" s="171">
        <f t="shared" si="446"/>
        <v>0</v>
      </c>
      <c r="AA874" s="175">
        <f t="shared" si="447"/>
        <v>524485.36820000003</v>
      </c>
      <c r="AB874" s="5"/>
      <c r="AC874" s="5"/>
      <c r="AD874" s="5"/>
      <c r="AE874" s="5"/>
      <c r="AF874" s="5"/>
      <c r="AG874" s="5"/>
    </row>
    <row r="875" spans="1:33" x14ac:dyDescent="0.2">
      <c r="A875" s="169">
        <v>3</v>
      </c>
      <c r="B875" s="100" t="str">
        <f t="shared" si="433"/>
        <v>Working</v>
      </c>
      <c r="C875" s="170">
        <f t="shared" si="434"/>
        <v>675000</v>
      </c>
      <c r="D875" s="170">
        <f t="shared" si="435"/>
        <v>367570.47</v>
      </c>
      <c r="E875" s="170">
        <f t="shared" si="436"/>
        <v>82750.2</v>
      </c>
      <c r="F875" s="170">
        <f t="shared" si="437"/>
        <v>53045</v>
      </c>
      <c r="G875" s="171">
        <f t="shared" si="438"/>
        <v>0</v>
      </c>
      <c r="H875" s="171">
        <f t="shared" si="439"/>
        <v>0</v>
      </c>
      <c r="I875" s="171">
        <f>IF(B875="Working",MIN(MAX(D875-E875-F875-G875-H875,0),'Tax Assumptions'!$B$20),0)</f>
        <v>7500</v>
      </c>
      <c r="J875" s="171">
        <f t="shared" si="440"/>
        <v>224275.26999999996</v>
      </c>
      <c r="K875" s="170">
        <f t="shared" si="441"/>
        <v>0</v>
      </c>
      <c r="L875" s="170">
        <f t="shared" si="442"/>
        <v>0</v>
      </c>
      <c r="M875" s="170">
        <f t="shared" si="448"/>
        <v>0</v>
      </c>
      <c r="N875" s="170">
        <f t="shared" si="449"/>
        <v>0</v>
      </c>
      <c r="O875" s="170">
        <f t="shared" si="450"/>
        <v>0</v>
      </c>
      <c r="P875" s="170">
        <f t="shared" si="451"/>
        <v>0</v>
      </c>
      <c r="Q875" s="171">
        <f t="shared" si="452"/>
        <v>710354.56029199995</v>
      </c>
      <c r="R875" s="171">
        <f t="shared" si="453"/>
        <v>77998.200000000012</v>
      </c>
      <c r="S875" s="171">
        <f t="shared" si="454"/>
        <v>23877</v>
      </c>
      <c r="T875" s="171">
        <f t="shared" si="455"/>
        <v>0</v>
      </c>
      <c r="U875" s="171">
        <f t="shared" si="443"/>
        <v>812229.7602919999</v>
      </c>
      <c r="V875" s="171">
        <f t="shared" si="456"/>
        <v>0</v>
      </c>
      <c r="W875" s="171" t="str">
        <f>IF(OR(A875&gt;=$C$13,B875="Retired"),IF(V875&gt;0,-V875,U875-'Model Inputs'!$B$18),"")</f>
        <v/>
      </c>
      <c r="X875" s="171">
        <f t="shared" si="444"/>
        <v>0</v>
      </c>
      <c r="Y875" s="171">
        <f t="shared" si="445"/>
        <v>0</v>
      </c>
      <c r="Z875" s="171">
        <f t="shared" si="446"/>
        <v>0</v>
      </c>
      <c r="AA875" s="172">
        <f t="shared" si="447"/>
        <v>812229.7602919999</v>
      </c>
      <c r="AB875" s="5"/>
      <c r="AC875" s="5"/>
      <c r="AD875" s="5"/>
      <c r="AE875" s="5"/>
      <c r="AF875" s="5"/>
      <c r="AG875" s="5"/>
    </row>
    <row r="876" spans="1:33" x14ac:dyDescent="0.2">
      <c r="A876" s="173">
        <v>4</v>
      </c>
      <c r="B876" s="65" t="str">
        <f t="shared" si="433"/>
        <v>Working</v>
      </c>
      <c r="C876" s="174">
        <f t="shared" si="434"/>
        <v>750000</v>
      </c>
      <c r="D876" s="174">
        <f t="shared" si="435"/>
        <v>405137.47</v>
      </c>
      <c r="E876" s="174">
        <f t="shared" si="436"/>
        <v>85232.706000000006</v>
      </c>
      <c r="F876" s="174">
        <f t="shared" si="437"/>
        <v>54636.35</v>
      </c>
      <c r="G876" s="171">
        <f t="shared" si="438"/>
        <v>0</v>
      </c>
      <c r="H876" s="171">
        <f t="shared" si="439"/>
        <v>0</v>
      </c>
      <c r="I876" s="171">
        <f>IF(B876="Working",MIN(MAX(D876-E876-F876-G876-H876,0),'Tax Assumptions'!$B$20),0)</f>
        <v>7500</v>
      </c>
      <c r="J876" s="171">
        <f t="shared" si="440"/>
        <v>257768.41399999999</v>
      </c>
      <c r="K876" s="174">
        <f t="shared" si="441"/>
        <v>0</v>
      </c>
      <c r="L876" s="174">
        <f t="shared" si="442"/>
        <v>0</v>
      </c>
      <c r="M876" s="174">
        <f t="shared" si="448"/>
        <v>0</v>
      </c>
      <c r="N876" s="174">
        <f t="shared" si="449"/>
        <v>0</v>
      </c>
      <c r="O876" s="174">
        <f t="shared" si="450"/>
        <v>0</v>
      </c>
      <c r="P876" s="174">
        <f t="shared" si="451"/>
        <v>0</v>
      </c>
      <c r="Q876" s="171">
        <f t="shared" si="452"/>
        <v>1010744.2479095199</v>
      </c>
      <c r="R876" s="171">
        <f t="shared" si="453"/>
        <v>107178.09200000002</v>
      </c>
      <c r="S876" s="171">
        <f t="shared" si="454"/>
        <v>32809.620000000003</v>
      </c>
      <c r="T876" s="171">
        <f t="shared" si="455"/>
        <v>0</v>
      </c>
      <c r="U876" s="171">
        <f t="shared" si="443"/>
        <v>1150731.9599095201</v>
      </c>
      <c r="V876" s="171">
        <f t="shared" si="456"/>
        <v>0</v>
      </c>
      <c r="W876" s="171" t="str">
        <f>IF(OR(A876&gt;=$C$13,B876="Retired"),IF(V876&gt;0,-V876,U876-'Model Inputs'!$B$18),"")</f>
        <v/>
      </c>
      <c r="X876" s="171">
        <f t="shared" si="444"/>
        <v>0</v>
      </c>
      <c r="Y876" s="171">
        <f t="shared" si="445"/>
        <v>0</v>
      </c>
      <c r="Z876" s="171">
        <f t="shared" si="446"/>
        <v>0</v>
      </c>
      <c r="AA876" s="175">
        <f t="shared" si="447"/>
        <v>1150731.9599095201</v>
      </c>
      <c r="AB876" s="5"/>
      <c r="AC876" s="5"/>
      <c r="AD876" s="5"/>
      <c r="AE876" s="5"/>
      <c r="AF876" s="5"/>
      <c r="AG876" s="5"/>
    </row>
    <row r="877" spans="1:33" x14ac:dyDescent="0.2">
      <c r="A877" s="169">
        <v>5</v>
      </c>
      <c r="B877" s="100" t="str">
        <f t="shared" si="433"/>
        <v>Working</v>
      </c>
      <c r="C877" s="170">
        <f t="shared" si="434"/>
        <v>953837.51358640334</v>
      </c>
      <c r="D877" s="170">
        <f t="shared" si="435"/>
        <v>506901.31028287602</v>
      </c>
      <c r="E877" s="170">
        <f t="shared" si="436"/>
        <v>87789.687179999994</v>
      </c>
      <c r="F877" s="170">
        <f t="shared" si="437"/>
        <v>56275.440499999997</v>
      </c>
      <c r="G877" s="171">
        <f t="shared" si="438"/>
        <v>0</v>
      </c>
      <c r="H877" s="171">
        <f t="shared" si="439"/>
        <v>0</v>
      </c>
      <c r="I877" s="171">
        <f>IF(B877="Working",MIN(MAX(D877-E877-F877-G877-H877,0),'Tax Assumptions'!$B$20),0)</f>
        <v>7500</v>
      </c>
      <c r="J877" s="171">
        <f t="shared" si="440"/>
        <v>355336.18260287598</v>
      </c>
      <c r="K877" s="170">
        <f t="shared" si="441"/>
        <v>0</v>
      </c>
      <c r="L877" s="170">
        <f t="shared" si="442"/>
        <v>0</v>
      </c>
      <c r="M877" s="170">
        <f t="shared" si="448"/>
        <v>0</v>
      </c>
      <c r="N877" s="170">
        <f t="shared" si="449"/>
        <v>0</v>
      </c>
      <c r="O877" s="170">
        <f t="shared" si="450"/>
        <v>0</v>
      </c>
      <c r="P877" s="170">
        <f t="shared" si="451"/>
        <v>0</v>
      </c>
      <c r="Q877" s="171">
        <f t="shared" si="452"/>
        <v>1426725.0853869673</v>
      </c>
      <c r="R877" s="171">
        <f t="shared" si="453"/>
        <v>138108.77752000003</v>
      </c>
      <c r="S877" s="171">
        <f t="shared" si="454"/>
        <v>42278.197200000002</v>
      </c>
      <c r="T877" s="171">
        <f t="shared" si="455"/>
        <v>0</v>
      </c>
      <c r="U877" s="171">
        <f t="shared" si="443"/>
        <v>1607112.0601069673</v>
      </c>
      <c r="V877" s="171">
        <f t="shared" si="456"/>
        <v>0</v>
      </c>
      <c r="W877" s="171" t="str">
        <f>IF(OR(A877&gt;=$C$13,B877="Retired"),IF(V877&gt;0,-V877,U877-'Model Inputs'!$B$18),"")</f>
        <v/>
      </c>
      <c r="X877" s="171">
        <f t="shared" si="444"/>
        <v>0</v>
      </c>
      <c r="Y877" s="171">
        <f t="shared" si="445"/>
        <v>0</v>
      </c>
      <c r="Z877" s="171">
        <f t="shared" si="446"/>
        <v>0</v>
      </c>
      <c r="AA877" s="172">
        <f t="shared" si="447"/>
        <v>1607112.0601069673</v>
      </c>
      <c r="AB877" s="5"/>
      <c r="AC877" s="5"/>
      <c r="AD877" s="5"/>
      <c r="AE877" s="5"/>
      <c r="AF877" s="5"/>
      <c r="AG877" s="5"/>
    </row>
    <row r="878" spans="1:33" x14ac:dyDescent="0.2">
      <c r="A878" s="173">
        <v>6</v>
      </c>
      <c r="B878" s="65" t="str">
        <f t="shared" si="433"/>
        <v>Working</v>
      </c>
      <c r="C878" s="174">
        <f t="shared" si="434"/>
        <v>1118900.665838565</v>
      </c>
      <c r="D878" s="174">
        <f t="shared" si="435"/>
        <v>589060.11476976541</v>
      </c>
      <c r="E878" s="174">
        <f t="shared" si="436"/>
        <v>92741.925943999988</v>
      </c>
      <c r="F878" s="174">
        <f t="shared" si="437"/>
        <v>57963.703714999989</v>
      </c>
      <c r="G878" s="171">
        <f t="shared" si="438"/>
        <v>0</v>
      </c>
      <c r="H878" s="171">
        <f t="shared" si="439"/>
        <v>0</v>
      </c>
      <c r="I878" s="171">
        <f>IF(B878="Working",MIN(MAX(D878-E878-F878-G878-H878,0),'Tax Assumptions'!$B$20),0)</f>
        <v>7500</v>
      </c>
      <c r="J878" s="171">
        <f t="shared" si="440"/>
        <v>430854.48511076538</v>
      </c>
      <c r="K878" s="174">
        <f t="shared" si="441"/>
        <v>0</v>
      </c>
      <c r="L878" s="174">
        <f t="shared" si="442"/>
        <v>0</v>
      </c>
      <c r="M878" s="174">
        <f t="shared" si="448"/>
        <v>0</v>
      </c>
      <c r="N878" s="174">
        <f t="shared" si="449"/>
        <v>0</v>
      </c>
      <c r="O878" s="174">
        <f t="shared" si="450"/>
        <v>0</v>
      </c>
      <c r="P878" s="174">
        <f t="shared" si="451"/>
        <v>0</v>
      </c>
      <c r="Q878" s="171">
        <f t="shared" si="452"/>
        <v>1943183.0756209507</v>
      </c>
      <c r="R878" s="171">
        <f t="shared" si="453"/>
        <v>170895.30417120006</v>
      </c>
      <c r="S878" s="171">
        <f t="shared" si="454"/>
        <v>52314.889032000006</v>
      </c>
      <c r="T878" s="171">
        <f t="shared" si="455"/>
        <v>0</v>
      </c>
      <c r="U878" s="171">
        <f t="shared" si="443"/>
        <v>2166393.2688241508</v>
      </c>
      <c r="V878" s="171">
        <f t="shared" si="456"/>
        <v>0</v>
      </c>
      <c r="W878" s="171" t="str">
        <f>IF(OR(A878&gt;=$C$13,B878="Retired"),IF(V878&gt;0,-V878,U878-'Model Inputs'!$B$18),"")</f>
        <v/>
      </c>
      <c r="X878" s="171">
        <f t="shared" si="444"/>
        <v>0</v>
      </c>
      <c r="Y878" s="171">
        <f t="shared" si="445"/>
        <v>0</v>
      </c>
      <c r="Z878" s="171">
        <f t="shared" si="446"/>
        <v>0</v>
      </c>
      <c r="AA878" s="175">
        <f t="shared" si="447"/>
        <v>2166393.2688241508</v>
      </c>
      <c r="AB878" s="5"/>
      <c r="AC878" s="5"/>
      <c r="AD878" s="5"/>
      <c r="AE878" s="5"/>
      <c r="AF878" s="5"/>
      <c r="AG878" s="5"/>
    </row>
    <row r="879" spans="1:33" x14ac:dyDescent="0.2">
      <c r="A879" s="169">
        <v>7</v>
      </c>
      <c r="B879" s="100" t="str">
        <f t="shared" si="433"/>
        <v>Working</v>
      </c>
      <c r="C879" s="170">
        <f t="shared" si="434"/>
        <v>1418318.448466131</v>
      </c>
      <c r="D879" s="170">
        <f t="shared" si="435"/>
        <v>730157.75065517949</v>
      </c>
      <c r="E879" s="170">
        <f t="shared" si="436"/>
        <v>95524.183722319998</v>
      </c>
      <c r="F879" s="170">
        <f t="shared" si="437"/>
        <v>59702.614826449993</v>
      </c>
      <c r="G879" s="171">
        <f t="shared" si="438"/>
        <v>0</v>
      </c>
      <c r="H879" s="171">
        <f t="shared" si="439"/>
        <v>0</v>
      </c>
      <c r="I879" s="171">
        <f>IF(B879="Working",MIN(MAX(D879-E879-F879-G879-H879,0),'Tax Assumptions'!$B$20),0)</f>
        <v>7500</v>
      </c>
      <c r="J879" s="171">
        <f t="shared" si="440"/>
        <v>567430.95210640947</v>
      </c>
      <c r="K879" s="170">
        <f t="shared" si="441"/>
        <v>0</v>
      </c>
      <c r="L879" s="170">
        <f t="shared" si="442"/>
        <v>0</v>
      </c>
      <c r="M879" s="170">
        <f t="shared" si="448"/>
        <v>0</v>
      </c>
      <c r="N879" s="170">
        <f t="shared" si="449"/>
        <v>0</v>
      </c>
      <c r="O879" s="170">
        <f t="shared" si="450"/>
        <v>0</v>
      </c>
      <c r="P879" s="170">
        <f t="shared" si="451"/>
        <v>0</v>
      </c>
      <c r="Q879" s="171">
        <f t="shared" si="452"/>
        <v>2627205.0122646173</v>
      </c>
      <c r="R879" s="171">
        <f t="shared" si="453"/>
        <v>205649.02242147207</v>
      </c>
      <c r="S879" s="171">
        <f t="shared" si="454"/>
        <v>62953.78237392001</v>
      </c>
      <c r="T879" s="171">
        <f t="shared" si="455"/>
        <v>0</v>
      </c>
      <c r="U879" s="171">
        <f t="shared" si="443"/>
        <v>2895807.8170600096</v>
      </c>
      <c r="V879" s="171">
        <f t="shared" si="456"/>
        <v>0</v>
      </c>
      <c r="W879" s="171" t="str">
        <f>IF(OR(A879&gt;=$C$13,B879="Retired"),IF(V879&gt;0,-V879,U879-'Model Inputs'!$B$18),"")</f>
        <v/>
      </c>
      <c r="X879" s="171">
        <f t="shared" si="444"/>
        <v>0</v>
      </c>
      <c r="Y879" s="171">
        <f t="shared" si="445"/>
        <v>0</v>
      </c>
      <c r="Z879" s="171">
        <f t="shared" si="446"/>
        <v>0</v>
      </c>
      <c r="AA879" s="172">
        <f t="shared" si="447"/>
        <v>2895807.8170600096</v>
      </c>
      <c r="AB879" s="5"/>
      <c r="AC879" s="5"/>
      <c r="AD879" s="5"/>
      <c r="AE879" s="5"/>
      <c r="AF879" s="5"/>
      <c r="AG879" s="5"/>
    </row>
    <row r="880" spans="1:33" x14ac:dyDescent="0.2">
      <c r="A880" s="173">
        <v>8</v>
      </c>
      <c r="B880" s="65" t="str">
        <f t="shared" si="433"/>
        <v>Working</v>
      </c>
      <c r="C880" s="174">
        <f t="shared" si="434"/>
        <v>1872205.6657868917</v>
      </c>
      <c r="D880" s="174">
        <f t="shared" si="435"/>
        <v>944047.5629454148</v>
      </c>
      <c r="E880" s="174">
        <f t="shared" si="436"/>
        <v>98389.909233989601</v>
      </c>
      <c r="F880" s="174">
        <f t="shared" si="437"/>
        <v>61493.693271243501</v>
      </c>
      <c r="G880" s="171">
        <f t="shared" si="438"/>
        <v>0</v>
      </c>
      <c r="H880" s="171">
        <f t="shared" si="439"/>
        <v>0</v>
      </c>
      <c r="I880" s="171">
        <f>IF(B880="Working",MIN(MAX(D880-E880-F880-G880-H880,0),'Tax Assumptions'!$B$20),0)</f>
        <v>7500</v>
      </c>
      <c r="J880" s="171">
        <f t="shared" si="440"/>
        <v>776663.96044018166</v>
      </c>
      <c r="K880" s="174">
        <f t="shared" si="441"/>
        <v>0</v>
      </c>
      <c r="L880" s="174">
        <f t="shared" si="442"/>
        <v>0</v>
      </c>
      <c r="M880" s="174">
        <f t="shared" si="448"/>
        <v>0</v>
      </c>
      <c r="N880" s="174">
        <f t="shared" si="449"/>
        <v>0</v>
      </c>
      <c r="O880" s="174">
        <f t="shared" si="450"/>
        <v>0</v>
      </c>
      <c r="P880" s="174">
        <f t="shared" si="451"/>
        <v>0</v>
      </c>
      <c r="Q880" s="171">
        <f t="shared" si="452"/>
        <v>3561501.2734406763</v>
      </c>
      <c r="R880" s="171">
        <f t="shared" si="453"/>
        <v>242487.9637667604</v>
      </c>
      <c r="S880" s="171">
        <f t="shared" si="454"/>
        <v>74231.009316355208</v>
      </c>
      <c r="T880" s="171">
        <f t="shared" si="455"/>
        <v>0</v>
      </c>
      <c r="U880" s="171">
        <f t="shared" si="443"/>
        <v>3878220.2465237915</v>
      </c>
      <c r="V880" s="171">
        <f t="shared" si="456"/>
        <v>0</v>
      </c>
      <c r="W880" s="171" t="str">
        <f>IF(OR(A880&gt;=$C$13,B880="Retired"),IF(V880&gt;0,-V880,U880-'Model Inputs'!$B$18),"")</f>
        <v/>
      </c>
      <c r="X880" s="171">
        <f t="shared" si="444"/>
        <v>0</v>
      </c>
      <c r="Y880" s="171">
        <f t="shared" si="445"/>
        <v>0</v>
      </c>
      <c r="Z880" s="171">
        <f t="shared" si="446"/>
        <v>0</v>
      </c>
      <c r="AA880" s="175">
        <f t="shared" si="447"/>
        <v>3878220.2465237915</v>
      </c>
      <c r="AB880" s="5"/>
      <c r="AC880" s="5"/>
      <c r="AD880" s="5"/>
      <c r="AE880" s="5"/>
      <c r="AF880" s="5"/>
      <c r="AG880" s="5"/>
    </row>
    <row r="881" spans="1:33" x14ac:dyDescent="0.2">
      <c r="A881" s="169">
        <v>9</v>
      </c>
      <c r="B881" s="100" t="str">
        <f t="shared" si="433"/>
        <v>Working</v>
      </c>
      <c r="C881" s="170">
        <f t="shared" si="434"/>
        <v>2033969.9666232408</v>
      </c>
      <c r="D881" s="170">
        <f t="shared" si="435"/>
        <v>1020277.372071536</v>
      </c>
      <c r="E881" s="170">
        <f t="shared" si="436"/>
        <v>101341.60651100927</v>
      </c>
      <c r="F881" s="170">
        <f t="shared" si="437"/>
        <v>63338.504069380797</v>
      </c>
      <c r="G881" s="171">
        <f t="shared" si="438"/>
        <v>0</v>
      </c>
      <c r="H881" s="171">
        <f t="shared" si="439"/>
        <v>0</v>
      </c>
      <c r="I881" s="171">
        <f>IF(B881="Working",MIN(MAX(D881-E881-F881-G881-H881,0),'Tax Assumptions'!$B$20),0)</f>
        <v>7500</v>
      </c>
      <c r="J881" s="171">
        <f t="shared" si="440"/>
        <v>848097.26149114594</v>
      </c>
      <c r="K881" s="170">
        <f t="shared" si="441"/>
        <v>0</v>
      </c>
      <c r="L881" s="170">
        <f t="shared" si="442"/>
        <v>0</v>
      </c>
      <c r="M881" s="170">
        <f t="shared" si="448"/>
        <v>0</v>
      </c>
      <c r="N881" s="170">
        <f t="shared" si="449"/>
        <v>0</v>
      </c>
      <c r="O881" s="170">
        <f t="shared" si="450"/>
        <v>0</v>
      </c>
      <c r="P881" s="170">
        <f t="shared" si="451"/>
        <v>0</v>
      </c>
      <c r="Q881" s="171">
        <f t="shared" si="452"/>
        <v>4623288.6113382634</v>
      </c>
      <c r="R881" s="171">
        <f t="shared" si="453"/>
        <v>281537.24159276602</v>
      </c>
      <c r="S881" s="171">
        <f t="shared" si="454"/>
        <v>86184.869875336532</v>
      </c>
      <c r="T881" s="171">
        <f t="shared" si="455"/>
        <v>0</v>
      </c>
      <c r="U881" s="171">
        <f t="shared" si="443"/>
        <v>4991010.7228063662</v>
      </c>
      <c r="V881" s="171">
        <f t="shared" si="456"/>
        <v>0</v>
      </c>
      <c r="W881" s="171" t="str">
        <f>IF(OR(A881&gt;=$C$13,B881="Retired"),IF(V881&gt;0,-V881,U881-'Model Inputs'!$B$18),"")</f>
        <v/>
      </c>
      <c r="X881" s="171">
        <f t="shared" si="444"/>
        <v>0</v>
      </c>
      <c r="Y881" s="171">
        <f t="shared" si="445"/>
        <v>0</v>
      </c>
      <c r="Z881" s="171">
        <f t="shared" si="446"/>
        <v>0</v>
      </c>
      <c r="AA881" s="172">
        <f t="shared" si="447"/>
        <v>4991010.7228063662</v>
      </c>
      <c r="AB881" s="5"/>
      <c r="AC881" s="5"/>
      <c r="AD881" s="5"/>
      <c r="AE881" s="5"/>
      <c r="AF881" s="5"/>
      <c r="AG881" s="5"/>
    </row>
    <row r="882" spans="1:33" x14ac:dyDescent="0.2">
      <c r="A882" s="173">
        <v>10</v>
      </c>
      <c r="B882" s="65" t="str">
        <f t="shared" si="433"/>
        <v>Working</v>
      </c>
      <c r="C882" s="174">
        <f t="shared" si="434"/>
        <v>2595495.7626410057</v>
      </c>
      <c r="D882" s="174">
        <f t="shared" si="435"/>
        <v>1284890.7881869476</v>
      </c>
      <c r="E882" s="174">
        <f t="shared" si="436"/>
        <v>104381.85470633955</v>
      </c>
      <c r="F882" s="174">
        <f t="shared" si="437"/>
        <v>65238.659191462226</v>
      </c>
      <c r="G882" s="171">
        <f t="shared" si="438"/>
        <v>802835.28666899295</v>
      </c>
      <c r="H882" s="171">
        <f t="shared" si="439"/>
        <v>107692.30769230769</v>
      </c>
      <c r="I882" s="171">
        <f>IF(B882="Working",MIN(MAX(D882-E882-F882-G882-H882,0),'Tax Assumptions'!$B$20),0)</f>
        <v>7500</v>
      </c>
      <c r="J882" s="171">
        <f t="shared" si="440"/>
        <v>197242.67992784519</v>
      </c>
      <c r="K882" s="174">
        <f t="shared" si="441"/>
        <v>0</v>
      </c>
      <c r="L882" s="174">
        <f t="shared" si="442"/>
        <v>0</v>
      </c>
      <c r="M882" s="174">
        <f t="shared" si="448"/>
        <v>0</v>
      </c>
      <c r="N882" s="174">
        <f t="shared" si="449"/>
        <v>0</v>
      </c>
      <c r="O882" s="174">
        <f t="shared" si="450"/>
        <v>0</v>
      </c>
      <c r="P882" s="174">
        <f t="shared" si="451"/>
        <v>0</v>
      </c>
      <c r="Q882" s="171">
        <f t="shared" si="452"/>
        <v>5097928.6079464052</v>
      </c>
      <c r="R882" s="171">
        <f t="shared" si="453"/>
        <v>322929.47608833201</v>
      </c>
      <c r="S882" s="171">
        <f t="shared" si="454"/>
        <v>98855.96206785673</v>
      </c>
      <c r="T882" s="171">
        <f t="shared" si="455"/>
        <v>0</v>
      </c>
      <c r="U882" s="171">
        <f t="shared" si="443"/>
        <v>5519714.0461025937</v>
      </c>
      <c r="V882" s="171">
        <f t="shared" si="456"/>
        <v>0</v>
      </c>
      <c r="W882" s="171">
        <f>IF(OR(A882&gt;=$C$13,B882="Retired"),IF(V882&gt;0,-V882,U882-'Model Inputs'!$B$18),"")</f>
        <v>4519714.0461025937</v>
      </c>
      <c r="X882" s="171">
        <f t="shared" si="444"/>
        <v>1690179.5508820903</v>
      </c>
      <c r="Y882" s="171">
        <f t="shared" si="445"/>
        <v>919208.39096390037</v>
      </c>
      <c r="Z882" s="171">
        <f t="shared" si="446"/>
        <v>770971.15991818998</v>
      </c>
      <c r="AA882" s="175">
        <f t="shared" si="447"/>
        <v>6290685.2060207836</v>
      </c>
      <c r="AB882" s="5"/>
      <c r="AC882" s="5"/>
      <c r="AD882" s="5"/>
      <c r="AE882" s="5"/>
      <c r="AF882" s="5"/>
      <c r="AG882" s="5"/>
    </row>
    <row r="883" spans="1:33" x14ac:dyDescent="0.2">
      <c r="A883" s="169">
        <v>11</v>
      </c>
      <c r="B883" s="100" t="str">
        <f t="shared" si="433"/>
        <v>Retired</v>
      </c>
      <c r="C883" s="170">
        <f t="shared" si="434"/>
        <v>0</v>
      </c>
      <c r="D883" s="170">
        <f t="shared" si="435"/>
        <v>0</v>
      </c>
      <c r="E883" s="170">
        <f t="shared" si="436"/>
        <v>0</v>
      </c>
      <c r="F883" s="170">
        <f t="shared" si="437"/>
        <v>0</v>
      </c>
      <c r="G883" s="171">
        <f t="shared" si="438"/>
        <v>0</v>
      </c>
      <c r="H883" s="171">
        <f t="shared" si="439"/>
        <v>108807.82619588988</v>
      </c>
      <c r="I883" s="171">
        <f>IF(B883="Working",MIN(MAX(D883-E883-F883-G883-H883,0),'Tax Assumptions'!$B$20),0)</f>
        <v>0</v>
      </c>
      <c r="J883" s="171">
        <f t="shared" si="440"/>
        <v>-368807.82619588985</v>
      </c>
      <c r="K883" s="170">
        <f t="shared" si="441"/>
        <v>368807.82619588985</v>
      </c>
      <c r="L883" s="170">
        <f t="shared" si="442"/>
        <v>368807.82619588985</v>
      </c>
      <c r="M883" s="170">
        <f t="shared" si="448"/>
        <v>368807.82619588985</v>
      </c>
      <c r="N883" s="170">
        <f t="shared" si="449"/>
        <v>0</v>
      </c>
      <c r="O883" s="170">
        <f t="shared" si="450"/>
        <v>0</v>
      </c>
      <c r="P883" s="170">
        <f t="shared" si="451"/>
        <v>0</v>
      </c>
      <c r="Q883" s="171">
        <f t="shared" si="452"/>
        <v>5034996.4982273001</v>
      </c>
      <c r="R883" s="171">
        <f t="shared" si="453"/>
        <v>342305.24465363193</v>
      </c>
      <c r="S883" s="171">
        <f t="shared" si="454"/>
        <v>104787.31979192814</v>
      </c>
      <c r="T883" s="171">
        <f t="shared" si="455"/>
        <v>0</v>
      </c>
      <c r="U883" s="171">
        <f t="shared" si="443"/>
        <v>5482089.06267286</v>
      </c>
      <c r="V883" s="171">
        <f t="shared" si="456"/>
        <v>0</v>
      </c>
      <c r="W883" s="171">
        <f>IF(OR(A883&gt;=$C$13,B883="Retired"),IF(V883&gt;0,-V883,U883-'Model Inputs'!$B$18),"")</f>
        <v>4482089.06267286</v>
      </c>
      <c r="X883" s="171">
        <f t="shared" si="444"/>
        <v>1740884.9374085532</v>
      </c>
      <c r="Y883" s="171">
        <f t="shared" si="445"/>
        <v>908122.16715511121</v>
      </c>
      <c r="Z883" s="171">
        <f t="shared" si="446"/>
        <v>832762.770253442</v>
      </c>
      <c r="AA883" s="172">
        <f t="shared" si="447"/>
        <v>6314851.8329263022</v>
      </c>
      <c r="AB883" s="5"/>
      <c r="AC883" s="5"/>
      <c r="AD883" s="5"/>
      <c r="AE883" s="5"/>
      <c r="AF883" s="5"/>
      <c r="AG883" s="5"/>
    </row>
    <row r="884" spans="1:33" x14ac:dyDescent="0.2">
      <c r="A884" s="173">
        <v>12</v>
      </c>
      <c r="B884" s="65" t="str">
        <f t="shared" si="433"/>
        <v>Retired</v>
      </c>
      <c r="C884" s="174">
        <f t="shared" si="434"/>
        <v>0</v>
      </c>
      <c r="D884" s="174">
        <f t="shared" si="435"/>
        <v>0</v>
      </c>
      <c r="E884" s="174">
        <f t="shared" si="436"/>
        <v>0</v>
      </c>
      <c r="F884" s="174">
        <f t="shared" si="437"/>
        <v>0</v>
      </c>
      <c r="G884" s="171">
        <f t="shared" si="438"/>
        <v>0</v>
      </c>
      <c r="H884" s="171">
        <f t="shared" si="439"/>
        <v>109956.81025457951</v>
      </c>
      <c r="I884" s="171">
        <f>IF(B884="Working",MIN(MAX(D884-E884-F884-G884-H884,0),'Tax Assumptions'!$B$20),0)</f>
        <v>0</v>
      </c>
      <c r="J884" s="171">
        <f t="shared" si="440"/>
        <v>-369956.81025457953</v>
      </c>
      <c r="K884" s="174">
        <f t="shared" si="441"/>
        <v>369956.81025457953</v>
      </c>
      <c r="L884" s="174">
        <f t="shared" si="442"/>
        <v>369956.81025457953</v>
      </c>
      <c r="M884" s="174">
        <f t="shared" si="448"/>
        <v>369956.81025457953</v>
      </c>
      <c r="N884" s="174">
        <f t="shared" si="449"/>
        <v>0</v>
      </c>
      <c r="O884" s="174">
        <f t="shared" si="450"/>
        <v>0</v>
      </c>
      <c r="P884" s="174">
        <f t="shared" si="451"/>
        <v>0</v>
      </c>
      <c r="Q884" s="171">
        <f t="shared" si="452"/>
        <v>4967139.4778663591</v>
      </c>
      <c r="R884" s="171">
        <f t="shared" si="453"/>
        <v>362843.55933284987</v>
      </c>
      <c r="S884" s="171">
        <f t="shared" si="454"/>
        <v>111074.55897944383</v>
      </c>
      <c r="T884" s="171">
        <f t="shared" si="455"/>
        <v>0</v>
      </c>
      <c r="U884" s="171">
        <f t="shared" si="443"/>
        <v>5441057.5961786527</v>
      </c>
      <c r="V884" s="171">
        <f t="shared" si="456"/>
        <v>0</v>
      </c>
      <c r="W884" s="171">
        <f>IF(OR(A884&gt;=$C$13,B884="Retired"),IF(V884&gt;0,-V884,U884-'Model Inputs'!$B$18),"")</f>
        <v>4441057.5961786527</v>
      </c>
      <c r="X884" s="171">
        <f t="shared" si="444"/>
        <v>1793111.4855308095</v>
      </c>
      <c r="Y884" s="171">
        <f t="shared" si="445"/>
        <v>896293.47840613243</v>
      </c>
      <c r="Z884" s="171">
        <f t="shared" si="446"/>
        <v>896818.00712467707</v>
      </c>
      <c r="AA884" s="175">
        <f t="shared" si="447"/>
        <v>6337875.60330333</v>
      </c>
      <c r="AB884" s="5"/>
      <c r="AC884" s="5"/>
      <c r="AD884" s="5"/>
      <c r="AE884" s="5"/>
      <c r="AF884" s="5"/>
      <c r="AG884" s="5"/>
    </row>
    <row r="885" spans="1:33" x14ac:dyDescent="0.2">
      <c r="A885" s="169">
        <v>13</v>
      </c>
      <c r="B885" s="100" t="str">
        <f t="shared" si="433"/>
        <v>Retired</v>
      </c>
      <c r="C885" s="170">
        <f t="shared" si="434"/>
        <v>0</v>
      </c>
      <c r="D885" s="170">
        <f t="shared" si="435"/>
        <v>0</v>
      </c>
      <c r="E885" s="170">
        <f t="shared" si="436"/>
        <v>0</v>
      </c>
      <c r="F885" s="170">
        <f t="shared" si="437"/>
        <v>0</v>
      </c>
      <c r="G885" s="171">
        <f t="shared" si="438"/>
        <v>0</v>
      </c>
      <c r="H885" s="171">
        <f t="shared" si="439"/>
        <v>111140.26383502985</v>
      </c>
      <c r="I885" s="171">
        <f>IF(B885="Working",MIN(MAX(D885-E885-F885-G885-H885,0),'Tax Assumptions'!$B$20),0)</f>
        <v>0</v>
      </c>
      <c r="J885" s="171">
        <f t="shared" si="440"/>
        <v>-371140.26383502985</v>
      </c>
      <c r="K885" s="170">
        <f t="shared" si="441"/>
        <v>371140.26383502985</v>
      </c>
      <c r="L885" s="170">
        <f t="shared" si="442"/>
        <v>371140.26383502985</v>
      </c>
      <c r="M885" s="170">
        <f t="shared" si="448"/>
        <v>371140.26383502985</v>
      </c>
      <c r="N885" s="170">
        <f t="shared" si="449"/>
        <v>0</v>
      </c>
      <c r="O885" s="170">
        <f t="shared" si="450"/>
        <v>0</v>
      </c>
      <c r="P885" s="170">
        <f t="shared" si="451"/>
        <v>0</v>
      </c>
      <c r="Q885" s="171">
        <f t="shared" si="452"/>
        <v>4894027.582703311</v>
      </c>
      <c r="R885" s="171">
        <f t="shared" si="453"/>
        <v>384614.1728928209</v>
      </c>
      <c r="S885" s="171">
        <f t="shared" si="454"/>
        <v>117739.03251821046</v>
      </c>
      <c r="T885" s="171">
        <f t="shared" si="455"/>
        <v>0</v>
      </c>
      <c r="U885" s="171">
        <f t="shared" si="443"/>
        <v>5396380.7881143428</v>
      </c>
      <c r="V885" s="171">
        <f t="shared" si="456"/>
        <v>0</v>
      </c>
      <c r="W885" s="171">
        <f>IF(OR(A885&gt;=$C$13,B885="Retired"),IF(V885&gt;0,-V885,U885-'Model Inputs'!$B$18),"")</f>
        <v>4396380.7881143428</v>
      </c>
      <c r="X885" s="171">
        <f t="shared" si="444"/>
        <v>1846904.830096734</v>
      </c>
      <c r="Y885" s="171">
        <f t="shared" si="445"/>
        <v>883672.60046487302</v>
      </c>
      <c r="Z885" s="171">
        <f t="shared" si="446"/>
        <v>963232.22963186097</v>
      </c>
      <c r="AA885" s="172">
        <f t="shared" si="447"/>
        <v>6359613.0177462036</v>
      </c>
      <c r="AB885" s="5"/>
      <c r="AC885" s="5"/>
      <c r="AD885" s="5"/>
      <c r="AE885" s="5"/>
      <c r="AF885" s="5"/>
      <c r="AG885" s="5"/>
    </row>
    <row r="886" spans="1:33" x14ac:dyDescent="0.2">
      <c r="A886" s="173">
        <v>14</v>
      </c>
      <c r="B886" s="65" t="str">
        <f t="shared" si="433"/>
        <v>Retired</v>
      </c>
      <c r="C886" s="174">
        <f t="shared" si="434"/>
        <v>0</v>
      </c>
      <c r="D886" s="174">
        <f t="shared" si="435"/>
        <v>0</v>
      </c>
      <c r="E886" s="174">
        <f t="shared" si="436"/>
        <v>0</v>
      </c>
      <c r="F886" s="174">
        <f t="shared" si="437"/>
        <v>0</v>
      </c>
      <c r="G886" s="171">
        <f t="shared" si="438"/>
        <v>0</v>
      </c>
      <c r="H886" s="171">
        <f t="shared" si="439"/>
        <v>112359.22102289369</v>
      </c>
      <c r="I886" s="171">
        <f>IF(B886="Working",MIN(MAX(D886-E886-F886-G886-H886,0),'Tax Assumptions'!$B$20),0)</f>
        <v>0</v>
      </c>
      <c r="J886" s="171">
        <f t="shared" si="440"/>
        <v>-372359.22102289367</v>
      </c>
      <c r="K886" s="174">
        <f t="shared" si="441"/>
        <v>372359.22102289367</v>
      </c>
      <c r="L886" s="174">
        <f t="shared" si="442"/>
        <v>372359.22102289367</v>
      </c>
      <c r="M886" s="174">
        <f t="shared" si="448"/>
        <v>372359.22102289367</v>
      </c>
      <c r="N886" s="174">
        <f t="shared" si="449"/>
        <v>0</v>
      </c>
      <c r="O886" s="174">
        <f t="shared" si="450"/>
        <v>0</v>
      </c>
      <c r="P886" s="174">
        <f t="shared" si="451"/>
        <v>0</v>
      </c>
      <c r="Q886" s="171">
        <f t="shared" si="452"/>
        <v>4815310.0166426161</v>
      </c>
      <c r="R886" s="171">
        <f t="shared" si="453"/>
        <v>407691.0232663902</v>
      </c>
      <c r="S886" s="171">
        <f t="shared" si="454"/>
        <v>124803.37446930309</v>
      </c>
      <c r="T886" s="171">
        <f t="shared" si="455"/>
        <v>0</v>
      </c>
      <c r="U886" s="171">
        <f t="shared" si="443"/>
        <v>5347804.4143783096</v>
      </c>
      <c r="V886" s="171">
        <f t="shared" si="456"/>
        <v>0</v>
      </c>
      <c r="W886" s="171">
        <f>IF(OR(A886&gt;=$C$13,B886="Retired"),IF(V886&gt;0,-V886,U886-'Model Inputs'!$B$18),"")</f>
        <v>4347804.4143783096</v>
      </c>
      <c r="X886" s="171">
        <f t="shared" si="444"/>
        <v>1902311.9749996357</v>
      </c>
      <c r="Y886" s="171">
        <f t="shared" si="445"/>
        <v>870206.47895398969</v>
      </c>
      <c r="Z886" s="171">
        <f t="shared" si="446"/>
        <v>1032105.496045646</v>
      </c>
      <c r="AA886" s="175">
        <f t="shared" si="447"/>
        <v>6379909.9104239559</v>
      </c>
      <c r="AB886" s="5"/>
      <c r="AC886" s="5"/>
      <c r="AD886" s="5"/>
      <c r="AE886" s="5"/>
      <c r="AF886" s="5"/>
      <c r="AG886" s="5"/>
    </row>
    <row r="887" spans="1:33" x14ac:dyDescent="0.2">
      <c r="A887" s="169">
        <v>15</v>
      </c>
      <c r="B887" s="100" t="str">
        <f t="shared" si="433"/>
        <v>Retired</v>
      </c>
      <c r="C887" s="170">
        <f t="shared" si="434"/>
        <v>0</v>
      </c>
      <c r="D887" s="170">
        <f t="shared" si="435"/>
        <v>0</v>
      </c>
      <c r="E887" s="170">
        <f t="shared" si="436"/>
        <v>0</v>
      </c>
      <c r="F887" s="170">
        <f t="shared" si="437"/>
        <v>0</v>
      </c>
      <c r="G887" s="171">
        <f t="shared" si="438"/>
        <v>0</v>
      </c>
      <c r="H887" s="171">
        <f t="shared" si="439"/>
        <v>113614.74692639345</v>
      </c>
      <c r="I887" s="171">
        <f>IF(B887="Working",MIN(MAX(D887-E887-F887-G887-H887,0),'Tax Assumptions'!$B$20),0)</f>
        <v>0</v>
      </c>
      <c r="J887" s="171">
        <f t="shared" si="440"/>
        <v>-373614.74692639348</v>
      </c>
      <c r="K887" s="170">
        <f t="shared" si="441"/>
        <v>373614.74692639348</v>
      </c>
      <c r="L887" s="170">
        <f t="shared" si="442"/>
        <v>373614.74692639348</v>
      </c>
      <c r="M887" s="170">
        <f t="shared" si="448"/>
        <v>373614.74692639348</v>
      </c>
      <c r="N887" s="170">
        <f t="shared" si="449"/>
        <v>0</v>
      </c>
      <c r="O887" s="170">
        <f t="shared" si="450"/>
        <v>0</v>
      </c>
      <c r="P887" s="170">
        <f t="shared" si="451"/>
        <v>0</v>
      </c>
      <c r="Q887" s="171">
        <f t="shared" si="452"/>
        <v>4730613.8707147799</v>
      </c>
      <c r="R887" s="171">
        <f t="shared" si="453"/>
        <v>432152.48466237361</v>
      </c>
      <c r="S887" s="171">
        <f t="shared" si="454"/>
        <v>132291.57693746127</v>
      </c>
      <c r="T887" s="171">
        <f t="shared" si="455"/>
        <v>0</v>
      </c>
      <c r="U887" s="171">
        <f t="shared" si="443"/>
        <v>5295057.9323146148</v>
      </c>
      <c r="V887" s="171">
        <f t="shared" si="456"/>
        <v>0</v>
      </c>
      <c r="W887" s="171">
        <f>IF(OR(A887&gt;=$C$13,B887="Retired"),IF(V887&gt;0,-V887,U887-'Model Inputs'!$B$18),"")</f>
        <v>4295057.9323146148</v>
      </c>
      <c r="X887" s="171">
        <f t="shared" si="444"/>
        <v>1959381.3342496247</v>
      </c>
      <c r="Y887" s="171">
        <f t="shared" si="445"/>
        <v>855838.50634623086</v>
      </c>
      <c r="Z887" s="171">
        <f t="shared" si="446"/>
        <v>1103542.8279033939</v>
      </c>
      <c r="AA887" s="172">
        <f t="shared" si="447"/>
        <v>6398600.7602180084</v>
      </c>
      <c r="AB887" s="5"/>
      <c r="AC887" s="5"/>
      <c r="AD887" s="5"/>
      <c r="AE887" s="5"/>
      <c r="AF887" s="5"/>
      <c r="AG887" s="5"/>
    </row>
    <row r="888" spans="1:33" x14ac:dyDescent="0.2">
      <c r="A888" s="173">
        <v>16</v>
      </c>
      <c r="B888" s="65" t="str">
        <f t="shared" si="433"/>
        <v>Retired</v>
      </c>
      <c r="C888" s="174">
        <f t="shared" si="434"/>
        <v>0</v>
      </c>
      <c r="D888" s="174">
        <f t="shared" si="435"/>
        <v>0</v>
      </c>
      <c r="E888" s="174">
        <f t="shared" si="436"/>
        <v>0</v>
      </c>
      <c r="F888" s="174">
        <f t="shared" si="437"/>
        <v>0</v>
      </c>
      <c r="G888" s="171">
        <f t="shared" si="438"/>
        <v>0</v>
      </c>
      <c r="H888" s="171">
        <f t="shared" si="439"/>
        <v>114907.9386069982</v>
      </c>
      <c r="I888" s="171">
        <f>IF(B888="Working",MIN(MAX(D888-E888-F888-G888-H888,0),'Tax Assumptions'!$B$20),0)</f>
        <v>0</v>
      </c>
      <c r="J888" s="171">
        <f t="shared" si="440"/>
        <v>-374907.93860699818</v>
      </c>
      <c r="K888" s="174">
        <f t="shared" si="441"/>
        <v>374907.93860699818</v>
      </c>
      <c r="L888" s="174">
        <f t="shared" si="442"/>
        <v>374907.93860699818</v>
      </c>
      <c r="M888" s="174">
        <f t="shared" si="448"/>
        <v>374907.93860699818</v>
      </c>
      <c r="N888" s="174">
        <f t="shared" si="449"/>
        <v>0</v>
      </c>
      <c r="O888" s="174">
        <f t="shared" si="450"/>
        <v>0</v>
      </c>
      <c r="P888" s="174">
        <f t="shared" si="451"/>
        <v>0</v>
      </c>
      <c r="Q888" s="171">
        <f t="shared" si="452"/>
        <v>4639542.7643506695</v>
      </c>
      <c r="R888" s="171">
        <f t="shared" si="453"/>
        <v>458081.63374211604</v>
      </c>
      <c r="S888" s="171">
        <f t="shared" si="454"/>
        <v>140229.07155370896</v>
      </c>
      <c r="T888" s="171">
        <f t="shared" si="455"/>
        <v>0</v>
      </c>
      <c r="U888" s="171">
        <f t="shared" si="443"/>
        <v>5237853.4696464948</v>
      </c>
      <c r="V888" s="171">
        <f t="shared" si="456"/>
        <v>0</v>
      </c>
      <c r="W888" s="171">
        <f>IF(OR(A888&gt;=$C$13,B888="Retired"),IF(V888&gt;0,-V888,U888-'Model Inputs'!$B$18),"")</f>
        <v>4237853.4696464948</v>
      </c>
      <c r="X888" s="171">
        <f t="shared" si="444"/>
        <v>2018162.7742771136</v>
      </c>
      <c r="Y888" s="171">
        <f t="shared" si="445"/>
        <v>840508.28400340897</v>
      </c>
      <c r="Z888" s="171">
        <f t="shared" si="446"/>
        <v>1177654.4902737048</v>
      </c>
      <c r="AA888" s="175">
        <f t="shared" si="447"/>
        <v>6415507.9599201996</v>
      </c>
      <c r="AB888" s="5"/>
      <c r="AC888" s="5"/>
      <c r="AD888" s="5"/>
      <c r="AE888" s="5"/>
      <c r="AF888" s="5"/>
      <c r="AG888" s="5"/>
    </row>
    <row r="889" spans="1:33" x14ac:dyDescent="0.2">
      <c r="A889" s="169">
        <v>17</v>
      </c>
      <c r="B889" s="100" t="str">
        <f t="shared" si="433"/>
        <v>Retired</v>
      </c>
      <c r="C889" s="170">
        <f t="shared" si="434"/>
        <v>0</v>
      </c>
      <c r="D889" s="170">
        <f t="shared" si="435"/>
        <v>0</v>
      </c>
      <c r="E889" s="170">
        <f t="shared" si="436"/>
        <v>0</v>
      </c>
      <c r="F889" s="170">
        <f t="shared" si="437"/>
        <v>0</v>
      </c>
      <c r="G889" s="171">
        <f t="shared" si="438"/>
        <v>0</v>
      </c>
      <c r="H889" s="171">
        <f t="shared" si="439"/>
        <v>116239.92603802111</v>
      </c>
      <c r="I889" s="171">
        <f>IF(B889="Working",MIN(MAX(D889-E889-F889-G889-H889,0),'Tax Assumptions'!$B$20),0)</f>
        <v>0</v>
      </c>
      <c r="J889" s="171">
        <f t="shared" si="440"/>
        <v>-376239.92603802111</v>
      </c>
      <c r="K889" s="170">
        <f t="shared" si="441"/>
        <v>376239.92603802111</v>
      </c>
      <c r="L889" s="170">
        <f t="shared" si="442"/>
        <v>376239.92603802111</v>
      </c>
      <c r="M889" s="170">
        <f t="shared" si="448"/>
        <v>376239.92603802111</v>
      </c>
      <c r="N889" s="170">
        <f t="shared" si="449"/>
        <v>0</v>
      </c>
      <c r="O889" s="170">
        <f t="shared" si="450"/>
        <v>0</v>
      </c>
      <c r="P889" s="170">
        <f t="shared" si="451"/>
        <v>0</v>
      </c>
      <c r="Q889" s="171">
        <f t="shared" si="452"/>
        <v>4541675.404173689</v>
      </c>
      <c r="R889" s="171">
        <f t="shared" si="453"/>
        <v>485566.53176664305</v>
      </c>
      <c r="S889" s="171">
        <f t="shared" si="454"/>
        <v>148642.81584693151</v>
      </c>
      <c r="T889" s="171">
        <f t="shared" si="455"/>
        <v>0</v>
      </c>
      <c r="U889" s="171">
        <f t="shared" si="443"/>
        <v>5175884.751787263</v>
      </c>
      <c r="V889" s="171">
        <f t="shared" si="456"/>
        <v>0</v>
      </c>
      <c r="W889" s="171">
        <f>IF(OR(A889&gt;=$C$13,B889="Retired"),IF(V889&gt;0,-V889,U889-'Model Inputs'!$B$18),"")</f>
        <v>4175884.751787263</v>
      </c>
      <c r="X889" s="171">
        <f t="shared" si="444"/>
        <v>2078707.6575054273</v>
      </c>
      <c r="Y889" s="171">
        <f t="shared" si="445"/>
        <v>824151.36827867723</v>
      </c>
      <c r="Z889" s="171">
        <f t="shared" si="446"/>
        <v>1254556.2892267499</v>
      </c>
      <c r="AA889" s="172">
        <f t="shared" si="447"/>
        <v>6430441.0410140129</v>
      </c>
      <c r="AB889" s="5"/>
      <c r="AC889" s="5"/>
      <c r="AD889" s="5"/>
      <c r="AE889" s="5"/>
      <c r="AF889" s="5"/>
      <c r="AG889" s="5"/>
    </row>
    <row r="890" spans="1:33" x14ac:dyDescent="0.2">
      <c r="A890" s="173">
        <v>18</v>
      </c>
      <c r="B890" s="65" t="str">
        <f t="shared" si="433"/>
        <v>Retired</v>
      </c>
      <c r="C890" s="174">
        <f t="shared" si="434"/>
        <v>0</v>
      </c>
      <c r="D890" s="174">
        <f t="shared" si="435"/>
        <v>0</v>
      </c>
      <c r="E890" s="174">
        <f t="shared" si="436"/>
        <v>0</v>
      </c>
      <c r="F890" s="174">
        <f t="shared" si="437"/>
        <v>0</v>
      </c>
      <c r="G890" s="171">
        <f t="shared" si="438"/>
        <v>0</v>
      </c>
      <c r="H890" s="171">
        <f t="shared" si="439"/>
        <v>117611.87309197467</v>
      </c>
      <c r="I890" s="171">
        <f>IF(B890="Working",MIN(MAX(D890-E890-F890-G890-H890,0),'Tax Assumptions'!$B$20),0)</f>
        <v>0</v>
      </c>
      <c r="J890" s="171">
        <f t="shared" si="440"/>
        <v>-377611.87309197464</v>
      </c>
      <c r="K890" s="174">
        <f t="shared" si="441"/>
        <v>377611.87309197464</v>
      </c>
      <c r="L890" s="174">
        <f t="shared" si="442"/>
        <v>377611.87309197464</v>
      </c>
      <c r="M890" s="174">
        <f t="shared" si="448"/>
        <v>377611.87309197464</v>
      </c>
      <c r="N890" s="174">
        <f t="shared" si="449"/>
        <v>0</v>
      </c>
      <c r="O890" s="174">
        <f t="shared" si="450"/>
        <v>0</v>
      </c>
      <c r="P890" s="174">
        <f t="shared" si="451"/>
        <v>0</v>
      </c>
      <c r="Q890" s="171">
        <f t="shared" si="452"/>
        <v>4436564.0553321363</v>
      </c>
      <c r="R890" s="171">
        <f t="shared" si="453"/>
        <v>514700.52367264166</v>
      </c>
      <c r="S890" s="171">
        <f t="shared" si="454"/>
        <v>157561.38479774742</v>
      </c>
      <c r="T890" s="171">
        <f t="shared" si="455"/>
        <v>0</v>
      </c>
      <c r="U890" s="171">
        <f t="shared" si="443"/>
        <v>5108825.9638025248</v>
      </c>
      <c r="V890" s="171">
        <f t="shared" si="456"/>
        <v>0</v>
      </c>
      <c r="W890" s="171">
        <f>IF(OR(A890&gt;=$C$13,B890="Retired"),IF(V890&gt;0,-V890,U890-'Model Inputs'!$B$18),"")</f>
        <v>4108825.9638025248</v>
      </c>
      <c r="X890" s="171">
        <f t="shared" si="444"/>
        <v>2141068.8872305895</v>
      </c>
      <c r="Y890" s="171">
        <f t="shared" si="445"/>
        <v>806698.99961481092</v>
      </c>
      <c r="Z890" s="171">
        <f t="shared" si="446"/>
        <v>1334369.8876157785</v>
      </c>
      <c r="AA890" s="175">
        <f t="shared" si="447"/>
        <v>6443195.8514183033</v>
      </c>
      <c r="AB890" s="5"/>
      <c r="AC890" s="5"/>
      <c r="AD890" s="5"/>
      <c r="AE890" s="5"/>
      <c r="AF890" s="5"/>
      <c r="AG890" s="5"/>
    </row>
    <row r="891" spans="1:33" x14ac:dyDescent="0.2">
      <c r="A891" s="169">
        <v>19</v>
      </c>
      <c r="B891" s="100" t="str">
        <f t="shared" si="433"/>
        <v>Retired</v>
      </c>
      <c r="C891" s="170">
        <f t="shared" si="434"/>
        <v>0</v>
      </c>
      <c r="D891" s="170">
        <f t="shared" si="435"/>
        <v>0</v>
      </c>
      <c r="E891" s="170">
        <f t="shared" si="436"/>
        <v>0</v>
      </c>
      <c r="F891" s="170">
        <f t="shared" si="437"/>
        <v>0</v>
      </c>
      <c r="G891" s="171">
        <f t="shared" si="438"/>
        <v>0</v>
      </c>
      <c r="H891" s="171">
        <f t="shared" si="439"/>
        <v>119024.97855754686</v>
      </c>
      <c r="I891" s="171">
        <f>IF(B891="Working",MIN(MAX(D891-E891-F891-G891-H891,0),'Tax Assumptions'!$B$20),0)</f>
        <v>0</v>
      </c>
      <c r="J891" s="171">
        <f t="shared" si="440"/>
        <v>-379024.97855754686</v>
      </c>
      <c r="K891" s="170">
        <f t="shared" si="441"/>
        <v>379024.97855754686</v>
      </c>
      <c r="L891" s="170">
        <f t="shared" si="442"/>
        <v>379024.97855754686</v>
      </c>
      <c r="M891" s="170">
        <f t="shared" si="448"/>
        <v>379024.97855754686</v>
      </c>
      <c r="N891" s="170">
        <f t="shared" si="449"/>
        <v>0</v>
      </c>
      <c r="O891" s="170">
        <f t="shared" si="450"/>
        <v>0</v>
      </c>
      <c r="P891" s="170">
        <f t="shared" si="451"/>
        <v>0</v>
      </c>
      <c r="Q891" s="171">
        <f t="shared" si="452"/>
        <v>4323732.920094518</v>
      </c>
      <c r="R891" s="171">
        <f t="shared" si="453"/>
        <v>545582.55509300018</v>
      </c>
      <c r="S891" s="171">
        <f t="shared" si="454"/>
        <v>167015.06788561228</v>
      </c>
      <c r="T891" s="171">
        <f t="shared" si="455"/>
        <v>0</v>
      </c>
      <c r="U891" s="171">
        <f t="shared" si="443"/>
        <v>5036330.5430731298</v>
      </c>
      <c r="V891" s="171">
        <f t="shared" si="456"/>
        <v>0</v>
      </c>
      <c r="W891" s="171">
        <f>IF(OR(A891&gt;=$C$13,B891="Retired"),IF(V891&gt;0,-V891,U891-'Model Inputs'!$B$18),"")</f>
        <v>4036330.5430731298</v>
      </c>
      <c r="X891" s="171">
        <f t="shared" si="444"/>
        <v>2205300.9538475075</v>
      </c>
      <c r="Y891" s="171">
        <f t="shared" si="445"/>
        <v>788077.81349969411</v>
      </c>
      <c r="Z891" s="171">
        <f t="shared" si="446"/>
        <v>1417223.1403478133</v>
      </c>
      <c r="AA891" s="172">
        <f t="shared" si="447"/>
        <v>6453553.6834209431</v>
      </c>
      <c r="AB891" s="5"/>
      <c r="AC891" s="5"/>
      <c r="AD891" s="5"/>
      <c r="AE891" s="5"/>
      <c r="AF891" s="5"/>
      <c r="AG891" s="5"/>
    </row>
    <row r="892" spans="1:33" x14ac:dyDescent="0.2">
      <c r="A892" s="173">
        <v>20</v>
      </c>
      <c r="B892" s="65" t="str">
        <f t="shared" si="433"/>
        <v>Retired</v>
      </c>
      <c r="C892" s="174">
        <f t="shared" si="434"/>
        <v>0</v>
      </c>
      <c r="D892" s="174">
        <f t="shared" si="435"/>
        <v>0</v>
      </c>
      <c r="E892" s="174">
        <f t="shared" si="436"/>
        <v>0</v>
      </c>
      <c r="F892" s="174">
        <f t="shared" si="437"/>
        <v>0</v>
      </c>
      <c r="G892" s="171">
        <f t="shared" si="438"/>
        <v>0</v>
      </c>
      <c r="H892" s="171">
        <f t="shared" si="439"/>
        <v>120480.47718708622</v>
      </c>
      <c r="I892" s="171">
        <f>IF(B892="Working",MIN(MAX(D892-E892-F892-G892-H892,0),'Tax Assumptions'!$B$20),0)</f>
        <v>0</v>
      </c>
      <c r="J892" s="171">
        <f t="shared" si="440"/>
        <v>-380480.47718708625</v>
      </c>
      <c r="K892" s="174">
        <f t="shared" si="441"/>
        <v>380480.47718708625</v>
      </c>
      <c r="L892" s="174">
        <f t="shared" si="442"/>
        <v>380480.47718708625</v>
      </c>
      <c r="M892" s="174">
        <f t="shared" si="448"/>
        <v>380480.47718708625</v>
      </c>
      <c r="N892" s="174">
        <f t="shared" si="449"/>
        <v>0</v>
      </c>
      <c r="O892" s="174">
        <f t="shared" si="450"/>
        <v>0</v>
      </c>
      <c r="P892" s="174">
        <f t="shared" si="451"/>
        <v>0</v>
      </c>
      <c r="Q892" s="171">
        <f t="shared" si="452"/>
        <v>4202676.4181131031</v>
      </c>
      <c r="R892" s="171">
        <f t="shared" si="453"/>
        <v>578317.50839858025</v>
      </c>
      <c r="S892" s="171">
        <f t="shared" si="454"/>
        <v>177035.97195874903</v>
      </c>
      <c r="T892" s="171">
        <f t="shared" si="455"/>
        <v>0</v>
      </c>
      <c r="U892" s="171">
        <f t="shared" si="443"/>
        <v>4958029.8984704325</v>
      </c>
      <c r="V892" s="171">
        <f t="shared" si="456"/>
        <v>0</v>
      </c>
      <c r="W892" s="171">
        <f>IF(OR(A892&gt;=$C$13,B892="Retired"),IF(V892&gt;0,-V892,U892-'Model Inputs'!$B$18),"")</f>
        <v>3958029.8984704325</v>
      </c>
      <c r="X892" s="171">
        <f t="shared" si="444"/>
        <v>2271459.9824629328</v>
      </c>
      <c r="Y892" s="171">
        <f t="shared" si="445"/>
        <v>768209.53206396382</v>
      </c>
      <c r="Z892" s="171">
        <f t="shared" si="446"/>
        <v>1503250.450398969</v>
      </c>
      <c r="AA892" s="175">
        <f t="shared" si="447"/>
        <v>6461280.348869402</v>
      </c>
      <c r="AB892" s="5"/>
      <c r="AC892" s="5"/>
      <c r="AD892" s="5"/>
      <c r="AE892" s="5"/>
      <c r="AF892" s="5"/>
      <c r="AG892" s="5"/>
    </row>
    <row r="893" spans="1:33" x14ac:dyDescent="0.2">
      <c r="A893" s="169">
        <v>21</v>
      </c>
      <c r="B893" s="100" t="str">
        <f t="shared" si="433"/>
        <v>Retired</v>
      </c>
      <c r="C893" s="170">
        <f t="shared" si="434"/>
        <v>0</v>
      </c>
      <c r="D893" s="170">
        <f t="shared" si="435"/>
        <v>0</v>
      </c>
      <c r="E893" s="170">
        <f t="shared" si="436"/>
        <v>0</v>
      </c>
      <c r="F893" s="170">
        <f t="shared" si="437"/>
        <v>0</v>
      </c>
      <c r="G893" s="171">
        <f t="shared" si="438"/>
        <v>0</v>
      </c>
      <c r="H893" s="171">
        <f t="shared" si="439"/>
        <v>121979.64077551175</v>
      </c>
      <c r="I893" s="171">
        <f>IF(B893="Working",MIN(MAX(D893-E893-F893-G893-H893,0),'Tax Assumptions'!$B$20),0)</f>
        <v>0</v>
      </c>
      <c r="J893" s="171">
        <f t="shared" si="440"/>
        <v>-381979.64077551174</v>
      </c>
      <c r="K893" s="170">
        <f t="shared" si="441"/>
        <v>381979.64077551174</v>
      </c>
      <c r="L893" s="170">
        <f t="shared" si="442"/>
        <v>381979.64077551174</v>
      </c>
      <c r="M893" s="170">
        <f t="shared" si="448"/>
        <v>381979.64077551174</v>
      </c>
      <c r="N893" s="170">
        <f t="shared" si="449"/>
        <v>0</v>
      </c>
      <c r="O893" s="170">
        <f t="shared" si="450"/>
        <v>0</v>
      </c>
      <c r="P893" s="170">
        <f t="shared" si="451"/>
        <v>0</v>
      </c>
      <c r="Q893" s="171">
        <f t="shared" si="452"/>
        <v>4072857.3624243774</v>
      </c>
      <c r="R893" s="171">
        <f t="shared" si="453"/>
        <v>613016.55890249508</v>
      </c>
      <c r="S893" s="171">
        <f t="shared" si="454"/>
        <v>187658.13027627397</v>
      </c>
      <c r="T893" s="171">
        <f t="shared" si="455"/>
        <v>0</v>
      </c>
      <c r="U893" s="171">
        <f t="shared" si="443"/>
        <v>4873532.0516031459</v>
      </c>
      <c r="V893" s="171">
        <f t="shared" si="456"/>
        <v>0</v>
      </c>
      <c r="W893" s="171">
        <f>IF(OR(A893&gt;=$C$13,B893="Retired"),IF(V893&gt;0,-V893,U893-'Model Inputs'!$B$18),"")</f>
        <v>3873532.0516031459</v>
      </c>
      <c r="X893" s="171">
        <f t="shared" si="444"/>
        <v>2339603.7819368206</v>
      </c>
      <c r="Y893" s="171">
        <f t="shared" si="445"/>
        <v>747010.63502437528</v>
      </c>
      <c r="Z893" s="171">
        <f t="shared" si="446"/>
        <v>1592593.1469124453</v>
      </c>
      <c r="AA893" s="172">
        <f t="shared" si="447"/>
        <v>6466125.1985155912</v>
      </c>
      <c r="AB893" s="5"/>
      <c r="AC893" s="5"/>
      <c r="AD893" s="5"/>
      <c r="AE893" s="5"/>
      <c r="AF893" s="5"/>
      <c r="AG893" s="5"/>
    </row>
    <row r="894" spans="1:33" x14ac:dyDescent="0.2">
      <c r="A894" s="173">
        <v>22</v>
      </c>
      <c r="B894" s="65" t="str">
        <f t="shared" si="433"/>
        <v>Retired</v>
      </c>
      <c r="C894" s="174">
        <f t="shared" si="434"/>
        <v>0</v>
      </c>
      <c r="D894" s="174">
        <f t="shared" si="435"/>
        <v>0</v>
      </c>
      <c r="E894" s="174">
        <f t="shared" si="436"/>
        <v>0</v>
      </c>
      <c r="F894" s="174">
        <f t="shared" si="437"/>
        <v>0</v>
      </c>
      <c r="G894" s="171">
        <f t="shared" si="438"/>
        <v>0</v>
      </c>
      <c r="H894" s="171">
        <f t="shared" si="439"/>
        <v>123523.77927159006</v>
      </c>
      <c r="I894" s="171">
        <f>IF(B894="Working",MIN(MAX(D894-E894-F894-G894-H894,0),'Tax Assumptions'!$B$20),0)</f>
        <v>0</v>
      </c>
      <c r="J894" s="171">
        <f t="shared" si="440"/>
        <v>-383523.77927159006</v>
      </c>
      <c r="K894" s="174">
        <f t="shared" si="441"/>
        <v>383523.77927159006</v>
      </c>
      <c r="L894" s="174">
        <f t="shared" si="442"/>
        <v>383523.77927159006</v>
      </c>
      <c r="M894" s="174">
        <f t="shared" si="448"/>
        <v>383523.77927159006</v>
      </c>
      <c r="N894" s="174">
        <f t="shared" si="449"/>
        <v>0</v>
      </c>
      <c r="O894" s="174">
        <f t="shared" si="450"/>
        <v>0</v>
      </c>
      <c r="P894" s="174">
        <f t="shared" si="451"/>
        <v>0</v>
      </c>
      <c r="Q894" s="171">
        <f t="shared" si="452"/>
        <v>3933705.0248982501</v>
      </c>
      <c r="R894" s="171">
        <f t="shared" si="453"/>
        <v>649797.55243664479</v>
      </c>
      <c r="S894" s="171">
        <f t="shared" si="454"/>
        <v>198917.6180928504</v>
      </c>
      <c r="T894" s="171">
        <f t="shared" si="455"/>
        <v>0</v>
      </c>
      <c r="U894" s="171">
        <f t="shared" si="443"/>
        <v>4782420.1954277456</v>
      </c>
      <c r="V894" s="171">
        <f t="shared" si="456"/>
        <v>0</v>
      </c>
      <c r="W894" s="171">
        <f>IF(OR(A894&gt;=$C$13,B894="Retired"),IF(V894&gt;0,-V894,U894-'Model Inputs'!$B$18),"")</f>
        <v>3782420.1954277456</v>
      </c>
      <c r="X894" s="171">
        <f t="shared" si="444"/>
        <v>2409791.895394925</v>
      </c>
      <c r="Y894" s="171">
        <f t="shared" si="445"/>
        <v>724392.00858963397</v>
      </c>
      <c r="Z894" s="171">
        <f t="shared" si="446"/>
        <v>1685399.8868052911</v>
      </c>
      <c r="AA894" s="175">
        <f t="shared" si="447"/>
        <v>6467820.0822330369</v>
      </c>
      <c r="AB894" s="5"/>
      <c r="AC894" s="5"/>
      <c r="AD894" s="5"/>
      <c r="AE894" s="5"/>
      <c r="AF894" s="5"/>
      <c r="AG894" s="5"/>
    </row>
    <row r="895" spans="1:33" x14ac:dyDescent="0.2">
      <c r="A895" s="169">
        <v>23</v>
      </c>
      <c r="B895" s="100" t="str">
        <f t="shared" si="433"/>
        <v>Retired</v>
      </c>
      <c r="C895" s="170">
        <f t="shared" si="434"/>
        <v>0</v>
      </c>
      <c r="D895" s="170">
        <f t="shared" si="435"/>
        <v>0</v>
      </c>
      <c r="E895" s="170">
        <f t="shared" si="436"/>
        <v>0</v>
      </c>
      <c r="F895" s="170">
        <f t="shared" si="437"/>
        <v>0</v>
      </c>
      <c r="G895" s="171">
        <f t="shared" si="438"/>
        <v>0</v>
      </c>
      <c r="H895" s="171">
        <f t="shared" si="439"/>
        <v>125114.2419225507</v>
      </c>
      <c r="I895" s="171">
        <f>IF(B895="Working",MIN(MAX(D895-E895-F895-G895-H895,0),'Tax Assumptions'!$B$20),0)</f>
        <v>0</v>
      </c>
      <c r="J895" s="171">
        <f t="shared" si="440"/>
        <v>-385114.24192255072</v>
      </c>
      <c r="K895" s="170">
        <f t="shared" si="441"/>
        <v>385114.24192255072</v>
      </c>
      <c r="L895" s="170">
        <f t="shared" si="442"/>
        <v>385114.24192255072</v>
      </c>
      <c r="M895" s="170">
        <f t="shared" si="448"/>
        <v>385114.24192255072</v>
      </c>
      <c r="N895" s="170">
        <f t="shared" si="449"/>
        <v>0</v>
      </c>
      <c r="O895" s="170">
        <f t="shared" si="450"/>
        <v>0</v>
      </c>
      <c r="P895" s="170">
        <f t="shared" si="451"/>
        <v>0</v>
      </c>
      <c r="Q895" s="171">
        <f t="shared" si="452"/>
        <v>3784613.0844695945</v>
      </c>
      <c r="R895" s="171">
        <f t="shared" si="453"/>
        <v>688785.40558284346</v>
      </c>
      <c r="S895" s="171">
        <f t="shared" si="454"/>
        <v>210852.67517842143</v>
      </c>
      <c r="T895" s="171">
        <f t="shared" si="455"/>
        <v>0</v>
      </c>
      <c r="U895" s="171">
        <f t="shared" si="443"/>
        <v>4684251.16523086</v>
      </c>
      <c r="V895" s="171">
        <f t="shared" si="456"/>
        <v>0</v>
      </c>
      <c r="W895" s="171">
        <f>IF(OR(A895&gt;=$C$13,B895="Retired"),IF(V895&gt;0,-V895,U895-'Model Inputs'!$B$18),"")</f>
        <v>3684251.16523086</v>
      </c>
      <c r="X895" s="171">
        <f t="shared" si="444"/>
        <v>2482085.6522567729</v>
      </c>
      <c r="Y895" s="171">
        <f t="shared" si="445"/>
        <v>700258.57085280493</v>
      </c>
      <c r="Z895" s="171">
        <f t="shared" si="446"/>
        <v>1781827.0814039679</v>
      </c>
      <c r="AA895" s="172">
        <f t="shared" si="447"/>
        <v>6466078.2466348279</v>
      </c>
      <c r="AB895" s="5"/>
      <c r="AC895" s="5"/>
      <c r="AD895" s="5"/>
      <c r="AE895" s="5"/>
      <c r="AF895" s="5"/>
      <c r="AG895" s="5"/>
    </row>
    <row r="896" spans="1:33" x14ac:dyDescent="0.2">
      <c r="A896" s="173">
        <v>24</v>
      </c>
      <c r="B896" s="65" t="str">
        <f t="shared" si="433"/>
        <v>Retired</v>
      </c>
      <c r="C896" s="174">
        <f t="shared" si="434"/>
        <v>0</v>
      </c>
      <c r="D896" s="174">
        <f t="shared" si="435"/>
        <v>0</v>
      </c>
      <c r="E896" s="174">
        <f t="shared" si="436"/>
        <v>0</v>
      </c>
      <c r="F896" s="174">
        <f t="shared" si="437"/>
        <v>0</v>
      </c>
      <c r="G896" s="171">
        <f t="shared" si="438"/>
        <v>0</v>
      </c>
      <c r="H896" s="171">
        <f t="shared" si="439"/>
        <v>126752.41845304017</v>
      </c>
      <c r="I896" s="171">
        <f>IF(B896="Working",MIN(MAX(D896-E896-F896-G896-H896,0),'Tax Assumptions'!$B$20),0)</f>
        <v>0</v>
      </c>
      <c r="J896" s="171">
        <f t="shared" si="440"/>
        <v>-386752.41845304018</v>
      </c>
      <c r="K896" s="174">
        <f t="shared" si="441"/>
        <v>386752.41845304018</v>
      </c>
      <c r="L896" s="174">
        <f t="shared" si="442"/>
        <v>386752.41845304018</v>
      </c>
      <c r="M896" s="174">
        <f t="shared" si="448"/>
        <v>386752.41845304018</v>
      </c>
      <c r="N896" s="174">
        <f t="shared" si="449"/>
        <v>0</v>
      </c>
      <c r="O896" s="174">
        <f t="shared" si="450"/>
        <v>0</v>
      </c>
      <c r="P896" s="174">
        <f t="shared" si="451"/>
        <v>0</v>
      </c>
      <c r="Q896" s="171">
        <f t="shared" si="452"/>
        <v>3624937.4510847302</v>
      </c>
      <c r="R896" s="171">
        <f t="shared" si="453"/>
        <v>730112.52991781407</v>
      </c>
      <c r="S896" s="171">
        <f t="shared" si="454"/>
        <v>223503.83568912672</v>
      </c>
      <c r="T896" s="171">
        <f t="shared" si="455"/>
        <v>0</v>
      </c>
      <c r="U896" s="171">
        <f t="shared" si="443"/>
        <v>4578553.8166916706</v>
      </c>
      <c r="V896" s="171">
        <f t="shared" si="456"/>
        <v>0</v>
      </c>
      <c r="W896" s="171">
        <f>IF(OR(A896&gt;=$C$13,B896="Retired"),IF(V896&gt;0,-V896,U896-'Model Inputs'!$B$18),"")</f>
        <v>3578553.8166916706</v>
      </c>
      <c r="X896" s="171">
        <f t="shared" si="444"/>
        <v>2556548.221824476</v>
      </c>
      <c r="Y896" s="171">
        <f t="shared" si="445"/>
        <v>674508.87209555157</v>
      </c>
      <c r="Z896" s="171">
        <f t="shared" si="446"/>
        <v>1882039.3497289245</v>
      </c>
      <c r="AA896" s="175">
        <f t="shared" si="447"/>
        <v>6460593.1664205948</v>
      </c>
      <c r="AB896" s="5"/>
      <c r="AC896" s="5"/>
      <c r="AD896" s="5"/>
      <c r="AE896" s="5"/>
      <c r="AF896" s="5"/>
      <c r="AG896" s="5"/>
    </row>
    <row r="897" spans="1:33" x14ac:dyDescent="0.2">
      <c r="A897" s="169">
        <v>25</v>
      </c>
      <c r="B897" s="100" t="str">
        <f t="shared" si="433"/>
        <v>Retired</v>
      </c>
      <c r="C897" s="170">
        <f t="shared" si="434"/>
        <v>0</v>
      </c>
      <c r="D897" s="170">
        <f t="shared" si="435"/>
        <v>0</v>
      </c>
      <c r="E897" s="170">
        <f t="shared" si="436"/>
        <v>0</v>
      </c>
      <c r="F897" s="170">
        <f t="shared" si="437"/>
        <v>0</v>
      </c>
      <c r="G897" s="171">
        <f t="shared" si="438"/>
        <v>0</v>
      </c>
      <c r="H897" s="171">
        <f t="shared" si="439"/>
        <v>128439.74027944433</v>
      </c>
      <c r="I897" s="171">
        <f>IF(B897="Working",MIN(MAX(D897-E897-F897-G897-H897,0),'Tax Assumptions'!$B$20),0)</f>
        <v>0</v>
      </c>
      <c r="J897" s="171">
        <f t="shared" si="440"/>
        <v>-388439.74027944432</v>
      </c>
      <c r="K897" s="170">
        <f t="shared" si="441"/>
        <v>388439.74027944432</v>
      </c>
      <c r="L897" s="170">
        <f t="shared" si="442"/>
        <v>388439.74027944432</v>
      </c>
      <c r="M897" s="170">
        <f t="shared" si="448"/>
        <v>388439.74027944432</v>
      </c>
      <c r="N897" s="170">
        <f t="shared" si="449"/>
        <v>0</v>
      </c>
      <c r="O897" s="170">
        <f t="shared" si="450"/>
        <v>0</v>
      </c>
      <c r="P897" s="170">
        <f t="shared" si="451"/>
        <v>0</v>
      </c>
      <c r="Q897" s="171">
        <f t="shared" si="452"/>
        <v>3453993.9578703698</v>
      </c>
      <c r="R897" s="171">
        <f t="shared" si="453"/>
        <v>773919.28171288292</v>
      </c>
      <c r="S897" s="171">
        <f t="shared" si="454"/>
        <v>236914.06583047434</v>
      </c>
      <c r="T897" s="171">
        <f t="shared" si="455"/>
        <v>0</v>
      </c>
      <c r="U897" s="171">
        <f t="shared" si="443"/>
        <v>4464827.3054137276</v>
      </c>
      <c r="V897" s="171">
        <f t="shared" si="456"/>
        <v>0</v>
      </c>
      <c r="W897" s="171">
        <f>IF(OR(A897&gt;=$C$13,B897="Retired"),IF(V897&gt;0,-V897,U897-'Model Inputs'!$B$18),"")</f>
        <v>3464827.3054137276</v>
      </c>
      <c r="X897" s="171">
        <f t="shared" si="444"/>
        <v>2633244.6684792107</v>
      </c>
      <c r="Y897" s="171">
        <f t="shared" si="445"/>
        <v>647034.66832401766</v>
      </c>
      <c r="Z897" s="171">
        <f t="shared" si="446"/>
        <v>1986210.000155193</v>
      </c>
      <c r="AA897" s="172">
        <f t="shared" si="447"/>
        <v>6451037.3055689204</v>
      </c>
      <c r="AB897" s="5"/>
      <c r="AC897" s="5"/>
      <c r="AD897" s="5"/>
      <c r="AE897" s="5"/>
      <c r="AF897" s="5"/>
      <c r="AG897" s="5"/>
    </row>
    <row r="898" spans="1:33" x14ac:dyDescent="0.2">
      <c r="A898" s="173">
        <v>26</v>
      </c>
      <c r="B898" s="65" t="str">
        <f t="shared" si="433"/>
        <v>Retired</v>
      </c>
      <c r="C898" s="174">
        <f t="shared" si="434"/>
        <v>0</v>
      </c>
      <c r="D898" s="174">
        <f t="shared" si="435"/>
        <v>0</v>
      </c>
      <c r="E898" s="174">
        <f t="shared" si="436"/>
        <v>0</v>
      </c>
      <c r="F898" s="174">
        <f t="shared" si="437"/>
        <v>0</v>
      </c>
      <c r="G898" s="171">
        <f t="shared" si="438"/>
        <v>0</v>
      </c>
      <c r="H898" s="171">
        <f t="shared" si="439"/>
        <v>130177.6817606406</v>
      </c>
      <c r="I898" s="171">
        <f>IF(B898="Working",MIN(MAX(D898-E898-F898-G898-H898,0),'Tax Assumptions'!$B$20),0)</f>
        <v>0</v>
      </c>
      <c r="J898" s="171">
        <f t="shared" si="440"/>
        <v>-390177.68176064058</v>
      </c>
      <c r="K898" s="174">
        <f t="shared" si="441"/>
        <v>390177.68176064058</v>
      </c>
      <c r="L898" s="174">
        <f t="shared" si="442"/>
        <v>390177.68176064058</v>
      </c>
      <c r="M898" s="174">
        <f t="shared" si="448"/>
        <v>390177.68176064058</v>
      </c>
      <c r="N898" s="174">
        <f t="shared" si="449"/>
        <v>0</v>
      </c>
      <c r="O898" s="174">
        <f t="shared" si="450"/>
        <v>0</v>
      </c>
      <c r="P898" s="174">
        <f t="shared" si="451"/>
        <v>0</v>
      </c>
      <c r="Q898" s="171">
        <f t="shared" si="452"/>
        <v>3271055.9135819515</v>
      </c>
      <c r="R898" s="171">
        <f t="shared" si="453"/>
        <v>820354.43861565599</v>
      </c>
      <c r="S898" s="171">
        <f t="shared" si="454"/>
        <v>251128.90978030281</v>
      </c>
      <c r="T898" s="171">
        <f t="shared" si="455"/>
        <v>0</v>
      </c>
      <c r="U898" s="171">
        <f t="shared" si="443"/>
        <v>4342539.2619779101</v>
      </c>
      <c r="V898" s="171">
        <f t="shared" si="456"/>
        <v>0</v>
      </c>
      <c r="W898" s="171">
        <f>IF(OR(A898&gt;=$C$13,B898="Retired"),IF(V898&gt;0,-V898,U898-'Model Inputs'!$B$18),"")</f>
        <v>3342539.2619779101</v>
      </c>
      <c r="X898" s="171">
        <f t="shared" si="444"/>
        <v>2712242.0085335863</v>
      </c>
      <c r="Y898" s="171">
        <f t="shared" si="445"/>
        <v>617720.46624360932</v>
      </c>
      <c r="Z898" s="171">
        <f t="shared" si="446"/>
        <v>2094521.542289977</v>
      </c>
      <c r="AA898" s="175">
        <f t="shared" si="447"/>
        <v>6437060.804267887</v>
      </c>
      <c r="AB898" s="5"/>
      <c r="AC898" s="5"/>
      <c r="AD898" s="5"/>
      <c r="AE898" s="5"/>
      <c r="AF898" s="5"/>
      <c r="AG898" s="5"/>
    </row>
    <row r="899" spans="1:33" x14ac:dyDescent="0.2">
      <c r="A899" s="169">
        <v>27</v>
      </c>
      <c r="B899" s="100" t="str">
        <f t="shared" si="433"/>
        <v>Retired</v>
      </c>
      <c r="C899" s="170">
        <f t="shared" si="434"/>
        <v>0</v>
      </c>
      <c r="D899" s="170">
        <f t="shared" si="435"/>
        <v>0</v>
      </c>
      <c r="E899" s="170">
        <f t="shared" si="436"/>
        <v>0</v>
      </c>
      <c r="F899" s="170">
        <f t="shared" si="437"/>
        <v>0</v>
      </c>
      <c r="G899" s="171">
        <f t="shared" si="438"/>
        <v>0</v>
      </c>
      <c r="H899" s="171">
        <f t="shared" si="439"/>
        <v>131967.76148627276</v>
      </c>
      <c r="I899" s="171">
        <f>IF(B899="Working",MIN(MAX(D899-E899-F899-G899-H899,0),'Tax Assumptions'!$B$20),0)</f>
        <v>0</v>
      </c>
      <c r="J899" s="171">
        <f t="shared" si="440"/>
        <v>-391967.76148627279</v>
      </c>
      <c r="K899" s="170">
        <f t="shared" si="441"/>
        <v>391967.76148627279</v>
      </c>
      <c r="L899" s="170">
        <f t="shared" si="442"/>
        <v>391967.76148627279</v>
      </c>
      <c r="M899" s="170">
        <f t="shared" si="448"/>
        <v>391967.76148627279</v>
      </c>
      <c r="N899" s="170">
        <f t="shared" si="449"/>
        <v>0</v>
      </c>
      <c r="O899" s="170">
        <f t="shared" si="450"/>
        <v>0</v>
      </c>
      <c r="P899" s="170">
        <f t="shared" si="451"/>
        <v>0</v>
      </c>
      <c r="Q899" s="171">
        <f t="shared" si="452"/>
        <v>3075351.506910596</v>
      </c>
      <c r="R899" s="171">
        <f t="shared" si="453"/>
        <v>869575.70493259537</v>
      </c>
      <c r="S899" s="171">
        <f t="shared" si="454"/>
        <v>266196.64436712099</v>
      </c>
      <c r="T899" s="171">
        <f t="shared" si="455"/>
        <v>0</v>
      </c>
      <c r="U899" s="171">
        <f t="shared" si="443"/>
        <v>4211123.8562103128</v>
      </c>
      <c r="V899" s="171">
        <f t="shared" si="456"/>
        <v>0</v>
      </c>
      <c r="W899" s="171">
        <f>IF(OR(A899&gt;=$C$13,B899="Retired"),IF(V899&gt;0,-V899,U899-'Model Inputs'!$B$18),"")</f>
        <v>3211123.8562103128</v>
      </c>
      <c r="X899" s="171">
        <f t="shared" si="444"/>
        <v>2793609.2687895941</v>
      </c>
      <c r="Y899" s="171">
        <f t="shared" si="445"/>
        <v>586443.0377598987</v>
      </c>
      <c r="Z899" s="171">
        <f t="shared" si="446"/>
        <v>2207166.2310296954</v>
      </c>
      <c r="AA899" s="172">
        <f t="shared" si="447"/>
        <v>6418290.0872400086</v>
      </c>
      <c r="AB899" s="5"/>
      <c r="AC899" s="5"/>
      <c r="AD899" s="5"/>
      <c r="AE899" s="5"/>
      <c r="AF899" s="5"/>
      <c r="AG899" s="5"/>
    </row>
    <row r="900" spans="1:33" x14ac:dyDescent="0.2">
      <c r="A900" s="173">
        <v>28</v>
      </c>
      <c r="B900" s="65" t="str">
        <f t="shared" si="433"/>
        <v>Retired</v>
      </c>
      <c r="C900" s="174">
        <f t="shared" si="434"/>
        <v>0</v>
      </c>
      <c r="D900" s="174">
        <f t="shared" si="435"/>
        <v>0</v>
      </c>
      <c r="E900" s="174">
        <f t="shared" si="436"/>
        <v>0</v>
      </c>
      <c r="F900" s="174">
        <f t="shared" si="437"/>
        <v>0</v>
      </c>
      <c r="G900" s="171">
        <f t="shared" si="438"/>
        <v>0</v>
      </c>
      <c r="H900" s="171">
        <f t="shared" si="439"/>
        <v>133811.5436036739</v>
      </c>
      <c r="I900" s="171">
        <f>IF(B900="Working",MIN(MAX(D900-E900-F900-G900-H900,0),'Tax Assumptions'!$B$20),0)</f>
        <v>0</v>
      </c>
      <c r="J900" s="171">
        <f t="shared" si="440"/>
        <v>-393811.54360367393</v>
      </c>
      <c r="K900" s="174">
        <f t="shared" si="441"/>
        <v>393811.54360367393</v>
      </c>
      <c r="L900" s="174">
        <f t="shared" si="442"/>
        <v>393811.54360367393</v>
      </c>
      <c r="M900" s="174">
        <f t="shared" si="448"/>
        <v>393811.54360367393</v>
      </c>
      <c r="N900" s="174">
        <f t="shared" si="449"/>
        <v>0</v>
      </c>
      <c r="O900" s="174">
        <f t="shared" si="450"/>
        <v>0</v>
      </c>
      <c r="P900" s="174">
        <f t="shared" si="451"/>
        <v>0</v>
      </c>
      <c r="Q900" s="171">
        <f t="shared" si="452"/>
        <v>2866061.0537215578</v>
      </c>
      <c r="R900" s="171">
        <f t="shared" si="453"/>
        <v>921750.24722855119</v>
      </c>
      <c r="S900" s="171">
        <f t="shared" si="454"/>
        <v>282168.44302914827</v>
      </c>
      <c r="T900" s="171">
        <f t="shared" si="455"/>
        <v>0</v>
      </c>
      <c r="U900" s="171">
        <f t="shared" si="443"/>
        <v>4069979.7439792575</v>
      </c>
      <c r="V900" s="171">
        <f t="shared" si="456"/>
        <v>0</v>
      </c>
      <c r="W900" s="171">
        <f>IF(OR(A900&gt;=$C$13,B900="Retired"),IF(V900&gt;0,-V900,U900-'Model Inputs'!$B$18),"")</f>
        <v>3069979.7439792575</v>
      </c>
      <c r="X900" s="171">
        <f t="shared" si="444"/>
        <v>2877417.546853282</v>
      </c>
      <c r="Y900" s="171">
        <f t="shared" si="445"/>
        <v>553070.90196475713</v>
      </c>
      <c r="Z900" s="171">
        <f t="shared" si="446"/>
        <v>2324346.6448885249</v>
      </c>
      <c r="AA900" s="175">
        <f t="shared" si="447"/>
        <v>6394326.3888677824</v>
      </c>
      <c r="AB900" s="5"/>
      <c r="AC900" s="5"/>
      <c r="AD900" s="5"/>
      <c r="AE900" s="5"/>
      <c r="AF900" s="5"/>
      <c r="AG900" s="5"/>
    </row>
    <row r="901" spans="1:33" x14ac:dyDescent="0.2">
      <c r="A901" s="169">
        <v>29</v>
      </c>
      <c r="B901" s="100" t="str">
        <f t="shared" si="433"/>
        <v>Retired</v>
      </c>
      <c r="C901" s="170">
        <f t="shared" si="434"/>
        <v>0</v>
      </c>
      <c r="D901" s="170">
        <f t="shared" si="435"/>
        <v>0</v>
      </c>
      <c r="E901" s="170">
        <f t="shared" si="436"/>
        <v>0</v>
      </c>
      <c r="F901" s="170">
        <f t="shared" si="437"/>
        <v>0</v>
      </c>
      <c r="G901" s="171">
        <f t="shared" si="438"/>
        <v>0</v>
      </c>
      <c r="H901" s="171">
        <f t="shared" si="439"/>
        <v>135710.63918459706</v>
      </c>
      <c r="I901" s="171">
        <f>IF(B901="Working",MIN(MAX(D901-E901-F901-G901-H901,0),'Tax Assumptions'!$B$20),0)</f>
        <v>0</v>
      </c>
      <c r="J901" s="171">
        <f t="shared" si="440"/>
        <v>-395710.63918459706</v>
      </c>
      <c r="K901" s="170">
        <f t="shared" si="441"/>
        <v>395710.63918459706</v>
      </c>
      <c r="L901" s="170">
        <f t="shared" si="442"/>
        <v>395710.63918459706</v>
      </c>
      <c r="M901" s="170">
        <f t="shared" si="448"/>
        <v>395710.63918459706</v>
      </c>
      <c r="N901" s="170">
        <f t="shared" si="449"/>
        <v>0</v>
      </c>
      <c r="O901" s="170">
        <f t="shared" si="450"/>
        <v>0</v>
      </c>
      <c r="P901" s="170">
        <f t="shared" si="451"/>
        <v>0</v>
      </c>
      <c r="Q901" s="171">
        <f t="shared" si="452"/>
        <v>2642314.0777602545</v>
      </c>
      <c r="R901" s="171">
        <f t="shared" si="453"/>
        <v>977055.26206226426</v>
      </c>
      <c r="S901" s="171">
        <f t="shared" si="454"/>
        <v>299098.5496108972</v>
      </c>
      <c r="T901" s="171">
        <f t="shared" si="455"/>
        <v>0</v>
      </c>
      <c r="U901" s="171">
        <f t="shared" si="443"/>
        <v>3918467.8894334156</v>
      </c>
      <c r="V901" s="171">
        <f t="shared" si="456"/>
        <v>0</v>
      </c>
      <c r="W901" s="171">
        <f>IF(OR(A901&gt;=$C$13,B901="Retired"),IF(V901&gt;0,-V901,U901-'Model Inputs'!$B$18),"")</f>
        <v>2918467.8894334156</v>
      </c>
      <c r="X901" s="171">
        <f t="shared" si="444"/>
        <v>2963740.0732588801</v>
      </c>
      <c r="Y901" s="171">
        <f t="shared" si="445"/>
        <v>517463.77243013401</v>
      </c>
      <c r="Z901" s="171">
        <f t="shared" si="446"/>
        <v>2446276.3008287461</v>
      </c>
      <c r="AA901" s="172">
        <f t="shared" si="447"/>
        <v>6364744.1902621612</v>
      </c>
      <c r="AB901" s="5"/>
      <c r="AC901" s="5"/>
      <c r="AD901" s="5"/>
      <c r="AE901" s="5"/>
      <c r="AF901" s="5"/>
      <c r="AG901" s="5"/>
    </row>
    <row r="902" spans="1:33" x14ac:dyDescent="0.2">
      <c r="A902" s="173">
        <v>30</v>
      </c>
      <c r="B902" s="65" t="str">
        <f t="shared" si="433"/>
        <v>Retired</v>
      </c>
      <c r="C902" s="174">
        <f t="shared" si="434"/>
        <v>0</v>
      </c>
      <c r="D902" s="174">
        <f t="shared" si="435"/>
        <v>0</v>
      </c>
      <c r="E902" s="174">
        <f t="shared" si="436"/>
        <v>0</v>
      </c>
      <c r="F902" s="174">
        <f t="shared" si="437"/>
        <v>0</v>
      </c>
      <c r="G902" s="171">
        <f t="shared" si="438"/>
        <v>0</v>
      </c>
      <c r="H902" s="171">
        <f t="shared" si="439"/>
        <v>137666.70763294792</v>
      </c>
      <c r="I902" s="171">
        <f>IF(B902="Working",MIN(MAX(D902-E902-F902-G902-H902,0),'Tax Assumptions'!$B$20),0)</f>
        <v>0</v>
      </c>
      <c r="J902" s="171">
        <f t="shared" si="440"/>
        <v>-397666.70763294795</v>
      </c>
      <c r="K902" s="174">
        <f t="shared" si="441"/>
        <v>397666.70763294795</v>
      </c>
      <c r="L902" s="174">
        <f t="shared" si="442"/>
        <v>397666.70763294795</v>
      </c>
      <c r="M902" s="174">
        <f t="shared" si="448"/>
        <v>397666.70763294795</v>
      </c>
      <c r="N902" s="174">
        <f t="shared" si="449"/>
        <v>0</v>
      </c>
      <c r="O902" s="174">
        <f t="shared" si="450"/>
        <v>0</v>
      </c>
      <c r="P902" s="174">
        <f t="shared" si="451"/>
        <v>0</v>
      </c>
      <c r="Q902" s="171">
        <f t="shared" si="452"/>
        <v>2403186.2147929221</v>
      </c>
      <c r="R902" s="171">
        <f t="shared" si="453"/>
        <v>1035678.5777860002</v>
      </c>
      <c r="S902" s="171">
        <f t="shared" si="454"/>
        <v>317044.46258755104</v>
      </c>
      <c r="T902" s="171">
        <f t="shared" si="455"/>
        <v>0</v>
      </c>
      <c r="U902" s="171">
        <f t="shared" si="443"/>
        <v>3755909.2551664738</v>
      </c>
      <c r="V902" s="171">
        <f t="shared" si="456"/>
        <v>0</v>
      </c>
      <c r="W902" s="171">
        <f>IF(OR(A902&gt;=$C$13,B902="Retired"),IF(V902&gt;0,-V902,U902-'Model Inputs'!$B$18),"")</f>
        <v>2755909.2551664738</v>
      </c>
      <c r="X902" s="171">
        <f t="shared" si="444"/>
        <v>3052652.2754566465</v>
      </c>
      <c r="Y902" s="171">
        <f t="shared" si="445"/>
        <v>479471.96748608351</v>
      </c>
      <c r="Z902" s="171">
        <f t="shared" si="446"/>
        <v>2573180.3079705629</v>
      </c>
      <c r="AA902" s="175">
        <f t="shared" si="447"/>
        <v>6329089.5631370367</v>
      </c>
      <c r="AB902" s="5"/>
      <c r="AC902" s="5"/>
      <c r="AD902" s="5"/>
      <c r="AE902" s="5"/>
      <c r="AF902" s="5"/>
      <c r="AG902" s="5"/>
    </row>
    <row r="903" spans="1:33" x14ac:dyDescent="0.2">
      <c r="A903" s="169">
        <v>31</v>
      </c>
      <c r="B903" s="100" t="str">
        <f t="shared" si="433"/>
        <v>Retired</v>
      </c>
      <c r="C903" s="170">
        <f t="shared" si="434"/>
        <v>0</v>
      </c>
      <c r="D903" s="170">
        <f t="shared" si="435"/>
        <v>0</v>
      </c>
      <c r="E903" s="170">
        <f t="shared" si="436"/>
        <v>0</v>
      </c>
      <c r="F903" s="170">
        <f t="shared" si="437"/>
        <v>0</v>
      </c>
      <c r="G903" s="171">
        <f t="shared" si="438"/>
        <v>0</v>
      </c>
      <c r="H903" s="171">
        <f t="shared" si="439"/>
        <v>139681.45813474932</v>
      </c>
      <c r="I903" s="171">
        <f>IF(B903="Working",MIN(MAX(D903-E903-F903-G903-H903,0),'Tax Assumptions'!$B$20),0)</f>
        <v>0</v>
      </c>
      <c r="J903" s="171">
        <f t="shared" si="440"/>
        <v>-399681.45813474932</v>
      </c>
      <c r="K903" s="170">
        <f t="shared" si="441"/>
        <v>399681.45813474932</v>
      </c>
      <c r="L903" s="170">
        <f t="shared" si="442"/>
        <v>399681.45813474932</v>
      </c>
      <c r="M903" s="170">
        <f t="shared" si="448"/>
        <v>399681.45813474932</v>
      </c>
      <c r="N903" s="170">
        <f t="shared" si="449"/>
        <v>0</v>
      </c>
      <c r="O903" s="170">
        <f t="shared" si="450"/>
        <v>0</v>
      </c>
      <c r="P903" s="170">
        <f t="shared" si="451"/>
        <v>0</v>
      </c>
      <c r="Q903" s="171">
        <f t="shared" si="452"/>
        <v>2147695.929545748</v>
      </c>
      <c r="R903" s="171">
        <f t="shared" si="453"/>
        <v>1097819.2924531603</v>
      </c>
      <c r="S903" s="171">
        <f t="shared" si="454"/>
        <v>336067.13034280413</v>
      </c>
      <c r="T903" s="171">
        <f t="shared" si="455"/>
        <v>0</v>
      </c>
      <c r="U903" s="171">
        <f t="shared" si="443"/>
        <v>3581582.3523417125</v>
      </c>
      <c r="V903" s="171">
        <f t="shared" si="456"/>
        <v>0</v>
      </c>
      <c r="W903" s="171">
        <f>IF(OR(A903&gt;=$C$13,B903="Retired"),IF(V903&gt;0,-V903,U903-'Model Inputs'!$B$18),"")</f>
        <v>2581582.3523417125</v>
      </c>
      <c r="X903" s="171">
        <f t="shared" si="444"/>
        <v>3144231.8437203458</v>
      </c>
      <c r="Y903" s="171">
        <f t="shared" si="445"/>
        <v>438935.7810040107</v>
      </c>
      <c r="Z903" s="171">
        <f t="shared" si="446"/>
        <v>2705296.0627163351</v>
      </c>
      <c r="AA903" s="172">
        <f t="shared" si="447"/>
        <v>6286878.4150580475</v>
      </c>
      <c r="AB903" s="5"/>
      <c r="AC903" s="5"/>
      <c r="AD903" s="5"/>
      <c r="AE903" s="5"/>
      <c r="AF903" s="5"/>
      <c r="AG903" s="5"/>
    </row>
    <row r="904" spans="1:33" x14ac:dyDescent="0.2">
      <c r="A904" s="173">
        <v>32</v>
      </c>
      <c r="B904" s="65" t="str">
        <f t="shared" si="433"/>
        <v>Retired</v>
      </c>
      <c r="C904" s="174">
        <f t="shared" si="434"/>
        <v>0</v>
      </c>
      <c r="D904" s="174">
        <f t="shared" si="435"/>
        <v>0</v>
      </c>
      <c r="E904" s="174">
        <f t="shared" si="436"/>
        <v>0</v>
      </c>
      <c r="F904" s="174">
        <f t="shared" si="437"/>
        <v>0</v>
      </c>
      <c r="G904" s="171">
        <f t="shared" si="438"/>
        <v>0</v>
      </c>
      <c r="H904" s="171">
        <f t="shared" si="439"/>
        <v>141756.65115160472</v>
      </c>
      <c r="I904" s="171">
        <f>IF(B904="Working",MIN(MAX(D904-E904-F904-G904-H904,0),'Tax Assumptions'!$B$20),0)</f>
        <v>0</v>
      </c>
      <c r="J904" s="171">
        <f t="shared" si="440"/>
        <v>-401756.65115160472</v>
      </c>
      <c r="K904" s="174">
        <f t="shared" si="441"/>
        <v>401756.65115160472</v>
      </c>
      <c r="L904" s="174">
        <f t="shared" si="442"/>
        <v>401756.65115160472</v>
      </c>
      <c r="M904" s="174">
        <f t="shared" si="448"/>
        <v>401756.65115160472</v>
      </c>
      <c r="N904" s="174">
        <f t="shared" si="449"/>
        <v>0</v>
      </c>
      <c r="O904" s="174">
        <f t="shared" si="450"/>
        <v>0</v>
      </c>
      <c r="P904" s="174">
        <f t="shared" si="451"/>
        <v>0</v>
      </c>
      <c r="Q904" s="171">
        <f t="shared" si="452"/>
        <v>1874801.0341668881</v>
      </c>
      <c r="R904" s="171">
        <f t="shared" si="453"/>
        <v>1163688.4500003499</v>
      </c>
      <c r="S904" s="171">
        <f t="shared" si="454"/>
        <v>356231.15816337237</v>
      </c>
      <c r="T904" s="171">
        <f t="shared" si="455"/>
        <v>0</v>
      </c>
      <c r="U904" s="171">
        <f t="shared" si="443"/>
        <v>3394720.6423306102</v>
      </c>
      <c r="V904" s="171">
        <f t="shared" si="456"/>
        <v>0</v>
      </c>
      <c r="W904" s="171">
        <f>IF(OR(A904&gt;=$C$13,B904="Retired"),IF(V904&gt;0,-V904,U904-'Model Inputs'!$B$18),"")</f>
        <v>2394720.6423306102</v>
      </c>
      <c r="X904" s="171">
        <f t="shared" si="444"/>
        <v>3238558.7990319561</v>
      </c>
      <c r="Y904" s="171">
        <f t="shared" si="445"/>
        <v>395684.81104011135</v>
      </c>
      <c r="Z904" s="171">
        <f t="shared" si="446"/>
        <v>2842873.9879918448</v>
      </c>
      <c r="AA904" s="175">
        <f t="shared" si="447"/>
        <v>6237594.6303224545</v>
      </c>
      <c r="AB904" s="5"/>
      <c r="AC904" s="5"/>
      <c r="AD904" s="5"/>
      <c r="AE904" s="5"/>
      <c r="AF904" s="5"/>
      <c r="AG904" s="5"/>
    </row>
    <row r="905" spans="1:33" x14ac:dyDescent="0.2">
      <c r="A905" s="169">
        <v>33</v>
      </c>
      <c r="B905" s="100" t="str">
        <f t="shared" si="433"/>
        <v>Retired</v>
      </c>
      <c r="C905" s="170">
        <f t="shared" si="434"/>
        <v>0</v>
      </c>
      <c r="D905" s="170">
        <f t="shared" si="435"/>
        <v>0</v>
      </c>
      <c r="E905" s="170">
        <f t="shared" si="436"/>
        <v>0</v>
      </c>
      <c r="F905" s="170">
        <f t="shared" si="437"/>
        <v>0</v>
      </c>
      <c r="G905" s="171">
        <f t="shared" si="438"/>
        <v>0</v>
      </c>
      <c r="H905" s="171">
        <f t="shared" si="439"/>
        <v>143894.09995896585</v>
      </c>
      <c r="I905" s="171">
        <f>IF(B905="Working",MIN(MAX(D905-E905-F905-G905-H905,0),'Tax Assumptions'!$B$20),0)</f>
        <v>0</v>
      </c>
      <c r="J905" s="171">
        <f t="shared" si="440"/>
        <v>-403894.09995896585</v>
      </c>
      <c r="K905" s="170">
        <f t="shared" si="441"/>
        <v>403894.09995896585</v>
      </c>
      <c r="L905" s="170">
        <f t="shared" si="442"/>
        <v>403894.09995896585</v>
      </c>
      <c r="M905" s="170">
        <f t="shared" si="448"/>
        <v>403894.09995896585</v>
      </c>
      <c r="N905" s="170">
        <f t="shared" si="449"/>
        <v>0</v>
      </c>
      <c r="O905" s="170">
        <f t="shared" si="450"/>
        <v>0</v>
      </c>
      <c r="P905" s="170">
        <f t="shared" si="451"/>
        <v>0</v>
      </c>
      <c r="Q905" s="171">
        <f t="shared" si="452"/>
        <v>1583394.9962579357</v>
      </c>
      <c r="R905" s="171">
        <f t="shared" si="453"/>
        <v>1233509.7570003709</v>
      </c>
      <c r="S905" s="171">
        <f t="shared" si="454"/>
        <v>377605.02765317471</v>
      </c>
      <c r="T905" s="171">
        <f t="shared" si="455"/>
        <v>0</v>
      </c>
      <c r="U905" s="171">
        <f t="shared" si="443"/>
        <v>3194509.780911481</v>
      </c>
      <c r="V905" s="171">
        <f t="shared" si="456"/>
        <v>0</v>
      </c>
      <c r="W905" s="171">
        <f>IF(OR(A905&gt;=$C$13,B905="Retired"),IF(V905&gt;0,-V905,U905-'Model Inputs'!$B$18),"")</f>
        <v>2194509.780911481</v>
      </c>
      <c r="X905" s="171">
        <f t="shared" si="444"/>
        <v>3335715.5630029151</v>
      </c>
      <c r="Y905" s="171">
        <f t="shared" si="445"/>
        <v>349537.24351682514</v>
      </c>
      <c r="Z905" s="171">
        <f t="shared" si="446"/>
        <v>2986178.31948609</v>
      </c>
      <c r="AA905" s="172">
        <f t="shared" si="447"/>
        <v>6180688.100397571</v>
      </c>
      <c r="AB905" s="5"/>
      <c r="AC905" s="5"/>
      <c r="AD905" s="5"/>
      <c r="AE905" s="5"/>
      <c r="AF905" s="5"/>
      <c r="AG905" s="5"/>
    </row>
    <row r="906" spans="1:33" x14ac:dyDescent="0.2">
      <c r="A906" s="173">
        <v>34</v>
      </c>
      <c r="B906" s="65" t="str">
        <f t="shared" si="433"/>
        <v>Retired</v>
      </c>
      <c r="C906" s="174">
        <f t="shared" si="434"/>
        <v>0</v>
      </c>
      <c r="D906" s="174">
        <f t="shared" si="435"/>
        <v>0</v>
      </c>
      <c r="E906" s="174">
        <f t="shared" si="436"/>
        <v>0</v>
      </c>
      <c r="F906" s="174">
        <f t="shared" si="437"/>
        <v>0</v>
      </c>
      <c r="G906" s="171">
        <f t="shared" si="438"/>
        <v>0</v>
      </c>
      <c r="H906" s="171">
        <f t="shared" si="439"/>
        <v>146095.67223054776</v>
      </c>
      <c r="I906" s="171">
        <f>IF(B906="Working",MIN(MAX(D906-E906-F906-G906-H906,0),'Tax Assumptions'!$B$20),0)</f>
        <v>0</v>
      </c>
      <c r="J906" s="171">
        <f t="shared" si="440"/>
        <v>-406095.67223054776</v>
      </c>
      <c r="K906" s="174">
        <f t="shared" si="441"/>
        <v>406095.67223054776</v>
      </c>
      <c r="L906" s="174">
        <f t="shared" si="442"/>
        <v>406095.67223054776</v>
      </c>
      <c r="M906" s="174">
        <f t="shared" si="448"/>
        <v>406095.67223054776</v>
      </c>
      <c r="N906" s="174">
        <f t="shared" si="449"/>
        <v>0</v>
      </c>
      <c r="O906" s="174">
        <f t="shared" si="450"/>
        <v>0</v>
      </c>
      <c r="P906" s="174">
        <f t="shared" si="451"/>
        <v>0</v>
      </c>
      <c r="Q906" s="171">
        <f t="shared" si="452"/>
        <v>1272303.0238028641</v>
      </c>
      <c r="R906" s="171">
        <f t="shared" si="453"/>
        <v>1307520.3424203931</v>
      </c>
      <c r="S906" s="171">
        <f t="shared" si="454"/>
        <v>400261.32931236521</v>
      </c>
      <c r="T906" s="171">
        <f t="shared" si="455"/>
        <v>0</v>
      </c>
      <c r="U906" s="171">
        <f t="shared" si="443"/>
        <v>2980084.6955356221</v>
      </c>
      <c r="V906" s="171">
        <f t="shared" si="456"/>
        <v>0</v>
      </c>
      <c r="W906" s="171">
        <f>IF(OR(A906&gt;=$C$13,B906="Retired"),IF(V906&gt;0,-V906,U906-'Model Inputs'!$B$18),"")</f>
        <v>1980084.6955356221</v>
      </c>
      <c r="X906" s="171">
        <f t="shared" si="444"/>
        <v>3435787.029893002</v>
      </c>
      <c r="Y906" s="171">
        <f t="shared" si="445"/>
        <v>300299.0879310919</v>
      </c>
      <c r="Z906" s="171">
        <f t="shared" si="446"/>
        <v>3135487.9419619101</v>
      </c>
      <c r="AA906" s="175">
        <f t="shared" si="447"/>
        <v>6115572.6374975322</v>
      </c>
      <c r="AB906" s="5"/>
      <c r="AC906" s="5"/>
      <c r="AD906" s="5"/>
      <c r="AE906" s="5"/>
      <c r="AF906" s="5"/>
      <c r="AG906" s="5"/>
    </row>
    <row r="907" spans="1:33" x14ac:dyDescent="0.2">
      <c r="A907" s="169">
        <v>35</v>
      </c>
      <c r="B907" s="100" t="str">
        <f t="shared" si="433"/>
        <v>Retired</v>
      </c>
      <c r="C907" s="170">
        <f t="shared" si="434"/>
        <v>0</v>
      </c>
      <c r="D907" s="170">
        <f t="shared" si="435"/>
        <v>0</v>
      </c>
      <c r="E907" s="170">
        <f t="shared" si="436"/>
        <v>0</v>
      </c>
      <c r="F907" s="170">
        <f t="shared" si="437"/>
        <v>0</v>
      </c>
      <c r="G907" s="171">
        <f t="shared" si="438"/>
        <v>0</v>
      </c>
      <c r="H907" s="171">
        <f t="shared" si="439"/>
        <v>148363.29167027713</v>
      </c>
      <c r="I907" s="171">
        <f>IF(B907="Working",MIN(MAX(D907-E907-F907-G907-H907,0),'Tax Assumptions'!$B$20),0)</f>
        <v>0</v>
      </c>
      <c r="J907" s="171">
        <f t="shared" si="440"/>
        <v>-408363.29167027713</v>
      </c>
      <c r="K907" s="170">
        <f t="shared" si="441"/>
        <v>408363.29167027713</v>
      </c>
      <c r="L907" s="170">
        <f t="shared" si="442"/>
        <v>408363.29167027713</v>
      </c>
      <c r="M907" s="170">
        <f t="shared" si="448"/>
        <v>408363.29167027713</v>
      </c>
      <c r="N907" s="170">
        <f t="shared" si="449"/>
        <v>0</v>
      </c>
      <c r="O907" s="170">
        <f t="shared" si="450"/>
        <v>0</v>
      </c>
      <c r="P907" s="170">
        <f t="shared" si="451"/>
        <v>0</v>
      </c>
      <c r="Q907" s="171">
        <f t="shared" si="452"/>
        <v>940277.91356075893</v>
      </c>
      <c r="R907" s="171">
        <f t="shared" si="453"/>
        <v>1385971.5629656168</v>
      </c>
      <c r="S907" s="171">
        <f t="shared" si="454"/>
        <v>424277.00907110714</v>
      </c>
      <c r="T907" s="171">
        <f t="shared" si="455"/>
        <v>0</v>
      </c>
      <c r="U907" s="171">
        <f t="shared" si="443"/>
        <v>2750526.4855974829</v>
      </c>
      <c r="V907" s="171">
        <f t="shared" si="456"/>
        <v>0</v>
      </c>
      <c r="W907" s="171">
        <f>IF(OR(A907&gt;=$C$13,B907="Retired"),IF(V907&gt;0,-V907,U907-'Model Inputs'!$B$18),"")</f>
        <v>1750526.4855974829</v>
      </c>
      <c r="X907" s="171">
        <f t="shared" si="444"/>
        <v>3538860.6407897919</v>
      </c>
      <c r="Y907" s="171">
        <f t="shared" si="445"/>
        <v>247763.36187659204</v>
      </c>
      <c r="Z907" s="171">
        <f t="shared" si="446"/>
        <v>3291097.2789131999</v>
      </c>
      <c r="AA907" s="172">
        <f t="shared" si="447"/>
        <v>6041623.7645106828</v>
      </c>
      <c r="AB907" s="5"/>
      <c r="AC907" s="5"/>
      <c r="AD907" s="5"/>
      <c r="AE907" s="5"/>
      <c r="AF907" s="5"/>
      <c r="AG907" s="5"/>
    </row>
    <row r="908" spans="1:33" x14ac:dyDescent="0.2">
      <c r="A908" s="173">
        <v>36</v>
      </c>
      <c r="B908" s="65" t="str">
        <f t="shared" si="433"/>
        <v>Retired</v>
      </c>
      <c r="C908" s="174">
        <f t="shared" si="434"/>
        <v>0</v>
      </c>
      <c r="D908" s="174">
        <f t="shared" si="435"/>
        <v>0</v>
      </c>
      <c r="E908" s="174">
        <f t="shared" si="436"/>
        <v>0</v>
      </c>
      <c r="F908" s="174">
        <f t="shared" si="437"/>
        <v>0</v>
      </c>
      <c r="G908" s="171">
        <f t="shared" si="438"/>
        <v>0</v>
      </c>
      <c r="H908" s="171">
        <f t="shared" si="439"/>
        <v>150698.93969319839</v>
      </c>
      <c r="I908" s="171">
        <f>IF(B908="Working",MIN(MAX(D908-E908-F908-G908-H908,0),'Tax Assumptions'!$B$20),0)</f>
        <v>0</v>
      </c>
      <c r="J908" s="171">
        <f t="shared" si="440"/>
        <v>-410698.93969319842</v>
      </c>
      <c r="K908" s="174">
        <f t="shared" si="441"/>
        <v>410698.93969319842</v>
      </c>
      <c r="L908" s="174">
        <f t="shared" si="442"/>
        <v>410698.93969319842</v>
      </c>
      <c r="M908" s="174">
        <f t="shared" si="448"/>
        <v>410698.93969319842</v>
      </c>
      <c r="N908" s="174">
        <f t="shared" si="449"/>
        <v>0</v>
      </c>
      <c r="O908" s="174">
        <f t="shared" si="450"/>
        <v>0</v>
      </c>
      <c r="P908" s="174">
        <f t="shared" si="451"/>
        <v>0</v>
      </c>
      <c r="Q908" s="171">
        <f t="shared" si="452"/>
        <v>585995.64868120605</v>
      </c>
      <c r="R908" s="171">
        <f t="shared" si="453"/>
        <v>1469129.8567435539</v>
      </c>
      <c r="S908" s="171">
        <f t="shared" si="454"/>
        <v>449733.62961537362</v>
      </c>
      <c r="T908" s="171">
        <f t="shared" si="455"/>
        <v>0</v>
      </c>
      <c r="U908" s="171">
        <f t="shared" si="443"/>
        <v>2504859.1350401333</v>
      </c>
      <c r="V908" s="171">
        <f t="shared" si="456"/>
        <v>0</v>
      </c>
      <c r="W908" s="171">
        <f>IF(OR(A908&gt;=$C$13,B908="Retired"),IF(V908&gt;0,-V908,U908-'Model Inputs'!$B$18),"")</f>
        <v>1504859.1350401333</v>
      </c>
      <c r="X908" s="171">
        <f t="shared" si="444"/>
        <v>3645026.4600134864</v>
      </c>
      <c r="Y908" s="171">
        <f t="shared" si="445"/>
        <v>191709.2209519241</v>
      </c>
      <c r="Z908" s="171">
        <f t="shared" si="446"/>
        <v>3453317.2390615623</v>
      </c>
      <c r="AA908" s="175">
        <f t="shared" si="447"/>
        <v>5958176.3741016956</v>
      </c>
      <c r="AB908" s="5"/>
      <c r="AC908" s="5"/>
      <c r="AD908" s="5"/>
      <c r="AE908" s="5"/>
      <c r="AF908" s="5"/>
      <c r="AG908" s="5"/>
    </row>
    <row r="909" spans="1:33" x14ac:dyDescent="0.2">
      <c r="A909" s="169">
        <v>37</v>
      </c>
      <c r="B909" s="100" t="str">
        <f t="shared" si="433"/>
        <v>Retired</v>
      </c>
      <c r="C909" s="170">
        <f t="shared" si="434"/>
        <v>0</v>
      </c>
      <c r="D909" s="170">
        <f t="shared" si="435"/>
        <v>0</v>
      </c>
      <c r="E909" s="170">
        <f t="shared" si="436"/>
        <v>0</v>
      </c>
      <c r="F909" s="170">
        <f t="shared" si="437"/>
        <v>0</v>
      </c>
      <c r="G909" s="171">
        <f t="shared" si="438"/>
        <v>0</v>
      </c>
      <c r="H909" s="171">
        <f t="shared" si="439"/>
        <v>153104.65715680731</v>
      </c>
      <c r="I909" s="171">
        <f>IF(B909="Working",MIN(MAX(D909-E909-F909-G909-H909,0),'Tax Assumptions'!$B$20),0)</f>
        <v>0</v>
      </c>
      <c r="J909" s="171">
        <f t="shared" si="440"/>
        <v>-413104.65715680731</v>
      </c>
      <c r="K909" s="170">
        <f t="shared" si="441"/>
        <v>413104.65715680731</v>
      </c>
      <c r="L909" s="170">
        <f t="shared" si="442"/>
        <v>413104.65715680731</v>
      </c>
      <c r="M909" s="170">
        <f t="shared" si="448"/>
        <v>413104.65715680731</v>
      </c>
      <c r="N909" s="170">
        <f t="shared" si="449"/>
        <v>0</v>
      </c>
      <c r="O909" s="170">
        <f t="shared" si="450"/>
        <v>0</v>
      </c>
      <c r="P909" s="170">
        <f t="shared" si="451"/>
        <v>0</v>
      </c>
      <c r="Q909" s="171">
        <f t="shared" si="452"/>
        <v>208050.73044527118</v>
      </c>
      <c r="R909" s="171">
        <f t="shared" si="453"/>
        <v>1557277.6481481672</v>
      </c>
      <c r="S909" s="171">
        <f t="shared" si="454"/>
        <v>476717.64739229606</v>
      </c>
      <c r="T909" s="171">
        <f t="shared" si="455"/>
        <v>0</v>
      </c>
      <c r="U909" s="171">
        <f t="shared" si="443"/>
        <v>2242046.0259857345</v>
      </c>
      <c r="V909" s="171">
        <f t="shared" si="456"/>
        <v>0</v>
      </c>
      <c r="W909" s="171">
        <f>IF(OR(A909&gt;=$C$13,B909="Retired"),IF(V909&gt;0,-V909,U909-'Model Inputs'!$B$18),"")</f>
        <v>1242046.0259857345</v>
      </c>
      <c r="X909" s="171">
        <f t="shared" si="444"/>
        <v>3754377.2538138907</v>
      </c>
      <c r="Y909" s="171">
        <f t="shared" si="445"/>
        <v>131901.03039712086</v>
      </c>
      <c r="Z909" s="171">
        <f t="shared" si="446"/>
        <v>3622476.2234167699</v>
      </c>
      <c r="AA909" s="172">
        <f t="shared" si="447"/>
        <v>5864522.2494025044</v>
      </c>
      <c r="AB909" s="5"/>
      <c r="AC909" s="5"/>
      <c r="AD909" s="5"/>
      <c r="AE909" s="5"/>
      <c r="AF909" s="5"/>
      <c r="AG909" s="5"/>
    </row>
    <row r="910" spans="1:33" x14ac:dyDescent="0.2">
      <c r="A910" s="173">
        <v>38</v>
      </c>
      <c r="B910" s="65" t="str">
        <f t="shared" si="433"/>
        <v>Retired</v>
      </c>
      <c r="C910" s="174">
        <f t="shared" si="434"/>
        <v>0</v>
      </c>
      <c r="D910" s="174">
        <f t="shared" si="435"/>
        <v>0</v>
      </c>
      <c r="E910" s="174">
        <f t="shared" si="436"/>
        <v>0</v>
      </c>
      <c r="F910" s="174">
        <f t="shared" si="437"/>
        <v>0</v>
      </c>
      <c r="G910" s="171">
        <f t="shared" si="438"/>
        <v>0</v>
      </c>
      <c r="H910" s="171">
        <f t="shared" si="439"/>
        <v>155582.54614432447</v>
      </c>
      <c r="I910" s="171">
        <f>IF(B910="Working",MIN(MAX(D910-E910-F910-G910-H910,0),'Tax Assumptions'!$B$20),0)</f>
        <v>0</v>
      </c>
      <c r="J910" s="171">
        <f t="shared" si="440"/>
        <v>-415582.54614432447</v>
      </c>
      <c r="K910" s="174">
        <f t="shared" si="441"/>
        <v>415582.54614432447</v>
      </c>
      <c r="L910" s="174">
        <f t="shared" si="442"/>
        <v>415582.54614432447</v>
      </c>
      <c r="M910" s="174">
        <f t="shared" si="448"/>
        <v>220533.77427198747</v>
      </c>
      <c r="N910" s="174">
        <f t="shared" si="449"/>
        <v>195048.77187233701</v>
      </c>
      <c r="O910" s="174">
        <f t="shared" si="450"/>
        <v>0</v>
      </c>
      <c r="P910" s="174">
        <f t="shared" si="451"/>
        <v>0</v>
      </c>
      <c r="Q910" s="171">
        <f t="shared" si="452"/>
        <v>0</v>
      </c>
      <c r="R910" s="171">
        <f t="shared" si="453"/>
        <v>1455665.5351647204</v>
      </c>
      <c r="S910" s="171">
        <f t="shared" si="454"/>
        <v>505320.70623583387</v>
      </c>
      <c r="T910" s="171">
        <f t="shared" si="455"/>
        <v>0</v>
      </c>
      <c r="U910" s="171">
        <f t="shared" si="443"/>
        <v>1960986.2414005543</v>
      </c>
      <c r="V910" s="171">
        <f t="shared" si="456"/>
        <v>0</v>
      </c>
      <c r="W910" s="171">
        <f>IF(OR(A910&gt;=$C$13,B910="Retired"),IF(V910&gt;0,-V910,U910-'Model Inputs'!$B$18),"")</f>
        <v>960986.24140055431</v>
      </c>
      <c r="X910" s="171">
        <f t="shared" si="444"/>
        <v>3867008.5714283073</v>
      </c>
      <c r="Y910" s="171">
        <f t="shared" si="445"/>
        <v>68087.374555938877</v>
      </c>
      <c r="Z910" s="171">
        <f t="shared" si="446"/>
        <v>3798921.1968723685</v>
      </c>
      <c r="AA910" s="175">
        <f t="shared" si="447"/>
        <v>5759907.4382729232</v>
      </c>
      <c r="AB910" s="5"/>
      <c r="AC910" s="5"/>
      <c r="AD910" s="5"/>
      <c r="AE910" s="5"/>
      <c r="AF910" s="5"/>
      <c r="AG910" s="5"/>
    </row>
    <row r="911" spans="1:33" x14ac:dyDescent="0.2">
      <c r="A911" s="169">
        <v>39</v>
      </c>
      <c r="B911" s="100" t="str">
        <f t="shared" si="433"/>
        <v>Retired</v>
      </c>
      <c r="C911" s="170">
        <f t="shared" si="434"/>
        <v>0</v>
      </c>
      <c r="D911" s="170">
        <f t="shared" si="435"/>
        <v>0</v>
      </c>
      <c r="E911" s="170">
        <f t="shared" si="436"/>
        <v>0</v>
      </c>
      <c r="F911" s="170">
        <f t="shared" si="437"/>
        <v>0</v>
      </c>
      <c r="G911" s="171">
        <f t="shared" si="438"/>
        <v>0</v>
      </c>
      <c r="H911" s="171">
        <f t="shared" si="439"/>
        <v>158134.77180146711</v>
      </c>
      <c r="I911" s="171">
        <f>IF(B911="Working",MIN(MAX(D911-E911-F911-G911-H911,0),'Tax Assumptions'!$B$20),0)</f>
        <v>0</v>
      </c>
      <c r="J911" s="171">
        <f t="shared" si="440"/>
        <v>-418134.77180146711</v>
      </c>
      <c r="K911" s="170">
        <f t="shared" si="441"/>
        <v>418134.77180146711</v>
      </c>
      <c r="L911" s="170">
        <f t="shared" si="442"/>
        <v>418134.77180146711</v>
      </c>
      <c r="M911" s="170">
        <f t="shared" si="448"/>
        <v>0</v>
      </c>
      <c r="N911" s="170">
        <f t="shared" si="449"/>
        <v>418134.77180146711</v>
      </c>
      <c r="O911" s="170">
        <f t="shared" si="450"/>
        <v>0</v>
      </c>
      <c r="P911" s="170">
        <f t="shared" si="451"/>
        <v>0</v>
      </c>
      <c r="Q911" s="171">
        <f t="shared" si="452"/>
        <v>0</v>
      </c>
      <c r="R911" s="171">
        <f t="shared" si="453"/>
        <v>1124870.6954731366</v>
      </c>
      <c r="S911" s="171">
        <f t="shared" si="454"/>
        <v>535639.9486099839</v>
      </c>
      <c r="T911" s="171">
        <f t="shared" si="455"/>
        <v>0</v>
      </c>
      <c r="U911" s="171">
        <f t="shared" si="443"/>
        <v>1660510.6440831204</v>
      </c>
      <c r="V911" s="171">
        <f t="shared" si="456"/>
        <v>0</v>
      </c>
      <c r="W911" s="171">
        <f>IF(OR(A911&gt;=$C$13,B911="Retired"),IF(V911&gt;0,-V911,U911-'Model Inputs'!$B$18),"")</f>
        <v>660510.64408312039</v>
      </c>
      <c r="X911" s="171">
        <f t="shared" si="444"/>
        <v>3983018.8285711561</v>
      </c>
      <c r="Y911" s="171">
        <f t="shared" si="445"/>
        <v>0</v>
      </c>
      <c r="Z911" s="171">
        <f t="shared" si="446"/>
        <v>3983018.8285711561</v>
      </c>
      <c r="AA911" s="172">
        <f t="shared" si="447"/>
        <v>5643529.4726542765</v>
      </c>
      <c r="AB911" s="5"/>
      <c r="AC911" s="5"/>
      <c r="AD911" s="5"/>
      <c r="AE911" s="5"/>
      <c r="AF911" s="5"/>
      <c r="AG911" s="5"/>
    </row>
    <row r="912" spans="1:33" x14ac:dyDescent="0.2">
      <c r="A912" s="173">
        <v>40</v>
      </c>
      <c r="B912" s="65" t="str">
        <f t="shared" si="433"/>
        <v>Retired</v>
      </c>
      <c r="C912" s="174">
        <f t="shared" si="434"/>
        <v>0</v>
      </c>
      <c r="D912" s="174">
        <f t="shared" si="435"/>
        <v>0</v>
      </c>
      <c r="E912" s="174">
        <f t="shared" si="436"/>
        <v>0</v>
      </c>
      <c r="F912" s="174">
        <f t="shared" si="437"/>
        <v>0</v>
      </c>
      <c r="G912" s="171">
        <f t="shared" si="438"/>
        <v>0</v>
      </c>
      <c r="H912" s="171">
        <f t="shared" si="439"/>
        <v>90255.206655422386</v>
      </c>
      <c r="I912" s="171">
        <f>IF(B912="Working",MIN(MAX(D912-E912-F912-G912-H912,0),'Tax Assumptions'!$B$20),0)</f>
        <v>0</v>
      </c>
      <c r="J912" s="171">
        <f t="shared" si="440"/>
        <v>-350255.2066554224</v>
      </c>
      <c r="K912" s="174">
        <f t="shared" si="441"/>
        <v>350255.2066554224</v>
      </c>
      <c r="L912" s="174">
        <f t="shared" si="442"/>
        <v>350255.2066554224</v>
      </c>
      <c r="M912" s="174">
        <f t="shared" si="448"/>
        <v>0</v>
      </c>
      <c r="N912" s="174">
        <f t="shared" si="449"/>
        <v>350255.2066554224</v>
      </c>
      <c r="O912" s="174">
        <f t="shared" si="450"/>
        <v>0</v>
      </c>
      <c r="P912" s="174">
        <f t="shared" si="451"/>
        <v>0</v>
      </c>
      <c r="Q912" s="171">
        <f t="shared" si="452"/>
        <v>0</v>
      </c>
      <c r="R912" s="171">
        <f t="shared" si="453"/>
        <v>842107.73054610239</v>
      </c>
      <c r="S912" s="171">
        <f t="shared" si="454"/>
        <v>567778.34552658291</v>
      </c>
      <c r="T912" s="171">
        <f t="shared" si="455"/>
        <v>0</v>
      </c>
      <c r="U912" s="171">
        <f t="shared" si="443"/>
        <v>1409886.0760726854</v>
      </c>
      <c r="V912" s="171">
        <f t="shared" si="456"/>
        <v>0</v>
      </c>
      <c r="W912" s="171">
        <f>IF(OR(A912&gt;=$C$13,B912="Retired"),IF(V912&gt;0,-V912,U912-'Model Inputs'!$B$18),"")</f>
        <v>409886.07607268542</v>
      </c>
      <c r="X912" s="171">
        <f t="shared" si="444"/>
        <v>4102509.3934282907</v>
      </c>
      <c r="Y912" s="171">
        <f t="shared" si="445"/>
        <v>0</v>
      </c>
      <c r="Z912" s="171">
        <f t="shared" si="446"/>
        <v>4102509.3934282907</v>
      </c>
      <c r="AA912" s="175">
        <f t="shared" si="447"/>
        <v>5512395.4695009757</v>
      </c>
      <c r="AB912" s="5"/>
      <c r="AC912" s="5"/>
      <c r="AD912" s="5"/>
      <c r="AE912" s="5"/>
      <c r="AF912" s="5"/>
      <c r="AG912" s="5"/>
    </row>
    <row r="913" spans="1:33" x14ac:dyDescent="0.2">
      <c r="A913" s="176" t="s">
        <v>369</v>
      </c>
      <c r="B913" s="177"/>
      <c r="C913" s="177"/>
      <c r="D913" s="177"/>
      <c r="E913" s="177"/>
      <c r="F913" s="177"/>
      <c r="G913" s="178">
        <f t="shared" ref="G913:P913" si="457">SUM(G873:G912)</f>
        <v>802835.28666899295</v>
      </c>
      <c r="H913" s="178">
        <f t="shared" si="457"/>
        <v>3974547.8183763544</v>
      </c>
      <c r="I913" s="178">
        <f t="shared" si="457"/>
        <v>75000</v>
      </c>
      <c r="J913" s="178">
        <f t="shared" si="457"/>
        <v>-7729790.8650048217</v>
      </c>
      <c r="K913" s="178">
        <f t="shared" si="457"/>
        <v>11666855.510684047</v>
      </c>
      <c r="L913" s="178">
        <f t="shared" si="457"/>
        <v>11666855.510684047</v>
      </c>
      <c r="M913" s="178">
        <f t="shared" si="457"/>
        <v>10703416.760354819</v>
      </c>
      <c r="N913" s="178">
        <f t="shared" si="457"/>
        <v>963438.75032922649</v>
      </c>
      <c r="O913" s="178">
        <f t="shared" si="457"/>
        <v>0</v>
      </c>
      <c r="P913" s="178">
        <f t="shared" si="457"/>
        <v>0</v>
      </c>
      <c r="Q913" s="178">
        <f>Q912</f>
        <v>0</v>
      </c>
      <c r="R913" s="178">
        <f>R912</f>
        <v>842107.73054610239</v>
      </c>
      <c r="S913" s="178">
        <f>S912</f>
        <v>567778.34552658291</v>
      </c>
      <c r="T913" s="178">
        <f>T912</f>
        <v>0</v>
      </c>
      <c r="U913" s="178">
        <f>U912</f>
        <v>1409886.0760726854</v>
      </c>
      <c r="V913" s="178">
        <f>SUM(V873:V912)</f>
        <v>0</v>
      </c>
      <c r="W913" s="178">
        <f>MIN(W873:W912)</f>
        <v>409886.07607268542</v>
      </c>
      <c r="X913" s="178">
        <f>X912</f>
        <v>4102509.3934282907</v>
      </c>
      <c r="Y913" s="178">
        <f>Y912</f>
        <v>0</v>
      </c>
      <c r="Z913" s="178">
        <f>Z912</f>
        <v>4102509.3934282907</v>
      </c>
      <c r="AA913" s="179">
        <f>AA912</f>
        <v>5512395.4695009757</v>
      </c>
      <c r="AB913" s="5"/>
      <c r="AC913" s="5"/>
      <c r="AD913" s="5"/>
      <c r="AE913" s="5"/>
      <c r="AF913" s="5"/>
      <c r="AG913" s="5"/>
    </row>
    <row r="914" spans="1:33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x14ac:dyDescent="0.2">
      <c r="A915" s="319" t="str">
        <f>J242&amp;" | House "&amp;TEXT($L$242,"$#,##0")&amp;" | Spend "&amp;TEXT($N$242,"$#,##0")</f>
        <v>Case 16 | House $2,028,215 | Spend $140,000</v>
      </c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9"/>
      <c r="AB915" s="5"/>
      <c r="AC915" s="5"/>
      <c r="AD915" s="5"/>
      <c r="AE915" s="5"/>
      <c r="AF915" s="5"/>
      <c r="AG915" s="5"/>
    </row>
    <row r="916" spans="1:33" ht="34" customHeight="1" x14ac:dyDescent="0.2">
      <c r="A916" s="167" t="s">
        <v>224</v>
      </c>
      <c r="B916" s="112" t="s">
        <v>106</v>
      </c>
      <c r="C916" s="112" t="s">
        <v>357</v>
      </c>
      <c r="D916" s="112" t="s">
        <v>66</v>
      </c>
      <c r="E916" s="112" t="s">
        <v>300</v>
      </c>
      <c r="F916" s="112" t="s">
        <v>301</v>
      </c>
      <c r="G916" s="112" t="s">
        <v>358</v>
      </c>
      <c r="H916" s="112" t="s">
        <v>359</v>
      </c>
      <c r="I916" s="112" t="s">
        <v>69</v>
      </c>
      <c r="J916" s="112" t="s">
        <v>360</v>
      </c>
      <c r="K916" s="112" t="s">
        <v>361</v>
      </c>
      <c r="L916" s="112" t="s">
        <v>362</v>
      </c>
      <c r="M916" s="112" t="s">
        <v>304</v>
      </c>
      <c r="N916" s="112" t="s">
        <v>305</v>
      </c>
      <c r="O916" s="112" t="s">
        <v>306</v>
      </c>
      <c r="P916" s="112" t="s">
        <v>307</v>
      </c>
      <c r="Q916" s="112" t="s">
        <v>363</v>
      </c>
      <c r="R916" s="112" t="s">
        <v>364</v>
      </c>
      <c r="S916" s="112" t="s">
        <v>365</v>
      </c>
      <c r="T916" s="112" t="s">
        <v>366</v>
      </c>
      <c r="U916" s="112" t="s">
        <v>308</v>
      </c>
      <c r="V916" s="112" t="s">
        <v>309</v>
      </c>
      <c r="W916" s="112" t="s">
        <v>367</v>
      </c>
      <c r="X916" s="112" t="s">
        <v>311</v>
      </c>
      <c r="Y916" s="112" t="s">
        <v>312</v>
      </c>
      <c r="Z916" s="112" t="s">
        <v>313</v>
      </c>
      <c r="AA916" s="168" t="s">
        <v>368</v>
      </c>
      <c r="AB916" s="5"/>
      <c r="AC916" s="5"/>
      <c r="AD916" s="5"/>
      <c r="AE916" s="5"/>
      <c r="AF916" s="5"/>
      <c r="AG916" s="5"/>
    </row>
    <row r="917" spans="1:33" x14ac:dyDescent="0.2">
      <c r="A917" s="169">
        <v>1</v>
      </c>
      <c r="B917" s="100" t="str">
        <f t="shared" ref="B917:B956" si="458">B80</f>
        <v>Working</v>
      </c>
      <c r="C917" s="170">
        <f t="shared" ref="C917:C956" si="459">D80</f>
        <v>550000</v>
      </c>
      <c r="D917" s="170">
        <f t="shared" ref="D917:D956" si="460">I80</f>
        <v>302665.46999999997</v>
      </c>
      <c r="E917" s="170">
        <f t="shared" ref="E917:E956" si="461">J80</f>
        <v>78000</v>
      </c>
      <c r="F917" s="170">
        <f t="shared" ref="F917:F956" si="462">K80</f>
        <v>40000</v>
      </c>
      <c r="G917" s="171">
        <f t="shared" ref="G917:G956" si="463">IF(AND($L$242&gt;0,A917=$C$13),$L$242*($C$15+$C$18),0)+IF(AND($L$242&gt;0,A917=$C$13),$C$24,0)</f>
        <v>0</v>
      </c>
      <c r="H917" s="171">
        <f t="shared" ref="H917:H956" si="464">IF(OR($L$242&lt;=0,A917&lt;$C$13),0,IF(AND($L$242&gt;0,$C$17&gt;0,A917&gt;=$C$13,A917&lt;($C$13+$C$17)),IF($C$17&lt;=0,0,IF($C$16=0,MAX($L$242*(1-$C$15),0)/$C$17,-PMT($C$16/12,$C$17*12,MAX($L$242*(1-$C$15),0))*12)),0)+X917*($C$19+$C$20+$C$21)+$C$22+$C$23)</f>
        <v>0</v>
      </c>
      <c r="I917" s="171">
        <f>IF(B917="Working",MIN(MAX(D917-E917-F917-G917-H917,0),'Tax Assumptions'!$B$20),0)</f>
        <v>7500</v>
      </c>
      <c r="J917" s="171">
        <f t="shared" ref="J917:J956" si="465">IF(B917="Working",D917-E917-F917-I917-G917-H917,-L917)</f>
        <v>177165.46999999997</v>
      </c>
      <c r="K917" s="170">
        <f t="shared" ref="K917:K956" si="466">IF(B917="Retired",$N$242+G917+H917,0)</f>
        <v>0</v>
      </c>
      <c r="L917" s="170">
        <f t="shared" ref="L917:L956" si="467">M917+N917+O917+P917</f>
        <v>0</v>
      </c>
      <c r="M917" s="170">
        <f>IF(B917="Retired",MIN((('Savings Projection'!$B$7)*(1+$C$10)+IF(B917="Working",J917,0)),K917),0)</f>
        <v>0</v>
      </c>
      <c r="N917" s="170">
        <f>IF(B917="Retired",MIN(MAX(K917-M917,0),(('Savings Projection'!$B$8)*(1+$C$10)+IF(B917="Working",E80,0))),0)</f>
        <v>0</v>
      </c>
      <c r="O917" s="170">
        <f>IF(B917="Retired",MIN(MAX(K917-M917-N917,0),(('Savings Projection'!$B$9)*(1+$C$10)+IF(B917="Working",I917,0))),0)</f>
        <v>0</v>
      </c>
      <c r="P917" s="170">
        <f>IF(B917="Retired",MIN(MAX(K917-M917-N917-O917,0),(('Savings Projection'!$B$10)*(1+$C$10)+IF(B917="Working",F80,0))),0)</f>
        <v>0</v>
      </c>
      <c r="Q917" s="171">
        <f>MAX((('Savings Projection'!$B$7)*(1+$C$10)+IF(B917="Working",J917,0))-M917,0)</f>
        <v>336165.47</v>
      </c>
      <c r="R917" s="171">
        <f>MAX((('Savings Projection'!$B$8)*(1+$C$10)+IF(B917="Working",E80,0))-N917,0)</f>
        <v>24500</v>
      </c>
      <c r="S917" s="171">
        <f>MAX((('Savings Projection'!$B$9)*(1+$C$10)+IF(B917="Working",I917,0))-O917,0)</f>
        <v>7500</v>
      </c>
      <c r="T917" s="171">
        <f>MAX((('Savings Projection'!$B$10)*(1+$C$10)+IF(B917="Working",F80,0))-P917,0)</f>
        <v>0</v>
      </c>
      <c r="U917" s="171">
        <f t="shared" ref="U917:U956" si="468">Q917+R917+S917+T917</f>
        <v>368165.47</v>
      </c>
      <c r="V917" s="171">
        <f>IF(B917="Working",MAX(-((('Savings Projection'!$B$7)*(1+$C$10)+IF(B917="Working",J917,0))),0),MAX(K917-L917,0))</f>
        <v>0</v>
      </c>
      <c r="W917" s="171" t="str">
        <f>IF(OR(A917&gt;=$C$13,B917="Retired"),IF(V917&gt;0,-V917,U917-'Model Inputs'!$B$18),"")</f>
        <v/>
      </c>
      <c r="X917" s="171">
        <f t="shared" ref="X917:X956" si="469">IF(AND($L$242&gt;0,A917&gt;=$C$13),$L$242*(1+$C$25)^(A917-$C$13),0)</f>
        <v>0</v>
      </c>
      <c r="Y917" s="171">
        <f t="shared" ref="Y917:Y956" si="470">IF(OR($L$242&lt;=0,$C$17&lt;=0,A917&lt;$C$13,MIN(MAX((A917-$C$13+1)*12,0),$C$17*12)&gt;=$C$17*12),0,IF($C$16=0,MAX(MAX($L$242*(1-$C$15),0)-(IF($C$17&lt;=0,0,IF($C$16=0,MAX($L$242*(1-$C$15),0)/$C$17,-PMT($C$16/12,$C$17*12,MAX($L$242*(1-$C$15),0))*12))/12)*MIN(MAX((A917-$C$13+1)*12,0),$C$17*12),0),MAX(MAX($L$242*(1-$C$15),0)*(1+$C$16/12)^MIN(MAX((A917-$C$13+1)*12,0),$C$17*12)-(IF($C$17&lt;=0,0,IF($C$16=0,MAX($L$242*(1-$C$15),0)/$C$17,-PMT($C$16/12,$C$17*12,MAX($L$242*(1-$C$15),0))*12))/12)*(((1+$C$16/12)^MIN(MAX((A917-$C$13+1)*12,0),$C$17*12)-1)/($C$16/12)),0)))</f>
        <v>0</v>
      </c>
      <c r="Z917" s="171">
        <f t="shared" ref="Z917:Z956" si="471">MAX(X917-Y917,0)</f>
        <v>0</v>
      </c>
      <c r="AA917" s="172">
        <f t="shared" ref="AA917:AA956" si="472">U917+Z917</f>
        <v>368165.47</v>
      </c>
      <c r="AB917" s="5"/>
      <c r="AC917" s="5"/>
      <c r="AD917" s="5"/>
      <c r="AE917" s="5"/>
      <c r="AF917" s="5"/>
      <c r="AG917" s="5"/>
    </row>
    <row r="918" spans="1:33" x14ac:dyDescent="0.2">
      <c r="A918" s="173">
        <v>2</v>
      </c>
      <c r="B918" s="65" t="str">
        <f t="shared" si="458"/>
        <v>Working</v>
      </c>
      <c r="C918" s="174">
        <f t="shared" si="459"/>
        <v>412500</v>
      </c>
      <c r="D918" s="174">
        <f t="shared" si="460"/>
        <v>231269.97</v>
      </c>
      <c r="E918" s="174">
        <f t="shared" si="461"/>
        <v>80340</v>
      </c>
      <c r="F918" s="174">
        <f t="shared" si="462"/>
        <v>41200</v>
      </c>
      <c r="G918" s="171">
        <f t="shared" si="463"/>
        <v>0</v>
      </c>
      <c r="H918" s="171">
        <f t="shared" si="464"/>
        <v>0</v>
      </c>
      <c r="I918" s="171">
        <f>IF(B918="Working",MIN(MAX(D918-E918-F918-G918-H918,0),'Tax Assumptions'!$B$20),0)</f>
        <v>7500</v>
      </c>
      <c r="J918" s="171">
        <f t="shared" si="465"/>
        <v>102229.97</v>
      </c>
      <c r="K918" s="174">
        <f t="shared" si="466"/>
        <v>0</v>
      </c>
      <c r="L918" s="174">
        <f t="shared" si="467"/>
        <v>0</v>
      </c>
      <c r="M918" s="174">
        <f t="shared" ref="M918:M956" si="473">IF(B918="Retired",MIN(((Q917)*(1+$C$10)+IF(B918="Working",J918,0)),K918),0)</f>
        <v>0</v>
      </c>
      <c r="N918" s="174">
        <f t="shared" ref="N918:N956" si="474">IF(B918="Retired",MIN(MAX(K918-M918,0),((R917)*(1+$C$10)+IF(B918="Working",E81,0))),0)</f>
        <v>0</v>
      </c>
      <c r="O918" s="174">
        <f t="shared" ref="O918:O956" si="475">IF(B918="Retired",MIN(MAX(K918-M918-N918,0),((S917)*(1+$C$10)+IF(B918="Working",I918,0))),0)</f>
        <v>0</v>
      </c>
      <c r="P918" s="174">
        <f t="shared" ref="P918:P956" si="476">IF(B918="Retired",MIN(MAX(K918-M918-N918-O918,0),((T917)*(1+$C$10)+IF(B918="Working",F81,0))),0)</f>
        <v>0</v>
      </c>
      <c r="Q918" s="171">
        <f t="shared" ref="Q918:Q956" si="477">MAX(((Q917)*(1+$C$10)+IF(B918="Working",J918,0))-M918,0)</f>
        <v>458565.36820000003</v>
      </c>
      <c r="R918" s="171">
        <f t="shared" ref="R918:R956" si="478">MAX(((R917)*(1+$C$10)+IF(B918="Working",E81,0))-N918,0)</f>
        <v>50470</v>
      </c>
      <c r="S918" s="171">
        <f t="shared" ref="S918:S956" si="479">MAX(((S917)*(1+$C$10)+IF(B918="Working",I918,0))-O918,0)</f>
        <v>15450</v>
      </c>
      <c r="T918" s="171">
        <f t="shared" ref="T918:T956" si="480">MAX(((T917)*(1+$C$10)+IF(B918="Working",F81,0))-P918,0)</f>
        <v>0</v>
      </c>
      <c r="U918" s="171">
        <f t="shared" si="468"/>
        <v>524485.36820000003</v>
      </c>
      <c r="V918" s="171">
        <f t="shared" ref="V918:V956" si="481">IF(B918="Working",MAX(-(((Q917)*(1+$C$10)+IF(B918="Working",J918,0))),0),MAX(K918-L918,0))</f>
        <v>0</v>
      </c>
      <c r="W918" s="171" t="str">
        <f>IF(OR(A918&gt;=$C$13,B918="Retired"),IF(V918&gt;0,-V918,U918-'Model Inputs'!$B$18),"")</f>
        <v/>
      </c>
      <c r="X918" s="171">
        <f t="shared" si="469"/>
        <v>0</v>
      </c>
      <c r="Y918" s="171">
        <f t="shared" si="470"/>
        <v>0</v>
      </c>
      <c r="Z918" s="171">
        <f t="shared" si="471"/>
        <v>0</v>
      </c>
      <c r="AA918" s="175">
        <f t="shared" si="472"/>
        <v>524485.36820000003</v>
      </c>
      <c r="AB918" s="5"/>
      <c r="AC918" s="5"/>
      <c r="AD918" s="5"/>
      <c r="AE918" s="5"/>
      <c r="AF918" s="5"/>
      <c r="AG918" s="5"/>
    </row>
    <row r="919" spans="1:33" x14ac:dyDescent="0.2">
      <c r="A919" s="169">
        <v>3</v>
      </c>
      <c r="B919" s="100" t="str">
        <f t="shared" si="458"/>
        <v>Working</v>
      </c>
      <c r="C919" s="170">
        <f t="shared" si="459"/>
        <v>675000</v>
      </c>
      <c r="D919" s="170">
        <f t="shared" si="460"/>
        <v>367570.47</v>
      </c>
      <c r="E919" s="170">
        <f t="shared" si="461"/>
        <v>82750.2</v>
      </c>
      <c r="F919" s="170">
        <f t="shared" si="462"/>
        <v>53045</v>
      </c>
      <c r="G919" s="171">
        <f t="shared" si="463"/>
        <v>0</v>
      </c>
      <c r="H919" s="171">
        <f t="shared" si="464"/>
        <v>0</v>
      </c>
      <c r="I919" s="171">
        <f>IF(B919="Working",MIN(MAX(D919-E919-F919-G919-H919,0),'Tax Assumptions'!$B$20),0)</f>
        <v>7500</v>
      </c>
      <c r="J919" s="171">
        <f t="shared" si="465"/>
        <v>224275.26999999996</v>
      </c>
      <c r="K919" s="170">
        <f t="shared" si="466"/>
        <v>0</v>
      </c>
      <c r="L919" s="170">
        <f t="shared" si="467"/>
        <v>0</v>
      </c>
      <c r="M919" s="170">
        <f t="shared" si="473"/>
        <v>0</v>
      </c>
      <c r="N919" s="170">
        <f t="shared" si="474"/>
        <v>0</v>
      </c>
      <c r="O919" s="170">
        <f t="shared" si="475"/>
        <v>0</v>
      </c>
      <c r="P919" s="170">
        <f t="shared" si="476"/>
        <v>0</v>
      </c>
      <c r="Q919" s="171">
        <f t="shared" si="477"/>
        <v>710354.56029199995</v>
      </c>
      <c r="R919" s="171">
        <f t="shared" si="478"/>
        <v>77998.200000000012</v>
      </c>
      <c r="S919" s="171">
        <f t="shared" si="479"/>
        <v>23877</v>
      </c>
      <c r="T919" s="171">
        <f t="shared" si="480"/>
        <v>0</v>
      </c>
      <c r="U919" s="171">
        <f t="shared" si="468"/>
        <v>812229.7602919999</v>
      </c>
      <c r="V919" s="171">
        <f t="shared" si="481"/>
        <v>0</v>
      </c>
      <c r="W919" s="171" t="str">
        <f>IF(OR(A919&gt;=$C$13,B919="Retired"),IF(V919&gt;0,-V919,U919-'Model Inputs'!$B$18),"")</f>
        <v/>
      </c>
      <c r="X919" s="171">
        <f t="shared" si="469"/>
        <v>0</v>
      </c>
      <c r="Y919" s="171">
        <f t="shared" si="470"/>
        <v>0</v>
      </c>
      <c r="Z919" s="171">
        <f t="shared" si="471"/>
        <v>0</v>
      </c>
      <c r="AA919" s="172">
        <f t="shared" si="472"/>
        <v>812229.7602919999</v>
      </c>
      <c r="AB919" s="5"/>
      <c r="AC919" s="5"/>
      <c r="AD919" s="5"/>
      <c r="AE919" s="5"/>
      <c r="AF919" s="5"/>
      <c r="AG919" s="5"/>
    </row>
    <row r="920" spans="1:33" x14ac:dyDescent="0.2">
      <c r="A920" s="173">
        <v>4</v>
      </c>
      <c r="B920" s="65" t="str">
        <f t="shared" si="458"/>
        <v>Working</v>
      </c>
      <c r="C920" s="174">
        <f t="shared" si="459"/>
        <v>750000</v>
      </c>
      <c r="D920" s="174">
        <f t="shared" si="460"/>
        <v>405137.47</v>
      </c>
      <c r="E920" s="174">
        <f t="shared" si="461"/>
        <v>85232.706000000006</v>
      </c>
      <c r="F920" s="174">
        <f t="shared" si="462"/>
        <v>54636.35</v>
      </c>
      <c r="G920" s="171">
        <f t="shared" si="463"/>
        <v>0</v>
      </c>
      <c r="H920" s="171">
        <f t="shared" si="464"/>
        <v>0</v>
      </c>
      <c r="I920" s="171">
        <f>IF(B920="Working",MIN(MAX(D920-E920-F920-G920-H920,0),'Tax Assumptions'!$B$20),0)</f>
        <v>7500</v>
      </c>
      <c r="J920" s="171">
        <f t="shared" si="465"/>
        <v>257768.41399999999</v>
      </c>
      <c r="K920" s="174">
        <f t="shared" si="466"/>
        <v>0</v>
      </c>
      <c r="L920" s="174">
        <f t="shared" si="467"/>
        <v>0</v>
      </c>
      <c r="M920" s="174">
        <f t="shared" si="473"/>
        <v>0</v>
      </c>
      <c r="N920" s="174">
        <f t="shared" si="474"/>
        <v>0</v>
      </c>
      <c r="O920" s="174">
        <f t="shared" si="475"/>
        <v>0</v>
      </c>
      <c r="P920" s="174">
        <f t="shared" si="476"/>
        <v>0</v>
      </c>
      <c r="Q920" s="171">
        <f t="shared" si="477"/>
        <v>1010744.2479095199</v>
      </c>
      <c r="R920" s="171">
        <f t="shared" si="478"/>
        <v>107178.09200000002</v>
      </c>
      <c r="S920" s="171">
        <f t="shared" si="479"/>
        <v>32809.620000000003</v>
      </c>
      <c r="T920" s="171">
        <f t="shared" si="480"/>
        <v>0</v>
      </c>
      <c r="U920" s="171">
        <f t="shared" si="468"/>
        <v>1150731.9599095201</v>
      </c>
      <c r="V920" s="171">
        <f t="shared" si="481"/>
        <v>0</v>
      </c>
      <c r="W920" s="171" t="str">
        <f>IF(OR(A920&gt;=$C$13,B920="Retired"),IF(V920&gt;0,-V920,U920-'Model Inputs'!$B$18),"")</f>
        <v/>
      </c>
      <c r="X920" s="171">
        <f t="shared" si="469"/>
        <v>0</v>
      </c>
      <c r="Y920" s="171">
        <f t="shared" si="470"/>
        <v>0</v>
      </c>
      <c r="Z920" s="171">
        <f t="shared" si="471"/>
        <v>0</v>
      </c>
      <c r="AA920" s="175">
        <f t="shared" si="472"/>
        <v>1150731.9599095201</v>
      </c>
      <c r="AB920" s="5"/>
      <c r="AC920" s="5"/>
      <c r="AD920" s="5"/>
      <c r="AE920" s="5"/>
      <c r="AF920" s="5"/>
      <c r="AG920" s="5"/>
    </row>
    <row r="921" spans="1:33" x14ac:dyDescent="0.2">
      <c r="A921" s="169">
        <v>5</v>
      </c>
      <c r="B921" s="100" t="str">
        <f t="shared" si="458"/>
        <v>Working</v>
      </c>
      <c r="C921" s="170">
        <f t="shared" si="459"/>
        <v>953837.51358640334</v>
      </c>
      <c r="D921" s="170">
        <f t="shared" si="460"/>
        <v>506901.31028287602</v>
      </c>
      <c r="E921" s="170">
        <f t="shared" si="461"/>
        <v>87789.687179999994</v>
      </c>
      <c r="F921" s="170">
        <f t="shared" si="462"/>
        <v>56275.440499999997</v>
      </c>
      <c r="G921" s="171">
        <f t="shared" si="463"/>
        <v>0</v>
      </c>
      <c r="H921" s="171">
        <f t="shared" si="464"/>
        <v>0</v>
      </c>
      <c r="I921" s="171">
        <f>IF(B921="Working",MIN(MAX(D921-E921-F921-G921-H921,0),'Tax Assumptions'!$B$20),0)</f>
        <v>7500</v>
      </c>
      <c r="J921" s="171">
        <f t="shared" si="465"/>
        <v>355336.18260287598</v>
      </c>
      <c r="K921" s="170">
        <f t="shared" si="466"/>
        <v>0</v>
      </c>
      <c r="L921" s="170">
        <f t="shared" si="467"/>
        <v>0</v>
      </c>
      <c r="M921" s="170">
        <f t="shared" si="473"/>
        <v>0</v>
      </c>
      <c r="N921" s="170">
        <f t="shared" si="474"/>
        <v>0</v>
      </c>
      <c r="O921" s="170">
        <f t="shared" si="475"/>
        <v>0</v>
      </c>
      <c r="P921" s="170">
        <f t="shared" si="476"/>
        <v>0</v>
      </c>
      <c r="Q921" s="171">
        <f t="shared" si="477"/>
        <v>1426725.0853869673</v>
      </c>
      <c r="R921" s="171">
        <f t="shared" si="478"/>
        <v>138108.77752000003</v>
      </c>
      <c r="S921" s="171">
        <f t="shared" si="479"/>
        <v>42278.197200000002</v>
      </c>
      <c r="T921" s="171">
        <f t="shared" si="480"/>
        <v>0</v>
      </c>
      <c r="U921" s="171">
        <f t="shared" si="468"/>
        <v>1607112.0601069673</v>
      </c>
      <c r="V921" s="171">
        <f t="shared" si="481"/>
        <v>0</v>
      </c>
      <c r="W921" s="171" t="str">
        <f>IF(OR(A921&gt;=$C$13,B921="Retired"),IF(V921&gt;0,-V921,U921-'Model Inputs'!$B$18),"")</f>
        <v/>
      </c>
      <c r="X921" s="171">
        <f t="shared" si="469"/>
        <v>0</v>
      </c>
      <c r="Y921" s="171">
        <f t="shared" si="470"/>
        <v>0</v>
      </c>
      <c r="Z921" s="171">
        <f t="shared" si="471"/>
        <v>0</v>
      </c>
      <c r="AA921" s="172">
        <f t="shared" si="472"/>
        <v>1607112.0601069673</v>
      </c>
      <c r="AB921" s="5"/>
      <c r="AC921" s="5"/>
      <c r="AD921" s="5"/>
      <c r="AE921" s="5"/>
      <c r="AF921" s="5"/>
      <c r="AG921" s="5"/>
    </row>
    <row r="922" spans="1:33" x14ac:dyDescent="0.2">
      <c r="A922" s="173">
        <v>6</v>
      </c>
      <c r="B922" s="65" t="str">
        <f t="shared" si="458"/>
        <v>Working</v>
      </c>
      <c r="C922" s="174">
        <f t="shared" si="459"/>
        <v>1118900.665838565</v>
      </c>
      <c r="D922" s="174">
        <f t="shared" si="460"/>
        <v>589060.11476976541</v>
      </c>
      <c r="E922" s="174">
        <f t="shared" si="461"/>
        <v>92741.925943999988</v>
      </c>
      <c r="F922" s="174">
        <f t="shared" si="462"/>
        <v>57963.703714999989</v>
      </c>
      <c r="G922" s="171">
        <f t="shared" si="463"/>
        <v>0</v>
      </c>
      <c r="H922" s="171">
        <f t="shared" si="464"/>
        <v>0</v>
      </c>
      <c r="I922" s="171">
        <f>IF(B922="Working",MIN(MAX(D922-E922-F922-G922-H922,0),'Tax Assumptions'!$B$20),0)</f>
        <v>7500</v>
      </c>
      <c r="J922" s="171">
        <f t="shared" si="465"/>
        <v>430854.48511076538</v>
      </c>
      <c r="K922" s="174">
        <f t="shared" si="466"/>
        <v>0</v>
      </c>
      <c r="L922" s="174">
        <f t="shared" si="467"/>
        <v>0</v>
      </c>
      <c r="M922" s="174">
        <f t="shared" si="473"/>
        <v>0</v>
      </c>
      <c r="N922" s="174">
        <f t="shared" si="474"/>
        <v>0</v>
      </c>
      <c r="O922" s="174">
        <f t="shared" si="475"/>
        <v>0</v>
      </c>
      <c r="P922" s="174">
        <f t="shared" si="476"/>
        <v>0</v>
      </c>
      <c r="Q922" s="171">
        <f t="shared" si="477"/>
        <v>1943183.0756209507</v>
      </c>
      <c r="R922" s="171">
        <f t="shared" si="478"/>
        <v>170895.30417120006</v>
      </c>
      <c r="S922" s="171">
        <f t="shared" si="479"/>
        <v>52314.889032000006</v>
      </c>
      <c r="T922" s="171">
        <f t="shared" si="480"/>
        <v>0</v>
      </c>
      <c r="U922" s="171">
        <f t="shared" si="468"/>
        <v>2166393.2688241508</v>
      </c>
      <c r="V922" s="171">
        <f t="shared" si="481"/>
        <v>0</v>
      </c>
      <c r="W922" s="171" t="str">
        <f>IF(OR(A922&gt;=$C$13,B922="Retired"),IF(V922&gt;0,-V922,U922-'Model Inputs'!$B$18),"")</f>
        <v/>
      </c>
      <c r="X922" s="171">
        <f t="shared" si="469"/>
        <v>0</v>
      </c>
      <c r="Y922" s="171">
        <f t="shared" si="470"/>
        <v>0</v>
      </c>
      <c r="Z922" s="171">
        <f t="shared" si="471"/>
        <v>0</v>
      </c>
      <c r="AA922" s="175">
        <f t="shared" si="472"/>
        <v>2166393.2688241508</v>
      </c>
      <c r="AB922" s="5"/>
      <c r="AC922" s="5"/>
      <c r="AD922" s="5"/>
      <c r="AE922" s="5"/>
      <c r="AF922" s="5"/>
      <c r="AG922" s="5"/>
    </row>
    <row r="923" spans="1:33" x14ac:dyDescent="0.2">
      <c r="A923" s="169">
        <v>7</v>
      </c>
      <c r="B923" s="100" t="str">
        <f t="shared" si="458"/>
        <v>Working</v>
      </c>
      <c r="C923" s="170">
        <f t="shared" si="459"/>
        <v>1418318.448466131</v>
      </c>
      <c r="D923" s="170">
        <f t="shared" si="460"/>
        <v>730157.75065517949</v>
      </c>
      <c r="E923" s="170">
        <f t="shared" si="461"/>
        <v>95524.183722319998</v>
      </c>
      <c r="F923" s="170">
        <f t="shared" si="462"/>
        <v>59702.614826449993</v>
      </c>
      <c r="G923" s="171">
        <f t="shared" si="463"/>
        <v>0</v>
      </c>
      <c r="H923" s="171">
        <f t="shared" si="464"/>
        <v>0</v>
      </c>
      <c r="I923" s="171">
        <f>IF(B923="Working",MIN(MAX(D923-E923-F923-G923-H923,0),'Tax Assumptions'!$B$20),0)</f>
        <v>7500</v>
      </c>
      <c r="J923" s="171">
        <f t="shared" si="465"/>
        <v>567430.95210640947</v>
      </c>
      <c r="K923" s="170">
        <f t="shared" si="466"/>
        <v>0</v>
      </c>
      <c r="L923" s="170">
        <f t="shared" si="467"/>
        <v>0</v>
      </c>
      <c r="M923" s="170">
        <f t="shared" si="473"/>
        <v>0</v>
      </c>
      <c r="N923" s="170">
        <f t="shared" si="474"/>
        <v>0</v>
      </c>
      <c r="O923" s="170">
        <f t="shared" si="475"/>
        <v>0</v>
      </c>
      <c r="P923" s="170">
        <f t="shared" si="476"/>
        <v>0</v>
      </c>
      <c r="Q923" s="171">
        <f t="shared" si="477"/>
        <v>2627205.0122646173</v>
      </c>
      <c r="R923" s="171">
        <f t="shared" si="478"/>
        <v>205649.02242147207</v>
      </c>
      <c r="S923" s="171">
        <f t="shared" si="479"/>
        <v>62953.78237392001</v>
      </c>
      <c r="T923" s="171">
        <f t="shared" si="480"/>
        <v>0</v>
      </c>
      <c r="U923" s="171">
        <f t="shared" si="468"/>
        <v>2895807.8170600096</v>
      </c>
      <c r="V923" s="171">
        <f t="shared" si="481"/>
        <v>0</v>
      </c>
      <c r="W923" s="171" t="str">
        <f>IF(OR(A923&gt;=$C$13,B923="Retired"),IF(V923&gt;0,-V923,U923-'Model Inputs'!$B$18),"")</f>
        <v/>
      </c>
      <c r="X923" s="171">
        <f t="shared" si="469"/>
        <v>0</v>
      </c>
      <c r="Y923" s="171">
        <f t="shared" si="470"/>
        <v>0</v>
      </c>
      <c r="Z923" s="171">
        <f t="shared" si="471"/>
        <v>0</v>
      </c>
      <c r="AA923" s="172">
        <f t="shared" si="472"/>
        <v>2895807.8170600096</v>
      </c>
      <c r="AB923" s="5"/>
      <c r="AC923" s="5"/>
      <c r="AD923" s="5"/>
      <c r="AE923" s="5"/>
      <c r="AF923" s="5"/>
      <c r="AG923" s="5"/>
    </row>
    <row r="924" spans="1:33" x14ac:dyDescent="0.2">
      <c r="A924" s="173">
        <v>8</v>
      </c>
      <c r="B924" s="65" t="str">
        <f t="shared" si="458"/>
        <v>Working</v>
      </c>
      <c r="C924" s="174">
        <f t="shared" si="459"/>
        <v>1872205.6657868917</v>
      </c>
      <c r="D924" s="174">
        <f t="shared" si="460"/>
        <v>944047.5629454148</v>
      </c>
      <c r="E924" s="174">
        <f t="shared" si="461"/>
        <v>98389.909233989601</v>
      </c>
      <c r="F924" s="174">
        <f t="shared" si="462"/>
        <v>61493.693271243501</v>
      </c>
      <c r="G924" s="171">
        <f t="shared" si="463"/>
        <v>0</v>
      </c>
      <c r="H924" s="171">
        <f t="shared" si="464"/>
        <v>0</v>
      </c>
      <c r="I924" s="171">
        <f>IF(B924="Working",MIN(MAX(D924-E924-F924-G924-H924,0),'Tax Assumptions'!$B$20),0)</f>
        <v>7500</v>
      </c>
      <c r="J924" s="171">
        <f t="shared" si="465"/>
        <v>776663.96044018166</v>
      </c>
      <c r="K924" s="174">
        <f t="shared" si="466"/>
        <v>0</v>
      </c>
      <c r="L924" s="174">
        <f t="shared" si="467"/>
        <v>0</v>
      </c>
      <c r="M924" s="174">
        <f t="shared" si="473"/>
        <v>0</v>
      </c>
      <c r="N924" s="174">
        <f t="shared" si="474"/>
        <v>0</v>
      </c>
      <c r="O924" s="174">
        <f t="shared" si="475"/>
        <v>0</v>
      </c>
      <c r="P924" s="174">
        <f t="shared" si="476"/>
        <v>0</v>
      </c>
      <c r="Q924" s="171">
        <f t="shared" si="477"/>
        <v>3561501.2734406763</v>
      </c>
      <c r="R924" s="171">
        <f t="shared" si="478"/>
        <v>242487.9637667604</v>
      </c>
      <c r="S924" s="171">
        <f t="shared" si="479"/>
        <v>74231.009316355208</v>
      </c>
      <c r="T924" s="171">
        <f t="shared" si="480"/>
        <v>0</v>
      </c>
      <c r="U924" s="171">
        <f t="shared" si="468"/>
        <v>3878220.2465237915</v>
      </c>
      <c r="V924" s="171">
        <f t="shared" si="481"/>
        <v>0</v>
      </c>
      <c r="W924" s="171" t="str">
        <f>IF(OR(A924&gt;=$C$13,B924="Retired"),IF(V924&gt;0,-V924,U924-'Model Inputs'!$B$18),"")</f>
        <v/>
      </c>
      <c r="X924" s="171">
        <f t="shared" si="469"/>
        <v>0</v>
      </c>
      <c r="Y924" s="171">
        <f t="shared" si="470"/>
        <v>0</v>
      </c>
      <c r="Z924" s="171">
        <f t="shared" si="471"/>
        <v>0</v>
      </c>
      <c r="AA924" s="175">
        <f t="shared" si="472"/>
        <v>3878220.2465237915</v>
      </c>
      <c r="AB924" s="5"/>
      <c r="AC924" s="5"/>
      <c r="AD924" s="5"/>
      <c r="AE924" s="5"/>
      <c r="AF924" s="5"/>
      <c r="AG924" s="5"/>
    </row>
    <row r="925" spans="1:33" x14ac:dyDescent="0.2">
      <c r="A925" s="169">
        <v>9</v>
      </c>
      <c r="B925" s="100" t="str">
        <f t="shared" si="458"/>
        <v>Working</v>
      </c>
      <c r="C925" s="170">
        <f t="shared" si="459"/>
        <v>2033969.9666232408</v>
      </c>
      <c r="D925" s="170">
        <f t="shared" si="460"/>
        <v>1020277.372071536</v>
      </c>
      <c r="E925" s="170">
        <f t="shared" si="461"/>
        <v>101341.60651100927</v>
      </c>
      <c r="F925" s="170">
        <f t="shared" si="462"/>
        <v>63338.504069380797</v>
      </c>
      <c r="G925" s="171">
        <f t="shared" si="463"/>
        <v>0</v>
      </c>
      <c r="H925" s="171">
        <f t="shared" si="464"/>
        <v>0</v>
      </c>
      <c r="I925" s="171">
        <f>IF(B925="Working",MIN(MAX(D925-E925-F925-G925-H925,0),'Tax Assumptions'!$B$20),0)</f>
        <v>7500</v>
      </c>
      <c r="J925" s="171">
        <f t="shared" si="465"/>
        <v>848097.26149114594</v>
      </c>
      <c r="K925" s="170">
        <f t="shared" si="466"/>
        <v>0</v>
      </c>
      <c r="L925" s="170">
        <f t="shared" si="467"/>
        <v>0</v>
      </c>
      <c r="M925" s="170">
        <f t="shared" si="473"/>
        <v>0</v>
      </c>
      <c r="N925" s="170">
        <f t="shared" si="474"/>
        <v>0</v>
      </c>
      <c r="O925" s="170">
        <f t="shared" si="475"/>
        <v>0</v>
      </c>
      <c r="P925" s="170">
        <f t="shared" si="476"/>
        <v>0</v>
      </c>
      <c r="Q925" s="171">
        <f t="shared" si="477"/>
        <v>4623288.6113382634</v>
      </c>
      <c r="R925" s="171">
        <f t="shared" si="478"/>
        <v>281537.24159276602</v>
      </c>
      <c r="S925" s="171">
        <f t="shared" si="479"/>
        <v>86184.869875336532</v>
      </c>
      <c r="T925" s="171">
        <f t="shared" si="480"/>
        <v>0</v>
      </c>
      <c r="U925" s="171">
        <f t="shared" si="468"/>
        <v>4991010.7228063662</v>
      </c>
      <c r="V925" s="171">
        <f t="shared" si="481"/>
        <v>0</v>
      </c>
      <c r="W925" s="171" t="str">
        <f>IF(OR(A925&gt;=$C$13,B925="Retired"),IF(V925&gt;0,-V925,U925-'Model Inputs'!$B$18),"")</f>
        <v/>
      </c>
      <c r="X925" s="171">
        <f t="shared" si="469"/>
        <v>0</v>
      </c>
      <c r="Y925" s="171">
        <f t="shared" si="470"/>
        <v>0</v>
      </c>
      <c r="Z925" s="171">
        <f t="shared" si="471"/>
        <v>0</v>
      </c>
      <c r="AA925" s="172">
        <f t="shared" si="472"/>
        <v>4991010.7228063662</v>
      </c>
      <c r="AB925" s="5"/>
      <c r="AC925" s="5"/>
      <c r="AD925" s="5"/>
      <c r="AE925" s="5"/>
      <c r="AF925" s="5"/>
      <c r="AG925" s="5"/>
    </row>
    <row r="926" spans="1:33" x14ac:dyDescent="0.2">
      <c r="A926" s="173">
        <v>10</v>
      </c>
      <c r="B926" s="65" t="str">
        <f t="shared" si="458"/>
        <v>Working</v>
      </c>
      <c r="C926" s="174">
        <f t="shared" si="459"/>
        <v>2595495.7626410057</v>
      </c>
      <c r="D926" s="174">
        <f t="shared" si="460"/>
        <v>1284890.7881869476</v>
      </c>
      <c r="E926" s="174">
        <f t="shared" si="461"/>
        <v>104381.85470633955</v>
      </c>
      <c r="F926" s="174">
        <f t="shared" si="462"/>
        <v>65238.659191462226</v>
      </c>
      <c r="G926" s="171">
        <f t="shared" si="463"/>
        <v>963402.34400279156</v>
      </c>
      <c r="H926" s="171">
        <f t="shared" si="464"/>
        <v>129230.76923076923</v>
      </c>
      <c r="I926" s="171">
        <f>IF(B926="Working",MIN(MAX(D926-E926-F926-G926-H926,0),'Tax Assumptions'!$B$20),0)</f>
        <v>7500</v>
      </c>
      <c r="J926" s="171">
        <f t="shared" si="465"/>
        <v>15137.161055585035</v>
      </c>
      <c r="K926" s="174">
        <f t="shared" si="466"/>
        <v>0</v>
      </c>
      <c r="L926" s="174">
        <f t="shared" si="467"/>
        <v>0</v>
      </c>
      <c r="M926" s="174">
        <f t="shared" si="473"/>
        <v>0</v>
      </c>
      <c r="N926" s="174">
        <f t="shared" si="474"/>
        <v>0</v>
      </c>
      <c r="O926" s="174">
        <f t="shared" si="475"/>
        <v>0</v>
      </c>
      <c r="P926" s="174">
        <f t="shared" si="476"/>
        <v>0</v>
      </c>
      <c r="Q926" s="171">
        <f t="shared" si="477"/>
        <v>4915823.0890741451</v>
      </c>
      <c r="R926" s="171">
        <f t="shared" si="478"/>
        <v>322929.47608833201</v>
      </c>
      <c r="S926" s="171">
        <f t="shared" si="479"/>
        <v>98855.96206785673</v>
      </c>
      <c r="T926" s="171">
        <f t="shared" si="480"/>
        <v>0</v>
      </c>
      <c r="U926" s="171">
        <f t="shared" si="468"/>
        <v>5337608.5272303335</v>
      </c>
      <c r="V926" s="171">
        <f t="shared" si="481"/>
        <v>0</v>
      </c>
      <c r="W926" s="171">
        <f>IF(OR(A926&gt;=$C$13,B926="Retired"),IF(V926&gt;0,-V926,U926-'Model Inputs'!$B$18),"")</f>
        <v>4337608.5272303335</v>
      </c>
      <c r="X926" s="171">
        <f t="shared" si="469"/>
        <v>2028215.4610585084</v>
      </c>
      <c r="Y926" s="171">
        <f t="shared" si="470"/>
        <v>1103050.0691566805</v>
      </c>
      <c r="Z926" s="171">
        <f t="shared" si="471"/>
        <v>925165.39190182788</v>
      </c>
      <c r="AA926" s="175">
        <f t="shared" si="472"/>
        <v>6262773.9191321619</v>
      </c>
      <c r="AB926" s="5"/>
      <c r="AC926" s="5"/>
      <c r="AD926" s="5"/>
      <c r="AE926" s="5"/>
      <c r="AF926" s="5"/>
      <c r="AG926" s="5"/>
    </row>
    <row r="927" spans="1:33" x14ac:dyDescent="0.2">
      <c r="A927" s="169">
        <v>11</v>
      </c>
      <c r="B927" s="100" t="str">
        <f t="shared" si="458"/>
        <v>Retired</v>
      </c>
      <c r="C927" s="170">
        <f t="shared" si="459"/>
        <v>0</v>
      </c>
      <c r="D927" s="170">
        <f t="shared" si="460"/>
        <v>0</v>
      </c>
      <c r="E927" s="170">
        <f t="shared" si="461"/>
        <v>0</v>
      </c>
      <c r="F927" s="170">
        <f t="shared" si="462"/>
        <v>0</v>
      </c>
      <c r="G927" s="171">
        <f t="shared" si="463"/>
        <v>0</v>
      </c>
      <c r="H927" s="171">
        <f t="shared" si="464"/>
        <v>130569.39143506784</v>
      </c>
      <c r="I927" s="171">
        <f>IF(B927="Working",MIN(MAX(D927-E927-F927-G927-H927,0),'Tax Assumptions'!$B$20),0)</f>
        <v>0</v>
      </c>
      <c r="J927" s="171">
        <f t="shared" si="465"/>
        <v>-270569.39143506787</v>
      </c>
      <c r="K927" s="170">
        <f t="shared" si="466"/>
        <v>270569.39143506787</v>
      </c>
      <c r="L927" s="170">
        <f t="shared" si="467"/>
        <v>270569.39143506787</v>
      </c>
      <c r="M927" s="170">
        <f t="shared" si="473"/>
        <v>270569.39143506787</v>
      </c>
      <c r="N927" s="170">
        <f t="shared" si="474"/>
        <v>0</v>
      </c>
      <c r="O927" s="170">
        <f t="shared" si="475"/>
        <v>0</v>
      </c>
      <c r="P927" s="170">
        <f t="shared" si="476"/>
        <v>0</v>
      </c>
      <c r="Q927" s="171">
        <f t="shared" si="477"/>
        <v>4940203.0829835264</v>
      </c>
      <c r="R927" s="171">
        <f t="shared" si="478"/>
        <v>342305.24465363193</v>
      </c>
      <c r="S927" s="171">
        <f t="shared" si="479"/>
        <v>104787.31979192814</v>
      </c>
      <c r="T927" s="171">
        <f t="shared" si="480"/>
        <v>0</v>
      </c>
      <c r="U927" s="171">
        <f t="shared" si="468"/>
        <v>5387295.6474290863</v>
      </c>
      <c r="V927" s="171">
        <f t="shared" si="481"/>
        <v>0</v>
      </c>
      <c r="W927" s="171">
        <f>IF(OR(A927&gt;=$C$13,B927="Retired"),IF(V927&gt;0,-V927,U927-'Model Inputs'!$B$18),"")</f>
        <v>4387295.6474290863</v>
      </c>
      <c r="X927" s="171">
        <f t="shared" si="469"/>
        <v>2089061.9248902637</v>
      </c>
      <c r="Y927" s="171">
        <f t="shared" si="470"/>
        <v>1089746.6005861333</v>
      </c>
      <c r="Z927" s="171">
        <f t="shared" si="471"/>
        <v>999315.32430413039</v>
      </c>
      <c r="AA927" s="172">
        <f t="shared" si="472"/>
        <v>6386610.9717332162</v>
      </c>
      <c r="AB927" s="5"/>
      <c r="AC927" s="5"/>
      <c r="AD927" s="5"/>
      <c r="AE927" s="5"/>
      <c r="AF927" s="5"/>
      <c r="AG927" s="5"/>
    </row>
    <row r="928" spans="1:33" x14ac:dyDescent="0.2">
      <c r="A928" s="173">
        <v>12</v>
      </c>
      <c r="B928" s="65" t="str">
        <f t="shared" si="458"/>
        <v>Retired</v>
      </c>
      <c r="C928" s="174">
        <f t="shared" si="459"/>
        <v>0</v>
      </c>
      <c r="D928" s="174">
        <f t="shared" si="460"/>
        <v>0</v>
      </c>
      <c r="E928" s="174">
        <f t="shared" si="461"/>
        <v>0</v>
      </c>
      <c r="F928" s="174">
        <f t="shared" si="462"/>
        <v>0</v>
      </c>
      <c r="G928" s="171">
        <f t="shared" si="463"/>
        <v>0</v>
      </c>
      <c r="H928" s="171">
        <f t="shared" si="464"/>
        <v>131948.17230549542</v>
      </c>
      <c r="I928" s="171">
        <f>IF(B928="Working",MIN(MAX(D928-E928-F928-G928-H928,0),'Tax Assumptions'!$B$20),0)</f>
        <v>0</v>
      </c>
      <c r="J928" s="171">
        <f t="shared" si="465"/>
        <v>-271948.17230549542</v>
      </c>
      <c r="K928" s="174">
        <f t="shared" si="466"/>
        <v>271948.17230549542</v>
      </c>
      <c r="L928" s="174">
        <f t="shared" si="467"/>
        <v>271948.17230549542</v>
      </c>
      <c r="M928" s="174">
        <f t="shared" si="473"/>
        <v>271948.17230549542</v>
      </c>
      <c r="N928" s="174">
        <f t="shared" si="474"/>
        <v>0</v>
      </c>
      <c r="O928" s="174">
        <f t="shared" si="475"/>
        <v>0</v>
      </c>
      <c r="P928" s="174">
        <f t="shared" si="476"/>
        <v>0</v>
      </c>
      <c r="Q928" s="171">
        <f t="shared" si="477"/>
        <v>4964667.0956570432</v>
      </c>
      <c r="R928" s="171">
        <f t="shared" si="478"/>
        <v>362843.55933284987</v>
      </c>
      <c r="S928" s="171">
        <f t="shared" si="479"/>
        <v>111074.55897944383</v>
      </c>
      <c r="T928" s="171">
        <f t="shared" si="480"/>
        <v>0</v>
      </c>
      <c r="U928" s="171">
        <f t="shared" si="468"/>
        <v>5438585.2139693368</v>
      </c>
      <c r="V928" s="171">
        <f t="shared" si="481"/>
        <v>0</v>
      </c>
      <c r="W928" s="171">
        <f>IF(OR(A928&gt;=$C$13,B928="Retired"),IF(V928&gt;0,-V928,U928-'Model Inputs'!$B$18),"")</f>
        <v>4438585.2139693368</v>
      </c>
      <c r="X928" s="171">
        <f t="shared" si="469"/>
        <v>2151733.7826369712</v>
      </c>
      <c r="Y928" s="171">
        <f t="shared" si="470"/>
        <v>1075552.1740873591</v>
      </c>
      <c r="Z928" s="171">
        <f t="shared" si="471"/>
        <v>1076181.6085496121</v>
      </c>
      <c r="AA928" s="175">
        <f t="shared" si="472"/>
        <v>6514766.8225189485</v>
      </c>
      <c r="AB928" s="5"/>
      <c r="AC928" s="5"/>
      <c r="AD928" s="5"/>
      <c r="AE928" s="5"/>
      <c r="AF928" s="5"/>
      <c r="AG928" s="5"/>
    </row>
    <row r="929" spans="1:33" x14ac:dyDescent="0.2">
      <c r="A929" s="169">
        <v>13</v>
      </c>
      <c r="B929" s="100" t="str">
        <f t="shared" si="458"/>
        <v>Retired</v>
      </c>
      <c r="C929" s="170">
        <f t="shared" si="459"/>
        <v>0</v>
      </c>
      <c r="D929" s="170">
        <f t="shared" si="460"/>
        <v>0</v>
      </c>
      <c r="E929" s="170">
        <f t="shared" si="461"/>
        <v>0</v>
      </c>
      <c r="F929" s="170">
        <f t="shared" si="462"/>
        <v>0</v>
      </c>
      <c r="G929" s="171">
        <f t="shared" si="463"/>
        <v>0</v>
      </c>
      <c r="H929" s="171">
        <f t="shared" si="464"/>
        <v>133368.31660203583</v>
      </c>
      <c r="I929" s="171">
        <f>IF(B929="Working",MIN(MAX(D929-E929-F929-G929-H929,0),'Tax Assumptions'!$B$20),0)</f>
        <v>0</v>
      </c>
      <c r="J929" s="171">
        <f t="shared" si="465"/>
        <v>-273368.31660203583</v>
      </c>
      <c r="K929" s="170">
        <f t="shared" si="466"/>
        <v>273368.31660203583</v>
      </c>
      <c r="L929" s="170">
        <f t="shared" si="467"/>
        <v>273368.31660203583</v>
      </c>
      <c r="M929" s="170">
        <f t="shared" si="473"/>
        <v>273368.31660203583</v>
      </c>
      <c r="N929" s="170">
        <f t="shared" si="474"/>
        <v>0</v>
      </c>
      <c r="O929" s="170">
        <f t="shared" si="475"/>
        <v>0</v>
      </c>
      <c r="P929" s="170">
        <f t="shared" si="476"/>
        <v>0</v>
      </c>
      <c r="Q929" s="171">
        <f t="shared" si="477"/>
        <v>4989178.8047944307</v>
      </c>
      <c r="R929" s="171">
        <f t="shared" si="478"/>
        <v>384614.1728928209</v>
      </c>
      <c r="S929" s="171">
        <f t="shared" si="479"/>
        <v>117739.03251821046</v>
      </c>
      <c r="T929" s="171">
        <f t="shared" si="480"/>
        <v>0</v>
      </c>
      <c r="U929" s="171">
        <f t="shared" si="468"/>
        <v>5491532.0102054626</v>
      </c>
      <c r="V929" s="171">
        <f t="shared" si="481"/>
        <v>0</v>
      </c>
      <c r="W929" s="171">
        <f>IF(OR(A929&gt;=$C$13,B929="Retired"),IF(V929&gt;0,-V929,U929-'Model Inputs'!$B$18),"")</f>
        <v>4491532.0102054626</v>
      </c>
      <c r="X929" s="171">
        <f t="shared" si="469"/>
        <v>2216285.7961160806</v>
      </c>
      <c r="Y929" s="171">
        <f t="shared" si="470"/>
        <v>1060407.1205578479</v>
      </c>
      <c r="Z929" s="171">
        <f t="shared" si="471"/>
        <v>1155878.6755582327</v>
      </c>
      <c r="AA929" s="172">
        <f t="shared" si="472"/>
        <v>6647410.6857636953</v>
      </c>
      <c r="AB929" s="5"/>
      <c r="AC929" s="5"/>
      <c r="AD929" s="5"/>
      <c r="AE929" s="5"/>
      <c r="AF929" s="5"/>
      <c r="AG929" s="5"/>
    </row>
    <row r="930" spans="1:33" x14ac:dyDescent="0.2">
      <c r="A930" s="173">
        <v>14</v>
      </c>
      <c r="B930" s="65" t="str">
        <f t="shared" si="458"/>
        <v>Retired</v>
      </c>
      <c r="C930" s="174">
        <f t="shared" si="459"/>
        <v>0</v>
      </c>
      <c r="D930" s="174">
        <f t="shared" si="460"/>
        <v>0</v>
      </c>
      <c r="E930" s="174">
        <f t="shared" si="461"/>
        <v>0</v>
      </c>
      <c r="F930" s="174">
        <f t="shared" si="462"/>
        <v>0</v>
      </c>
      <c r="G930" s="171">
        <f t="shared" si="463"/>
        <v>0</v>
      </c>
      <c r="H930" s="171">
        <f t="shared" si="464"/>
        <v>134831.06522747243</v>
      </c>
      <c r="I930" s="171">
        <f>IF(B930="Working",MIN(MAX(D930-E930-F930-G930-H930,0),'Tax Assumptions'!$B$20),0)</f>
        <v>0</v>
      </c>
      <c r="J930" s="171">
        <f t="shared" si="465"/>
        <v>-274831.06522747246</v>
      </c>
      <c r="K930" s="174">
        <f t="shared" si="466"/>
        <v>274831.06522747246</v>
      </c>
      <c r="L930" s="174">
        <f t="shared" si="467"/>
        <v>274831.06522747246</v>
      </c>
      <c r="M930" s="174">
        <f t="shared" si="473"/>
        <v>274831.06522747246</v>
      </c>
      <c r="N930" s="174">
        <f t="shared" si="474"/>
        <v>0</v>
      </c>
      <c r="O930" s="174">
        <f t="shared" si="475"/>
        <v>0</v>
      </c>
      <c r="P930" s="174">
        <f t="shared" si="476"/>
        <v>0</v>
      </c>
      <c r="Q930" s="171">
        <f t="shared" si="477"/>
        <v>5013698.4678546246</v>
      </c>
      <c r="R930" s="171">
        <f t="shared" si="478"/>
        <v>407691.0232663902</v>
      </c>
      <c r="S930" s="171">
        <f t="shared" si="479"/>
        <v>124803.37446930309</v>
      </c>
      <c r="T930" s="171">
        <f t="shared" si="480"/>
        <v>0</v>
      </c>
      <c r="U930" s="171">
        <f t="shared" si="468"/>
        <v>5546192.8655903181</v>
      </c>
      <c r="V930" s="171">
        <f t="shared" si="481"/>
        <v>0</v>
      </c>
      <c r="W930" s="171">
        <f>IF(OR(A930&gt;=$C$13,B930="Retired"),IF(V930&gt;0,-V930,U930-'Model Inputs'!$B$18),"")</f>
        <v>4546192.8655903181</v>
      </c>
      <c r="X930" s="171">
        <f t="shared" si="469"/>
        <v>2282774.3699995629</v>
      </c>
      <c r="Y930" s="171">
        <f t="shared" si="470"/>
        <v>1044247.7747447877</v>
      </c>
      <c r="Z930" s="171">
        <f t="shared" si="471"/>
        <v>1238526.5952547751</v>
      </c>
      <c r="AA930" s="175">
        <f t="shared" si="472"/>
        <v>6784719.4608450932</v>
      </c>
      <c r="AB930" s="5"/>
      <c r="AC930" s="5"/>
      <c r="AD930" s="5"/>
      <c r="AE930" s="5"/>
      <c r="AF930" s="5"/>
      <c r="AG930" s="5"/>
    </row>
    <row r="931" spans="1:33" x14ac:dyDescent="0.2">
      <c r="A931" s="169">
        <v>15</v>
      </c>
      <c r="B931" s="100" t="str">
        <f t="shared" si="458"/>
        <v>Retired</v>
      </c>
      <c r="C931" s="170">
        <f t="shared" si="459"/>
        <v>0</v>
      </c>
      <c r="D931" s="170">
        <f t="shared" si="460"/>
        <v>0</v>
      </c>
      <c r="E931" s="170">
        <f t="shared" si="461"/>
        <v>0</v>
      </c>
      <c r="F931" s="170">
        <f t="shared" si="462"/>
        <v>0</v>
      </c>
      <c r="G931" s="171">
        <f t="shared" si="463"/>
        <v>0</v>
      </c>
      <c r="H931" s="171">
        <f t="shared" si="464"/>
        <v>136337.69631167216</v>
      </c>
      <c r="I931" s="171">
        <f>IF(B931="Working",MIN(MAX(D931-E931-F931-G931-H931,0),'Tax Assumptions'!$B$20),0)</f>
        <v>0</v>
      </c>
      <c r="J931" s="171">
        <f t="shared" si="465"/>
        <v>-276337.69631167216</v>
      </c>
      <c r="K931" s="170">
        <f t="shared" si="466"/>
        <v>276337.69631167216</v>
      </c>
      <c r="L931" s="170">
        <f t="shared" si="467"/>
        <v>276337.69631167216</v>
      </c>
      <c r="M931" s="170">
        <f t="shared" si="473"/>
        <v>276337.69631167216</v>
      </c>
      <c r="N931" s="170">
        <f t="shared" si="474"/>
        <v>0</v>
      </c>
      <c r="O931" s="170">
        <f t="shared" si="475"/>
        <v>0</v>
      </c>
      <c r="P931" s="170">
        <f t="shared" si="476"/>
        <v>0</v>
      </c>
      <c r="Q931" s="171">
        <f t="shared" si="477"/>
        <v>5038182.6796142301</v>
      </c>
      <c r="R931" s="171">
        <f t="shared" si="478"/>
        <v>432152.48466237361</v>
      </c>
      <c r="S931" s="171">
        <f t="shared" si="479"/>
        <v>132291.57693746127</v>
      </c>
      <c r="T931" s="171">
        <f t="shared" si="480"/>
        <v>0</v>
      </c>
      <c r="U931" s="171">
        <f t="shared" si="468"/>
        <v>5602626.7412140649</v>
      </c>
      <c r="V931" s="171">
        <f t="shared" si="481"/>
        <v>0</v>
      </c>
      <c r="W931" s="171">
        <f>IF(OR(A931&gt;=$C$13,B931="Retired"),IF(V931&gt;0,-V931,U931-'Model Inputs'!$B$18),"")</f>
        <v>4602626.7412140649</v>
      </c>
      <c r="X931" s="171">
        <f t="shared" si="469"/>
        <v>2351257.6010995498</v>
      </c>
      <c r="Y931" s="171">
        <f t="shared" si="470"/>
        <v>1027006.2076154774</v>
      </c>
      <c r="Z931" s="171">
        <f t="shared" si="471"/>
        <v>1324251.3934840723</v>
      </c>
      <c r="AA931" s="172">
        <f t="shared" si="472"/>
        <v>6926878.1346981376</v>
      </c>
      <c r="AB931" s="5"/>
      <c r="AC931" s="5"/>
      <c r="AD931" s="5"/>
      <c r="AE931" s="5"/>
      <c r="AF931" s="5"/>
      <c r="AG931" s="5"/>
    </row>
    <row r="932" spans="1:33" x14ac:dyDescent="0.2">
      <c r="A932" s="173">
        <v>16</v>
      </c>
      <c r="B932" s="65" t="str">
        <f t="shared" si="458"/>
        <v>Retired</v>
      </c>
      <c r="C932" s="174">
        <f t="shared" si="459"/>
        <v>0</v>
      </c>
      <c r="D932" s="174">
        <f t="shared" si="460"/>
        <v>0</v>
      </c>
      <c r="E932" s="174">
        <f t="shared" si="461"/>
        <v>0</v>
      </c>
      <c r="F932" s="174">
        <f t="shared" si="462"/>
        <v>0</v>
      </c>
      <c r="G932" s="171">
        <f t="shared" si="463"/>
        <v>0</v>
      </c>
      <c r="H932" s="171">
        <f t="shared" si="464"/>
        <v>137889.52632839786</v>
      </c>
      <c r="I932" s="171">
        <f>IF(B932="Working",MIN(MAX(D932-E932-F932-G932-H932,0),'Tax Assumptions'!$B$20),0)</f>
        <v>0</v>
      </c>
      <c r="J932" s="171">
        <f t="shared" si="465"/>
        <v>-277889.52632839786</v>
      </c>
      <c r="K932" s="174">
        <f t="shared" si="466"/>
        <v>277889.52632839786</v>
      </c>
      <c r="L932" s="174">
        <f t="shared" si="467"/>
        <v>277889.52632839786</v>
      </c>
      <c r="M932" s="174">
        <f t="shared" si="473"/>
        <v>277889.52632839786</v>
      </c>
      <c r="N932" s="174">
        <f t="shared" si="474"/>
        <v>0</v>
      </c>
      <c r="O932" s="174">
        <f t="shared" si="475"/>
        <v>0</v>
      </c>
      <c r="P932" s="174">
        <f t="shared" si="476"/>
        <v>0</v>
      </c>
      <c r="Q932" s="171">
        <f t="shared" si="477"/>
        <v>5062584.1140626865</v>
      </c>
      <c r="R932" s="171">
        <f t="shared" si="478"/>
        <v>458081.63374211604</v>
      </c>
      <c r="S932" s="171">
        <f t="shared" si="479"/>
        <v>140229.07155370896</v>
      </c>
      <c r="T932" s="171">
        <f t="shared" si="480"/>
        <v>0</v>
      </c>
      <c r="U932" s="171">
        <f t="shared" si="468"/>
        <v>5660894.8193585118</v>
      </c>
      <c r="V932" s="171">
        <f t="shared" si="481"/>
        <v>0</v>
      </c>
      <c r="W932" s="171">
        <f>IF(OR(A932&gt;=$C$13,B932="Retired"),IF(V932&gt;0,-V932,U932-'Model Inputs'!$B$18),"")</f>
        <v>4660894.8193585118</v>
      </c>
      <c r="X932" s="171">
        <f t="shared" si="469"/>
        <v>2421795.3291325364</v>
      </c>
      <c r="Y932" s="171">
        <f t="shared" si="470"/>
        <v>1008609.9408040908</v>
      </c>
      <c r="Z932" s="171">
        <f t="shared" si="471"/>
        <v>1413185.3883284456</v>
      </c>
      <c r="AA932" s="175">
        <f t="shared" si="472"/>
        <v>7074080.207686957</v>
      </c>
      <c r="AB932" s="5"/>
      <c r="AC932" s="5"/>
      <c r="AD932" s="5"/>
      <c r="AE932" s="5"/>
      <c r="AF932" s="5"/>
      <c r="AG932" s="5"/>
    </row>
    <row r="933" spans="1:33" x14ac:dyDescent="0.2">
      <c r="A933" s="169">
        <v>17</v>
      </c>
      <c r="B933" s="100" t="str">
        <f t="shared" si="458"/>
        <v>Retired</v>
      </c>
      <c r="C933" s="170">
        <f t="shared" si="459"/>
        <v>0</v>
      </c>
      <c r="D933" s="170">
        <f t="shared" si="460"/>
        <v>0</v>
      </c>
      <c r="E933" s="170">
        <f t="shared" si="461"/>
        <v>0</v>
      </c>
      <c r="F933" s="170">
        <f t="shared" si="462"/>
        <v>0</v>
      </c>
      <c r="G933" s="171">
        <f t="shared" si="463"/>
        <v>0</v>
      </c>
      <c r="H933" s="171">
        <f t="shared" si="464"/>
        <v>139487.91124562532</v>
      </c>
      <c r="I933" s="171">
        <f>IF(B933="Working",MIN(MAX(D933-E933-F933-G933-H933,0),'Tax Assumptions'!$B$20),0)</f>
        <v>0</v>
      </c>
      <c r="J933" s="171">
        <f t="shared" si="465"/>
        <v>-279487.91124562535</v>
      </c>
      <c r="K933" s="170">
        <f t="shared" si="466"/>
        <v>279487.91124562535</v>
      </c>
      <c r="L933" s="170">
        <f t="shared" si="467"/>
        <v>279487.91124562535</v>
      </c>
      <c r="M933" s="170">
        <f t="shared" si="473"/>
        <v>279487.91124562535</v>
      </c>
      <c r="N933" s="170">
        <f t="shared" si="474"/>
        <v>0</v>
      </c>
      <c r="O933" s="170">
        <f t="shared" si="475"/>
        <v>0</v>
      </c>
      <c r="P933" s="170">
        <f t="shared" si="476"/>
        <v>0</v>
      </c>
      <c r="Q933" s="171">
        <f t="shared" si="477"/>
        <v>5086851.2496608226</v>
      </c>
      <c r="R933" s="171">
        <f t="shared" si="478"/>
        <v>485566.53176664305</v>
      </c>
      <c r="S933" s="171">
        <f t="shared" si="479"/>
        <v>148642.81584693151</v>
      </c>
      <c r="T933" s="171">
        <f t="shared" si="480"/>
        <v>0</v>
      </c>
      <c r="U933" s="171">
        <f t="shared" si="468"/>
        <v>5721060.5972743966</v>
      </c>
      <c r="V933" s="171">
        <f t="shared" si="481"/>
        <v>0</v>
      </c>
      <c r="W933" s="171">
        <f>IF(OR(A933&gt;=$C$13,B933="Retired"),IF(V933&gt;0,-V933,U933-'Model Inputs'!$B$18),"")</f>
        <v>4721060.5972743966</v>
      </c>
      <c r="X933" s="171">
        <f t="shared" si="469"/>
        <v>2494449.1890065125</v>
      </c>
      <c r="Y933" s="171">
        <f t="shared" si="470"/>
        <v>988981.641934413</v>
      </c>
      <c r="Z933" s="171">
        <f t="shared" si="471"/>
        <v>1505467.5470720995</v>
      </c>
      <c r="AA933" s="172">
        <f t="shared" si="472"/>
        <v>7226528.1443464961</v>
      </c>
      <c r="AB933" s="5"/>
      <c r="AC933" s="5"/>
      <c r="AD933" s="5"/>
      <c r="AE933" s="5"/>
      <c r="AF933" s="5"/>
      <c r="AG933" s="5"/>
    </row>
    <row r="934" spans="1:33" x14ac:dyDescent="0.2">
      <c r="A934" s="173">
        <v>18</v>
      </c>
      <c r="B934" s="65" t="str">
        <f t="shared" si="458"/>
        <v>Retired</v>
      </c>
      <c r="C934" s="174">
        <f t="shared" si="459"/>
        <v>0</v>
      </c>
      <c r="D934" s="174">
        <f t="shared" si="460"/>
        <v>0</v>
      </c>
      <c r="E934" s="174">
        <f t="shared" si="461"/>
        <v>0</v>
      </c>
      <c r="F934" s="174">
        <f t="shared" si="462"/>
        <v>0</v>
      </c>
      <c r="G934" s="171">
        <f t="shared" si="463"/>
        <v>0</v>
      </c>
      <c r="H934" s="171">
        <f t="shared" si="464"/>
        <v>141134.24771036961</v>
      </c>
      <c r="I934" s="171">
        <f>IF(B934="Working",MIN(MAX(D934-E934-F934-G934-H934,0),'Tax Assumptions'!$B$20),0)</f>
        <v>0</v>
      </c>
      <c r="J934" s="171">
        <f t="shared" si="465"/>
        <v>-281134.24771036964</v>
      </c>
      <c r="K934" s="174">
        <f t="shared" si="466"/>
        <v>281134.24771036964</v>
      </c>
      <c r="L934" s="174">
        <f t="shared" si="467"/>
        <v>281134.24771036964</v>
      </c>
      <c r="M934" s="174">
        <f t="shared" si="473"/>
        <v>281134.24771036964</v>
      </c>
      <c r="N934" s="174">
        <f t="shared" si="474"/>
        <v>0</v>
      </c>
      <c r="O934" s="174">
        <f t="shared" si="475"/>
        <v>0</v>
      </c>
      <c r="P934" s="174">
        <f t="shared" si="476"/>
        <v>0</v>
      </c>
      <c r="Q934" s="171">
        <f t="shared" si="477"/>
        <v>5110928.0769301029</v>
      </c>
      <c r="R934" s="171">
        <f t="shared" si="478"/>
        <v>514700.52367264166</v>
      </c>
      <c r="S934" s="171">
        <f t="shared" si="479"/>
        <v>157561.38479774742</v>
      </c>
      <c r="T934" s="171">
        <f t="shared" si="480"/>
        <v>0</v>
      </c>
      <c r="U934" s="171">
        <f t="shared" si="468"/>
        <v>5783189.9854004914</v>
      </c>
      <c r="V934" s="171">
        <f t="shared" si="481"/>
        <v>0</v>
      </c>
      <c r="W934" s="171">
        <f>IF(OR(A934&gt;=$C$13,B934="Retired"),IF(V934&gt;0,-V934,U934-'Model Inputs'!$B$18),"")</f>
        <v>4783189.9854004914</v>
      </c>
      <c r="X934" s="171">
        <f t="shared" si="469"/>
        <v>2569282.6646767077</v>
      </c>
      <c r="Y934" s="171">
        <f t="shared" si="470"/>
        <v>968038.79953777313</v>
      </c>
      <c r="Z934" s="171">
        <f t="shared" si="471"/>
        <v>1601243.8651389345</v>
      </c>
      <c r="AA934" s="175">
        <f t="shared" si="472"/>
        <v>7384433.8505394254</v>
      </c>
      <c r="AB934" s="5"/>
      <c r="AC934" s="5"/>
      <c r="AD934" s="5"/>
      <c r="AE934" s="5"/>
      <c r="AF934" s="5"/>
      <c r="AG934" s="5"/>
    </row>
    <row r="935" spans="1:33" x14ac:dyDescent="0.2">
      <c r="A935" s="169">
        <v>19</v>
      </c>
      <c r="B935" s="100" t="str">
        <f t="shared" si="458"/>
        <v>Retired</v>
      </c>
      <c r="C935" s="170">
        <f t="shared" si="459"/>
        <v>0</v>
      </c>
      <c r="D935" s="170">
        <f t="shared" si="460"/>
        <v>0</v>
      </c>
      <c r="E935" s="170">
        <f t="shared" si="461"/>
        <v>0</v>
      </c>
      <c r="F935" s="170">
        <f t="shared" si="462"/>
        <v>0</v>
      </c>
      <c r="G935" s="171">
        <f t="shared" si="463"/>
        <v>0</v>
      </c>
      <c r="H935" s="171">
        <f t="shared" si="464"/>
        <v>142829.97426905623</v>
      </c>
      <c r="I935" s="171">
        <f>IF(B935="Working",MIN(MAX(D935-E935-F935-G935-H935,0),'Tax Assumptions'!$B$20),0)</f>
        <v>0</v>
      </c>
      <c r="J935" s="171">
        <f t="shared" si="465"/>
        <v>-282829.97426905623</v>
      </c>
      <c r="K935" s="170">
        <f t="shared" si="466"/>
        <v>282829.97426905623</v>
      </c>
      <c r="L935" s="170">
        <f t="shared" si="467"/>
        <v>282829.97426905623</v>
      </c>
      <c r="M935" s="170">
        <f t="shared" si="473"/>
        <v>282829.97426905623</v>
      </c>
      <c r="N935" s="170">
        <f t="shared" si="474"/>
        <v>0</v>
      </c>
      <c r="O935" s="170">
        <f t="shared" si="475"/>
        <v>0</v>
      </c>
      <c r="P935" s="170">
        <f t="shared" si="476"/>
        <v>0</v>
      </c>
      <c r="Q935" s="171">
        <f t="shared" si="477"/>
        <v>5134753.7872768529</v>
      </c>
      <c r="R935" s="171">
        <f t="shared" si="478"/>
        <v>545582.55509300018</v>
      </c>
      <c r="S935" s="171">
        <f t="shared" si="479"/>
        <v>167015.06788561228</v>
      </c>
      <c r="T935" s="171">
        <f t="shared" si="480"/>
        <v>0</v>
      </c>
      <c r="U935" s="171">
        <f t="shared" si="468"/>
        <v>5847351.4102554647</v>
      </c>
      <c r="V935" s="171">
        <f t="shared" si="481"/>
        <v>0</v>
      </c>
      <c r="W935" s="171">
        <f>IF(OR(A935&gt;=$C$13,B935="Retired"),IF(V935&gt;0,-V935,U935-'Model Inputs'!$B$18),"")</f>
        <v>4847351.4102554647</v>
      </c>
      <c r="X935" s="171">
        <f t="shared" si="469"/>
        <v>2646361.144617009</v>
      </c>
      <c r="Y935" s="171">
        <f t="shared" si="470"/>
        <v>945693.37619963288</v>
      </c>
      <c r="Z935" s="171">
        <f t="shared" si="471"/>
        <v>1700667.7684173761</v>
      </c>
      <c r="AA935" s="172">
        <f t="shared" si="472"/>
        <v>7548019.1786728408</v>
      </c>
      <c r="AB935" s="5"/>
      <c r="AC935" s="5"/>
      <c r="AD935" s="5"/>
      <c r="AE935" s="5"/>
      <c r="AF935" s="5"/>
      <c r="AG935" s="5"/>
    </row>
    <row r="936" spans="1:33" x14ac:dyDescent="0.2">
      <c r="A936" s="173">
        <v>20</v>
      </c>
      <c r="B936" s="65" t="str">
        <f t="shared" si="458"/>
        <v>Retired</v>
      </c>
      <c r="C936" s="174">
        <f t="shared" si="459"/>
        <v>0</v>
      </c>
      <c r="D936" s="174">
        <f t="shared" si="460"/>
        <v>0</v>
      </c>
      <c r="E936" s="174">
        <f t="shared" si="461"/>
        <v>0</v>
      </c>
      <c r="F936" s="174">
        <f t="shared" si="462"/>
        <v>0</v>
      </c>
      <c r="G936" s="171">
        <f t="shared" si="463"/>
        <v>0</v>
      </c>
      <c r="H936" s="171">
        <f t="shared" si="464"/>
        <v>144576.57262450346</v>
      </c>
      <c r="I936" s="171">
        <f>IF(B936="Working",MIN(MAX(D936-E936-F936-G936-H936,0),'Tax Assumptions'!$B$20),0)</f>
        <v>0</v>
      </c>
      <c r="J936" s="171">
        <f t="shared" si="465"/>
        <v>-284576.57262450346</v>
      </c>
      <c r="K936" s="174">
        <f t="shared" si="466"/>
        <v>284576.57262450346</v>
      </c>
      <c r="L936" s="174">
        <f t="shared" si="467"/>
        <v>284576.57262450346</v>
      </c>
      <c r="M936" s="174">
        <f t="shared" si="473"/>
        <v>284576.57262450346</v>
      </c>
      <c r="N936" s="174">
        <f t="shared" si="474"/>
        <v>0</v>
      </c>
      <c r="O936" s="174">
        <f t="shared" si="475"/>
        <v>0</v>
      </c>
      <c r="P936" s="174">
        <f t="shared" si="476"/>
        <v>0</v>
      </c>
      <c r="Q936" s="171">
        <f t="shared" si="477"/>
        <v>5158262.441888961</v>
      </c>
      <c r="R936" s="171">
        <f t="shared" si="478"/>
        <v>578317.50839858025</v>
      </c>
      <c r="S936" s="171">
        <f t="shared" si="479"/>
        <v>177035.97195874903</v>
      </c>
      <c r="T936" s="171">
        <f t="shared" si="480"/>
        <v>0</v>
      </c>
      <c r="U936" s="171">
        <f t="shared" si="468"/>
        <v>5913615.9222462904</v>
      </c>
      <c r="V936" s="171">
        <f t="shared" si="481"/>
        <v>0</v>
      </c>
      <c r="W936" s="171">
        <f>IF(OR(A936&gt;=$C$13,B936="Retired"),IF(V936&gt;0,-V936,U936-'Model Inputs'!$B$18),"")</f>
        <v>4913615.9222462904</v>
      </c>
      <c r="X936" s="171">
        <f t="shared" si="469"/>
        <v>2725751.9789555194</v>
      </c>
      <c r="Y936" s="171">
        <f t="shared" si="470"/>
        <v>921851.43847675715</v>
      </c>
      <c r="Z936" s="171">
        <f t="shared" si="471"/>
        <v>1803900.5404787622</v>
      </c>
      <c r="AA936" s="175">
        <f t="shared" si="472"/>
        <v>7717516.4627250526</v>
      </c>
      <c r="AB936" s="5"/>
      <c r="AC936" s="5"/>
      <c r="AD936" s="5"/>
      <c r="AE936" s="5"/>
      <c r="AF936" s="5"/>
      <c r="AG936" s="5"/>
    </row>
    <row r="937" spans="1:33" x14ac:dyDescent="0.2">
      <c r="A937" s="169">
        <v>21</v>
      </c>
      <c r="B937" s="100" t="str">
        <f t="shared" si="458"/>
        <v>Retired</v>
      </c>
      <c r="C937" s="170">
        <f t="shared" si="459"/>
        <v>0</v>
      </c>
      <c r="D937" s="170">
        <f t="shared" si="460"/>
        <v>0</v>
      </c>
      <c r="E937" s="170">
        <f t="shared" si="461"/>
        <v>0</v>
      </c>
      <c r="F937" s="170">
        <f t="shared" si="462"/>
        <v>0</v>
      </c>
      <c r="G937" s="171">
        <f t="shared" si="463"/>
        <v>0</v>
      </c>
      <c r="H937" s="171">
        <f t="shared" si="464"/>
        <v>146375.5689306141</v>
      </c>
      <c r="I937" s="171">
        <f>IF(B937="Working",MIN(MAX(D937-E937-F937-G937-H937,0),'Tax Assumptions'!$B$20),0)</f>
        <v>0</v>
      </c>
      <c r="J937" s="171">
        <f t="shared" si="465"/>
        <v>-286375.5689306141</v>
      </c>
      <c r="K937" s="170">
        <f t="shared" si="466"/>
        <v>286375.5689306141</v>
      </c>
      <c r="L937" s="170">
        <f t="shared" si="467"/>
        <v>286375.5689306141</v>
      </c>
      <c r="M937" s="170">
        <f t="shared" si="473"/>
        <v>286375.5689306141</v>
      </c>
      <c r="N937" s="170">
        <f t="shared" si="474"/>
        <v>0</v>
      </c>
      <c r="O937" s="170">
        <f t="shared" si="475"/>
        <v>0</v>
      </c>
      <c r="P937" s="170">
        <f t="shared" si="476"/>
        <v>0</v>
      </c>
      <c r="Q937" s="171">
        <f t="shared" si="477"/>
        <v>5181382.619471685</v>
      </c>
      <c r="R937" s="171">
        <f t="shared" si="478"/>
        <v>613016.55890249508</v>
      </c>
      <c r="S937" s="171">
        <f t="shared" si="479"/>
        <v>187658.13027627397</v>
      </c>
      <c r="T937" s="171">
        <f t="shared" si="480"/>
        <v>0</v>
      </c>
      <c r="U937" s="171">
        <f t="shared" si="468"/>
        <v>5982057.3086504545</v>
      </c>
      <c r="V937" s="171">
        <f t="shared" si="481"/>
        <v>0</v>
      </c>
      <c r="W937" s="171">
        <f>IF(OR(A937&gt;=$C$13,B937="Retired"),IF(V937&gt;0,-V937,U937-'Model Inputs'!$B$18),"")</f>
        <v>4982057.3086504545</v>
      </c>
      <c r="X937" s="171">
        <f t="shared" si="469"/>
        <v>2807524.5383241847</v>
      </c>
      <c r="Y937" s="171">
        <f t="shared" si="470"/>
        <v>896412.76202925062</v>
      </c>
      <c r="Z937" s="171">
        <f t="shared" si="471"/>
        <v>1911111.7762949341</v>
      </c>
      <c r="AA937" s="172">
        <f t="shared" si="472"/>
        <v>7893169.0849453881</v>
      </c>
      <c r="AB937" s="5"/>
      <c r="AC937" s="5"/>
      <c r="AD937" s="5"/>
      <c r="AE937" s="5"/>
      <c r="AF937" s="5"/>
      <c r="AG937" s="5"/>
    </row>
    <row r="938" spans="1:33" x14ac:dyDescent="0.2">
      <c r="A938" s="173">
        <v>22</v>
      </c>
      <c r="B938" s="65" t="str">
        <f t="shared" si="458"/>
        <v>Retired</v>
      </c>
      <c r="C938" s="174">
        <f t="shared" si="459"/>
        <v>0</v>
      </c>
      <c r="D938" s="174">
        <f t="shared" si="460"/>
        <v>0</v>
      </c>
      <c r="E938" s="174">
        <f t="shared" si="461"/>
        <v>0</v>
      </c>
      <c r="F938" s="174">
        <f t="shared" si="462"/>
        <v>0</v>
      </c>
      <c r="G938" s="171">
        <f t="shared" si="463"/>
        <v>0</v>
      </c>
      <c r="H938" s="171">
        <f t="shared" si="464"/>
        <v>148228.53512590806</v>
      </c>
      <c r="I938" s="171">
        <f>IF(B938="Working",MIN(MAX(D938-E938-F938-G938-H938,0),'Tax Assumptions'!$B$20),0)</f>
        <v>0</v>
      </c>
      <c r="J938" s="171">
        <f t="shared" si="465"/>
        <v>-288228.53512590809</v>
      </c>
      <c r="K938" s="174">
        <f t="shared" si="466"/>
        <v>288228.53512590809</v>
      </c>
      <c r="L938" s="174">
        <f t="shared" si="467"/>
        <v>288228.53512590809</v>
      </c>
      <c r="M938" s="174">
        <f t="shared" si="473"/>
        <v>288228.53512590809</v>
      </c>
      <c r="N938" s="174">
        <f t="shared" si="474"/>
        <v>0</v>
      </c>
      <c r="O938" s="174">
        <f t="shared" si="475"/>
        <v>0</v>
      </c>
      <c r="P938" s="174">
        <f t="shared" si="476"/>
        <v>0</v>
      </c>
      <c r="Q938" s="171">
        <f t="shared" si="477"/>
        <v>5204037.0415140782</v>
      </c>
      <c r="R938" s="171">
        <f t="shared" si="478"/>
        <v>649797.55243664479</v>
      </c>
      <c r="S938" s="171">
        <f t="shared" si="479"/>
        <v>198917.6180928504</v>
      </c>
      <c r="T938" s="171">
        <f t="shared" si="480"/>
        <v>0</v>
      </c>
      <c r="U938" s="171">
        <f t="shared" si="468"/>
        <v>6052752.2120435741</v>
      </c>
      <c r="V938" s="171">
        <f t="shared" si="481"/>
        <v>0</v>
      </c>
      <c r="W938" s="171">
        <f>IF(OR(A938&gt;=$C$13,B938="Retired"),IF(V938&gt;0,-V938,U938-'Model Inputs'!$B$18),"")</f>
        <v>5052752.2120435741</v>
      </c>
      <c r="X938" s="171">
        <f t="shared" si="469"/>
        <v>2891750.2744739098</v>
      </c>
      <c r="Y938" s="171">
        <f t="shared" si="470"/>
        <v>869270.41030756128</v>
      </c>
      <c r="Z938" s="171">
        <f t="shared" si="471"/>
        <v>2022479.8641663485</v>
      </c>
      <c r="AA938" s="175">
        <f t="shared" si="472"/>
        <v>8075232.0762099223</v>
      </c>
      <c r="AB938" s="5"/>
      <c r="AC938" s="5"/>
      <c r="AD938" s="5"/>
      <c r="AE938" s="5"/>
      <c r="AF938" s="5"/>
      <c r="AG938" s="5"/>
    </row>
    <row r="939" spans="1:33" x14ac:dyDescent="0.2">
      <c r="A939" s="169">
        <v>23</v>
      </c>
      <c r="B939" s="100" t="str">
        <f t="shared" si="458"/>
        <v>Retired</v>
      </c>
      <c r="C939" s="170">
        <f t="shared" si="459"/>
        <v>0</v>
      </c>
      <c r="D939" s="170">
        <f t="shared" si="460"/>
        <v>0</v>
      </c>
      <c r="E939" s="170">
        <f t="shared" si="461"/>
        <v>0</v>
      </c>
      <c r="F939" s="170">
        <f t="shared" si="462"/>
        <v>0</v>
      </c>
      <c r="G939" s="171">
        <f t="shared" si="463"/>
        <v>0</v>
      </c>
      <c r="H939" s="171">
        <f t="shared" si="464"/>
        <v>150137.09030706083</v>
      </c>
      <c r="I939" s="171">
        <f>IF(B939="Working",MIN(MAX(D939-E939-F939-G939-H939,0),'Tax Assumptions'!$B$20),0)</f>
        <v>0</v>
      </c>
      <c r="J939" s="171">
        <f t="shared" si="465"/>
        <v>-290137.09030706086</v>
      </c>
      <c r="K939" s="170">
        <f t="shared" si="466"/>
        <v>290137.09030706086</v>
      </c>
      <c r="L939" s="170">
        <f t="shared" si="467"/>
        <v>290137.09030706086</v>
      </c>
      <c r="M939" s="170">
        <f t="shared" si="473"/>
        <v>290137.09030706086</v>
      </c>
      <c r="N939" s="170">
        <f t="shared" si="474"/>
        <v>0</v>
      </c>
      <c r="O939" s="170">
        <f t="shared" si="475"/>
        <v>0</v>
      </c>
      <c r="P939" s="170">
        <f t="shared" si="476"/>
        <v>0</v>
      </c>
      <c r="Q939" s="171">
        <f t="shared" si="477"/>
        <v>5226142.1736978628</v>
      </c>
      <c r="R939" s="171">
        <f t="shared" si="478"/>
        <v>688785.40558284346</v>
      </c>
      <c r="S939" s="171">
        <f t="shared" si="479"/>
        <v>210852.67517842143</v>
      </c>
      <c r="T939" s="171">
        <f t="shared" si="480"/>
        <v>0</v>
      </c>
      <c r="U939" s="171">
        <f t="shared" si="468"/>
        <v>6125780.2544591278</v>
      </c>
      <c r="V939" s="171">
        <f t="shared" si="481"/>
        <v>0</v>
      </c>
      <c r="W939" s="171">
        <f>IF(OR(A939&gt;=$C$13,B939="Retired"),IF(V939&gt;0,-V939,U939-'Model Inputs'!$B$18),"")</f>
        <v>5125780.2544591278</v>
      </c>
      <c r="X939" s="171">
        <f t="shared" si="469"/>
        <v>2978502.7827081271</v>
      </c>
      <c r="Y939" s="171">
        <f t="shared" si="470"/>
        <v>840310.28502336587</v>
      </c>
      <c r="Z939" s="171">
        <f t="shared" si="471"/>
        <v>2138192.497684761</v>
      </c>
      <c r="AA939" s="172">
        <f t="shared" si="472"/>
        <v>8263972.7521438887</v>
      </c>
      <c r="AB939" s="5"/>
      <c r="AC939" s="5"/>
      <c r="AD939" s="5"/>
      <c r="AE939" s="5"/>
      <c r="AF939" s="5"/>
      <c r="AG939" s="5"/>
    </row>
    <row r="940" spans="1:33" x14ac:dyDescent="0.2">
      <c r="A940" s="173">
        <v>24</v>
      </c>
      <c r="B940" s="65" t="str">
        <f t="shared" si="458"/>
        <v>Retired</v>
      </c>
      <c r="C940" s="174">
        <f t="shared" si="459"/>
        <v>0</v>
      </c>
      <c r="D940" s="174">
        <f t="shared" si="460"/>
        <v>0</v>
      </c>
      <c r="E940" s="174">
        <f t="shared" si="461"/>
        <v>0</v>
      </c>
      <c r="F940" s="174">
        <f t="shared" si="462"/>
        <v>0</v>
      </c>
      <c r="G940" s="171">
        <f t="shared" si="463"/>
        <v>0</v>
      </c>
      <c r="H940" s="171">
        <f t="shared" si="464"/>
        <v>152102.90214364821</v>
      </c>
      <c r="I940" s="171">
        <f>IF(B940="Working",MIN(MAX(D940-E940-F940-G940-H940,0),'Tax Assumptions'!$B$20),0)</f>
        <v>0</v>
      </c>
      <c r="J940" s="171">
        <f t="shared" si="465"/>
        <v>-292102.90214364824</v>
      </c>
      <c r="K940" s="174">
        <f t="shared" si="466"/>
        <v>292102.90214364824</v>
      </c>
      <c r="L940" s="174">
        <f t="shared" si="467"/>
        <v>292102.90214364824</v>
      </c>
      <c r="M940" s="174">
        <f t="shared" si="473"/>
        <v>292102.90214364824</v>
      </c>
      <c r="N940" s="174">
        <f t="shared" si="474"/>
        <v>0</v>
      </c>
      <c r="O940" s="174">
        <f t="shared" si="475"/>
        <v>0</v>
      </c>
      <c r="P940" s="174">
        <f t="shared" si="476"/>
        <v>0</v>
      </c>
      <c r="Q940" s="171">
        <f t="shared" si="477"/>
        <v>5247607.8019760866</v>
      </c>
      <c r="R940" s="171">
        <f t="shared" si="478"/>
        <v>730112.52991781407</v>
      </c>
      <c r="S940" s="171">
        <f t="shared" si="479"/>
        <v>223503.83568912672</v>
      </c>
      <c r="T940" s="171">
        <f t="shared" si="480"/>
        <v>0</v>
      </c>
      <c r="U940" s="171">
        <f t="shared" si="468"/>
        <v>6201224.1675830269</v>
      </c>
      <c r="V940" s="171">
        <f t="shared" si="481"/>
        <v>0</v>
      </c>
      <c r="W940" s="171">
        <f>IF(OR(A940&gt;=$C$13,B940="Retired"),IF(V940&gt;0,-V940,U940-'Model Inputs'!$B$18),"")</f>
        <v>5201224.1675830269</v>
      </c>
      <c r="X940" s="171">
        <f t="shared" si="469"/>
        <v>3067857.8661893713</v>
      </c>
      <c r="Y940" s="171">
        <f t="shared" si="470"/>
        <v>809410.64651466254</v>
      </c>
      <c r="Z940" s="171">
        <f t="shared" si="471"/>
        <v>2258447.2196747088</v>
      </c>
      <c r="AA940" s="175">
        <f t="shared" si="472"/>
        <v>8459671.3872577362</v>
      </c>
      <c r="AB940" s="5"/>
      <c r="AC940" s="5"/>
      <c r="AD940" s="5"/>
      <c r="AE940" s="5"/>
      <c r="AF940" s="5"/>
      <c r="AG940" s="5"/>
    </row>
    <row r="941" spans="1:33" x14ac:dyDescent="0.2">
      <c r="A941" s="169">
        <v>25</v>
      </c>
      <c r="B941" s="100" t="str">
        <f t="shared" si="458"/>
        <v>Retired</v>
      </c>
      <c r="C941" s="170">
        <f t="shared" si="459"/>
        <v>0</v>
      </c>
      <c r="D941" s="170">
        <f t="shared" si="460"/>
        <v>0</v>
      </c>
      <c r="E941" s="170">
        <f t="shared" si="461"/>
        <v>0</v>
      </c>
      <c r="F941" s="170">
        <f t="shared" si="462"/>
        <v>0</v>
      </c>
      <c r="G941" s="171">
        <f t="shared" si="463"/>
        <v>0</v>
      </c>
      <c r="H941" s="171">
        <f t="shared" si="464"/>
        <v>154127.68833533319</v>
      </c>
      <c r="I941" s="171">
        <f>IF(B941="Working",MIN(MAX(D941-E941-F941-G941-H941,0),'Tax Assumptions'!$B$20),0)</f>
        <v>0</v>
      </c>
      <c r="J941" s="171">
        <f t="shared" si="465"/>
        <v>-294127.68833533319</v>
      </c>
      <c r="K941" s="170">
        <f t="shared" si="466"/>
        <v>294127.68833533319</v>
      </c>
      <c r="L941" s="170">
        <f t="shared" si="467"/>
        <v>294127.68833533319</v>
      </c>
      <c r="M941" s="170">
        <f t="shared" si="473"/>
        <v>294127.68833533319</v>
      </c>
      <c r="N941" s="170">
        <f t="shared" si="474"/>
        <v>0</v>
      </c>
      <c r="O941" s="170">
        <f t="shared" si="475"/>
        <v>0</v>
      </c>
      <c r="P941" s="170">
        <f t="shared" si="476"/>
        <v>0</v>
      </c>
      <c r="Q941" s="171">
        <f t="shared" si="477"/>
        <v>5268336.5817593187</v>
      </c>
      <c r="R941" s="171">
        <f t="shared" si="478"/>
        <v>773919.28171288292</v>
      </c>
      <c r="S941" s="171">
        <f t="shared" si="479"/>
        <v>236914.06583047434</v>
      </c>
      <c r="T941" s="171">
        <f t="shared" si="480"/>
        <v>0</v>
      </c>
      <c r="U941" s="171">
        <f t="shared" si="468"/>
        <v>6279169.9293026766</v>
      </c>
      <c r="V941" s="171">
        <f t="shared" si="481"/>
        <v>0</v>
      </c>
      <c r="W941" s="171">
        <f>IF(OR(A941&gt;=$C$13,B941="Retired"),IF(V941&gt;0,-V941,U941-'Model Inputs'!$B$18),"")</f>
        <v>5279169.9293026766</v>
      </c>
      <c r="X941" s="171">
        <f t="shared" si="469"/>
        <v>3159893.6021750527</v>
      </c>
      <c r="Y941" s="171">
        <f t="shared" si="470"/>
        <v>776441.60198882176</v>
      </c>
      <c r="Z941" s="171">
        <f t="shared" si="471"/>
        <v>2383452.000186231</v>
      </c>
      <c r="AA941" s="172">
        <f t="shared" si="472"/>
        <v>8662621.9294889085</v>
      </c>
      <c r="AB941" s="5"/>
      <c r="AC941" s="5"/>
      <c r="AD941" s="5"/>
      <c r="AE941" s="5"/>
      <c r="AF941" s="5"/>
      <c r="AG941" s="5"/>
    </row>
    <row r="942" spans="1:33" x14ac:dyDescent="0.2">
      <c r="A942" s="173">
        <v>26</v>
      </c>
      <c r="B942" s="65" t="str">
        <f t="shared" si="458"/>
        <v>Retired</v>
      </c>
      <c r="C942" s="174">
        <f t="shared" si="459"/>
        <v>0</v>
      </c>
      <c r="D942" s="174">
        <f t="shared" si="460"/>
        <v>0</v>
      </c>
      <c r="E942" s="174">
        <f t="shared" si="461"/>
        <v>0</v>
      </c>
      <c r="F942" s="174">
        <f t="shared" si="462"/>
        <v>0</v>
      </c>
      <c r="G942" s="171">
        <f t="shared" si="463"/>
        <v>0</v>
      </c>
      <c r="H942" s="171">
        <f t="shared" si="464"/>
        <v>156213.21811276872</v>
      </c>
      <c r="I942" s="171">
        <f>IF(B942="Working",MIN(MAX(D942-E942-F942-G942-H942,0),'Tax Assumptions'!$B$20),0)</f>
        <v>0</v>
      </c>
      <c r="J942" s="171">
        <f t="shared" si="465"/>
        <v>-296213.21811276872</v>
      </c>
      <c r="K942" s="174">
        <f t="shared" si="466"/>
        <v>296213.21811276872</v>
      </c>
      <c r="L942" s="174">
        <f t="shared" si="467"/>
        <v>296213.21811276872</v>
      </c>
      <c r="M942" s="174">
        <f t="shared" si="473"/>
        <v>296213.21811276872</v>
      </c>
      <c r="N942" s="174">
        <f t="shared" si="474"/>
        <v>0</v>
      </c>
      <c r="O942" s="174">
        <f t="shared" si="475"/>
        <v>0</v>
      </c>
      <c r="P942" s="174">
        <f t="shared" si="476"/>
        <v>0</v>
      </c>
      <c r="Q942" s="171">
        <f t="shared" si="477"/>
        <v>5288223.5585521096</v>
      </c>
      <c r="R942" s="171">
        <f t="shared" si="478"/>
        <v>820354.43861565599</v>
      </c>
      <c r="S942" s="171">
        <f t="shared" si="479"/>
        <v>251128.90978030281</v>
      </c>
      <c r="T942" s="171">
        <f t="shared" si="480"/>
        <v>0</v>
      </c>
      <c r="U942" s="171">
        <f t="shared" si="468"/>
        <v>6359706.9069480691</v>
      </c>
      <c r="V942" s="171">
        <f t="shared" si="481"/>
        <v>0</v>
      </c>
      <c r="W942" s="171">
        <f>IF(OR(A942&gt;=$C$13,B942="Retired"),IF(V942&gt;0,-V942,U942-'Model Inputs'!$B$18),"")</f>
        <v>5359706.9069480691</v>
      </c>
      <c r="X942" s="171">
        <f t="shared" si="469"/>
        <v>3254690.4102403037</v>
      </c>
      <c r="Y942" s="171">
        <f t="shared" si="470"/>
        <v>741264.559492331</v>
      </c>
      <c r="Z942" s="171">
        <f t="shared" si="471"/>
        <v>2513425.8507479727</v>
      </c>
      <c r="AA942" s="175">
        <f t="shared" si="472"/>
        <v>8873132.7576960418</v>
      </c>
      <c r="AB942" s="5"/>
      <c r="AC942" s="5"/>
      <c r="AD942" s="5"/>
      <c r="AE942" s="5"/>
      <c r="AF942" s="5"/>
      <c r="AG942" s="5"/>
    </row>
    <row r="943" spans="1:33" x14ac:dyDescent="0.2">
      <c r="A943" s="169">
        <v>27</v>
      </c>
      <c r="B943" s="100" t="str">
        <f t="shared" si="458"/>
        <v>Retired</v>
      </c>
      <c r="C943" s="170">
        <f t="shared" si="459"/>
        <v>0</v>
      </c>
      <c r="D943" s="170">
        <f t="shared" si="460"/>
        <v>0</v>
      </c>
      <c r="E943" s="170">
        <f t="shared" si="461"/>
        <v>0</v>
      </c>
      <c r="F943" s="170">
        <f t="shared" si="462"/>
        <v>0</v>
      </c>
      <c r="G943" s="171">
        <f t="shared" si="463"/>
        <v>0</v>
      </c>
      <c r="H943" s="171">
        <f t="shared" si="464"/>
        <v>158361.31378352732</v>
      </c>
      <c r="I943" s="171">
        <f>IF(B943="Working",MIN(MAX(D943-E943-F943-G943-H943,0),'Tax Assumptions'!$B$20),0)</f>
        <v>0</v>
      </c>
      <c r="J943" s="171">
        <f t="shared" si="465"/>
        <v>-298361.31378352735</v>
      </c>
      <c r="K943" s="170">
        <f t="shared" si="466"/>
        <v>298361.31378352735</v>
      </c>
      <c r="L943" s="170">
        <f t="shared" si="467"/>
        <v>298361.31378352735</v>
      </c>
      <c r="M943" s="170">
        <f t="shared" si="473"/>
        <v>298361.31378352735</v>
      </c>
      <c r="N943" s="170">
        <f t="shared" si="474"/>
        <v>0</v>
      </c>
      <c r="O943" s="170">
        <f t="shared" si="475"/>
        <v>0</v>
      </c>
      <c r="P943" s="170">
        <f t="shared" si="476"/>
        <v>0</v>
      </c>
      <c r="Q943" s="171">
        <f t="shared" si="477"/>
        <v>5307155.6582817091</v>
      </c>
      <c r="R943" s="171">
        <f t="shared" si="478"/>
        <v>869575.70493259537</v>
      </c>
      <c r="S943" s="171">
        <f t="shared" si="479"/>
        <v>266196.64436712099</v>
      </c>
      <c r="T943" s="171">
        <f t="shared" si="480"/>
        <v>0</v>
      </c>
      <c r="U943" s="171">
        <f t="shared" si="468"/>
        <v>6442928.0075814258</v>
      </c>
      <c r="V943" s="171">
        <f t="shared" si="481"/>
        <v>0</v>
      </c>
      <c r="W943" s="171">
        <f>IF(OR(A943&gt;=$C$13,B943="Retired"),IF(V943&gt;0,-V943,U943-'Model Inputs'!$B$18),"")</f>
        <v>5442928.0075814258</v>
      </c>
      <c r="X943" s="171">
        <f t="shared" si="469"/>
        <v>3352331.1225475129</v>
      </c>
      <c r="Y943" s="171">
        <f t="shared" si="470"/>
        <v>703731.64531187899</v>
      </c>
      <c r="Z943" s="171">
        <f t="shared" si="471"/>
        <v>2648599.4772356339</v>
      </c>
      <c r="AA943" s="172">
        <f t="shared" si="472"/>
        <v>9091527.4848170597</v>
      </c>
      <c r="AB943" s="5"/>
      <c r="AC943" s="5"/>
      <c r="AD943" s="5"/>
      <c r="AE943" s="5"/>
      <c r="AF943" s="5"/>
      <c r="AG943" s="5"/>
    </row>
    <row r="944" spans="1:33" x14ac:dyDescent="0.2">
      <c r="A944" s="173">
        <v>28</v>
      </c>
      <c r="B944" s="65" t="str">
        <f t="shared" si="458"/>
        <v>Retired</v>
      </c>
      <c r="C944" s="174">
        <f t="shared" si="459"/>
        <v>0</v>
      </c>
      <c r="D944" s="174">
        <f t="shared" si="460"/>
        <v>0</v>
      </c>
      <c r="E944" s="174">
        <f t="shared" si="461"/>
        <v>0</v>
      </c>
      <c r="F944" s="174">
        <f t="shared" si="462"/>
        <v>0</v>
      </c>
      <c r="G944" s="171">
        <f t="shared" si="463"/>
        <v>0</v>
      </c>
      <c r="H944" s="171">
        <f t="shared" si="464"/>
        <v>160573.85232440868</v>
      </c>
      <c r="I944" s="171">
        <f>IF(B944="Working",MIN(MAX(D944-E944-F944-G944-H944,0),'Tax Assumptions'!$B$20),0)</f>
        <v>0</v>
      </c>
      <c r="J944" s="171">
        <f t="shared" si="465"/>
        <v>-300573.85232440871</v>
      </c>
      <c r="K944" s="174">
        <f t="shared" si="466"/>
        <v>300573.85232440871</v>
      </c>
      <c r="L944" s="174">
        <f t="shared" si="467"/>
        <v>300573.85232440871</v>
      </c>
      <c r="M944" s="174">
        <f t="shared" si="473"/>
        <v>300573.85232440871</v>
      </c>
      <c r="N944" s="174">
        <f t="shared" si="474"/>
        <v>0</v>
      </c>
      <c r="O944" s="174">
        <f t="shared" si="475"/>
        <v>0</v>
      </c>
      <c r="P944" s="174">
        <f t="shared" si="476"/>
        <v>0</v>
      </c>
      <c r="Q944" s="171">
        <f t="shared" si="477"/>
        <v>5325011.1454542037</v>
      </c>
      <c r="R944" s="171">
        <f t="shared" si="478"/>
        <v>921750.24722855119</v>
      </c>
      <c r="S944" s="171">
        <f t="shared" si="479"/>
        <v>282168.44302914827</v>
      </c>
      <c r="T944" s="171">
        <f t="shared" si="480"/>
        <v>0</v>
      </c>
      <c r="U944" s="171">
        <f t="shared" si="468"/>
        <v>6528929.8357119039</v>
      </c>
      <c r="V944" s="171">
        <f t="shared" si="481"/>
        <v>0</v>
      </c>
      <c r="W944" s="171">
        <f>IF(OR(A944&gt;=$C$13,B944="Retired"),IF(V944&gt;0,-V944,U944-'Model Inputs'!$B$18),"")</f>
        <v>5528929.8357119039</v>
      </c>
      <c r="X944" s="171">
        <f t="shared" si="469"/>
        <v>3452901.0562239382</v>
      </c>
      <c r="Y944" s="171">
        <f t="shared" si="470"/>
        <v>663685.08235770883</v>
      </c>
      <c r="Z944" s="171">
        <f t="shared" si="471"/>
        <v>2789215.9738662294</v>
      </c>
      <c r="AA944" s="175">
        <f t="shared" si="472"/>
        <v>9318145.8095781337</v>
      </c>
      <c r="AB944" s="5"/>
      <c r="AC944" s="5"/>
      <c r="AD944" s="5"/>
      <c r="AE944" s="5"/>
      <c r="AF944" s="5"/>
      <c r="AG944" s="5"/>
    </row>
    <row r="945" spans="1:33" x14ac:dyDescent="0.2">
      <c r="A945" s="169">
        <v>29</v>
      </c>
      <c r="B945" s="100" t="str">
        <f t="shared" si="458"/>
        <v>Retired</v>
      </c>
      <c r="C945" s="170">
        <f t="shared" si="459"/>
        <v>0</v>
      </c>
      <c r="D945" s="170">
        <f t="shared" si="460"/>
        <v>0</v>
      </c>
      <c r="E945" s="170">
        <f t="shared" si="461"/>
        <v>0</v>
      </c>
      <c r="F945" s="170">
        <f t="shared" si="462"/>
        <v>0</v>
      </c>
      <c r="G945" s="171">
        <f t="shared" si="463"/>
        <v>0</v>
      </c>
      <c r="H945" s="171">
        <f t="shared" si="464"/>
        <v>162852.76702151648</v>
      </c>
      <c r="I945" s="171">
        <f>IF(B945="Working",MIN(MAX(D945-E945-F945-G945-H945,0),'Tax Assumptions'!$B$20),0)</f>
        <v>0</v>
      </c>
      <c r="J945" s="171">
        <f t="shared" si="465"/>
        <v>-302852.76702151645</v>
      </c>
      <c r="K945" s="170">
        <f t="shared" si="466"/>
        <v>302852.76702151645</v>
      </c>
      <c r="L945" s="170">
        <f t="shared" si="467"/>
        <v>302852.76702151645</v>
      </c>
      <c r="M945" s="170">
        <f t="shared" si="473"/>
        <v>302852.76702151645</v>
      </c>
      <c r="N945" s="170">
        <f t="shared" si="474"/>
        <v>0</v>
      </c>
      <c r="O945" s="170">
        <f t="shared" si="475"/>
        <v>0</v>
      </c>
      <c r="P945" s="170">
        <f t="shared" si="476"/>
        <v>0</v>
      </c>
      <c r="Q945" s="171">
        <f t="shared" si="477"/>
        <v>5341659.04715994</v>
      </c>
      <c r="R945" s="171">
        <f t="shared" si="478"/>
        <v>977055.26206226426</v>
      </c>
      <c r="S945" s="171">
        <f t="shared" si="479"/>
        <v>299098.5496108972</v>
      </c>
      <c r="T945" s="171">
        <f t="shared" si="480"/>
        <v>0</v>
      </c>
      <c r="U945" s="171">
        <f t="shared" si="468"/>
        <v>6617812.8588331016</v>
      </c>
      <c r="V945" s="171">
        <f t="shared" si="481"/>
        <v>0</v>
      </c>
      <c r="W945" s="171">
        <f>IF(OR(A945&gt;=$C$13,B945="Retired"),IF(V945&gt;0,-V945,U945-'Model Inputs'!$B$18),"")</f>
        <v>5617812.8588331016</v>
      </c>
      <c r="X945" s="171">
        <f t="shared" si="469"/>
        <v>3556488.0879106564</v>
      </c>
      <c r="Y945" s="171">
        <f t="shared" si="470"/>
        <v>620956.52691616118</v>
      </c>
      <c r="Z945" s="171">
        <f t="shared" si="471"/>
        <v>2935531.5609944952</v>
      </c>
      <c r="AA945" s="172">
        <f t="shared" si="472"/>
        <v>9553344.4198275972</v>
      </c>
      <c r="AB945" s="5"/>
      <c r="AC945" s="5"/>
      <c r="AD945" s="5"/>
      <c r="AE945" s="5"/>
      <c r="AF945" s="5"/>
      <c r="AG945" s="5"/>
    </row>
    <row r="946" spans="1:33" x14ac:dyDescent="0.2">
      <c r="A946" s="173">
        <v>30</v>
      </c>
      <c r="B946" s="65" t="str">
        <f t="shared" si="458"/>
        <v>Retired</v>
      </c>
      <c r="C946" s="174">
        <f t="shared" si="459"/>
        <v>0</v>
      </c>
      <c r="D946" s="174">
        <f t="shared" si="460"/>
        <v>0</v>
      </c>
      <c r="E946" s="174">
        <f t="shared" si="461"/>
        <v>0</v>
      </c>
      <c r="F946" s="174">
        <f t="shared" si="462"/>
        <v>0</v>
      </c>
      <c r="G946" s="171">
        <f t="shared" si="463"/>
        <v>0</v>
      </c>
      <c r="H946" s="171">
        <f t="shared" si="464"/>
        <v>165200.04915953751</v>
      </c>
      <c r="I946" s="171">
        <f>IF(B946="Working",MIN(MAX(D946-E946-F946-G946-H946,0),'Tax Assumptions'!$B$20),0)</f>
        <v>0</v>
      </c>
      <c r="J946" s="171">
        <f t="shared" si="465"/>
        <v>-305200.04915953754</v>
      </c>
      <c r="K946" s="174">
        <f t="shared" si="466"/>
        <v>305200.04915953754</v>
      </c>
      <c r="L946" s="174">
        <f t="shared" si="467"/>
        <v>305200.04915953754</v>
      </c>
      <c r="M946" s="174">
        <f t="shared" si="473"/>
        <v>305200.04915953754</v>
      </c>
      <c r="N946" s="174">
        <f t="shared" si="474"/>
        <v>0</v>
      </c>
      <c r="O946" s="174">
        <f t="shared" si="475"/>
        <v>0</v>
      </c>
      <c r="P946" s="174">
        <f t="shared" si="476"/>
        <v>0</v>
      </c>
      <c r="Q946" s="171">
        <f t="shared" si="477"/>
        <v>5356958.5408299994</v>
      </c>
      <c r="R946" s="171">
        <f t="shared" si="478"/>
        <v>1035678.5777860002</v>
      </c>
      <c r="S946" s="171">
        <f t="shared" si="479"/>
        <v>317044.46258755104</v>
      </c>
      <c r="T946" s="171">
        <f t="shared" si="480"/>
        <v>0</v>
      </c>
      <c r="U946" s="171">
        <f t="shared" si="468"/>
        <v>6709681.581203551</v>
      </c>
      <c r="V946" s="171">
        <f t="shared" si="481"/>
        <v>0</v>
      </c>
      <c r="W946" s="171">
        <f>IF(OR(A946&gt;=$C$13,B946="Retired"),IF(V946&gt;0,-V946,U946-'Model Inputs'!$B$18),"")</f>
        <v>5709681.581203551</v>
      </c>
      <c r="X946" s="171">
        <f t="shared" si="469"/>
        <v>3663182.7305479757</v>
      </c>
      <c r="Y946" s="171">
        <f t="shared" si="470"/>
        <v>575366.36098330049</v>
      </c>
      <c r="Z946" s="171">
        <f t="shared" si="471"/>
        <v>3087816.3695646753</v>
      </c>
      <c r="AA946" s="175">
        <f t="shared" si="472"/>
        <v>9797497.9507682268</v>
      </c>
      <c r="AB946" s="5"/>
      <c r="AC946" s="5"/>
      <c r="AD946" s="5"/>
      <c r="AE946" s="5"/>
      <c r="AF946" s="5"/>
      <c r="AG946" s="5"/>
    </row>
    <row r="947" spans="1:33" x14ac:dyDescent="0.2">
      <c r="A947" s="169">
        <v>31</v>
      </c>
      <c r="B947" s="100" t="str">
        <f t="shared" si="458"/>
        <v>Retired</v>
      </c>
      <c r="C947" s="170">
        <f t="shared" si="459"/>
        <v>0</v>
      </c>
      <c r="D947" s="170">
        <f t="shared" si="460"/>
        <v>0</v>
      </c>
      <c r="E947" s="170">
        <f t="shared" si="461"/>
        <v>0</v>
      </c>
      <c r="F947" s="170">
        <f t="shared" si="462"/>
        <v>0</v>
      </c>
      <c r="G947" s="171">
        <f t="shared" si="463"/>
        <v>0</v>
      </c>
      <c r="H947" s="171">
        <f t="shared" si="464"/>
        <v>167617.74976169917</v>
      </c>
      <c r="I947" s="171">
        <f>IF(B947="Working",MIN(MAX(D947-E947-F947-G947-H947,0),'Tax Assumptions'!$B$20),0)</f>
        <v>0</v>
      </c>
      <c r="J947" s="171">
        <f t="shared" si="465"/>
        <v>-307617.74976169917</v>
      </c>
      <c r="K947" s="170">
        <f t="shared" si="466"/>
        <v>307617.74976169917</v>
      </c>
      <c r="L947" s="170">
        <f t="shared" si="467"/>
        <v>307617.74976169917</v>
      </c>
      <c r="M947" s="170">
        <f t="shared" si="473"/>
        <v>307617.74976169917</v>
      </c>
      <c r="N947" s="170">
        <f t="shared" si="474"/>
        <v>0</v>
      </c>
      <c r="O947" s="170">
        <f t="shared" si="475"/>
        <v>0</v>
      </c>
      <c r="P947" s="170">
        <f t="shared" si="476"/>
        <v>0</v>
      </c>
      <c r="Q947" s="171">
        <f t="shared" si="477"/>
        <v>5370758.3035181006</v>
      </c>
      <c r="R947" s="171">
        <f t="shared" si="478"/>
        <v>1097819.2924531603</v>
      </c>
      <c r="S947" s="171">
        <f t="shared" si="479"/>
        <v>336067.13034280413</v>
      </c>
      <c r="T947" s="171">
        <f t="shared" si="480"/>
        <v>0</v>
      </c>
      <c r="U947" s="171">
        <f t="shared" si="468"/>
        <v>6804644.726314065</v>
      </c>
      <c r="V947" s="171">
        <f t="shared" si="481"/>
        <v>0</v>
      </c>
      <c r="W947" s="171">
        <f>IF(OR(A947&gt;=$C$13,B947="Retired"),IF(V947&gt;0,-V947,U947-'Model Inputs'!$B$18),"")</f>
        <v>5804644.726314065</v>
      </c>
      <c r="X947" s="171">
        <f t="shared" si="469"/>
        <v>3773078.2124644145</v>
      </c>
      <c r="Y947" s="171">
        <f t="shared" si="470"/>
        <v>526722.93720481312</v>
      </c>
      <c r="Z947" s="171">
        <f t="shared" si="471"/>
        <v>3246355.2752596014</v>
      </c>
      <c r="AA947" s="172">
        <f t="shared" si="472"/>
        <v>10051000.001573667</v>
      </c>
      <c r="AB947" s="5"/>
      <c r="AC947" s="5"/>
      <c r="AD947" s="5"/>
      <c r="AE947" s="5"/>
      <c r="AF947" s="5"/>
      <c r="AG947" s="5"/>
    </row>
    <row r="948" spans="1:33" x14ac:dyDescent="0.2">
      <c r="A948" s="173">
        <v>32</v>
      </c>
      <c r="B948" s="65" t="str">
        <f t="shared" si="458"/>
        <v>Retired</v>
      </c>
      <c r="C948" s="174">
        <f t="shared" si="459"/>
        <v>0</v>
      </c>
      <c r="D948" s="174">
        <f t="shared" si="460"/>
        <v>0</v>
      </c>
      <c r="E948" s="174">
        <f t="shared" si="461"/>
        <v>0</v>
      </c>
      <c r="F948" s="174">
        <f t="shared" si="462"/>
        <v>0</v>
      </c>
      <c r="G948" s="171">
        <f t="shared" si="463"/>
        <v>0</v>
      </c>
      <c r="H948" s="171">
        <f t="shared" si="464"/>
        <v>170107.9813819257</v>
      </c>
      <c r="I948" s="171">
        <f>IF(B948="Working",MIN(MAX(D948-E948-F948-G948-H948,0),'Tax Assumptions'!$B$20),0)</f>
        <v>0</v>
      </c>
      <c r="J948" s="171">
        <f t="shared" si="465"/>
        <v>-310107.9813819257</v>
      </c>
      <c r="K948" s="174">
        <f t="shared" si="466"/>
        <v>310107.9813819257</v>
      </c>
      <c r="L948" s="174">
        <f t="shared" si="467"/>
        <v>310107.9813819257</v>
      </c>
      <c r="M948" s="174">
        <f t="shared" si="473"/>
        <v>310107.9813819257</v>
      </c>
      <c r="N948" s="174">
        <f t="shared" si="474"/>
        <v>0</v>
      </c>
      <c r="O948" s="174">
        <f t="shared" si="475"/>
        <v>0</v>
      </c>
      <c r="P948" s="174">
        <f t="shared" si="476"/>
        <v>0</v>
      </c>
      <c r="Q948" s="171">
        <f t="shared" si="477"/>
        <v>5382895.8203472616</v>
      </c>
      <c r="R948" s="171">
        <f t="shared" si="478"/>
        <v>1163688.4500003499</v>
      </c>
      <c r="S948" s="171">
        <f t="shared" si="479"/>
        <v>356231.15816337237</v>
      </c>
      <c r="T948" s="171">
        <f t="shared" si="480"/>
        <v>0</v>
      </c>
      <c r="U948" s="171">
        <f t="shared" si="468"/>
        <v>6902815.4285109844</v>
      </c>
      <c r="V948" s="171">
        <f t="shared" si="481"/>
        <v>0</v>
      </c>
      <c r="W948" s="171">
        <f>IF(OR(A948&gt;=$C$13,B948="Retired"),IF(V948&gt;0,-V948,U948-'Model Inputs'!$B$18),"")</f>
        <v>5902815.4285109844</v>
      </c>
      <c r="X948" s="171">
        <f t="shared" si="469"/>
        <v>3886270.5588383474</v>
      </c>
      <c r="Y948" s="171">
        <f t="shared" si="470"/>
        <v>474821.77324813511</v>
      </c>
      <c r="Z948" s="171">
        <f t="shared" si="471"/>
        <v>3411448.7855902123</v>
      </c>
      <c r="AA948" s="175">
        <f t="shared" si="472"/>
        <v>10314264.214101197</v>
      </c>
      <c r="AB948" s="5"/>
      <c r="AC948" s="5"/>
      <c r="AD948" s="5"/>
      <c r="AE948" s="5"/>
      <c r="AF948" s="5"/>
      <c r="AG948" s="5"/>
    </row>
    <row r="949" spans="1:33" x14ac:dyDescent="0.2">
      <c r="A949" s="169">
        <v>33</v>
      </c>
      <c r="B949" s="100" t="str">
        <f t="shared" si="458"/>
        <v>Retired</v>
      </c>
      <c r="C949" s="170">
        <f t="shared" si="459"/>
        <v>0</v>
      </c>
      <c r="D949" s="170">
        <f t="shared" si="460"/>
        <v>0</v>
      </c>
      <c r="E949" s="170">
        <f t="shared" si="461"/>
        <v>0</v>
      </c>
      <c r="F949" s="170">
        <f t="shared" si="462"/>
        <v>0</v>
      </c>
      <c r="G949" s="171">
        <f t="shared" si="463"/>
        <v>0</v>
      </c>
      <c r="H949" s="171">
        <f t="shared" si="464"/>
        <v>172672.91995075901</v>
      </c>
      <c r="I949" s="171">
        <f>IF(B949="Working",MIN(MAX(D949-E949-F949-G949-H949,0),'Tax Assumptions'!$B$20),0)</f>
        <v>0</v>
      </c>
      <c r="J949" s="171">
        <f t="shared" si="465"/>
        <v>-312672.91995075904</v>
      </c>
      <c r="K949" s="170">
        <f t="shared" si="466"/>
        <v>312672.91995075904</v>
      </c>
      <c r="L949" s="170">
        <f t="shared" si="467"/>
        <v>312672.91995075904</v>
      </c>
      <c r="M949" s="170">
        <f t="shared" si="473"/>
        <v>312672.91995075904</v>
      </c>
      <c r="N949" s="170">
        <f t="shared" si="474"/>
        <v>0</v>
      </c>
      <c r="O949" s="170">
        <f t="shared" si="475"/>
        <v>0</v>
      </c>
      <c r="P949" s="170">
        <f t="shared" si="476"/>
        <v>0</v>
      </c>
      <c r="Q949" s="171">
        <f t="shared" si="477"/>
        <v>5393196.6496173386</v>
      </c>
      <c r="R949" s="171">
        <f t="shared" si="478"/>
        <v>1233509.7570003709</v>
      </c>
      <c r="S949" s="171">
        <f t="shared" si="479"/>
        <v>377605.02765317471</v>
      </c>
      <c r="T949" s="171">
        <f t="shared" si="480"/>
        <v>0</v>
      </c>
      <c r="U949" s="171">
        <f t="shared" si="468"/>
        <v>7004311.4342708839</v>
      </c>
      <c r="V949" s="171">
        <f t="shared" si="481"/>
        <v>0</v>
      </c>
      <c r="W949" s="171">
        <f>IF(OR(A949&gt;=$C$13,B949="Retired"),IF(V949&gt;0,-V949,U949-'Model Inputs'!$B$18),"")</f>
        <v>6004311.4342708839</v>
      </c>
      <c r="X949" s="171">
        <f t="shared" si="469"/>
        <v>4002858.6756034982</v>
      </c>
      <c r="Y949" s="171">
        <f t="shared" si="470"/>
        <v>419444.69222019147</v>
      </c>
      <c r="Z949" s="171">
        <f t="shared" si="471"/>
        <v>3583413.9833833068</v>
      </c>
      <c r="AA949" s="172">
        <f t="shared" si="472"/>
        <v>10587725.41765419</v>
      </c>
      <c r="AB949" s="5"/>
      <c r="AC949" s="5"/>
      <c r="AD949" s="5"/>
      <c r="AE949" s="5"/>
      <c r="AF949" s="5"/>
      <c r="AG949" s="5"/>
    </row>
    <row r="950" spans="1:33" x14ac:dyDescent="0.2">
      <c r="A950" s="173">
        <v>34</v>
      </c>
      <c r="B950" s="65" t="str">
        <f t="shared" si="458"/>
        <v>Retired</v>
      </c>
      <c r="C950" s="174">
        <f t="shared" si="459"/>
        <v>0</v>
      </c>
      <c r="D950" s="174">
        <f t="shared" si="460"/>
        <v>0</v>
      </c>
      <c r="E950" s="174">
        <f t="shared" si="461"/>
        <v>0</v>
      </c>
      <c r="F950" s="174">
        <f t="shared" si="462"/>
        <v>0</v>
      </c>
      <c r="G950" s="171">
        <f t="shared" si="463"/>
        <v>0</v>
      </c>
      <c r="H950" s="171">
        <f t="shared" si="464"/>
        <v>175314.80667665729</v>
      </c>
      <c r="I950" s="171">
        <f>IF(B950="Working",MIN(MAX(D950-E950-F950-G950-H950,0),'Tax Assumptions'!$B$20),0)</f>
        <v>0</v>
      </c>
      <c r="J950" s="171">
        <f t="shared" si="465"/>
        <v>-315314.80667665729</v>
      </c>
      <c r="K950" s="174">
        <f t="shared" si="466"/>
        <v>315314.80667665729</v>
      </c>
      <c r="L950" s="174">
        <f t="shared" si="467"/>
        <v>315314.80667665729</v>
      </c>
      <c r="M950" s="174">
        <f t="shared" si="473"/>
        <v>315314.80667665729</v>
      </c>
      <c r="N950" s="174">
        <f t="shared" si="474"/>
        <v>0</v>
      </c>
      <c r="O950" s="174">
        <f t="shared" si="475"/>
        <v>0</v>
      </c>
      <c r="P950" s="174">
        <f t="shared" si="476"/>
        <v>0</v>
      </c>
      <c r="Q950" s="171">
        <f t="shared" si="477"/>
        <v>5401473.6419177223</v>
      </c>
      <c r="R950" s="171">
        <f t="shared" si="478"/>
        <v>1307520.3424203931</v>
      </c>
      <c r="S950" s="171">
        <f t="shared" si="479"/>
        <v>400261.32931236521</v>
      </c>
      <c r="T950" s="171">
        <f t="shared" si="480"/>
        <v>0</v>
      </c>
      <c r="U950" s="171">
        <f t="shared" si="468"/>
        <v>7109255.3136504814</v>
      </c>
      <c r="V950" s="171">
        <f t="shared" si="481"/>
        <v>0</v>
      </c>
      <c r="W950" s="171">
        <f>IF(OR(A950&gt;=$C$13,B950="Retired"),IF(V950&gt;0,-V950,U950-'Model Inputs'!$B$18),"")</f>
        <v>6109255.3136504814</v>
      </c>
      <c r="X950" s="171">
        <f t="shared" si="469"/>
        <v>4122944.4358716025</v>
      </c>
      <c r="Y950" s="171">
        <f t="shared" si="470"/>
        <v>360358.90551731084</v>
      </c>
      <c r="Z950" s="171">
        <f t="shared" si="471"/>
        <v>3762585.5303542917</v>
      </c>
      <c r="AA950" s="175">
        <f t="shared" si="472"/>
        <v>10871840.844004773</v>
      </c>
      <c r="AB950" s="5"/>
      <c r="AC950" s="5"/>
      <c r="AD950" s="5"/>
      <c r="AE950" s="5"/>
      <c r="AF950" s="5"/>
      <c r="AG950" s="5"/>
    </row>
    <row r="951" spans="1:33" x14ac:dyDescent="0.2">
      <c r="A951" s="169">
        <v>35</v>
      </c>
      <c r="B951" s="100" t="str">
        <f t="shared" si="458"/>
        <v>Retired</v>
      </c>
      <c r="C951" s="170">
        <f t="shared" si="459"/>
        <v>0</v>
      </c>
      <c r="D951" s="170">
        <f t="shared" si="460"/>
        <v>0</v>
      </c>
      <c r="E951" s="170">
        <f t="shared" si="461"/>
        <v>0</v>
      </c>
      <c r="F951" s="170">
        <f t="shared" si="462"/>
        <v>0</v>
      </c>
      <c r="G951" s="171">
        <f t="shared" si="463"/>
        <v>0</v>
      </c>
      <c r="H951" s="171">
        <f t="shared" si="464"/>
        <v>178035.95000433255</v>
      </c>
      <c r="I951" s="171">
        <f>IF(B951="Working",MIN(MAX(D951-E951-F951-G951-H951,0),'Tax Assumptions'!$B$20),0)</f>
        <v>0</v>
      </c>
      <c r="J951" s="171">
        <f t="shared" si="465"/>
        <v>-318035.95000433258</v>
      </c>
      <c r="K951" s="170">
        <f t="shared" si="466"/>
        <v>318035.95000433258</v>
      </c>
      <c r="L951" s="170">
        <f t="shared" si="467"/>
        <v>318035.95000433258</v>
      </c>
      <c r="M951" s="170">
        <f t="shared" si="473"/>
        <v>318035.95000433258</v>
      </c>
      <c r="N951" s="170">
        <f t="shared" si="474"/>
        <v>0</v>
      </c>
      <c r="O951" s="170">
        <f t="shared" si="475"/>
        <v>0</v>
      </c>
      <c r="P951" s="170">
        <f t="shared" si="476"/>
        <v>0</v>
      </c>
      <c r="Q951" s="171">
        <f t="shared" si="477"/>
        <v>5407526.1104284534</v>
      </c>
      <c r="R951" s="171">
        <f t="shared" si="478"/>
        <v>1385971.5629656168</v>
      </c>
      <c r="S951" s="171">
        <f t="shared" si="479"/>
        <v>424277.00907110714</v>
      </c>
      <c r="T951" s="171">
        <f t="shared" si="480"/>
        <v>0</v>
      </c>
      <c r="U951" s="171">
        <f t="shared" si="468"/>
        <v>7217774.682465177</v>
      </c>
      <c r="V951" s="171">
        <f t="shared" si="481"/>
        <v>0</v>
      </c>
      <c r="W951" s="171">
        <f>IF(OR(A951&gt;=$C$13,B951="Retired"),IF(V951&gt;0,-V951,U951-'Model Inputs'!$B$18),"")</f>
        <v>6217774.682465177</v>
      </c>
      <c r="X951" s="171">
        <f t="shared" si="469"/>
        <v>4246632.7689477503</v>
      </c>
      <c r="Y951" s="171">
        <f t="shared" si="470"/>
        <v>297316.03425191063</v>
      </c>
      <c r="Z951" s="171">
        <f t="shared" si="471"/>
        <v>3949316.7346958397</v>
      </c>
      <c r="AA951" s="172">
        <f t="shared" si="472"/>
        <v>11167091.417161018</v>
      </c>
      <c r="AB951" s="5"/>
      <c r="AC951" s="5"/>
      <c r="AD951" s="5"/>
      <c r="AE951" s="5"/>
      <c r="AF951" s="5"/>
      <c r="AG951" s="5"/>
    </row>
    <row r="952" spans="1:33" x14ac:dyDescent="0.2">
      <c r="A952" s="173">
        <v>36</v>
      </c>
      <c r="B952" s="65" t="str">
        <f t="shared" si="458"/>
        <v>Retired</v>
      </c>
      <c r="C952" s="174">
        <f t="shared" si="459"/>
        <v>0</v>
      </c>
      <c r="D952" s="174">
        <f t="shared" si="460"/>
        <v>0</v>
      </c>
      <c r="E952" s="174">
        <f t="shared" si="461"/>
        <v>0</v>
      </c>
      <c r="F952" s="174">
        <f t="shared" si="462"/>
        <v>0</v>
      </c>
      <c r="G952" s="171">
        <f t="shared" si="463"/>
        <v>0</v>
      </c>
      <c r="H952" s="171">
        <f t="shared" si="464"/>
        <v>180838.72763183809</v>
      </c>
      <c r="I952" s="171">
        <f>IF(B952="Working",MIN(MAX(D952-E952-F952-G952-H952,0),'Tax Assumptions'!$B$20),0)</f>
        <v>0</v>
      </c>
      <c r="J952" s="171">
        <f t="shared" si="465"/>
        <v>-320838.72763183806</v>
      </c>
      <c r="K952" s="174">
        <f t="shared" si="466"/>
        <v>320838.72763183806</v>
      </c>
      <c r="L952" s="174">
        <f t="shared" si="467"/>
        <v>320838.72763183806</v>
      </c>
      <c r="M952" s="174">
        <f t="shared" si="473"/>
        <v>320838.72763183806</v>
      </c>
      <c r="N952" s="174">
        <f t="shared" si="474"/>
        <v>0</v>
      </c>
      <c r="O952" s="174">
        <f t="shared" si="475"/>
        <v>0</v>
      </c>
      <c r="P952" s="174">
        <f t="shared" si="476"/>
        <v>0</v>
      </c>
      <c r="Q952" s="171">
        <f t="shared" si="477"/>
        <v>5411138.9494223231</v>
      </c>
      <c r="R952" s="171">
        <f t="shared" si="478"/>
        <v>1469129.8567435539</v>
      </c>
      <c r="S952" s="171">
        <f t="shared" si="479"/>
        <v>449733.62961537362</v>
      </c>
      <c r="T952" s="171">
        <f t="shared" si="480"/>
        <v>0</v>
      </c>
      <c r="U952" s="171">
        <f t="shared" si="468"/>
        <v>7330002.4357812507</v>
      </c>
      <c r="V952" s="171">
        <f t="shared" si="481"/>
        <v>0</v>
      </c>
      <c r="W952" s="171">
        <f>IF(OR(A952&gt;=$C$13,B952="Retired"),IF(V952&gt;0,-V952,U952-'Model Inputs'!$B$18),"")</f>
        <v>6330002.4357812507</v>
      </c>
      <c r="X952" s="171">
        <f t="shared" si="469"/>
        <v>4374031.7520161839</v>
      </c>
      <c r="Y952" s="171">
        <f t="shared" si="470"/>
        <v>230051.06514230929</v>
      </c>
      <c r="Z952" s="171">
        <f t="shared" si="471"/>
        <v>4143980.6868738746</v>
      </c>
      <c r="AA952" s="175">
        <f t="shared" si="472"/>
        <v>11473983.122655125</v>
      </c>
      <c r="AB952" s="5"/>
      <c r="AC952" s="5"/>
      <c r="AD952" s="5"/>
      <c r="AE952" s="5"/>
      <c r="AF952" s="5"/>
      <c r="AG952" s="5"/>
    </row>
    <row r="953" spans="1:33" x14ac:dyDescent="0.2">
      <c r="A953" s="169">
        <v>37</v>
      </c>
      <c r="B953" s="100" t="str">
        <f t="shared" si="458"/>
        <v>Retired</v>
      </c>
      <c r="C953" s="170">
        <f t="shared" si="459"/>
        <v>0</v>
      </c>
      <c r="D953" s="170">
        <f t="shared" si="460"/>
        <v>0</v>
      </c>
      <c r="E953" s="170">
        <f t="shared" si="461"/>
        <v>0</v>
      </c>
      <c r="F953" s="170">
        <f t="shared" si="462"/>
        <v>0</v>
      </c>
      <c r="G953" s="171">
        <f t="shared" si="463"/>
        <v>0</v>
      </c>
      <c r="H953" s="171">
        <f t="shared" si="464"/>
        <v>183725.58858816873</v>
      </c>
      <c r="I953" s="171">
        <f>IF(B953="Working",MIN(MAX(D953-E953-F953-G953-H953,0),'Tax Assumptions'!$B$20),0)</f>
        <v>0</v>
      </c>
      <c r="J953" s="171">
        <f t="shared" si="465"/>
        <v>-323725.58858816873</v>
      </c>
      <c r="K953" s="170">
        <f t="shared" si="466"/>
        <v>323725.58858816873</v>
      </c>
      <c r="L953" s="170">
        <f t="shared" si="467"/>
        <v>323725.58858816873</v>
      </c>
      <c r="M953" s="170">
        <f t="shared" si="473"/>
        <v>323725.58858816873</v>
      </c>
      <c r="N953" s="170">
        <f t="shared" si="474"/>
        <v>0</v>
      </c>
      <c r="O953" s="170">
        <f t="shared" si="475"/>
        <v>0</v>
      </c>
      <c r="P953" s="170">
        <f t="shared" si="476"/>
        <v>0</v>
      </c>
      <c r="Q953" s="171">
        <f t="shared" si="477"/>
        <v>5412081.6977994936</v>
      </c>
      <c r="R953" s="171">
        <f t="shared" si="478"/>
        <v>1557277.6481481672</v>
      </c>
      <c r="S953" s="171">
        <f t="shared" si="479"/>
        <v>476717.64739229606</v>
      </c>
      <c r="T953" s="171">
        <f t="shared" si="480"/>
        <v>0</v>
      </c>
      <c r="U953" s="171">
        <f t="shared" si="468"/>
        <v>7446076.9933399567</v>
      </c>
      <c r="V953" s="171">
        <f t="shared" si="481"/>
        <v>0</v>
      </c>
      <c r="W953" s="171">
        <f>IF(OR(A953&gt;=$C$13,B953="Retired"),IF(V953&gt;0,-V953,U953-'Model Inputs'!$B$18),"")</f>
        <v>6446076.9933399567</v>
      </c>
      <c r="X953" s="171">
        <f t="shared" si="469"/>
        <v>4505252.7045766683</v>
      </c>
      <c r="Y953" s="171">
        <f t="shared" si="470"/>
        <v>158281.23647654522</v>
      </c>
      <c r="Z953" s="171">
        <f t="shared" si="471"/>
        <v>4346971.4681001231</v>
      </c>
      <c r="AA953" s="172">
        <f t="shared" si="472"/>
        <v>11793048.461440079</v>
      </c>
      <c r="AB953" s="5"/>
      <c r="AC953" s="5"/>
      <c r="AD953" s="5"/>
      <c r="AE953" s="5"/>
      <c r="AF953" s="5"/>
      <c r="AG953" s="5"/>
    </row>
    <row r="954" spans="1:33" x14ac:dyDescent="0.2">
      <c r="A954" s="173">
        <v>38</v>
      </c>
      <c r="B954" s="65" t="str">
        <f t="shared" si="458"/>
        <v>Retired</v>
      </c>
      <c r="C954" s="174">
        <f t="shared" si="459"/>
        <v>0</v>
      </c>
      <c r="D954" s="174">
        <f t="shared" si="460"/>
        <v>0</v>
      </c>
      <c r="E954" s="174">
        <f t="shared" si="461"/>
        <v>0</v>
      </c>
      <c r="F954" s="174">
        <f t="shared" si="462"/>
        <v>0</v>
      </c>
      <c r="G954" s="171">
        <f t="shared" si="463"/>
        <v>0</v>
      </c>
      <c r="H954" s="171">
        <f t="shared" si="464"/>
        <v>186699.05537318936</v>
      </c>
      <c r="I954" s="171">
        <f>IF(B954="Working",MIN(MAX(D954-E954-F954-G954-H954,0),'Tax Assumptions'!$B$20),0)</f>
        <v>0</v>
      </c>
      <c r="J954" s="171">
        <f t="shared" si="465"/>
        <v>-326699.05537318939</v>
      </c>
      <c r="K954" s="174">
        <f t="shared" si="466"/>
        <v>326699.05537318939</v>
      </c>
      <c r="L954" s="174">
        <f t="shared" si="467"/>
        <v>326699.05537318939</v>
      </c>
      <c r="M954" s="174">
        <f t="shared" si="473"/>
        <v>326699.05537318939</v>
      </c>
      <c r="N954" s="174">
        <f t="shared" si="474"/>
        <v>0</v>
      </c>
      <c r="O954" s="174">
        <f t="shared" si="475"/>
        <v>0</v>
      </c>
      <c r="P954" s="174">
        <f t="shared" si="476"/>
        <v>0</v>
      </c>
      <c r="Q954" s="171">
        <f t="shared" si="477"/>
        <v>5410107.5442942744</v>
      </c>
      <c r="R954" s="171">
        <f t="shared" si="478"/>
        <v>1650714.3070370574</v>
      </c>
      <c r="S954" s="171">
        <f t="shared" si="479"/>
        <v>505320.70623583387</v>
      </c>
      <c r="T954" s="171">
        <f t="shared" si="480"/>
        <v>0</v>
      </c>
      <c r="U954" s="171">
        <f t="shared" si="468"/>
        <v>7566142.5575671652</v>
      </c>
      <c r="V954" s="171">
        <f t="shared" si="481"/>
        <v>0</v>
      </c>
      <c r="W954" s="171">
        <f>IF(OR(A954&gt;=$C$13,B954="Retired"),IF(V954&gt;0,-V954,U954-'Model Inputs'!$B$18),"")</f>
        <v>6566142.5575671652</v>
      </c>
      <c r="X954" s="171">
        <f t="shared" si="469"/>
        <v>4640410.2857139688</v>
      </c>
      <c r="Y954" s="171">
        <f t="shared" si="470"/>
        <v>81704.849467127584</v>
      </c>
      <c r="Z954" s="171">
        <f t="shared" si="471"/>
        <v>4558705.4362468412</v>
      </c>
      <c r="AA954" s="175">
        <f t="shared" si="472"/>
        <v>12124847.993814006</v>
      </c>
      <c r="AB954" s="5"/>
      <c r="AC954" s="5"/>
      <c r="AD954" s="5"/>
      <c r="AE954" s="5"/>
      <c r="AF954" s="5"/>
      <c r="AG954" s="5"/>
    </row>
    <row r="955" spans="1:33" x14ac:dyDescent="0.2">
      <c r="A955" s="169">
        <v>39</v>
      </c>
      <c r="B955" s="100" t="str">
        <f t="shared" si="458"/>
        <v>Retired</v>
      </c>
      <c r="C955" s="170">
        <f t="shared" si="459"/>
        <v>0</v>
      </c>
      <c r="D955" s="170">
        <f t="shared" si="460"/>
        <v>0</v>
      </c>
      <c r="E955" s="170">
        <f t="shared" si="461"/>
        <v>0</v>
      </c>
      <c r="F955" s="170">
        <f t="shared" si="462"/>
        <v>0</v>
      </c>
      <c r="G955" s="171">
        <f t="shared" si="463"/>
        <v>0</v>
      </c>
      <c r="H955" s="171">
        <f t="shared" si="464"/>
        <v>189761.72616176057</v>
      </c>
      <c r="I955" s="171">
        <f>IF(B955="Working",MIN(MAX(D955-E955-F955-G955-H955,0),'Tax Assumptions'!$B$20),0)</f>
        <v>0</v>
      </c>
      <c r="J955" s="171">
        <f t="shared" si="465"/>
        <v>-329761.72616176057</v>
      </c>
      <c r="K955" s="170">
        <f t="shared" si="466"/>
        <v>329761.72616176057</v>
      </c>
      <c r="L955" s="170">
        <f t="shared" si="467"/>
        <v>329761.72616176057</v>
      </c>
      <c r="M955" s="170">
        <f t="shared" si="473"/>
        <v>329761.72616176057</v>
      </c>
      <c r="N955" s="170">
        <f t="shared" si="474"/>
        <v>0</v>
      </c>
      <c r="O955" s="170">
        <f t="shared" si="475"/>
        <v>0</v>
      </c>
      <c r="P955" s="170">
        <f t="shared" si="476"/>
        <v>0</v>
      </c>
      <c r="Q955" s="171">
        <f t="shared" si="477"/>
        <v>5404952.2707901709</v>
      </c>
      <c r="R955" s="171">
        <f t="shared" si="478"/>
        <v>1749757.1654592808</v>
      </c>
      <c r="S955" s="171">
        <f t="shared" si="479"/>
        <v>535639.9486099839</v>
      </c>
      <c r="T955" s="171">
        <f t="shared" si="480"/>
        <v>0</v>
      </c>
      <c r="U955" s="171">
        <f t="shared" si="468"/>
        <v>7690349.3848594353</v>
      </c>
      <c r="V955" s="171">
        <f t="shared" si="481"/>
        <v>0</v>
      </c>
      <c r="W955" s="171">
        <f>IF(OR(A955&gt;=$C$13,B955="Retired"),IF(V955&gt;0,-V955,U955-'Model Inputs'!$B$18),"")</f>
        <v>6690349.3848594353</v>
      </c>
      <c r="X955" s="171">
        <f t="shared" si="469"/>
        <v>4779622.5942853875</v>
      </c>
      <c r="Y955" s="171">
        <f t="shared" si="470"/>
        <v>0</v>
      </c>
      <c r="Z955" s="171">
        <f t="shared" si="471"/>
        <v>4779622.5942853875</v>
      </c>
      <c r="AA955" s="172">
        <f t="shared" si="472"/>
        <v>12469971.979144823</v>
      </c>
      <c r="AB955" s="5"/>
      <c r="AC955" s="5"/>
      <c r="AD955" s="5"/>
      <c r="AE955" s="5"/>
      <c r="AF955" s="5"/>
      <c r="AG955" s="5"/>
    </row>
    <row r="956" spans="1:33" x14ac:dyDescent="0.2">
      <c r="A956" s="173">
        <v>40</v>
      </c>
      <c r="B956" s="65" t="str">
        <f t="shared" si="458"/>
        <v>Retired</v>
      </c>
      <c r="C956" s="174">
        <f t="shared" si="459"/>
        <v>0</v>
      </c>
      <c r="D956" s="174">
        <f t="shared" si="460"/>
        <v>0</v>
      </c>
      <c r="E956" s="174">
        <f t="shared" si="461"/>
        <v>0</v>
      </c>
      <c r="F956" s="174">
        <f t="shared" si="462"/>
        <v>0</v>
      </c>
      <c r="G956" s="171">
        <f t="shared" si="463"/>
        <v>0</v>
      </c>
      <c r="H956" s="171">
        <f t="shared" si="464"/>
        <v>108306.24798650687</v>
      </c>
      <c r="I956" s="171">
        <f>IF(B956="Working",MIN(MAX(D956-E956-F956-G956-H956,0),'Tax Assumptions'!$B$20),0)</f>
        <v>0</v>
      </c>
      <c r="J956" s="171">
        <f t="shared" si="465"/>
        <v>-248306.24798650687</v>
      </c>
      <c r="K956" s="174">
        <f t="shared" si="466"/>
        <v>248306.24798650687</v>
      </c>
      <c r="L956" s="174">
        <f t="shared" si="467"/>
        <v>248306.24798650687</v>
      </c>
      <c r="M956" s="174">
        <f t="shared" si="473"/>
        <v>248306.24798650687</v>
      </c>
      <c r="N956" s="174">
        <f t="shared" si="474"/>
        <v>0</v>
      </c>
      <c r="O956" s="174">
        <f t="shared" si="475"/>
        <v>0</v>
      </c>
      <c r="P956" s="174">
        <f t="shared" si="476"/>
        <v>0</v>
      </c>
      <c r="Q956" s="171">
        <f t="shared" si="477"/>
        <v>5480943.1590510746</v>
      </c>
      <c r="R956" s="171">
        <f t="shared" si="478"/>
        <v>1854742.5953868378</v>
      </c>
      <c r="S956" s="171">
        <f t="shared" si="479"/>
        <v>567778.34552658291</v>
      </c>
      <c r="T956" s="171">
        <f t="shared" si="480"/>
        <v>0</v>
      </c>
      <c r="U956" s="171">
        <f t="shared" si="468"/>
        <v>7903464.0999644948</v>
      </c>
      <c r="V956" s="171">
        <f t="shared" si="481"/>
        <v>0</v>
      </c>
      <c r="W956" s="171">
        <f>IF(OR(A956&gt;=$C$13,B956="Retired"),IF(V956&gt;0,-V956,U956-'Model Inputs'!$B$18),"")</f>
        <v>6903464.0999644948</v>
      </c>
      <c r="X956" s="171">
        <f t="shared" si="469"/>
        <v>4923011.2721139491</v>
      </c>
      <c r="Y956" s="171">
        <f t="shared" si="470"/>
        <v>0</v>
      </c>
      <c r="Z956" s="171">
        <f t="shared" si="471"/>
        <v>4923011.2721139491</v>
      </c>
      <c r="AA956" s="175">
        <f t="shared" si="472"/>
        <v>12826475.372078445</v>
      </c>
      <c r="AB956" s="5"/>
      <c r="AC956" s="5"/>
      <c r="AD956" s="5"/>
      <c r="AE956" s="5"/>
      <c r="AF956" s="5"/>
      <c r="AG956" s="5"/>
    </row>
    <row r="957" spans="1:33" x14ac:dyDescent="0.2">
      <c r="A957" s="176" t="s">
        <v>369</v>
      </c>
      <c r="B957" s="177"/>
      <c r="C957" s="177"/>
      <c r="D957" s="177"/>
      <c r="E957" s="177"/>
      <c r="F957" s="177"/>
      <c r="G957" s="178">
        <f t="shared" ref="G957:P957" si="482">SUM(G917:G956)</f>
        <v>963402.34400279156</v>
      </c>
      <c r="H957" s="178">
        <f t="shared" si="482"/>
        <v>4769457.3820516244</v>
      </c>
      <c r="I957" s="178">
        <f t="shared" si="482"/>
        <v>75000</v>
      </c>
      <c r="J957" s="178">
        <f t="shared" si="482"/>
        <v>-5085267.486013894</v>
      </c>
      <c r="K957" s="178">
        <f t="shared" si="482"/>
        <v>8840226.6128208563</v>
      </c>
      <c r="L957" s="178">
        <f t="shared" si="482"/>
        <v>8840226.6128208563</v>
      </c>
      <c r="M957" s="178">
        <f t="shared" si="482"/>
        <v>8840226.6128208563</v>
      </c>
      <c r="N957" s="178">
        <f t="shared" si="482"/>
        <v>0</v>
      </c>
      <c r="O957" s="178">
        <f t="shared" si="482"/>
        <v>0</v>
      </c>
      <c r="P957" s="178">
        <f t="shared" si="482"/>
        <v>0</v>
      </c>
      <c r="Q957" s="178">
        <f>Q956</f>
        <v>5480943.1590510746</v>
      </c>
      <c r="R957" s="178">
        <f>R956</f>
        <v>1854742.5953868378</v>
      </c>
      <c r="S957" s="178">
        <f>S956</f>
        <v>567778.34552658291</v>
      </c>
      <c r="T957" s="178">
        <f>T956</f>
        <v>0</v>
      </c>
      <c r="U957" s="178">
        <f>U956</f>
        <v>7903464.0999644948</v>
      </c>
      <c r="V957" s="178">
        <f>SUM(V917:V956)</f>
        <v>0</v>
      </c>
      <c r="W957" s="178">
        <f>MIN(W917:W956)</f>
        <v>4337608.5272303335</v>
      </c>
      <c r="X957" s="178">
        <f>X956</f>
        <v>4923011.2721139491</v>
      </c>
      <c r="Y957" s="178">
        <f>Y956</f>
        <v>0</v>
      </c>
      <c r="Z957" s="178">
        <f>Z956</f>
        <v>4923011.2721139491</v>
      </c>
      <c r="AA957" s="179">
        <f>AA956</f>
        <v>12826475.372078445</v>
      </c>
      <c r="AB957" s="5"/>
      <c r="AC957" s="5"/>
      <c r="AD957" s="5"/>
      <c r="AE957" s="5"/>
      <c r="AF957" s="5"/>
      <c r="AG957" s="5"/>
    </row>
    <row r="958" spans="1:33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x14ac:dyDescent="0.2">
      <c r="A959" s="319" t="str">
        <f>J243&amp;" | House "&amp;TEXT($L$243,"$#,##0")&amp;" | Spend "&amp;TEXT($N$243,"$#,##0")</f>
        <v>Case 17 | House $2,028,215 | Spend $170,000</v>
      </c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8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9"/>
      <c r="AB959" s="5"/>
      <c r="AC959" s="5"/>
      <c r="AD959" s="5"/>
      <c r="AE959" s="5"/>
      <c r="AF959" s="5"/>
      <c r="AG959" s="5"/>
    </row>
    <row r="960" spans="1:33" ht="34" customHeight="1" x14ac:dyDescent="0.2">
      <c r="A960" s="167" t="s">
        <v>224</v>
      </c>
      <c r="B960" s="112" t="s">
        <v>106</v>
      </c>
      <c r="C960" s="112" t="s">
        <v>357</v>
      </c>
      <c r="D960" s="112" t="s">
        <v>66</v>
      </c>
      <c r="E960" s="112" t="s">
        <v>300</v>
      </c>
      <c r="F960" s="112" t="s">
        <v>301</v>
      </c>
      <c r="G960" s="112" t="s">
        <v>358</v>
      </c>
      <c r="H960" s="112" t="s">
        <v>359</v>
      </c>
      <c r="I960" s="112" t="s">
        <v>69</v>
      </c>
      <c r="J960" s="112" t="s">
        <v>360</v>
      </c>
      <c r="K960" s="112" t="s">
        <v>361</v>
      </c>
      <c r="L960" s="112" t="s">
        <v>362</v>
      </c>
      <c r="M960" s="112" t="s">
        <v>304</v>
      </c>
      <c r="N960" s="112" t="s">
        <v>305</v>
      </c>
      <c r="O960" s="112" t="s">
        <v>306</v>
      </c>
      <c r="P960" s="112" t="s">
        <v>307</v>
      </c>
      <c r="Q960" s="112" t="s">
        <v>363</v>
      </c>
      <c r="R960" s="112" t="s">
        <v>364</v>
      </c>
      <c r="S960" s="112" t="s">
        <v>365</v>
      </c>
      <c r="T960" s="112" t="s">
        <v>366</v>
      </c>
      <c r="U960" s="112" t="s">
        <v>308</v>
      </c>
      <c r="V960" s="112" t="s">
        <v>309</v>
      </c>
      <c r="W960" s="112" t="s">
        <v>367</v>
      </c>
      <c r="X960" s="112" t="s">
        <v>311</v>
      </c>
      <c r="Y960" s="112" t="s">
        <v>312</v>
      </c>
      <c r="Z960" s="112" t="s">
        <v>313</v>
      </c>
      <c r="AA960" s="168" t="s">
        <v>368</v>
      </c>
      <c r="AB960" s="5"/>
      <c r="AC960" s="5"/>
      <c r="AD960" s="5"/>
      <c r="AE960" s="5"/>
      <c r="AF960" s="5"/>
      <c r="AG960" s="5"/>
    </row>
    <row r="961" spans="1:33" x14ac:dyDescent="0.2">
      <c r="A961" s="169">
        <v>1</v>
      </c>
      <c r="B961" s="100" t="str">
        <f t="shared" ref="B961:B1000" si="483">B80</f>
        <v>Working</v>
      </c>
      <c r="C961" s="170">
        <f t="shared" ref="C961:C1000" si="484">D80</f>
        <v>550000</v>
      </c>
      <c r="D961" s="170">
        <f t="shared" ref="D961:D1000" si="485">I80</f>
        <v>302665.46999999997</v>
      </c>
      <c r="E961" s="170">
        <f t="shared" ref="E961:E1000" si="486">J80</f>
        <v>78000</v>
      </c>
      <c r="F961" s="170">
        <f t="shared" ref="F961:F1000" si="487">K80</f>
        <v>40000</v>
      </c>
      <c r="G961" s="171">
        <f t="shared" ref="G961:G1000" si="488">IF(AND($L$243&gt;0,A961=$C$13),$L$243*($C$15+$C$18),0)+IF(AND($L$243&gt;0,A961=$C$13),$C$24,0)</f>
        <v>0</v>
      </c>
      <c r="H961" s="171">
        <f t="shared" ref="H961:H1000" si="489">IF(OR($L$243&lt;=0,A961&lt;$C$13),0,IF(AND($L$243&gt;0,$C$17&gt;0,A961&gt;=$C$13,A961&lt;($C$13+$C$17)),IF($C$17&lt;=0,0,IF($C$16=0,MAX($L$243*(1-$C$15),0)/$C$17,-PMT($C$16/12,$C$17*12,MAX($L$243*(1-$C$15),0))*12)),0)+X961*($C$19+$C$20+$C$21)+$C$22+$C$23)</f>
        <v>0</v>
      </c>
      <c r="I961" s="171">
        <f>IF(B961="Working",MIN(MAX(D961-E961-F961-G961-H961,0),'Tax Assumptions'!$B$20),0)</f>
        <v>7500</v>
      </c>
      <c r="J961" s="171">
        <f t="shared" ref="J961:J1000" si="490">IF(B961="Working",D961-E961-F961-I961-G961-H961,-L961)</f>
        <v>177165.46999999997</v>
      </c>
      <c r="K961" s="170">
        <f t="shared" ref="K961:K1000" si="491">IF(B961="Retired",$N$243+G961+H961,0)</f>
        <v>0</v>
      </c>
      <c r="L961" s="170">
        <f t="shared" ref="L961:L1000" si="492">M961+N961+O961+P961</f>
        <v>0</v>
      </c>
      <c r="M961" s="170">
        <f>IF(B961="Retired",MIN((('Savings Projection'!$B$7)*(1+$C$10)+IF(B961="Working",J961,0)),K961),0)</f>
        <v>0</v>
      </c>
      <c r="N961" s="170">
        <f>IF(B961="Retired",MIN(MAX(K961-M961,0),(('Savings Projection'!$B$8)*(1+$C$10)+IF(B961="Working",E80,0))),0)</f>
        <v>0</v>
      </c>
      <c r="O961" s="170">
        <f>IF(B961="Retired",MIN(MAX(K961-M961-N961,0),(('Savings Projection'!$B$9)*(1+$C$10)+IF(B961="Working",I961,0))),0)</f>
        <v>0</v>
      </c>
      <c r="P961" s="170">
        <f>IF(B961="Retired",MIN(MAX(K961-M961-N961-O961,0),(('Savings Projection'!$B$10)*(1+$C$10)+IF(B961="Working",F80,0))),0)</f>
        <v>0</v>
      </c>
      <c r="Q961" s="171">
        <f>MAX((('Savings Projection'!$B$7)*(1+$C$10)+IF(B961="Working",J961,0))-M961,0)</f>
        <v>336165.47</v>
      </c>
      <c r="R961" s="171">
        <f>MAX((('Savings Projection'!$B$8)*(1+$C$10)+IF(B961="Working",E80,0))-N961,0)</f>
        <v>24500</v>
      </c>
      <c r="S961" s="171">
        <f>MAX((('Savings Projection'!$B$9)*(1+$C$10)+IF(B961="Working",I961,0))-O961,0)</f>
        <v>7500</v>
      </c>
      <c r="T961" s="171">
        <f>MAX((('Savings Projection'!$B$10)*(1+$C$10)+IF(B961="Working",F80,0))-P961,0)</f>
        <v>0</v>
      </c>
      <c r="U961" s="171">
        <f t="shared" ref="U961:U1000" si="493">Q961+R961+S961+T961</f>
        <v>368165.47</v>
      </c>
      <c r="V961" s="171">
        <f>IF(B961="Working",MAX(-((('Savings Projection'!$B$7)*(1+$C$10)+IF(B961="Working",J961,0))),0),MAX(K961-L961,0))</f>
        <v>0</v>
      </c>
      <c r="W961" s="171" t="str">
        <f>IF(OR(A961&gt;=$C$13,B961="Retired"),IF(V961&gt;0,-V961,U961-'Model Inputs'!$B$18),"")</f>
        <v/>
      </c>
      <c r="X961" s="171">
        <f t="shared" ref="X961:X1000" si="494">IF(AND($L$243&gt;0,A961&gt;=$C$13),$L$243*(1+$C$25)^(A961-$C$13),0)</f>
        <v>0</v>
      </c>
      <c r="Y961" s="171">
        <f t="shared" ref="Y961:Y1000" si="495">IF(OR($L$243&lt;=0,$C$17&lt;=0,A961&lt;$C$13,MIN(MAX((A961-$C$13+1)*12,0),$C$17*12)&gt;=$C$17*12),0,IF($C$16=0,MAX(MAX($L$243*(1-$C$15),0)-(IF($C$17&lt;=0,0,IF($C$16=0,MAX($L$243*(1-$C$15),0)/$C$17,-PMT($C$16/12,$C$17*12,MAX($L$243*(1-$C$15),0))*12))/12)*MIN(MAX((A961-$C$13+1)*12,0),$C$17*12),0),MAX(MAX($L$243*(1-$C$15),0)*(1+$C$16/12)^MIN(MAX((A961-$C$13+1)*12,0),$C$17*12)-(IF($C$17&lt;=0,0,IF($C$16=0,MAX($L$243*(1-$C$15),0)/$C$17,-PMT($C$16/12,$C$17*12,MAX($L$243*(1-$C$15),0))*12))/12)*(((1+$C$16/12)^MIN(MAX((A961-$C$13+1)*12,0),$C$17*12)-1)/($C$16/12)),0)))</f>
        <v>0</v>
      </c>
      <c r="Z961" s="171">
        <f t="shared" ref="Z961:Z1000" si="496">MAX(X961-Y961,0)</f>
        <v>0</v>
      </c>
      <c r="AA961" s="172">
        <f t="shared" ref="AA961:AA1000" si="497">U961+Z961</f>
        <v>368165.47</v>
      </c>
      <c r="AB961" s="5"/>
      <c r="AC961" s="5"/>
      <c r="AD961" s="5"/>
      <c r="AE961" s="5"/>
      <c r="AF961" s="5"/>
      <c r="AG961" s="5"/>
    </row>
    <row r="962" spans="1:33" x14ac:dyDescent="0.2">
      <c r="A962" s="173">
        <v>2</v>
      </c>
      <c r="B962" s="65" t="str">
        <f t="shared" si="483"/>
        <v>Working</v>
      </c>
      <c r="C962" s="174">
        <f t="shared" si="484"/>
        <v>412500</v>
      </c>
      <c r="D962" s="174">
        <f t="shared" si="485"/>
        <v>231269.97</v>
      </c>
      <c r="E962" s="174">
        <f t="shared" si="486"/>
        <v>80340</v>
      </c>
      <c r="F962" s="174">
        <f t="shared" si="487"/>
        <v>41200</v>
      </c>
      <c r="G962" s="171">
        <f t="shared" si="488"/>
        <v>0</v>
      </c>
      <c r="H962" s="171">
        <f t="shared" si="489"/>
        <v>0</v>
      </c>
      <c r="I962" s="171">
        <f>IF(B962="Working",MIN(MAX(D962-E962-F962-G962-H962,0),'Tax Assumptions'!$B$20),0)</f>
        <v>7500</v>
      </c>
      <c r="J962" s="171">
        <f t="shared" si="490"/>
        <v>102229.97</v>
      </c>
      <c r="K962" s="174">
        <f t="shared" si="491"/>
        <v>0</v>
      </c>
      <c r="L962" s="174">
        <f t="shared" si="492"/>
        <v>0</v>
      </c>
      <c r="M962" s="174">
        <f t="shared" ref="M962:M1000" si="498">IF(B962="Retired",MIN(((Q961)*(1+$C$10)+IF(B962="Working",J962,0)),K962),0)</f>
        <v>0</v>
      </c>
      <c r="N962" s="174">
        <f t="shared" ref="N962:N1000" si="499">IF(B962="Retired",MIN(MAX(K962-M962,0),((R961)*(1+$C$10)+IF(B962="Working",E81,0))),0)</f>
        <v>0</v>
      </c>
      <c r="O962" s="174">
        <f t="shared" ref="O962:O1000" si="500">IF(B962="Retired",MIN(MAX(K962-M962-N962,0),((S961)*(1+$C$10)+IF(B962="Working",I962,0))),0)</f>
        <v>0</v>
      </c>
      <c r="P962" s="174">
        <f t="shared" ref="P962:P1000" si="501">IF(B962="Retired",MIN(MAX(K962-M962-N962-O962,0),((T961)*(1+$C$10)+IF(B962="Working",F81,0))),0)</f>
        <v>0</v>
      </c>
      <c r="Q962" s="171">
        <f t="shared" ref="Q962:Q1000" si="502">MAX(((Q961)*(1+$C$10)+IF(B962="Working",J962,0))-M962,0)</f>
        <v>458565.36820000003</v>
      </c>
      <c r="R962" s="171">
        <f t="shared" ref="R962:R1000" si="503">MAX(((R961)*(1+$C$10)+IF(B962="Working",E81,0))-N962,0)</f>
        <v>50470</v>
      </c>
      <c r="S962" s="171">
        <f t="shared" ref="S962:S1000" si="504">MAX(((S961)*(1+$C$10)+IF(B962="Working",I962,0))-O962,0)</f>
        <v>15450</v>
      </c>
      <c r="T962" s="171">
        <f t="shared" ref="T962:T1000" si="505">MAX(((T961)*(1+$C$10)+IF(B962="Working",F81,0))-P962,0)</f>
        <v>0</v>
      </c>
      <c r="U962" s="171">
        <f t="shared" si="493"/>
        <v>524485.36820000003</v>
      </c>
      <c r="V962" s="171">
        <f t="shared" ref="V962:V1000" si="506">IF(B962="Working",MAX(-(((Q961)*(1+$C$10)+IF(B962="Working",J962,0))),0),MAX(K962-L962,0))</f>
        <v>0</v>
      </c>
      <c r="W962" s="171" t="str">
        <f>IF(OR(A962&gt;=$C$13,B962="Retired"),IF(V962&gt;0,-V962,U962-'Model Inputs'!$B$18),"")</f>
        <v/>
      </c>
      <c r="X962" s="171">
        <f t="shared" si="494"/>
        <v>0</v>
      </c>
      <c r="Y962" s="171">
        <f t="shared" si="495"/>
        <v>0</v>
      </c>
      <c r="Z962" s="171">
        <f t="shared" si="496"/>
        <v>0</v>
      </c>
      <c r="AA962" s="175">
        <f t="shared" si="497"/>
        <v>524485.36820000003</v>
      </c>
      <c r="AB962" s="5"/>
      <c r="AC962" s="5"/>
      <c r="AD962" s="5"/>
      <c r="AE962" s="5"/>
      <c r="AF962" s="5"/>
      <c r="AG962" s="5"/>
    </row>
    <row r="963" spans="1:33" x14ac:dyDescent="0.2">
      <c r="A963" s="169">
        <v>3</v>
      </c>
      <c r="B963" s="100" t="str">
        <f t="shared" si="483"/>
        <v>Working</v>
      </c>
      <c r="C963" s="170">
        <f t="shared" si="484"/>
        <v>675000</v>
      </c>
      <c r="D963" s="170">
        <f t="shared" si="485"/>
        <v>367570.47</v>
      </c>
      <c r="E963" s="170">
        <f t="shared" si="486"/>
        <v>82750.2</v>
      </c>
      <c r="F963" s="170">
        <f t="shared" si="487"/>
        <v>53045</v>
      </c>
      <c r="G963" s="171">
        <f t="shared" si="488"/>
        <v>0</v>
      </c>
      <c r="H963" s="171">
        <f t="shared" si="489"/>
        <v>0</v>
      </c>
      <c r="I963" s="171">
        <f>IF(B963="Working",MIN(MAX(D963-E963-F963-G963-H963,0),'Tax Assumptions'!$B$20),0)</f>
        <v>7500</v>
      </c>
      <c r="J963" s="171">
        <f t="shared" si="490"/>
        <v>224275.26999999996</v>
      </c>
      <c r="K963" s="170">
        <f t="shared" si="491"/>
        <v>0</v>
      </c>
      <c r="L963" s="170">
        <f t="shared" si="492"/>
        <v>0</v>
      </c>
      <c r="M963" s="170">
        <f t="shared" si="498"/>
        <v>0</v>
      </c>
      <c r="N963" s="170">
        <f t="shared" si="499"/>
        <v>0</v>
      </c>
      <c r="O963" s="170">
        <f t="shared" si="500"/>
        <v>0</v>
      </c>
      <c r="P963" s="170">
        <f t="shared" si="501"/>
        <v>0</v>
      </c>
      <c r="Q963" s="171">
        <f t="shared" si="502"/>
        <v>710354.56029199995</v>
      </c>
      <c r="R963" s="171">
        <f t="shared" si="503"/>
        <v>77998.200000000012</v>
      </c>
      <c r="S963" s="171">
        <f t="shared" si="504"/>
        <v>23877</v>
      </c>
      <c r="T963" s="171">
        <f t="shared" si="505"/>
        <v>0</v>
      </c>
      <c r="U963" s="171">
        <f t="shared" si="493"/>
        <v>812229.7602919999</v>
      </c>
      <c r="V963" s="171">
        <f t="shared" si="506"/>
        <v>0</v>
      </c>
      <c r="W963" s="171" t="str">
        <f>IF(OR(A963&gt;=$C$13,B963="Retired"),IF(V963&gt;0,-V963,U963-'Model Inputs'!$B$18),"")</f>
        <v/>
      </c>
      <c r="X963" s="171">
        <f t="shared" si="494"/>
        <v>0</v>
      </c>
      <c r="Y963" s="171">
        <f t="shared" si="495"/>
        <v>0</v>
      </c>
      <c r="Z963" s="171">
        <f t="shared" si="496"/>
        <v>0</v>
      </c>
      <c r="AA963" s="172">
        <f t="shared" si="497"/>
        <v>812229.7602919999</v>
      </c>
      <c r="AB963" s="5"/>
      <c r="AC963" s="5"/>
      <c r="AD963" s="5"/>
      <c r="AE963" s="5"/>
      <c r="AF963" s="5"/>
      <c r="AG963" s="5"/>
    </row>
    <row r="964" spans="1:33" x14ac:dyDescent="0.2">
      <c r="A964" s="173">
        <v>4</v>
      </c>
      <c r="B964" s="65" t="str">
        <f t="shared" si="483"/>
        <v>Working</v>
      </c>
      <c r="C964" s="174">
        <f t="shared" si="484"/>
        <v>750000</v>
      </c>
      <c r="D964" s="174">
        <f t="shared" si="485"/>
        <v>405137.47</v>
      </c>
      <c r="E964" s="174">
        <f t="shared" si="486"/>
        <v>85232.706000000006</v>
      </c>
      <c r="F964" s="174">
        <f t="shared" si="487"/>
        <v>54636.35</v>
      </c>
      <c r="G964" s="171">
        <f t="shared" si="488"/>
        <v>0</v>
      </c>
      <c r="H964" s="171">
        <f t="shared" si="489"/>
        <v>0</v>
      </c>
      <c r="I964" s="171">
        <f>IF(B964="Working",MIN(MAX(D964-E964-F964-G964-H964,0),'Tax Assumptions'!$B$20),0)</f>
        <v>7500</v>
      </c>
      <c r="J964" s="171">
        <f t="shared" si="490"/>
        <v>257768.41399999999</v>
      </c>
      <c r="K964" s="174">
        <f t="shared" si="491"/>
        <v>0</v>
      </c>
      <c r="L964" s="174">
        <f t="shared" si="492"/>
        <v>0</v>
      </c>
      <c r="M964" s="174">
        <f t="shared" si="498"/>
        <v>0</v>
      </c>
      <c r="N964" s="174">
        <f t="shared" si="499"/>
        <v>0</v>
      </c>
      <c r="O964" s="174">
        <f t="shared" si="500"/>
        <v>0</v>
      </c>
      <c r="P964" s="174">
        <f t="shared" si="501"/>
        <v>0</v>
      </c>
      <c r="Q964" s="171">
        <f t="shared" si="502"/>
        <v>1010744.2479095199</v>
      </c>
      <c r="R964" s="171">
        <f t="shared" si="503"/>
        <v>107178.09200000002</v>
      </c>
      <c r="S964" s="171">
        <f t="shared" si="504"/>
        <v>32809.620000000003</v>
      </c>
      <c r="T964" s="171">
        <f t="shared" si="505"/>
        <v>0</v>
      </c>
      <c r="U964" s="171">
        <f t="shared" si="493"/>
        <v>1150731.9599095201</v>
      </c>
      <c r="V964" s="171">
        <f t="shared" si="506"/>
        <v>0</v>
      </c>
      <c r="W964" s="171" t="str">
        <f>IF(OR(A964&gt;=$C$13,B964="Retired"),IF(V964&gt;0,-V964,U964-'Model Inputs'!$B$18),"")</f>
        <v/>
      </c>
      <c r="X964" s="171">
        <f t="shared" si="494"/>
        <v>0</v>
      </c>
      <c r="Y964" s="171">
        <f t="shared" si="495"/>
        <v>0</v>
      </c>
      <c r="Z964" s="171">
        <f t="shared" si="496"/>
        <v>0</v>
      </c>
      <c r="AA964" s="175">
        <f t="shared" si="497"/>
        <v>1150731.9599095201</v>
      </c>
      <c r="AB964" s="5"/>
      <c r="AC964" s="5"/>
      <c r="AD964" s="5"/>
      <c r="AE964" s="5"/>
      <c r="AF964" s="5"/>
      <c r="AG964" s="5"/>
    </row>
    <row r="965" spans="1:33" x14ac:dyDescent="0.2">
      <c r="A965" s="169">
        <v>5</v>
      </c>
      <c r="B965" s="100" t="str">
        <f t="shared" si="483"/>
        <v>Working</v>
      </c>
      <c r="C965" s="170">
        <f t="shared" si="484"/>
        <v>953837.51358640334</v>
      </c>
      <c r="D965" s="170">
        <f t="shared" si="485"/>
        <v>506901.31028287602</v>
      </c>
      <c r="E965" s="170">
        <f t="shared" si="486"/>
        <v>87789.687179999994</v>
      </c>
      <c r="F965" s="170">
        <f t="shared" si="487"/>
        <v>56275.440499999997</v>
      </c>
      <c r="G965" s="171">
        <f t="shared" si="488"/>
        <v>0</v>
      </c>
      <c r="H965" s="171">
        <f t="shared" si="489"/>
        <v>0</v>
      </c>
      <c r="I965" s="171">
        <f>IF(B965="Working",MIN(MAX(D965-E965-F965-G965-H965,0),'Tax Assumptions'!$B$20),0)</f>
        <v>7500</v>
      </c>
      <c r="J965" s="171">
        <f t="shared" si="490"/>
        <v>355336.18260287598</v>
      </c>
      <c r="K965" s="170">
        <f t="shared" si="491"/>
        <v>0</v>
      </c>
      <c r="L965" s="170">
        <f t="shared" si="492"/>
        <v>0</v>
      </c>
      <c r="M965" s="170">
        <f t="shared" si="498"/>
        <v>0</v>
      </c>
      <c r="N965" s="170">
        <f t="shared" si="499"/>
        <v>0</v>
      </c>
      <c r="O965" s="170">
        <f t="shared" si="500"/>
        <v>0</v>
      </c>
      <c r="P965" s="170">
        <f t="shared" si="501"/>
        <v>0</v>
      </c>
      <c r="Q965" s="171">
        <f t="shared" si="502"/>
        <v>1426725.0853869673</v>
      </c>
      <c r="R965" s="171">
        <f t="shared" si="503"/>
        <v>138108.77752000003</v>
      </c>
      <c r="S965" s="171">
        <f t="shared" si="504"/>
        <v>42278.197200000002</v>
      </c>
      <c r="T965" s="171">
        <f t="shared" si="505"/>
        <v>0</v>
      </c>
      <c r="U965" s="171">
        <f t="shared" si="493"/>
        <v>1607112.0601069673</v>
      </c>
      <c r="V965" s="171">
        <f t="shared" si="506"/>
        <v>0</v>
      </c>
      <c r="W965" s="171" t="str">
        <f>IF(OR(A965&gt;=$C$13,B965="Retired"),IF(V965&gt;0,-V965,U965-'Model Inputs'!$B$18),"")</f>
        <v/>
      </c>
      <c r="X965" s="171">
        <f t="shared" si="494"/>
        <v>0</v>
      </c>
      <c r="Y965" s="171">
        <f t="shared" si="495"/>
        <v>0</v>
      </c>
      <c r="Z965" s="171">
        <f t="shared" si="496"/>
        <v>0</v>
      </c>
      <c r="AA965" s="172">
        <f t="shared" si="497"/>
        <v>1607112.0601069673</v>
      </c>
      <c r="AB965" s="5"/>
      <c r="AC965" s="5"/>
      <c r="AD965" s="5"/>
      <c r="AE965" s="5"/>
      <c r="AF965" s="5"/>
      <c r="AG965" s="5"/>
    </row>
    <row r="966" spans="1:33" x14ac:dyDescent="0.2">
      <c r="A966" s="173">
        <v>6</v>
      </c>
      <c r="B966" s="65" t="str">
        <f t="shared" si="483"/>
        <v>Working</v>
      </c>
      <c r="C966" s="174">
        <f t="shared" si="484"/>
        <v>1118900.665838565</v>
      </c>
      <c r="D966" s="174">
        <f t="shared" si="485"/>
        <v>589060.11476976541</v>
      </c>
      <c r="E966" s="174">
        <f t="shared" si="486"/>
        <v>92741.925943999988</v>
      </c>
      <c r="F966" s="174">
        <f t="shared" si="487"/>
        <v>57963.703714999989</v>
      </c>
      <c r="G966" s="171">
        <f t="shared" si="488"/>
        <v>0</v>
      </c>
      <c r="H966" s="171">
        <f t="shared" si="489"/>
        <v>0</v>
      </c>
      <c r="I966" s="171">
        <f>IF(B966="Working",MIN(MAX(D966-E966-F966-G966-H966,0),'Tax Assumptions'!$B$20),0)</f>
        <v>7500</v>
      </c>
      <c r="J966" s="171">
        <f t="shared" si="490"/>
        <v>430854.48511076538</v>
      </c>
      <c r="K966" s="174">
        <f t="shared" si="491"/>
        <v>0</v>
      </c>
      <c r="L966" s="174">
        <f t="shared" si="492"/>
        <v>0</v>
      </c>
      <c r="M966" s="174">
        <f t="shared" si="498"/>
        <v>0</v>
      </c>
      <c r="N966" s="174">
        <f t="shared" si="499"/>
        <v>0</v>
      </c>
      <c r="O966" s="174">
        <f t="shared" si="500"/>
        <v>0</v>
      </c>
      <c r="P966" s="174">
        <f t="shared" si="501"/>
        <v>0</v>
      </c>
      <c r="Q966" s="171">
        <f t="shared" si="502"/>
        <v>1943183.0756209507</v>
      </c>
      <c r="R966" s="171">
        <f t="shared" si="503"/>
        <v>170895.30417120006</v>
      </c>
      <c r="S966" s="171">
        <f t="shared" si="504"/>
        <v>52314.889032000006</v>
      </c>
      <c r="T966" s="171">
        <f t="shared" si="505"/>
        <v>0</v>
      </c>
      <c r="U966" s="171">
        <f t="shared" si="493"/>
        <v>2166393.2688241508</v>
      </c>
      <c r="V966" s="171">
        <f t="shared" si="506"/>
        <v>0</v>
      </c>
      <c r="W966" s="171" t="str">
        <f>IF(OR(A966&gt;=$C$13,B966="Retired"),IF(V966&gt;0,-V966,U966-'Model Inputs'!$B$18),"")</f>
        <v/>
      </c>
      <c r="X966" s="171">
        <f t="shared" si="494"/>
        <v>0</v>
      </c>
      <c r="Y966" s="171">
        <f t="shared" si="495"/>
        <v>0</v>
      </c>
      <c r="Z966" s="171">
        <f t="shared" si="496"/>
        <v>0</v>
      </c>
      <c r="AA966" s="175">
        <f t="shared" si="497"/>
        <v>2166393.2688241508</v>
      </c>
      <c r="AB966" s="5"/>
      <c r="AC966" s="5"/>
      <c r="AD966" s="5"/>
      <c r="AE966" s="5"/>
      <c r="AF966" s="5"/>
      <c r="AG966" s="5"/>
    </row>
    <row r="967" spans="1:33" x14ac:dyDescent="0.2">
      <c r="A967" s="169">
        <v>7</v>
      </c>
      <c r="B967" s="100" t="str">
        <f t="shared" si="483"/>
        <v>Working</v>
      </c>
      <c r="C967" s="170">
        <f t="shared" si="484"/>
        <v>1418318.448466131</v>
      </c>
      <c r="D967" s="170">
        <f t="shared" si="485"/>
        <v>730157.75065517949</v>
      </c>
      <c r="E967" s="170">
        <f t="shared" si="486"/>
        <v>95524.183722319998</v>
      </c>
      <c r="F967" s="170">
        <f t="shared" si="487"/>
        <v>59702.614826449993</v>
      </c>
      <c r="G967" s="171">
        <f t="shared" si="488"/>
        <v>0</v>
      </c>
      <c r="H967" s="171">
        <f t="shared" si="489"/>
        <v>0</v>
      </c>
      <c r="I967" s="171">
        <f>IF(B967="Working",MIN(MAX(D967-E967-F967-G967-H967,0),'Tax Assumptions'!$B$20),0)</f>
        <v>7500</v>
      </c>
      <c r="J967" s="171">
        <f t="shared" si="490"/>
        <v>567430.95210640947</v>
      </c>
      <c r="K967" s="170">
        <f t="shared" si="491"/>
        <v>0</v>
      </c>
      <c r="L967" s="170">
        <f t="shared" si="492"/>
        <v>0</v>
      </c>
      <c r="M967" s="170">
        <f t="shared" si="498"/>
        <v>0</v>
      </c>
      <c r="N967" s="170">
        <f t="shared" si="499"/>
        <v>0</v>
      </c>
      <c r="O967" s="170">
        <f t="shared" si="500"/>
        <v>0</v>
      </c>
      <c r="P967" s="170">
        <f t="shared" si="501"/>
        <v>0</v>
      </c>
      <c r="Q967" s="171">
        <f t="shared" si="502"/>
        <v>2627205.0122646173</v>
      </c>
      <c r="R967" s="171">
        <f t="shared" si="503"/>
        <v>205649.02242147207</v>
      </c>
      <c r="S967" s="171">
        <f t="shared" si="504"/>
        <v>62953.78237392001</v>
      </c>
      <c r="T967" s="171">
        <f t="shared" si="505"/>
        <v>0</v>
      </c>
      <c r="U967" s="171">
        <f t="shared" si="493"/>
        <v>2895807.8170600096</v>
      </c>
      <c r="V967" s="171">
        <f t="shared" si="506"/>
        <v>0</v>
      </c>
      <c r="W967" s="171" t="str">
        <f>IF(OR(A967&gt;=$C$13,B967="Retired"),IF(V967&gt;0,-V967,U967-'Model Inputs'!$B$18),"")</f>
        <v/>
      </c>
      <c r="X967" s="171">
        <f t="shared" si="494"/>
        <v>0</v>
      </c>
      <c r="Y967" s="171">
        <f t="shared" si="495"/>
        <v>0</v>
      </c>
      <c r="Z967" s="171">
        <f t="shared" si="496"/>
        <v>0</v>
      </c>
      <c r="AA967" s="172">
        <f t="shared" si="497"/>
        <v>2895807.8170600096</v>
      </c>
      <c r="AB967" s="5"/>
      <c r="AC967" s="5"/>
      <c r="AD967" s="5"/>
      <c r="AE967" s="5"/>
      <c r="AF967" s="5"/>
      <c r="AG967" s="5"/>
    </row>
    <row r="968" spans="1:33" x14ac:dyDescent="0.2">
      <c r="A968" s="173">
        <v>8</v>
      </c>
      <c r="B968" s="65" t="str">
        <f t="shared" si="483"/>
        <v>Working</v>
      </c>
      <c r="C968" s="174">
        <f t="shared" si="484"/>
        <v>1872205.6657868917</v>
      </c>
      <c r="D968" s="174">
        <f t="shared" si="485"/>
        <v>944047.5629454148</v>
      </c>
      <c r="E968" s="174">
        <f t="shared" si="486"/>
        <v>98389.909233989601</v>
      </c>
      <c r="F968" s="174">
        <f t="shared" si="487"/>
        <v>61493.693271243501</v>
      </c>
      <c r="G968" s="171">
        <f t="shared" si="488"/>
        <v>0</v>
      </c>
      <c r="H968" s="171">
        <f t="shared" si="489"/>
        <v>0</v>
      </c>
      <c r="I968" s="171">
        <f>IF(B968="Working",MIN(MAX(D968-E968-F968-G968-H968,0),'Tax Assumptions'!$B$20),0)</f>
        <v>7500</v>
      </c>
      <c r="J968" s="171">
        <f t="shared" si="490"/>
        <v>776663.96044018166</v>
      </c>
      <c r="K968" s="174">
        <f t="shared" si="491"/>
        <v>0</v>
      </c>
      <c r="L968" s="174">
        <f t="shared" si="492"/>
        <v>0</v>
      </c>
      <c r="M968" s="174">
        <f t="shared" si="498"/>
        <v>0</v>
      </c>
      <c r="N968" s="174">
        <f t="shared" si="499"/>
        <v>0</v>
      </c>
      <c r="O968" s="174">
        <f t="shared" si="500"/>
        <v>0</v>
      </c>
      <c r="P968" s="174">
        <f t="shared" si="501"/>
        <v>0</v>
      </c>
      <c r="Q968" s="171">
        <f t="shared" si="502"/>
        <v>3561501.2734406763</v>
      </c>
      <c r="R968" s="171">
        <f t="shared" si="503"/>
        <v>242487.9637667604</v>
      </c>
      <c r="S968" s="171">
        <f t="shared" si="504"/>
        <v>74231.009316355208</v>
      </c>
      <c r="T968" s="171">
        <f t="shared" si="505"/>
        <v>0</v>
      </c>
      <c r="U968" s="171">
        <f t="shared" si="493"/>
        <v>3878220.2465237915</v>
      </c>
      <c r="V968" s="171">
        <f t="shared" si="506"/>
        <v>0</v>
      </c>
      <c r="W968" s="171" t="str">
        <f>IF(OR(A968&gt;=$C$13,B968="Retired"),IF(V968&gt;0,-V968,U968-'Model Inputs'!$B$18),"")</f>
        <v/>
      </c>
      <c r="X968" s="171">
        <f t="shared" si="494"/>
        <v>0</v>
      </c>
      <c r="Y968" s="171">
        <f t="shared" si="495"/>
        <v>0</v>
      </c>
      <c r="Z968" s="171">
        <f t="shared" si="496"/>
        <v>0</v>
      </c>
      <c r="AA968" s="175">
        <f t="shared" si="497"/>
        <v>3878220.2465237915</v>
      </c>
      <c r="AB968" s="5"/>
      <c r="AC968" s="5"/>
      <c r="AD968" s="5"/>
      <c r="AE968" s="5"/>
      <c r="AF968" s="5"/>
      <c r="AG968" s="5"/>
    </row>
    <row r="969" spans="1:33" x14ac:dyDescent="0.2">
      <c r="A969" s="169">
        <v>9</v>
      </c>
      <c r="B969" s="100" t="str">
        <f t="shared" si="483"/>
        <v>Working</v>
      </c>
      <c r="C969" s="170">
        <f t="shared" si="484"/>
        <v>2033969.9666232408</v>
      </c>
      <c r="D969" s="170">
        <f t="shared" si="485"/>
        <v>1020277.372071536</v>
      </c>
      <c r="E969" s="170">
        <f t="shared" si="486"/>
        <v>101341.60651100927</v>
      </c>
      <c r="F969" s="170">
        <f t="shared" si="487"/>
        <v>63338.504069380797</v>
      </c>
      <c r="G969" s="171">
        <f t="shared" si="488"/>
        <v>0</v>
      </c>
      <c r="H969" s="171">
        <f t="shared" si="489"/>
        <v>0</v>
      </c>
      <c r="I969" s="171">
        <f>IF(B969="Working",MIN(MAX(D969-E969-F969-G969-H969,0),'Tax Assumptions'!$B$20),0)</f>
        <v>7500</v>
      </c>
      <c r="J969" s="171">
        <f t="shared" si="490"/>
        <v>848097.26149114594</v>
      </c>
      <c r="K969" s="170">
        <f t="shared" si="491"/>
        <v>0</v>
      </c>
      <c r="L969" s="170">
        <f t="shared" si="492"/>
        <v>0</v>
      </c>
      <c r="M969" s="170">
        <f t="shared" si="498"/>
        <v>0</v>
      </c>
      <c r="N969" s="170">
        <f t="shared" si="499"/>
        <v>0</v>
      </c>
      <c r="O969" s="170">
        <f t="shared" si="500"/>
        <v>0</v>
      </c>
      <c r="P969" s="170">
        <f t="shared" si="501"/>
        <v>0</v>
      </c>
      <c r="Q969" s="171">
        <f t="shared" si="502"/>
        <v>4623288.6113382634</v>
      </c>
      <c r="R969" s="171">
        <f t="shared" si="503"/>
        <v>281537.24159276602</v>
      </c>
      <c r="S969" s="171">
        <f t="shared" si="504"/>
        <v>86184.869875336532</v>
      </c>
      <c r="T969" s="171">
        <f t="shared" si="505"/>
        <v>0</v>
      </c>
      <c r="U969" s="171">
        <f t="shared" si="493"/>
        <v>4991010.7228063662</v>
      </c>
      <c r="V969" s="171">
        <f t="shared" si="506"/>
        <v>0</v>
      </c>
      <c r="W969" s="171" t="str">
        <f>IF(OR(A969&gt;=$C$13,B969="Retired"),IF(V969&gt;0,-V969,U969-'Model Inputs'!$B$18),"")</f>
        <v/>
      </c>
      <c r="X969" s="171">
        <f t="shared" si="494"/>
        <v>0</v>
      </c>
      <c r="Y969" s="171">
        <f t="shared" si="495"/>
        <v>0</v>
      </c>
      <c r="Z969" s="171">
        <f t="shared" si="496"/>
        <v>0</v>
      </c>
      <c r="AA969" s="172">
        <f t="shared" si="497"/>
        <v>4991010.7228063662</v>
      </c>
      <c r="AB969" s="5"/>
      <c r="AC969" s="5"/>
      <c r="AD969" s="5"/>
      <c r="AE969" s="5"/>
      <c r="AF969" s="5"/>
      <c r="AG969" s="5"/>
    </row>
    <row r="970" spans="1:33" x14ac:dyDescent="0.2">
      <c r="A970" s="173">
        <v>10</v>
      </c>
      <c r="B970" s="65" t="str">
        <f t="shared" si="483"/>
        <v>Working</v>
      </c>
      <c r="C970" s="174">
        <f t="shared" si="484"/>
        <v>2595495.7626410057</v>
      </c>
      <c r="D970" s="174">
        <f t="shared" si="485"/>
        <v>1284890.7881869476</v>
      </c>
      <c r="E970" s="174">
        <f t="shared" si="486"/>
        <v>104381.85470633955</v>
      </c>
      <c r="F970" s="174">
        <f t="shared" si="487"/>
        <v>65238.659191462226</v>
      </c>
      <c r="G970" s="171">
        <f t="shared" si="488"/>
        <v>963402.34400279156</v>
      </c>
      <c r="H970" s="171">
        <f t="shared" si="489"/>
        <v>129230.76923076923</v>
      </c>
      <c r="I970" s="171">
        <f>IF(B970="Working",MIN(MAX(D970-E970-F970-G970-H970,0),'Tax Assumptions'!$B$20),0)</f>
        <v>7500</v>
      </c>
      <c r="J970" s="171">
        <f t="shared" si="490"/>
        <v>15137.161055585035</v>
      </c>
      <c r="K970" s="174">
        <f t="shared" si="491"/>
        <v>0</v>
      </c>
      <c r="L970" s="174">
        <f t="shared" si="492"/>
        <v>0</v>
      </c>
      <c r="M970" s="174">
        <f t="shared" si="498"/>
        <v>0</v>
      </c>
      <c r="N970" s="174">
        <f t="shared" si="499"/>
        <v>0</v>
      </c>
      <c r="O970" s="174">
        <f t="shared" si="500"/>
        <v>0</v>
      </c>
      <c r="P970" s="174">
        <f t="shared" si="501"/>
        <v>0</v>
      </c>
      <c r="Q970" s="171">
        <f t="shared" si="502"/>
        <v>4915823.0890741451</v>
      </c>
      <c r="R970" s="171">
        <f t="shared" si="503"/>
        <v>322929.47608833201</v>
      </c>
      <c r="S970" s="171">
        <f t="shared" si="504"/>
        <v>98855.96206785673</v>
      </c>
      <c r="T970" s="171">
        <f t="shared" si="505"/>
        <v>0</v>
      </c>
      <c r="U970" s="171">
        <f t="shared" si="493"/>
        <v>5337608.5272303335</v>
      </c>
      <c r="V970" s="171">
        <f t="shared" si="506"/>
        <v>0</v>
      </c>
      <c r="W970" s="171">
        <f>IF(OR(A970&gt;=$C$13,B970="Retired"),IF(V970&gt;0,-V970,U970-'Model Inputs'!$B$18),"")</f>
        <v>4337608.5272303335</v>
      </c>
      <c r="X970" s="171">
        <f t="shared" si="494"/>
        <v>2028215.4610585084</v>
      </c>
      <c r="Y970" s="171">
        <f t="shared" si="495"/>
        <v>1103050.0691566805</v>
      </c>
      <c r="Z970" s="171">
        <f t="shared" si="496"/>
        <v>925165.39190182788</v>
      </c>
      <c r="AA970" s="175">
        <f t="shared" si="497"/>
        <v>6262773.9191321619</v>
      </c>
      <c r="AB970" s="5"/>
      <c r="AC970" s="5"/>
      <c r="AD970" s="5"/>
      <c r="AE970" s="5"/>
      <c r="AF970" s="5"/>
      <c r="AG970" s="5"/>
    </row>
    <row r="971" spans="1:33" x14ac:dyDescent="0.2">
      <c r="A971" s="169">
        <v>11</v>
      </c>
      <c r="B971" s="100" t="str">
        <f t="shared" si="483"/>
        <v>Retired</v>
      </c>
      <c r="C971" s="170">
        <f t="shared" si="484"/>
        <v>0</v>
      </c>
      <c r="D971" s="170">
        <f t="shared" si="485"/>
        <v>0</v>
      </c>
      <c r="E971" s="170">
        <f t="shared" si="486"/>
        <v>0</v>
      </c>
      <c r="F971" s="170">
        <f t="shared" si="487"/>
        <v>0</v>
      </c>
      <c r="G971" s="171">
        <f t="shared" si="488"/>
        <v>0</v>
      </c>
      <c r="H971" s="171">
        <f t="shared" si="489"/>
        <v>130569.39143506784</v>
      </c>
      <c r="I971" s="171">
        <f>IF(B971="Working",MIN(MAX(D971-E971-F971-G971-H971,0),'Tax Assumptions'!$B$20),0)</f>
        <v>0</v>
      </c>
      <c r="J971" s="171">
        <f t="shared" si="490"/>
        <v>-300569.39143506787</v>
      </c>
      <c r="K971" s="170">
        <f t="shared" si="491"/>
        <v>300569.39143506787</v>
      </c>
      <c r="L971" s="170">
        <f t="shared" si="492"/>
        <v>300569.39143506787</v>
      </c>
      <c r="M971" s="170">
        <f t="shared" si="498"/>
        <v>300569.39143506787</v>
      </c>
      <c r="N971" s="170">
        <f t="shared" si="499"/>
        <v>0</v>
      </c>
      <c r="O971" s="170">
        <f t="shared" si="500"/>
        <v>0</v>
      </c>
      <c r="P971" s="170">
        <f t="shared" si="501"/>
        <v>0</v>
      </c>
      <c r="Q971" s="171">
        <f t="shared" si="502"/>
        <v>4910203.0829835264</v>
      </c>
      <c r="R971" s="171">
        <f t="shared" si="503"/>
        <v>342305.24465363193</v>
      </c>
      <c r="S971" s="171">
        <f t="shared" si="504"/>
        <v>104787.31979192814</v>
      </c>
      <c r="T971" s="171">
        <f t="shared" si="505"/>
        <v>0</v>
      </c>
      <c r="U971" s="171">
        <f t="shared" si="493"/>
        <v>5357295.6474290863</v>
      </c>
      <c r="V971" s="171">
        <f t="shared" si="506"/>
        <v>0</v>
      </c>
      <c r="W971" s="171">
        <f>IF(OR(A971&gt;=$C$13,B971="Retired"),IF(V971&gt;0,-V971,U971-'Model Inputs'!$B$18),"")</f>
        <v>4357295.6474290863</v>
      </c>
      <c r="X971" s="171">
        <f t="shared" si="494"/>
        <v>2089061.9248902637</v>
      </c>
      <c r="Y971" s="171">
        <f t="shared" si="495"/>
        <v>1089746.6005861333</v>
      </c>
      <c r="Z971" s="171">
        <f t="shared" si="496"/>
        <v>999315.32430413039</v>
      </c>
      <c r="AA971" s="172">
        <f t="shared" si="497"/>
        <v>6356610.9717332162</v>
      </c>
      <c r="AB971" s="5"/>
      <c r="AC971" s="5"/>
      <c r="AD971" s="5"/>
      <c r="AE971" s="5"/>
      <c r="AF971" s="5"/>
      <c r="AG971" s="5"/>
    </row>
    <row r="972" spans="1:33" x14ac:dyDescent="0.2">
      <c r="A972" s="173">
        <v>12</v>
      </c>
      <c r="B972" s="65" t="str">
        <f t="shared" si="483"/>
        <v>Retired</v>
      </c>
      <c r="C972" s="174">
        <f t="shared" si="484"/>
        <v>0</v>
      </c>
      <c r="D972" s="174">
        <f t="shared" si="485"/>
        <v>0</v>
      </c>
      <c r="E972" s="174">
        <f t="shared" si="486"/>
        <v>0</v>
      </c>
      <c r="F972" s="174">
        <f t="shared" si="487"/>
        <v>0</v>
      </c>
      <c r="G972" s="171">
        <f t="shared" si="488"/>
        <v>0</v>
      </c>
      <c r="H972" s="171">
        <f t="shared" si="489"/>
        <v>131948.17230549542</v>
      </c>
      <c r="I972" s="171">
        <f>IF(B972="Working",MIN(MAX(D972-E972-F972-G972-H972,0),'Tax Assumptions'!$B$20),0)</f>
        <v>0</v>
      </c>
      <c r="J972" s="171">
        <f t="shared" si="490"/>
        <v>-301948.17230549542</v>
      </c>
      <c r="K972" s="174">
        <f t="shared" si="491"/>
        <v>301948.17230549542</v>
      </c>
      <c r="L972" s="174">
        <f t="shared" si="492"/>
        <v>301948.17230549542</v>
      </c>
      <c r="M972" s="174">
        <f t="shared" si="498"/>
        <v>301948.17230549542</v>
      </c>
      <c r="N972" s="174">
        <f t="shared" si="499"/>
        <v>0</v>
      </c>
      <c r="O972" s="174">
        <f t="shared" si="500"/>
        <v>0</v>
      </c>
      <c r="P972" s="174">
        <f t="shared" si="501"/>
        <v>0</v>
      </c>
      <c r="Q972" s="171">
        <f t="shared" si="502"/>
        <v>4902867.0956570432</v>
      </c>
      <c r="R972" s="171">
        <f t="shared" si="503"/>
        <v>362843.55933284987</v>
      </c>
      <c r="S972" s="171">
        <f t="shared" si="504"/>
        <v>111074.55897944383</v>
      </c>
      <c r="T972" s="171">
        <f t="shared" si="505"/>
        <v>0</v>
      </c>
      <c r="U972" s="171">
        <f t="shared" si="493"/>
        <v>5376785.2139693368</v>
      </c>
      <c r="V972" s="171">
        <f t="shared" si="506"/>
        <v>0</v>
      </c>
      <c r="W972" s="171">
        <f>IF(OR(A972&gt;=$C$13,B972="Retired"),IF(V972&gt;0,-V972,U972-'Model Inputs'!$B$18),"")</f>
        <v>4376785.2139693368</v>
      </c>
      <c r="X972" s="171">
        <f t="shared" si="494"/>
        <v>2151733.7826369712</v>
      </c>
      <c r="Y972" s="171">
        <f t="shared" si="495"/>
        <v>1075552.1740873591</v>
      </c>
      <c r="Z972" s="171">
        <f t="shared" si="496"/>
        <v>1076181.6085496121</v>
      </c>
      <c r="AA972" s="175">
        <f t="shared" si="497"/>
        <v>6452966.8225189485</v>
      </c>
      <c r="AB972" s="5"/>
      <c r="AC972" s="5"/>
      <c r="AD972" s="5"/>
      <c r="AE972" s="5"/>
      <c r="AF972" s="5"/>
      <c r="AG972" s="5"/>
    </row>
    <row r="973" spans="1:33" x14ac:dyDescent="0.2">
      <c r="A973" s="169">
        <v>13</v>
      </c>
      <c r="B973" s="100" t="str">
        <f t="shared" si="483"/>
        <v>Retired</v>
      </c>
      <c r="C973" s="170">
        <f t="shared" si="484"/>
        <v>0</v>
      </c>
      <c r="D973" s="170">
        <f t="shared" si="485"/>
        <v>0</v>
      </c>
      <c r="E973" s="170">
        <f t="shared" si="486"/>
        <v>0</v>
      </c>
      <c r="F973" s="170">
        <f t="shared" si="487"/>
        <v>0</v>
      </c>
      <c r="G973" s="171">
        <f t="shared" si="488"/>
        <v>0</v>
      </c>
      <c r="H973" s="171">
        <f t="shared" si="489"/>
        <v>133368.31660203583</v>
      </c>
      <c r="I973" s="171">
        <f>IF(B973="Working",MIN(MAX(D973-E973-F973-G973-H973,0),'Tax Assumptions'!$B$20),0)</f>
        <v>0</v>
      </c>
      <c r="J973" s="171">
        <f t="shared" si="490"/>
        <v>-303368.31660203583</v>
      </c>
      <c r="K973" s="170">
        <f t="shared" si="491"/>
        <v>303368.31660203583</v>
      </c>
      <c r="L973" s="170">
        <f t="shared" si="492"/>
        <v>303368.31660203583</v>
      </c>
      <c r="M973" s="170">
        <f t="shared" si="498"/>
        <v>303368.31660203583</v>
      </c>
      <c r="N973" s="170">
        <f t="shared" si="499"/>
        <v>0</v>
      </c>
      <c r="O973" s="170">
        <f t="shared" si="500"/>
        <v>0</v>
      </c>
      <c r="P973" s="170">
        <f t="shared" si="501"/>
        <v>0</v>
      </c>
      <c r="Q973" s="171">
        <f t="shared" si="502"/>
        <v>4893670.8047944307</v>
      </c>
      <c r="R973" s="171">
        <f t="shared" si="503"/>
        <v>384614.1728928209</v>
      </c>
      <c r="S973" s="171">
        <f t="shared" si="504"/>
        <v>117739.03251821046</v>
      </c>
      <c r="T973" s="171">
        <f t="shared" si="505"/>
        <v>0</v>
      </c>
      <c r="U973" s="171">
        <f t="shared" si="493"/>
        <v>5396024.0102054626</v>
      </c>
      <c r="V973" s="171">
        <f t="shared" si="506"/>
        <v>0</v>
      </c>
      <c r="W973" s="171">
        <f>IF(OR(A973&gt;=$C$13,B973="Retired"),IF(V973&gt;0,-V973,U973-'Model Inputs'!$B$18),"")</f>
        <v>4396024.0102054626</v>
      </c>
      <c r="X973" s="171">
        <f t="shared" si="494"/>
        <v>2216285.7961160806</v>
      </c>
      <c r="Y973" s="171">
        <f t="shared" si="495"/>
        <v>1060407.1205578479</v>
      </c>
      <c r="Z973" s="171">
        <f t="shared" si="496"/>
        <v>1155878.6755582327</v>
      </c>
      <c r="AA973" s="172">
        <f t="shared" si="497"/>
        <v>6551902.6857636953</v>
      </c>
      <c r="AB973" s="5"/>
      <c r="AC973" s="5"/>
      <c r="AD973" s="5"/>
      <c r="AE973" s="5"/>
      <c r="AF973" s="5"/>
      <c r="AG973" s="5"/>
    </row>
    <row r="974" spans="1:33" x14ac:dyDescent="0.2">
      <c r="A974" s="173">
        <v>14</v>
      </c>
      <c r="B974" s="65" t="str">
        <f t="shared" si="483"/>
        <v>Retired</v>
      </c>
      <c r="C974" s="174">
        <f t="shared" si="484"/>
        <v>0</v>
      </c>
      <c r="D974" s="174">
        <f t="shared" si="485"/>
        <v>0</v>
      </c>
      <c r="E974" s="174">
        <f t="shared" si="486"/>
        <v>0</v>
      </c>
      <c r="F974" s="174">
        <f t="shared" si="487"/>
        <v>0</v>
      </c>
      <c r="G974" s="171">
        <f t="shared" si="488"/>
        <v>0</v>
      </c>
      <c r="H974" s="171">
        <f t="shared" si="489"/>
        <v>134831.06522747243</v>
      </c>
      <c r="I974" s="171">
        <f>IF(B974="Working",MIN(MAX(D974-E974-F974-G974-H974,0),'Tax Assumptions'!$B$20),0)</f>
        <v>0</v>
      </c>
      <c r="J974" s="171">
        <f t="shared" si="490"/>
        <v>-304831.06522747246</v>
      </c>
      <c r="K974" s="174">
        <f t="shared" si="491"/>
        <v>304831.06522747246</v>
      </c>
      <c r="L974" s="174">
        <f t="shared" si="492"/>
        <v>304831.06522747246</v>
      </c>
      <c r="M974" s="174">
        <f t="shared" si="498"/>
        <v>304831.06522747246</v>
      </c>
      <c r="N974" s="174">
        <f t="shared" si="499"/>
        <v>0</v>
      </c>
      <c r="O974" s="174">
        <f t="shared" si="500"/>
        <v>0</v>
      </c>
      <c r="P974" s="174">
        <f t="shared" si="501"/>
        <v>0</v>
      </c>
      <c r="Q974" s="171">
        <f t="shared" si="502"/>
        <v>4882459.9878546242</v>
      </c>
      <c r="R974" s="171">
        <f t="shared" si="503"/>
        <v>407691.0232663902</v>
      </c>
      <c r="S974" s="171">
        <f t="shared" si="504"/>
        <v>124803.37446930309</v>
      </c>
      <c r="T974" s="171">
        <f t="shared" si="505"/>
        <v>0</v>
      </c>
      <c r="U974" s="171">
        <f t="shared" si="493"/>
        <v>5414954.3855903177</v>
      </c>
      <c r="V974" s="171">
        <f t="shared" si="506"/>
        <v>0</v>
      </c>
      <c r="W974" s="171">
        <f>IF(OR(A974&gt;=$C$13,B974="Retired"),IF(V974&gt;0,-V974,U974-'Model Inputs'!$B$18),"")</f>
        <v>4414954.3855903177</v>
      </c>
      <c r="X974" s="171">
        <f t="shared" si="494"/>
        <v>2282774.3699995629</v>
      </c>
      <c r="Y974" s="171">
        <f t="shared" si="495"/>
        <v>1044247.7747447877</v>
      </c>
      <c r="Z974" s="171">
        <f t="shared" si="496"/>
        <v>1238526.5952547751</v>
      </c>
      <c r="AA974" s="175">
        <f t="shared" si="497"/>
        <v>6653480.9808450928</v>
      </c>
      <c r="AB974" s="5"/>
      <c r="AC974" s="5"/>
      <c r="AD974" s="5"/>
      <c r="AE974" s="5"/>
      <c r="AF974" s="5"/>
      <c r="AG974" s="5"/>
    </row>
    <row r="975" spans="1:33" x14ac:dyDescent="0.2">
      <c r="A975" s="169">
        <v>15</v>
      </c>
      <c r="B975" s="100" t="str">
        <f t="shared" si="483"/>
        <v>Retired</v>
      </c>
      <c r="C975" s="170">
        <f t="shared" si="484"/>
        <v>0</v>
      </c>
      <c r="D975" s="170">
        <f t="shared" si="485"/>
        <v>0</v>
      </c>
      <c r="E975" s="170">
        <f t="shared" si="486"/>
        <v>0</v>
      </c>
      <c r="F975" s="170">
        <f t="shared" si="487"/>
        <v>0</v>
      </c>
      <c r="G975" s="171">
        <f t="shared" si="488"/>
        <v>0</v>
      </c>
      <c r="H975" s="171">
        <f t="shared" si="489"/>
        <v>136337.69631167216</v>
      </c>
      <c r="I975" s="171">
        <f>IF(B975="Working",MIN(MAX(D975-E975-F975-G975-H975,0),'Tax Assumptions'!$B$20),0)</f>
        <v>0</v>
      </c>
      <c r="J975" s="171">
        <f t="shared" si="490"/>
        <v>-306337.69631167216</v>
      </c>
      <c r="K975" s="170">
        <f t="shared" si="491"/>
        <v>306337.69631167216</v>
      </c>
      <c r="L975" s="170">
        <f t="shared" si="492"/>
        <v>306337.69631167216</v>
      </c>
      <c r="M975" s="170">
        <f t="shared" si="498"/>
        <v>306337.69631167216</v>
      </c>
      <c r="N975" s="170">
        <f t="shared" si="499"/>
        <v>0</v>
      </c>
      <c r="O975" s="170">
        <f t="shared" si="500"/>
        <v>0</v>
      </c>
      <c r="P975" s="170">
        <f t="shared" si="501"/>
        <v>0</v>
      </c>
      <c r="Q975" s="171">
        <f t="shared" si="502"/>
        <v>4869069.8908142298</v>
      </c>
      <c r="R975" s="171">
        <f t="shared" si="503"/>
        <v>432152.48466237361</v>
      </c>
      <c r="S975" s="171">
        <f t="shared" si="504"/>
        <v>132291.57693746127</v>
      </c>
      <c r="T975" s="171">
        <f t="shared" si="505"/>
        <v>0</v>
      </c>
      <c r="U975" s="171">
        <f t="shared" si="493"/>
        <v>5433513.9524140647</v>
      </c>
      <c r="V975" s="171">
        <f t="shared" si="506"/>
        <v>0</v>
      </c>
      <c r="W975" s="171">
        <f>IF(OR(A975&gt;=$C$13,B975="Retired"),IF(V975&gt;0,-V975,U975-'Model Inputs'!$B$18),"")</f>
        <v>4433513.9524140647</v>
      </c>
      <c r="X975" s="171">
        <f t="shared" si="494"/>
        <v>2351257.6010995498</v>
      </c>
      <c r="Y975" s="171">
        <f t="shared" si="495"/>
        <v>1027006.2076154774</v>
      </c>
      <c r="Z975" s="171">
        <f t="shared" si="496"/>
        <v>1324251.3934840723</v>
      </c>
      <c r="AA975" s="172">
        <f t="shared" si="497"/>
        <v>6757765.3458981365</v>
      </c>
      <c r="AB975" s="5"/>
      <c r="AC975" s="5"/>
      <c r="AD975" s="5"/>
      <c r="AE975" s="5"/>
      <c r="AF975" s="5"/>
      <c r="AG975" s="5"/>
    </row>
    <row r="976" spans="1:33" x14ac:dyDescent="0.2">
      <c r="A976" s="173">
        <v>16</v>
      </c>
      <c r="B976" s="65" t="str">
        <f t="shared" si="483"/>
        <v>Retired</v>
      </c>
      <c r="C976" s="174">
        <f t="shared" si="484"/>
        <v>0</v>
      </c>
      <c r="D976" s="174">
        <f t="shared" si="485"/>
        <v>0</v>
      </c>
      <c r="E976" s="174">
        <f t="shared" si="486"/>
        <v>0</v>
      </c>
      <c r="F976" s="174">
        <f t="shared" si="487"/>
        <v>0</v>
      </c>
      <c r="G976" s="171">
        <f t="shared" si="488"/>
        <v>0</v>
      </c>
      <c r="H976" s="171">
        <f t="shared" si="489"/>
        <v>137889.52632839786</v>
      </c>
      <c r="I976" s="171">
        <f>IF(B976="Working",MIN(MAX(D976-E976-F976-G976-H976,0),'Tax Assumptions'!$B$20),0)</f>
        <v>0</v>
      </c>
      <c r="J976" s="171">
        <f t="shared" si="490"/>
        <v>-307889.52632839786</v>
      </c>
      <c r="K976" s="174">
        <f t="shared" si="491"/>
        <v>307889.52632839786</v>
      </c>
      <c r="L976" s="174">
        <f t="shared" si="492"/>
        <v>307889.52632839786</v>
      </c>
      <c r="M976" s="174">
        <f t="shared" si="498"/>
        <v>307889.52632839786</v>
      </c>
      <c r="N976" s="174">
        <f t="shared" si="499"/>
        <v>0</v>
      </c>
      <c r="O976" s="174">
        <f t="shared" si="500"/>
        <v>0</v>
      </c>
      <c r="P976" s="174">
        <f t="shared" si="501"/>
        <v>0</v>
      </c>
      <c r="Q976" s="171">
        <f t="shared" si="502"/>
        <v>4853324.5579346856</v>
      </c>
      <c r="R976" s="171">
        <f t="shared" si="503"/>
        <v>458081.63374211604</v>
      </c>
      <c r="S976" s="171">
        <f t="shared" si="504"/>
        <v>140229.07155370896</v>
      </c>
      <c r="T976" s="171">
        <f t="shared" si="505"/>
        <v>0</v>
      </c>
      <c r="U976" s="171">
        <f t="shared" si="493"/>
        <v>5451635.263230511</v>
      </c>
      <c r="V976" s="171">
        <f t="shared" si="506"/>
        <v>0</v>
      </c>
      <c r="W976" s="171">
        <f>IF(OR(A976&gt;=$C$13,B976="Retired"),IF(V976&gt;0,-V976,U976-'Model Inputs'!$B$18),"")</f>
        <v>4451635.263230511</v>
      </c>
      <c r="X976" s="171">
        <f t="shared" si="494"/>
        <v>2421795.3291325364</v>
      </c>
      <c r="Y976" s="171">
        <f t="shared" si="495"/>
        <v>1008609.9408040908</v>
      </c>
      <c r="Z976" s="171">
        <f t="shared" si="496"/>
        <v>1413185.3883284456</v>
      </c>
      <c r="AA976" s="175">
        <f t="shared" si="497"/>
        <v>6864820.6515589561</v>
      </c>
      <c r="AB976" s="5"/>
      <c r="AC976" s="5"/>
      <c r="AD976" s="5"/>
      <c r="AE976" s="5"/>
      <c r="AF976" s="5"/>
      <c r="AG976" s="5"/>
    </row>
    <row r="977" spans="1:33" x14ac:dyDescent="0.2">
      <c r="A977" s="169">
        <v>17</v>
      </c>
      <c r="B977" s="100" t="str">
        <f t="shared" si="483"/>
        <v>Retired</v>
      </c>
      <c r="C977" s="170">
        <f t="shared" si="484"/>
        <v>0</v>
      </c>
      <c r="D977" s="170">
        <f t="shared" si="485"/>
        <v>0</v>
      </c>
      <c r="E977" s="170">
        <f t="shared" si="486"/>
        <v>0</v>
      </c>
      <c r="F977" s="170">
        <f t="shared" si="487"/>
        <v>0</v>
      </c>
      <c r="G977" s="171">
        <f t="shared" si="488"/>
        <v>0</v>
      </c>
      <c r="H977" s="171">
        <f t="shared" si="489"/>
        <v>139487.91124562532</v>
      </c>
      <c r="I977" s="171">
        <f>IF(B977="Working",MIN(MAX(D977-E977-F977-G977-H977,0),'Tax Assumptions'!$B$20),0)</f>
        <v>0</v>
      </c>
      <c r="J977" s="171">
        <f t="shared" si="490"/>
        <v>-309487.91124562535</v>
      </c>
      <c r="K977" s="170">
        <f t="shared" si="491"/>
        <v>309487.91124562535</v>
      </c>
      <c r="L977" s="170">
        <f t="shared" si="492"/>
        <v>309487.91124562535</v>
      </c>
      <c r="M977" s="170">
        <f t="shared" si="498"/>
        <v>309487.91124562535</v>
      </c>
      <c r="N977" s="170">
        <f t="shared" si="499"/>
        <v>0</v>
      </c>
      <c r="O977" s="170">
        <f t="shared" si="500"/>
        <v>0</v>
      </c>
      <c r="P977" s="170">
        <f t="shared" si="501"/>
        <v>0</v>
      </c>
      <c r="Q977" s="171">
        <f t="shared" si="502"/>
        <v>4835036.1201651413</v>
      </c>
      <c r="R977" s="171">
        <f t="shared" si="503"/>
        <v>485566.53176664305</v>
      </c>
      <c r="S977" s="171">
        <f t="shared" si="504"/>
        <v>148642.81584693151</v>
      </c>
      <c r="T977" s="171">
        <f t="shared" si="505"/>
        <v>0</v>
      </c>
      <c r="U977" s="171">
        <f t="shared" si="493"/>
        <v>5469245.4677787153</v>
      </c>
      <c r="V977" s="171">
        <f t="shared" si="506"/>
        <v>0</v>
      </c>
      <c r="W977" s="171">
        <f>IF(OR(A977&gt;=$C$13,B977="Retired"),IF(V977&gt;0,-V977,U977-'Model Inputs'!$B$18),"")</f>
        <v>4469245.4677787153</v>
      </c>
      <c r="X977" s="171">
        <f t="shared" si="494"/>
        <v>2494449.1890065125</v>
      </c>
      <c r="Y977" s="171">
        <f t="shared" si="495"/>
        <v>988981.641934413</v>
      </c>
      <c r="Z977" s="171">
        <f t="shared" si="496"/>
        <v>1505467.5470720995</v>
      </c>
      <c r="AA977" s="172">
        <f t="shared" si="497"/>
        <v>6974713.0148508148</v>
      </c>
      <c r="AB977" s="5"/>
      <c r="AC977" s="5"/>
      <c r="AD977" s="5"/>
      <c r="AE977" s="5"/>
      <c r="AF977" s="5"/>
      <c r="AG977" s="5"/>
    </row>
    <row r="978" spans="1:33" x14ac:dyDescent="0.2">
      <c r="A978" s="173">
        <v>18</v>
      </c>
      <c r="B978" s="65" t="str">
        <f t="shared" si="483"/>
        <v>Retired</v>
      </c>
      <c r="C978" s="174">
        <f t="shared" si="484"/>
        <v>0</v>
      </c>
      <c r="D978" s="174">
        <f t="shared" si="485"/>
        <v>0</v>
      </c>
      <c r="E978" s="174">
        <f t="shared" si="486"/>
        <v>0</v>
      </c>
      <c r="F978" s="174">
        <f t="shared" si="487"/>
        <v>0</v>
      </c>
      <c r="G978" s="171">
        <f t="shared" si="488"/>
        <v>0</v>
      </c>
      <c r="H978" s="171">
        <f t="shared" si="489"/>
        <v>141134.24771036961</v>
      </c>
      <c r="I978" s="171">
        <f>IF(B978="Working",MIN(MAX(D978-E978-F978-G978-H978,0),'Tax Assumptions'!$B$20),0)</f>
        <v>0</v>
      </c>
      <c r="J978" s="171">
        <f t="shared" si="490"/>
        <v>-311134.24771036964</v>
      </c>
      <c r="K978" s="174">
        <f t="shared" si="491"/>
        <v>311134.24771036964</v>
      </c>
      <c r="L978" s="174">
        <f t="shared" si="492"/>
        <v>311134.24771036964</v>
      </c>
      <c r="M978" s="174">
        <f t="shared" si="498"/>
        <v>311134.24771036964</v>
      </c>
      <c r="N978" s="174">
        <f t="shared" si="499"/>
        <v>0</v>
      </c>
      <c r="O978" s="174">
        <f t="shared" si="500"/>
        <v>0</v>
      </c>
      <c r="P978" s="174">
        <f t="shared" si="501"/>
        <v>0</v>
      </c>
      <c r="Q978" s="171">
        <f t="shared" si="502"/>
        <v>4814004.0396646801</v>
      </c>
      <c r="R978" s="171">
        <f t="shared" si="503"/>
        <v>514700.52367264166</v>
      </c>
      <c r="S978" s="171">
        <f t="shared" si="504"/>
        <v>157561.38479774742</v>
      </c>
      <c r="T978" s="171">
        <f t="shared" si="505"/>
        <v>0</v>
      </c>
      <c r="U978" s="171">
        <f t="shared" si="493"/>
        <v>5486265.9481350686</v>
      </c>
      <c r="V978" s="171">
        <f t="shared" si="506"/>
        <v>0</v>
      </c>
      <c r="W978" s="171">
        <f>IF(OR(A978&gt;=$C$13,B978="Retired"),IF(V978&gt;0,-V978,U978-'Model Inputs'!$B$18),"")</f>
        <v>4486265.9481350686</v>
      </c>
      <c r="X978" s="171">
        <f t="shared" si="494"/>
        <v>2569282.6646767077</v>
      </c>
      <c r="Y978" s="171">
        <f t="shared" si="495"/>
        <v>968038.79953777313</v>
      </c>
      <c r="Z978" s="171">
        <f t="shared" si="496"/>
        <v>1601243.8651389345</v>
      </c>
      <c r="AA978" s="175">
        <f t="shared" si="497"/>
        <v>7087509.8132740036</v>
      </c>
      <c r="AB978" s="5"/>
      <c r="AC978" s="5"/>
      <c r="AD978" s="5"/>
      <c r="AE978" s="5"/>
      <c r="AF978" s="5"/>
      <c r="AG978" s="5"/>
    </row>
    <row r="979" spans="1:33" x14ac:dyDescent="0.2">
      <c r="A979" s="169">
        <v>19</v>
      </c>
      <c r="B979" s="100" t="str">
        <f t="shared" si="483"/>
        <v>Retired</v>
      </c>
      <c r="C979" s="170">
        <f t="shared" si="484"/>
        <v>0</v>
      </c>
      <c r="D979" s="170">
        <f t="shared" si="485"/>
        <v>0</v>
      </c>
      <c r="E979" s="170">
        <f t="shared" si="486"/>
        <v>0</v>
      </c>
      <c r="F979" s="170">
        <f t="shared" si="487"/>
        <v>0</v>
      </c>
      <c r="G979" s="171">
        <f t="shared" si="488"/>
        <v>0</v>
      </c>
      <c r="H979" s="171">
        <f t="shared" si="489"/>
        <v>142829.97426905623</v>
      </c>
      <c r="I979" s="171">
        <f>IF(B979="Working",MIN(MAX(D979-E979-F979-G979-H979,0),'Tax Assumptions'!$B$20),0)</f>
        <v>0</v>
      </c>
      <c r="J979" s="171">
        <f t="shared" si="490"/>
        <v>-312829.97426905623</v>
      </c>
      <c r="K979" s="170">
        <f t="shared" si="491"/>
        <v>312829.97426905623</v>
      </c>
      <c r="L979" s="170">
        <f t="shared" si="492"/>
        <v>312829.97426905623</v>
      </c>
      <c r="M979" s="170">
        <f t="shared" si="498"/>
        <v>312829.97426905623</v>
      </c>
      <c r="N979" s="170">
        <f t="shared" si="499"/>
        <v>0</v>
      </c>
      <c r="O979" s="170">
        <f t="shared" si="500"/>
        <v>0</v>
      </c>
      <c r="P979" s="170">
        <f t="shared" si="501"/>
        <v>0</v>
      </c>
      <c r="Q979" s="171">
        <f t="shared" si="502"/>
        <v>4790014.3077755049</v>
      </c>
      <c r="R979" s="171">
        <f t="shared" si="503"/>
        <v>545582.55509300018</v>
      </c>
      <c r="S979" s="171">
        <f t="shared" si="504"/>
        <v>167015.06788561228</v>
      </c>
      <c r="T979" s="171">
        <f t="shared" si="505"/>
        <v>0</v>
      </c>
      <c r="U979" s="171">
        <f t="shared" si="493"/>
        <v>5502611.9307541167</v>
      </c>
      <c r="V979" s="171">
        <f t="shared" si="506"/>
        <v>0</v>
      </c>
      <c r="W979" s="171">
        <f>IF(OR(A979&gt;=$C$13,B979="Retired"),IF(V979&gt;0,-V979,U979-'Model Inputs'!$B$18),"")</f>
        <v>4502611.9307541167</v>
      </c>
      <c r="X979" s="171">
        <f t="shared" si="494"/>
        <v>2646361.144617009</v>
      </c>
      <c r="Y979" s="171">
        <f t="shared" si="495"/>
        <v>945693.37619963288</v>
      </c>
      <c r="Z979" s="171">
        <f t="shared" si="496"/>
        <v>1700667.7684173761</v>
      </c>
      <c r="AA979" s="172">
        <f t="shared" si="497"/>
        <v>7203279.6991714928</v>
      </c>
      <c r="AB979" s="5"/>
      <c r="AC979" s="5"/>
      <c r="AD979" s="5"/>
      <c r="AE979" s="5"/>
      <c r="AF979" s="5"/>
      <c r="AG979" s="5"/>
    </row>
    <row r="980" spans="1:33" x14ac:dyDescent="0.2">
      <c r="A980" s="173">
        <v>20</v>
      </c>
      <c r="B980" s="65" t="str">
        <f t="shared" si="483"/>
        <v>Retired</v>
      </c>
      <c r="C980" s="174">
        <f t="shared" si="484"/>
        <v>0</v>
      </c>
      <c r="D980" s="174">
        <f t="shared" si="485"/>
        <v>0</v>
      </c>
      <c r="E980" s="174">
        <f t="shared" si="486"/>
        <v>0</v>
      </c>
      <c r="F980" s="174">
        <f t="shared" si="487"/>
        <v>0</v>
      </c>
      <c r="G980" s="171">
        <f t="shared" si="488"/>
        <v>0</v>
      </c>
      <c r="H980" s="171">
        <f t="shared" si="489"/>
        <v>144576.57262450346</v>
      </c>
      <c r="I980" s="171">
        <f>IF(B980="Working",MIN(MAX(D980-E980-F980-G980-H980,0),'Tax Assumptions'!$B$20),0)</f>
        <v>0</v>
      </c>
      <c r="J980" s="171">
        <f t="shared" si="490"/>
        <v>-314576.57262450346</v>
      </c>
      <c r="K980" s="174">
        <f t="shared" si="491"/>
        <v>314576.57262450346</v>
      </c>
      <c r="L980" s="174">
        <f t="shared" si="492"/>
        <v>314576.57262450346</v>
      </c>
      <c r="M980" s="174">
        <f t="shared" si="498"/>
        <v>314576.57262450346</v>
      </c>
      <c r="N980" s="174">
        <f t="shared" si="499"/>
        <v>0</v>
      </c>
      <c r="O980" s="174">
        <f t="shared" si="500"/>
        <v>0</v>
      </c>
      <c r="P980" s="174">
        <f t="shared" si="501"/>
        <v>0</v>
      </c>
      <c r="Q980" s="171">
        <f t="shared" si="502"/>
        <v>4762838.5936175315</v>
      </c>
      <c r="R980" s="171">
        <f t="shared" si="503"/>
        <v>578317.50839858025</v>
      </c>
      <c r="S980" s="171">
        <f t="shared" si="504"/>
        <v>177035.97195874903</v>
      </c>
      <c r="T980" s="171">
        <f t="shared" si="505"/>
        <v>0</v>
      </c>
      <c r="U980" s="171">
        <f t="shared" si="493"/>
        <v>5518192.0739748608</v>
      </c>
      <c r="V980" s="171">
        <f t="shared" si="506"/>
        <v>0</v>
      </c>
      <c r="W980" s="171">
        <f>IF(OR(A980&gt;=$C$13,B980="Retired"),IF(V980&gt;0,-V980,U980-'Model Inputs'!$B$18),"")</f>
        <v>4518192.0739748608</v>
      </c>
      <c r="X980" s="171">
        <f t="shared" si="494"/>
        <v>2725751.9789555194</v>
      </c>
      <c r="Y980" s="171">
        <f t="shared" si="495"/>
        <v>921851.43847675715</v>
      </c>
      <c r="Z980" s="171">
        <f t="shared" si="496"/>
        <v>1803900.5404787622</v>
      </c>
      <c r="AA980" s="175">
        <f t="shared" si="497"/>
        <v>7322092.6144536231</v>
      </c>
      <c r="AB980" s="5"/>
      <c r="AC980" s="5"/>
      <c r="AD980" s="5"/>
      <c r="AE980" s="5"/>
      <c r="AF980" s="5"/>
      <c r="AG980" s="5"/>
    </row>
    <row r="981" spans="1:33" x14ac:dyDescent="0.2">
      <c r="A981" s="169">
        <v>21</v>
      </c>
      <c r="B981" s="100" t="str">
        <f t="shared" si="483"/>
        <v>Retired</v>
      </c>
      <c r="C981" s="170">
        <f t="shared" si="484"/>
        <v>0</v>
      </c>
      <c r="D981" s="170">
        <f t="shared" si="485"/>
        <v>0</v>
      </c>
      <c r="E981" s="170">
        <f t="shared" si="486"/>
        <v>0</v>
      </c>
      <c r="F981" s="170">
        <f t="shared" si="487"/>
        <v>0</v>
      </c>
      <c r="G981" s="171">
        <f t="shared" si="488"/>
        <v>0</v>
      </c>
      <c r="H981" s="171">
        <f t="shared" si="489"/>
        <v>146375.5689306141</v>
      </c>
      <c r="I981" s="171">
        <f>IF(B981="Working",MIN(MAX(D981-E981-F981-G981-H981,0),'Tax Assumptions'!$B$20),0)</f>
        <v>0</v>
      </c>
      <c r="J981" s="171">
        <f t="shared" si="490"/>
        <v>-316375.5689306141</v>
      </c>
      <c r="K981" s="170">
        <f t="shared" si="491"/>
        <v>316375.5689306141</v>
      </c>
      <c r="L981" s="170">
        <f t="shared" si="492"/>
        <v>316375.5689306141</v>
      </c>
      <c r="M981" s="170">
        <f t="shared" si="498"/>
        <v>316375.5689306141</v>
      </c>
      <c r="N981" s="170">
        <f t="shared" si="499"/>
        <v>0</v>
      </c>
      <c r="O981" s="170">
        <f t="shared" si="500"/>
        <v>0</v>
      </c>
      <c r="P981" s="170">
        <f t="shared" si="501"/>
        <v>0</v>
      </c>
      <c r="Q981" s="171">
        <f t="shared" si="502"/>
        <v>4732233.3403039696</v>
      </c>
      <c r="R981" s="171">
        <f t="shared" si="503"/>
        <v>613016.55890249508</v>
      </c>
      <c r="S981" s="171">
        <f t="shared" si="504"/>
        <v>187658.13027627397</v>
      </c>
      <c r="T981" s="171">
        <f t="shared" si="505"/>
        <v>0</v>
      </c>
      <c r="U981" s="171">
        <f t="shared" si="493"/>
        <v>5532908.029482739</v>
      </c>
      <c r="V981" s="171">
        <f t="shared" si="506"/>
        <v>0</v>
      </c>
      <c r="W981" s="171">
        <f>IF(OR(A981&gt;=$C$13,B981="Retired"),IF(V981&gt;0,-V981,U981-'Model Inputs'!$B$18),"")</f>
        <v>4532908.029482739</v>
      </c>
      <c r="X981" s="171">
        <f t="shared" si="494"/>
        <v>2807524.5383241847</v>
      </c>
      <c r="Y981" s="171">
        <f t="shared" si="495"/>
        <v>896412.76202925062</v>
      </c>
      <c r="Z981" s="171">
        <f t="shared" si="496"/>
        <v>1911111.7762949341</v>
      </c>
      <c r="AA981" s="172">
        <f t="shared" si="497"/>
        <v>7444019.8057776727</v>
      </c>
      <c r="AB981" s="5"/>
      <c r="AC981" s="5"/>
      <c r="AD981" s="5"/>
      <c r="AE981" s="5"/>
      <c r="AF981" s="5"/>
      <c r="AG981" s="5"/>
    </row>
    <row r="982" spans="1:33" x14ac:dyDescent="0.2">
      <c r="A982" s="173">
        <v>22</v>
      </c>
      <c r="B982" s="65" t="str">
        <f t="shared" si="483"/>
        <v>Retired</v>
      </c>
      <c r="C982" s="174">
        <f t="shared" si="484"/>
        <v>0</v>
      </c>
      <c r="D982" s="174">
        <f t="shared" si="485"/>
        <v>0</v>
      </c>
      <c r="E982" s="174">
        <f t="shared" si="486"/>
        <v>0</v>
      </c>
      <c r="F982" s="174">
        <f t="shared" si="487"/>
        <v>0</v>
      </c>
      <c r="G982" s="171">
        <f t="shared" si="488"/>
        <v>0</v>
      </c>
      <c r="H982" s="171">
        <f t="shared" si="489"/>
        <v>148228.53512590806</v>
      </c>
      <c r="I982" s="171">
        <f>IF(B982="Working",MIN(MAX(D982-E982-F982-G982-H982,0),'Tax Assumptions'!$B$20),0)</f>
        <v>0</v>
      </c>
      <c r="J982" s="171">
        <f t="shared" si="490"/>
        <v>-318228.53512590809</v>
      </c>
      <c r="K982" s="174">
        <f t="shared" si="491"/>
        <v>318228.53512590809</v>
      </c>
      <c r="L982" s="174">
        <f t="shared" si="492"/>
        <v>318228.53512590809</v>
      </c>
      <c r="M982" s="174">
        <f t="shared" si="498"/>
        <v>318228.53512590809</v>
      </c>
      <c r="N982" s="174">
        <f t="shared" si="499"/>
        <v>0</v>
      </c>
      <c r="O982" s="174">
        <f t="shared" si="500"/>
        <v>0</v>
      </c>
      <c r="P982" s="174">
        <f t="shared" si="501"/>
        <v>0</v>
      </c>
      <c r="Q982" s="171">
        <f t="shared" si="502"/>
        <v>4697938.8055962995</v>
      </c>
      <c r="R982" s="171">
        <f t="shared" si="503"/>
        <v>649797.55243664479</v>
      </c>
      <c r="S982" s="171">
        <f t="shared" si="504"/>
        <v>198917.6180928504</v>
      </c>
      <c r="T982" s="171">
        <f t="shared" si="505"/>
        <v>0</v>
      </c>
      <c r="U982" s="171">
        <f t="shared" si="493"/>
        <v>5546653.9761257954</v>
      </c>
      <c r="V982" s="171">
        <f t="shared" si="506"/>
        <v>0</v>
      </c>
      <c r="W982" s="171">
        <f>IF(OR(A982&gt;=$C$13,B982="Retired"),IF(V982&gt;0,-V982,U982-'Model Inputs'!$B$18),"")</f>
        <v>4546653.9761257954</v>
      </c>
      <c r="X982" s="171">
        <f t="shared" si="494"/>
        <v>2891750.2744739098</v>
      </c>
      <c r="Y982" s="171">
        <f t="shared" si="495"/>
        <v>869270.41030756128</v>
      </c>
      <c r="Z982" s="171">
        <f t="shared" si="496"/>
        <v>2022479.8641663485</v>
      </c>
      <c r="AA982" s="175">
        <f t="shared" si="497"/>
        <v>7569133.8402921436</v>
      </c>
      <c r="AB982" s="5"/>
      <c r="AC982" s="5"/>
      <c r="AD982" s="5"/>
      <c r="AE982" s="5"/>
      <c r="AF982" s="5"/>
      <c r="AG982" s="5"/>
    </row>
    <row r="983" spans="1:33" x14ac:dyDescent="0.2">
      <c r="A983" s="169">
        <v>23</v>
      </c>
      <c r="B983" s="100" t="str">
        <f t="shared" si="483"/>
        <v>Retired</v>
      </c>
      <c r="C983" s="170">
        <f t="shared" si="484"/>
        <v>0</v>
      </c>
      <c r="D983" s="170">
        <f t="shared" si="485"/>
        <v>0</v>
      </c>
      <c r="E983" s="170">
        <f t="shared" si="486"/>
        <v>0</v>
      </c>
      <c r="F983" s="170">
        <f t="shared" si="487"/>
        <v>0</v>
      </c>
      <c r="G983" s="171">
        <f t="shared" si="488"/>
        <v>0</v>
      </c>
      <c r="H983" s="171">
        <f t="shared" si="489"/>
        <v>150137.09030706083</v>
      </c>
      <c r="I983" s="171">
        <f>IF(B983="Working",MIN(MAX(D983-E983-F983-G983-H983,0),'Tax Assumptions'!$B$20),0)</f>
        <v>0</v>
      </c>
      <c r="J983" s="171">
        <f t="shared" si="490"/>
        <v>-320137.09030706086</v>
      </c>
      <c r="K983" s="170">
        <f t="shared" si="491"/>
        <v>320137.09030706086</v>
      </c>
      <c r="L983" s="170">
        <f t="shared" si="492"/>
        <v>320137.09030706086</v>
      </c>
      <c r="M983" s="170">
        <f t="shared" si="498"/>
        <v>320137.09030706086</v>
      </c>
      <c r="N983" s="170">
        <f t="shared" si="499"/>
        <v>0</v>
      </c>
      <c r="O983" s="170">
        <f t="shared" si="500"/>
        <v>0</v>
      </c>
      <c r="P983" s="170">
        <f t="shared" si="501"/>
        <v>0</v>
      </c>
      <c r="Q983" s="171">
        <f t="shared" si="502"/>
        <v>4659678.0436250167</v>
      </c>
      <c r="R983" s="171">
        <f t="shared" si="503"/>
        <v>688785.40558284346</v>
      </c>
      <c r="S983" s="171">
        <f t="shared" si="504"/>
        <v>210852.67517842143</v>
      </c>
      <c r="T983" s="171">
        <f t="shared" si="505"/>
        <v>0</v>
      </c>
      <c r="U983" s="171">
        <f t="shared" si="493"/>
        <v>5559316.1243862817</v>
      </c>
      <c r="V983" s="171">
        <f t="shared" si="506"/>
        <v>0</v>
      </c>
      <c r="W983" s="171">
        <f>IF(OR(A983&gt;=$C$13,B983="Retired"),IF(V983&gt;0,-V983,U983-'Model Inputs'!$B$18),"")</f>
        <v>4559316.1243862817</v>
      </c>
      <c r="X983" s="171">
        <f t="shared" si="494"/>
        <v>2978502.7827081271</v>
      </c>
      <c r="Y983" s="171">
        <f t="shared" si="495"/>
        <v>840310.28502336587</v>
      </c>
      <c r="Z983" s="171">
        <f t="shared" si="496"/>
        <v>2138192.497684761</v>
      </c>
      <c r="AA983" s="172">
        <f t="shared" si="497"/>
        <v>7697508.6220710427</v>
      </c>
      <c r="AB983" s="5"/>
      <c r="AC983" s="5"/>
      <c r="AD983" s="5"/>
      <c r="AE983" s="5"/>
      <c r="AF983" s="5"/>
      <c r="AG983" s="5"/>
    </row>
    <row r="984" spans="1:33" x14ac:dyDescent="0.2">
      <c r="A984" s="173">
        <v>24</v>
      </c>
      <c r="B984" s="65" t="str">
        <f t="shared" si="483"/>
        <v>Retired</v>
      </c>
      <c r="C984" s="174">
        <f t="shared" si="484"/>
        <v>0</v>
      </c>
      <c r="D984" s="174">
        <f t="shared" si="485"/>
        <v>0</v>
      </c>
      <c r="E984" s="174">
        <f t="shared" si="486"/>
        <v>0</v>
      </c>
      <c r="F984" s="174">
        <f t="shared" si="487"/>
        <v>0</v>
      </c>
      <c r="G984" s="171">
        <f t="shared" si="488"/>
        <v>0</v>
      </c>
      <c r="H984" s="171">
        <f t="shared" si="489"/>
        <v>152102.90214364821</v>
      </c>
      <c r="I984" s="171">
        <f>IF(B984="Working",MIN(MAX(D984-E984-F984-G984-H984,0),'Tax Assumptions'!$B$20),0)</f>
        <v>0</v>
      </c>
      <c r="J984" s="171">
        <f t="shared" si="490"/>
        <v>-322102.90214364824</v>
      </c>
      <c r="K984" s="174">
        <f t="shared" si="491"/>
        <v>322102.90214364824</v>
      </c>
      <c r="L984" s="174">
        <f t="shared" si="492"/>
        <v>322102.90214364824</v>
      </c>
      <c r="M984" s="174">
        <f t="shared" si="498"/>
        <v>322102.90214364824</v>
      </c>
      <c r="N984" s="174">
        <f t="shared" si="499"/>
        <v>0</v>
      </c>
      <c r="O984" s="174">
        <f t="shared" si="500"/>
        <v>0</v>
      </c>
      <c r="P984" s="174">
        <f t="shared" si="501"/>
        <v>0</v>
      </c>
      <c r="Q984" s="171">
        <f t="shared" si="502"/>
        <v>4617155.8240988702</v>
      </c>
      <c r="R984" s="171">
        <f t="shared" si="503"/>
        <v>730112.52991781407</v>
      </c>
      <c r="S984" s="171">
        <f t="shared" si="504"/>
        <v>223503.83568912672</v>
      </c>
      <c r="T984" s="171">
        <f t="shared" si="505"/>
        <v>0</v>
      </c>
      <c r="U984" s="171">
        <f t="shared" si="493"/>
        <v>5570772.1897058105</v>
      </c>
      <c r="V984" s="171">
        <f t="shared" si="506"/>
        <v>0</v>
      </c>
      <c r="W984" s="171">
        <f>IF(OR(A984&gt;=$C$13,B984="Retired"),IF(V984&gt;0,-V984,U984-'Model Inputs'!$B$18),"")</f>
        <v>4570772.1897058105</v>
      </c>
      <c r="X984" s="171">
        <f t="shared" si="494"/>
        <v>3067857.8661893713</v>
      </c>
      <c r="Y984" s="171">
        <f t="shared" si="495"/>
        <v>809410.64651466254</v>
      </c>
      <c r="Z984" s="171">
        <f t="shared" si="496"/>
        <v>2258447.2196747088</v>
      </c>
      <c r="AA984" s="175">
        <f t="shared" si="497"/>
        <v>7829219.4093805198</v>
      </c>
      <c r="AB984" s="5"/>
      <c r="AC984" s="5"/>
      <c r="AD984" s="5"/>
      <c r="AE984" s="5"/>
      <c r="AF984" s="5"/>
      <c r="AG984" s="5"/>
    </row>
    <row r="985" spans="1:33" x14ac:dyDescent="0.2">
      <c r="A985" s="169">
        <v>25</v>
      </c>
      <c r="B985" s="100" t="str">
        <f t="shared" si="483"/>
        <v>Retired</v>
      </c>
      <c r="C985" s="170">
        <f t="shared" si="484"/>
        <v>0</v>
      </c>
      <c r="D985" s="170">
        <f t="shared" si="485"/>
        <v>0</v>
      </c>
      <c r="E985" s="170">
        <f t="shared" si="486"/>
        <v>0</v>
      </c>
      <c r="F985" s="170">
        <f t="shared" si="487"/>
        <v>0</v>
      </c>
      <c r="G985" s="171">
        <f t="shared" si="488"/>
        <v>0</v>
      </c>
      <c r="H985" s="171">
        <f t="shared" si="489"/>
        <v>154127.68833533319</v>
      </c>
      <c r="I985" s="171">
        <f>IF(B985="Working",MIN(MAX(D985-E985-F985-G985-H985,0),'Tax Assumptions'!$B$20),0)</f>
        <v>0</v>
      </c>
      <c r="J985" s="171">
        <f t="shared" si="490"/>
        <v>-324127.68833533319</v>
      </c>
      <c r="K985" s="170">
        <f t="shared" si="491"/>
        <v>324127.68833533319</v>
      </c>
      <c r="L985" s="170">
        <f t="shared" si="492"/>
        <v>324127.68833533319</v>
      </c>
      <c r="M985" s="170">
        <f t="shared" si="498"/>
        <v>324127.68833533319</v>
      </c>
      <c r="N985" s="170">
        <f t="shared" si="499"/>
        <v>0</v>
      </c>
      <c r="O985" s="170">
        <f t="shared" si="500"/>
        <v>0</v>
      </c>
      <c r="P985" s="170">
        <f t="shared" si="501"/>
        <v>0</v>
      </c>
      <c r="Q985" s="171">
        <f t="shared" si="502"/>
        <v>4570057.4852094697</v>
      </c>
      <c r="R985" s="171">
        <f t="shared" si="503"/>
        <v>773919.28171288292</v>
      </c>
      <c r="S985" s="171">
        <f t="shared" si="504"/>
        <v>236914.06583047434</v>
      </c>
      <c r="T985" s="171">
        <f t="shared" si="505"/>
        <v>0</v>
      </c>
      <c r="U985" s="171">
        <f t="shared" si="493"/>
        <v>5580890.8327528276</v>
      </c>
      <c r="V985" s="171">
        <f t="shared" si="506"/>
        <v>0</v>
      </c>
      <c r="W985" s="171">
        <f>IF(OR(A985&gt;=$C$13,B985="Retired"),IF(V985&gt;0,-V985,U985-'Model Inputs'!$B$18),"")</f>
        <v>4580890.8327528276</v>
      </c>
      <c r="X985" s="171">
        <f t="shared" si="494"/>
        <v>3159893.6021750527</v>
      </c>
      <c r="Y985" s="171">
        <f t="shared" si="495"/>
        <v>776441.60198882176</v>
      </c>
      <c r="Z985" s="171">
        <f t="shared" si="496"/>
        <v>2383452.000186231</v>
      </c>
      <c r="AA985" s="172">
        <f t="shared" si="497"/>
        <v>7964342.8329390585</v>
      </c>
      <c r="AB985" s="5"/>
      <c r="AC985" s="5"/>
      <c r="AD985" s="5"/>
      <c r="AE985" s="5"/>
      <c r="AF985" s="5"/>
      <c r="AG985" s="5"/>
    </row>
    <row r="986" spans="1:33" x14ac:dyDescent="0.2">
      <c r="A986" s="173">
        <v>26</v>
      </c>
      <c r="B986" s="65" t="str">
        <f t="shared" si="483"/>
        <v>Retired</v>
      </c>
      <c r="C986" s="174">
        <f t="shared" si="484"/>
        <v>0</v>
      </c>
      <c r="D986" s="174">
        <f t="shared" si="485"/>
        <v>0</v>
      </c>
      <c r="E986" s="174">
        <f t="shared" si="486"/>
        <v>0</v>
      </c>
      <c r="F986" s="174">
        <f t="shared" si="487"/>
        <v>0</v>
      </c>
      <c r="G986" s="171">
        <f t="shared" si="488"/>
        <v>0</v>
      </c>
      <c r="H986" s="171">
        <f t="shared" si="489"/>
        <v>156213.21811276872</v>
      </c>
      <c r="I986" s="171">
        <f>IF(B986="Working",MIN(MAX(D986-E986-F986-G986-H986,0),'Tax Assumptions'!$B$20),0)</f>
        <v>0</v>
      </c>
      <c r="J986" s="171">
        <f t="shared" si="490"/>
        <v>-326213.21811276872</v>
      </c>
      <c r="K986" s="174">
        <f t="shared" si="491"/>
        <v>326213.21811276872</v>
      </c>
      <c r="L986" s="174">
        <f t="shared" si="492"/>
        <v>326213.21811276872</v>
      </c>
      <c r="M986" s="174">
        <f t="shared" si="498"/>
        <v>326213.21811276872</v>
      </c>
      <c r="N986" s="174">
        <f t="shared" si="499"/>
        <v>0</v>
      </c>
      <c r="O986" s="174">
        <f t="shared" si="500"/>
        <v>0</v>
      </c>
      <c r="P986" s="174">
        <f t="shared" si="501"/>
        <v>0</v>
      </c>
      <c r="Q986" s="171">
        <f t="shared" si="502"/>
        <v>4518047.7162092691</v>
      </c>
      <c r="R986" s="171">
        <f t="shared" si="503"/>
        <v>820354.43861565599</v>
      </c>
      <c r="S986" s="171">
        <f t="shared" si="504"/>
        <v>251128.90978030281</v>
      </c>
      <c r="T986" s="171">
        <f t="shared" si="505"/>
        <v>0</v>
      </c>
      <c r="U986" s="171">
        <f t="shared" si="493"/>
        <v>5589531.0646052286</v>
      </c>
      <c r="V986" s="171">
        <f t="shared" si="506"/>
        <v>0</v>
      </c>
      <c r="W986" s="171">
        <f>IF(OR(A986&gt;=$C$13,B986="Retired"),IF(V986&gt;0,-V986,U986-'Model Inputs'!$B$18),"")</f>
        <v>4589531.0646052286</v>
      </c>
      <c r="X986" s="171">
        <f t="shared" si="494"/>
        <v>3254690.4102403037</v>
      </c>
      <c r="Y986" s="171">
        <f t="shared" si="495"/>
        <v>741264.559492331</v>
      </c>
      <c r="Z986" s="171">
        <f t="shared" si="496"/>
        <v>2513425.8507479727</v>
      </c>
      <c r="AA986" s="175">
        <f t="shared" si="497"/>
        <v>8102956.9153532013</v>
      </c>
      <c r="AB986" s="5"/>
      <c r="AC986" s="5"/>
      <c r="AD986" s="5"/>
      <c r="AE986" s="5"/>
      <c r="AF986" s="5"/>
      <c r="AG986" s="5"/>
    </row>
    <row r="987" spans="1:33" x14ac:dyDescent="0.2">
      <c r="A987" s="169">
        <v>27</v>
      </c>
      <c r="B987" s="100" t="str">
        <f t="shared" si="483"/>
        <v>Retired</v>
      </c>
      <c r="C987" s="170">
        <f t="shared" si="484"/>
        <v>0</v>
      </c>
      <c r="D987" s="170">
        <f t="shared" si="485"/>
        <v>0</v>
      </c>
      <c r="E987" s="170">
        <f t="shared" si="486"/>
        <v>0</v>
      </c>
      <c r="F987" s="170">
        <f t="shared" si="487"/>
        <v>0</v>
      </c>
      <c r="G987" s="171">
        <f t="shared" si="488"/>
        <v>0</v>
      </c>
      <c r="H987" s="171">
        <f t="shared" si="489"/>
        <v>158361.31378352732</v>
      </c>
      <c r="I987" s="171">
        <f>IF(B987="Working",MIN(MAX(D987-E987-F987-G987-H987,0),'Tax Assumptions'!$B$20),0)</f>
        <v>0</v>
      </c>
      <c r="J987" s="171">
        <f t="shared" si="490"/>
        <v>-328361.31378352735</v>
      </c>
      <c r="K987" s="170">
        <f t="shared" si="491"/>
        <v>328361.31378352735</v>
      </c>
      <c r="L987" s="170">
        <f t="shared" si="492"/>
        <v>328361.31378352735</v>
      </c>
      <c r="M987" s="170">
        <f t="shared" si="498"/>
        <v>328361.31378352735</v>
      </c>
      <c r="N987" s="170">
        <f t="shared" si="499"/>
        <v>0</v>
      </c>
      <c r="O987" s="170">
        <f t="shared" si="500"/>
        <v>0</v>
      </c>
      <c r="P987" s="170">
        <f t="shared" si="501"/>
        <v>0</v>
      </c>
      <c r="Q987" s="171">
        <f t="shared" si="502"/>
        <v>4460769.2653982984</v>
      </c>
      <c r="R987" s="171">
        <f t="shared" si="503"/>
        <v>869575.70493259537</v>
      </c>
      <c r="S987" s="171">
        <f t="shared" si="504"/>
        <v>266196.64436712099</v>
      </c>
      <c r="T987" s="171">
        <f t="shared" si="505"/>
        <v>0</v>
      </c>
      <c r="U987" s="171">
        <f t="shared" si="493"/>
        <v>5596541.6146980152</v>
      </c>
      <c r="V987" s="171">
        <f t="shared" si="506"/>
        <v>0</v>
      </c>
      <c r="W987" s="171">
        <f>IF(OR(A987&gt;=$C$13,B987="Retired"),IF(V987&gt;0,-V987,U987-'Model Inputs'!$B$18),"")</f>
        <v>4596541.6146980152</v>
      </c>
      <c r="X987" s="171">
        <f t="shared" si="494"/>
        <v>3352331.1225475129</v>
      </c>
      <c r="Y987" s="171">
        <f t="shared" si="495"/>
        <v>703731.64531187899</v>
      </c>
      <c r="Z987" s="171">
        <f t="shared" si="496"/>
        <v>2648599.4772356339</v>
      </c>
      <c r="AA987" s="172">
        <f t="shared" si="497"/>
        <v>8245141.091933649</v>
      </c>
      <c r="AB987" s="5"/>
      <c r="AC987" s="5"/>
      <c r="AD987" s="5"/>
      <c r="AE987" s="5"/>
      <c r="AF987" s="5"/>
      <c r="AG987" s="5"/>
    </row>
    <row r="988" spans="1:33" x14ac:dyDescent="0.2">
      <c r="A988" s="173">
        <v>28</v>
      </c>
      <c r="B988" s="65" t="str">
        <f t="shared" si="483"/>
        <v>Retired</v>
      </c>
      <c r="C988" s="174">
        <f t="shared" si="484"/>
        <v>0</v>
      </c>
      <c r="D988" s="174">
        <f t="shared" si="485"/>
        <v>0</v>
      </c>
      <c r="E988" s="174">
        <f t="shared" si="486"/>
        <v>0</v>
      </c>
      <c r="F988" s="174">
        <f t="shared" si="487"/>
        <v>0</v>
      </c>
      <c r="G988" s="171">
        <f t="shared" si="488"/>
        <v>0</v>
      </c>
      <c r="H988" s="171">
        <f t="shared" si="489"/>
        <v>160573.85232440868</v>
      </c>
      <c r="I988" s="171">
        <f>IF(B988="Working",MIN(MAX(D988-E988-F988-G988-H988,0),'Tax Assumptions'!$B$20),0)</f>
        <v>0</v>
      </c>
      <c r="J988" s="171">
        <f t="shared" si="490"/>
        <v>-330573.85232440871</v>
      </c>
      <c r="K988" s="174">
        <f t="shared" si="491"/>
        <v>330573.85232440871</v>
      </c>
      <c r="L988" s="174">
        <f t="shared" si="492"/>
        <v>330573.85232440871</v>
      </c>
      <c r="M988" s="174">
        <f t="shared" si="498"/>
        <v>330573.85232440871</v>
      </c>
      <c r="N988" s="174">
        <f t="shared" si="499"/>
        <v>0</v>
      </c>
      <c r="O988" s="174">
        <f t="shared" si="500"/>
        <v>0</v>
      </c>
      <c r="P988" s="174">
        <f t="shared" si="501"/>
        <v>0</v>
      </c>
      <c r="Q988" s="171">
        <f t="shared" si="502"/>
        <v>4397841.5689977882</v>
      </c>
      <c r="R988" s="171">
        <f t="shared" si="503"/>
        <v>921750.24722855119</v>
      </c>
      <c r="S988" s="171">
        <f t="shared" si="504"/>
        <v>282168.44302914827</v>
      </c>
      <c r="T988" s="171">
        <f t="shared" si="505"/>
        <v>0</v>
      </c>
      <c r="U988" s="171">
        <f t="shared" si="493"/>
        <v>5601760.2592554875</v>
      </c>
      <c r="V988" s="171">
        <f t="shared" si="506"/>
        <v>0</v>
      </c>
      <c r="W988" s="171">
        <f>IF(OR(A988&gt;=$C$13,B988="Retired"),IF(V988&gt;0,-V988,U988-'Model Inputs'!$B$18),"")</f>
        <v>4601760.2592554875</v>
      </c>
      <c r="X988" s="171">
        <f t="shared" si="494"/>
        <v>3452901.0562239382</v>
      </c>
      <c r="Y988" s="171">
        <f t="shared" si="495"/>
        <v>663685.08235770883</v>
      </c>
      <c r="Z988" s="171">
        <f t="shared" si="496"/>
        <v>2789215.9738662294</v>
      </c>
      <c r="AA988" s="175">
        <f t="shared" si="497"/>
        <v>8390976.2331217173</v>
      </c>
      <c r="AB988" s="5"/>
      <c r="AC988" s="5"/>
      <c r="AD988" s="5"/>
      <c r="AE988" s="5"/>
      <c r="AF988" s="5"/>
      <c r="AG988" s="5"/>
    </row>
    <row r="989" spans="1:33" x14ac:dyDescent="0.2">
      <c r="A989" s="169">
        <v>29</v>
      </c>
      <c r="B989" s="100" t="str">
        <f t="shared" si="483"/>
        <v>Retired</v>
      </c>
      <c r="C989" s="170">
        <f t="shared" si="484"/>
        <v>0</v>
      </c>
      <c r="D989" s="170">
        <f t="shared" si="485"/>
        <v>0</v>
      </c>
      <c r="E989" s="170">
        <f t="shared" si="486"/>
        <v>0</v>
      </c>
      <c r="F989" s="170">
        <f t="shared" si="487"/>
        <v>0</v>
      </c>
      <c r="G989" s="171">
        <f t="shared" si="488"/>
        <v>0</v>
      </c>
      <c r="H989" s="171">
        <f t="shared" si="489"/>
        <v>162852.76702151648</v>
      </c>
      <c r="I989" s="171">
        <f>IF(B989="Working",MIN(MAX(D989-E989-F989-G989-H989,0),'Tax Assumptions'!$B$20),0)</f>
        <v>0</v>
      </c>
      <c r="J989" s="171">
        <f t="shared" si="490"/>
        <v>-332852.76702151645</v>
      </c>
      <c r="K989" s="170">
        <f t="shared" si="491"/>
        <v>332852.76702151645</v>
      </c>
      <c r="L989" s="170">
        <f t="shared" si="492"/>
        <v>332852.76702151645</v>
      </c>
      <c r="M989" s="170">
        <f t="shared" si="498"/>
        <v>332852.76702151645</v>
      </c>
      <c r="N989" s="170">
        <f t="shared" si="499"/>
        <v>0</v>
      </c>
      <c r="O989" s="170">
        <f t="shared" si="500"/>
        <v>0</v>
      </c>
      <c r="P989" s="170">
        <f t="shared" si="501"/>
        <v>0</v>
      </c>
      <c r="Q989" s="171">
        <f t="shared" si="502"/>
        <v>4328859.2961161397</v>
      </c>
      <c r="R989" s="171">
        <f t="shared" si="503"/>
        <v>977055.26206226426</v>
      </c>
      <c r="S989" s="171">
        <f t="shared" si="504"/>
        <v>299098.5496108972</v>
      </c>
      <c r="T989" s="171">
        <f t="shared" si="505"/>
        <v>0</v>
      </c>
      <c r="U989" s="171">
        <f t="shared" si="493"/>
        <v>5605013.1077893013</v>
      </c>
      <c r="V989" s="171">
        <f t="shared" si="506"/>
        <v>0</v>
      </c>
      <c r="W989" s="171">
        <f>IF(OR(A989&gt;=$C$13,B989="Retired"),IF(V989&gt;0,-V989,U989-'Model Inputs'!$B$18),"")</f>
        <v>4605013.1077893013</v>
      </c>
      <c r="X989" s="171">
        <f t="shared" si="494"/>
        <v>3556488.0879106564</v>
      </c>
      <c r="Y989" s="171">
        <f t="shared" si="495"/>
        <v>620956.52691616118</v>
      </c>
      <c r="Z989" s="171">
        <f t="shared" si="496"/>
        <v>2935531.5609944952</v>
      </c>
      <c r="AA989" s="172">
        <f t="shared" si="497"/>
        <v>8540544.668783797</v>
      </c>
      <c r="AB989" s="5"/>
      <c r="AC989" s="5"/>
      <c r="AD989" s="5"/>
      <c r="AE989" s="5"/>
      <c r="AF989" s="5"/>
      <c r="AG989" s="5"/>
    </row>
    <row r="990" spans="1:33" x14ac:dyDescent="0.2">
      <c r="A990" s="173">
        <v>30</v>
      </c>
      <c r="B990" s="65" t="str">
        <f t="shared" si="483"/>
        <v>Retired</v>
      </c>
      <c r="C990" s="174">
        <f t="shared" si="484"/>
        <v>0</v>
      </c>
      <c r="D990" s="174">
        <f t="shared" si="485"/>
        <v>0</v>
      </c>
      <c r="E990" s="174">
        <f t="shared" si="486"/>
        <v>0</v>
      </c>
      <c r="F990" s="174">
        <f t="shared" si="487"/>
        <v>0</v>
      </c>
      <c r="G990" s="171">
        <f t="shared" si="488"/>
        <v>0</v>
      </c>
      <c r="H990" s="171">
        <f t="shared" si="489"/>
        <v>165200.04915953751</v>
      </c>
      <c r="I990" s="171">
        <f>IF(B990="Working",MIN(MAX(D990-E990-F990-G990-H990,0),'Tax Assumptions'!$B$20),0)</f>
        <v>0</v>
      </c>
      <c r="J990" s="171">
        <f t="shared" si="490"/>
        <v>-335200.04915953754</v>
      </c>
      <c r="K990" s="174">
        <f t="shared" si="491"/>
        <v>335200.04915953754</v>
      </c>
      <c r="L990" s="174">
        <f t="shared" si="492"/>
        <v>335200.04915953754</v>
      </c>
      <c r="M990" s="174">
        <f t="shared" si="498"/>
        <v>335200.04915953754</v>
      </c>
      <c r="N990" s="174">
        <f t="shared" si="499"/>
        <v>0</v>
      </c>
      <c r="O990" s="174">
        <f t="shared" si="500"/>
        <v>0</v>
      </c>
      <c r="P990" s="174">
        <f t="shared" si="501"/>
        <v>0</v>
      </c>
      <c r="Q990" s="171">
        <f t="shared" si="502"/>
        <v>4253390.8047235701</v>
      </c>
      <c r="R990" s="171">
        <f t="shared" si="503"/>
        <v>1035678.5777860002</v>
      </c>
      <c r="S990" s="171">
        <f t="shared" si="504"/>
        <v>317044.46258755104</v>
      </c>
      <c r="T990" s="171">
        <f t="shared" si="505"/>
        <v>0</v>
      </c>
      <c r="U990" s="171">
        <f t="shared" si="493"/>
        <v>5606113.8450971218</v>
      </c>
      <c r="V990" s="171">
        <f t="shared" si="506"/>
        <v>0</v>
      </c>
      <c r="W990" s="171">
        <f>IF(OR(A990&gt;=$C$13,B990="Retired"),IF(V990&gt;0,-V990,U990-'Model Inputs'!$B$18),"")</f>
        <v>4606113.8450971218</v>
      </c>
      <c r="X990" s="171">
        <f t="shared" si="494"/>
        <v>3663182.7305479757</v>
      </c>
      <c r="Y990" s="171">
        <f t="shared" si="495"/>
        <v>575366.36098330049</v>
      </c>
      <c r="Z990" s="171">
        <f t="shared" si="496"/>
        <v>3087816.3695646753</v>
      </c>
      <c r="AA990" s="175">
        <f t="shared" si="497"/>
        <v>8693930.2146617975</v>
      </c>
      <c r="AB990" s="5"/>
      <c r="AC990" s="5"/>
      <c r="AD990" s="5"/>
      <c r="AE990" s="5"/>
      <c r="AF990" s="5"/>
      <c r="AG990" s="5"/>
    </row>
    <row r="991" spans="1:33" x14ac:dyDescent="0.2">
      <c r="A991" s="169">
        <v>31</v>
      </c>
      <c r="B991" s="100" t="str">
        <f t="shared" si="483"/>
        <v>Retired</v>
      </c>
      <c r="C991" s="170">
        <f t="shared" si="484"/>
        <v>0</v>
      </c>
      <c r="D991" s="170">
        <f t="shared" si="485"/>
        <v>0</v>
      </c>
      <c r="E991" s="170">
        <f t="shared" si="486"/>
        <v>0</v>
      </c>
      <c r="F991" s="170">
        <f t="shared" si="487"/>
        <v>0</v>
      </c>
      <c r="G991" s="171">
        <f t="shared" si="488"/>
        <v>0</v>
      </c>
      <c r="H991" s="171">
        <f t="shared" si="489"/>
        <v>167617.74976169917</v>
      </c>
      <c r="I991" s="171">
        <f>IF(B991="Working",MIN(MAX(D991-E991-F991-G991-H991,0),'Tax Assumptions'!$B$20),0)</f>
        <v>0</v>
      </c>
      <c r="J991" s="171">
        <f t="shared" si="490"/>
        <v>-337617.74976169917</v>
      </c>
      <c r="K991" s="170">
        <f t="shared" si="491"/>
        <v>337617.74976169917</v>
      </c>
      <c r="L991" s="170">
        <f t="shared" si="492"/>
        <v>337617.74976169917</v>
      </c>
      <c r="M991" s="170">
        <f t="shared" si="498"/>
        <v>337617.74976169917</v>
      </c>
      <c r="N991" s="170">
        <f t="shared" si="499"/>
        <v>0</v>
      </c>
      <c r="O991" s="170">
        <f t="shared" si="500"/>
        <v>0</v>
      </c>
      <c r="P991" s="170">
        <f t="shared" si="501"/>
        <v>0</v>
      </c>
      <c r="Q991" s="171">
        <f t="shared" si="502"/>
        <v>4170976.5032452852</v>
      </c>
      <c r="R991" s="171">
        <f t="shared" si="503"/>
        <v>1097819.2924531603</v>
      </c>
      <c r="S991" s="171">
        <f t="shared" si="504"/>
        <v>336067.13034280413</v>
      </c>
      <c r="T991" s="171">
        <f t="shared" si="505"/>
        <v>0</v>
      </c>
      <c r="U991" s="171">
        <f t="shared" si="493"/>
        <v>5604862.9260412492</v>
      </c>
      <c r="V991" s="171">
        <f t="shared" si="506"/>
        <v>0</v>
      </c>
      <c r="W991" s="171">
        <f>IF(OR(A991&gt;=$C$13,B991="Retired"),IF(V991&gt;0,-V991,U991-'Model Inputs'!$B$18),"")</f>
        <v>4604862.9260412492</v>
      </c>
      <c r="X991" s="171">
        <f t="shared" si="494"/>
        <v>3773078.2124644145</v>
      </c>
      <c r="Y991" s="171">
        <f t="shared" si="495"/>
        <v>526722.93720481312</v>
      </c>
      <c r="Z991" s="171">
        <f t="shared" si="496"/>
        <v>3246355.2752596014</v>
      </c>
      <c r="AA991" s="172">
        <f t="shared" si="497"/>
        <v>8851218.2013008501</v>
      </c>
      <c r="AB991" s="5"/>
      <c r="AC991" s="5"/>
      <c r="AD991" s="5"/>
      <c r="AE991" s="5"/>
      <c r="AF991" s="5"/>
      <c r="AG991" s="5"/>
    </row>
    <row r="992" spans="1:33" x14ac:dyDescent="0.2">
      <c r="A992" s="173">
        <v>32</v>
      </c>
      <c r="B992" s="65" t="str">
        <f t="shared" si="483"/>
        <v>Retired</v>
      </c>
      <c r="C992" s="174">
        <f t="shared" si="484"/>
        <v>0</v>
      </c>
      <c r="D992" s="174">
        <f t="shared" si="485"/>
        <v>0</v>
      </c>
      <c r="E992" s="174">
        <f t="shared" si="486"/>
        <v>0</v>
      </c>
      <c r="F992" s="174">
        <f t="shared" si="487"/>
        <v>0</v>
      </c>
      <c r="G992" s="171">
        <f t="shared" si="488"/>
        <v>0</v>
      </c>
      <c r="H992" s="171">
        <f t="shared" si="489"/>
        <v>170107.9813819257</v>
      </c>
      <c r="I992" s="171">
        <f>IF(B992="Working",MIN(MAX(D992-E992-F992-G992-H992,0),'Tax Assumptions'!$B$20),0)</f>
        <v>0</v>
      </c>
      <c r="J992" s="171">
        <f t="shared" si="490"/>
        <v>-340107.9813819257</v>
      </c>
      <c r="K992" s="174">
        <f t="shared" si="491"/>
        <v>340107.9813819257</v>
      </c>
      <c r="L992" s="174">
        <f t="shared" si="492"/>
        <v>340107.9813819257</v>
      </c>
      <c r="M992" s="174">
        <f t="shared" si="498"/>
        <v>340107.9813819257</v>
      </c>
      <c r="N992" s="174">
        <f t="shared" si="499"/>
        <v>0</v>
      </c>
      <c r="O992" s="174">
        <f t="shared" si="500"/>
        <v>0</v>
      </c>
      <c r="P992" s="174">
        <f t="shared" si="501"/>
        <v>0</v>
      </c>
      <c r="Q992" s="171">
        <f t="shared" si="502"/>
        <v>4081127.112058077</v>
      </c>
      <c r="R992" s="171">
        <f t="shared" si="503"/>
        <v>1163688.4500003499</v>
      </c>
      <c r="S992" s="171">
        <f t="shared" si="504"/>
        <v>356231.15816337237</v>
      </c>
      <c r="T992" s="171">
        <f t="shared" si="505"/>
        <v>0</v>
      </c>
      <c r="U992" s="171">
        <f t="shared" si="493"/>
        <v>5601046.7202217989</v>
      </c>
      <c r="V992" s="171">
        <f t="shared" si="506"/>
        <v>0</v>
      </c>
      <c r="W992" s="171">
        <f>IF(OR(A992&gt;=$C$13,B992="Retired"),IF(V992&gt;0,-V992,U992-'Model Inputs'!$B$18),"")</f>
        <v>4601046.7202217989</v>
      </c>
      <c r="X992" s="171">
        <f t="shared" si="494"/>
        <v>3886270.5588383474</v>
      </c>
      <c r="Y992" s="171">
        <f t="shared" si="495"/>
        <v>474821.77324813511</v>
      </c>
      <c r="Z992" s="171">
        <f t="shared" si="496"/>
        <v>3411448.7855902123</v>
      </c>
      <c r="AA992" s="175">
        <f t="shared" si="497"/>
        <v>9012495.5058120117</v>
      </c>
      <c r="AB992" s="5"/>
      <c r="AC992" s="5"/>
      <c r="AD992" s="5"/>
      <c r="AE992" s="5"/>
      <c r="AF992" s="5"/>
      <c r="AG992" s="5"/>
    </row>
    <row r="993" spans="1:33" x14ac:dyDescent="0.2">
      <c r="A993" s="169">
        <v>33</v>
      </c>
      <c r="B993" s="100" t="str">
        <f t="shared" si="483"/>
        <v>Retired</v>
      </c>
      <c r="C993" s="170">
        <f t="shared" si="484"/>
        <v>0</v>
      </c>
      <c r="D993" s="170">
        <f t="shared" si="485"/>
        <v>0</v>
      </c>
      <c r="E993" s="170">
        <f t="shared" si="486"/>
        <v>0</v>
      </c>
      <c r="F993" s="170">
        <f t="shared" si="487"/>
        <v>0</v>
      </c>
      <c r="G993" s="171">
        <f t="shared" si="488"/>
        <v>0</v>
      </c>
      <c r="H993" s="171">
        <f t="shared" si="489"/>
        <v>172672.91995075901</v>
      </c>
      <c r="I993" s="171">
        <f>IF(B993="Working",MIN(MAX(D993-E993-F993-G993-H993,0),'Tax Assumptions'!$B$20),0)</f>
        <v>0</v>
      </c>
      <c r="J993" s="171">
        <f t="shared" si="490"/>
        <v>-342672.91995075904</v>
      </c>
      <c r="K993" s="170">
        <f t="shared" si="491"/>
        <v>342672.91995075904</v>
      </c>
      <c r="L993" s="170">
        <f t="shared" si="492"/>
        <v>342672.91995075904</v>
      </c>
      <c r="M993" s="170">
        <f t="shared" si="498"/>
        <v>342672.91995075904</v>
      </c>
      <c r="N993" s="170">
        <f t="shared" si="499"/>
        <v>0</v>
      </c>
      <c r="O993" s="170">
        <f t="shared" si="500"/>
        <v>0</v>
      </c>
      <c r="P993" s="170">
        <f t="shared" si="501"/>
        <v>0</v>
      </c>
      <c r="Q993" s="171">
        <f t="shared" si="502"/>
        <v>3983321.818830803</v>
      </c>
      <c r="R993" s="171">
        <f t="shared" si="503"/>
        <v>1233509.7570003709</v>
      </c>
      <c r="S993" s="171">
        <f t="shared" si="504"/>
        <v>377605.02765317471</v>
      </c>
      <c r="T993" s="171">
        <f t="shared" si="505"/>
        <v>0</v>
      </c>
      <c r="U993" s="171">
        <f t="shared" si="493"/>
        <v>5594436.6034843484</v>
      </c>
      <c r="V993" s="171">
        <f t="shared" si="506"/>
        <v>0</v>
      </c>
      <c r="W993" s="171">
        <f>IF(OR(A993&gt;=$C$13,B993="Retired"),IF(V993&gt;0,-V993,U993-'Model Inputs'!$B$18),"")</f>
        <v>4594436.6034843484</v>
      </c>
      <c r="X993" s="171">
        <f t="shared" si="494"/>
        <v>4002858.6756034982</v>
      </c>
      <c r="Y993" s="171">
        <f t="shared" si="495"/>
        <v>419444.69222019147</v>
      </c>
      <c r="Z993" s="171">
        <f t="shared" si="496"/>
        <v>3583413.9833833068</v>
      </c>
      <c r="AA993" s="172">
        <f t="shared" si="497"/>
        <v>9177850.5868676547</v>
      </c>
      <c r="AB993" s="5"/>
      <c r="AC993" s="5"/>
      <c r="AD993" s="5"/>
      <c r="AE993" s="5"/>
      <c r="AF993" s="5"/>
      <c r="AG993" s="5"/>
    </row>
    <row r="994" spans="1:33" x14ac:dyDescent="0.2">
      <c r="A994" s="173">
        <v>34</v>
      </c>
      <c r="B994" s="65" t="str">
        <f t="shared" si="483"/>
        <v>Retired</v>
      </c>
      <c r="C994" s="174">
        <f t="shared" si="484"/>
        <v>0</v>
      </c>
      <c r="D994" s="174">
        <f t="shared" si="485"/>
        <v>0</v>
      </c>
      <c r="E994" s="174">
        <f t="shared" si="486"/>
        <v>0</v>
      </c>
      <c r="F994" s="174">
        <f t="shared" si="487"/>
        <v>0</v>
      </c>
      <c r="G994" s="171">
        <f t="shared" si="488"/>
        <v>0</v>
      </c>
      <c r="H994" s="171">
        <f t="shared" si="489"/>
        <v>175314.80667665729</v>
      </c>
      <c r="I994" s="171">
        <f>IF(B994="Working",MIN(MAX(D994-E994-F994-G994-H994,0),'Tax Assumptions'!$B$20),0)</f>
        <v>0</v>
      </c>
      <c r="J994" s="171">
        <f t="shared" si="490"/>
        <v>-345314.80667665729</v>
      </c>
      <c r="K994" s="174">
        <f t="shared" si="491"/>
        <v>345314.80667665729</v>
      </c>
      <c r="L994" s="174">
        <f t="shared" si="492"/>
        <v>345314.80667665729</v>
      </c>
      <c r="M994" s="174">
        <f t="shared" si="498"/>
        <v>345314.80667665729</v>
      </c>
      <c r="N994" s="174">
        <f t="shared" si="499"/>
        <v>0</v>
      </c>
      <c r="O994" s="174">
        <f t="shared" si="500"/>
        <v>0</v>
      </c>
      <c r="P994" s="174">
        <f t="shared" si="501"/>
        <v>0</v>
      </c>
      <c r="Q994" s="171">
        <f t="shared" si="502"/>
        <v>3877006.3212839938</v>
      </c>
      <c r="R994" s="171">
        <f t="shared" si="503"/>
        <v>1307520.3424203931</v>
      </c>
      <c r="S994" s="171">
        <f t="shared" si="504"/>
        <v>400261.32931236521</v>
      </c>
      <c r="T994" s="171">
        <f t="shared" si="505"/>
        <v>0</v>
      </c>
      <c r="U994" s="171">
        <f t="shared" si="493"/>
        <v>5584787.9930167524</v>
      </c>
      <c r="V994" s="171">
        <f t="shared" si="506"/>
        <v>0</v>
      </c>
      <c r="W994" s="171">
        <f>IF(OR(A994&gt;=$C$13,B994="Retired"),IF(V994&gt;0,-V994,U994-'Model Inputs'!$B$18),"")</f>
        <v>4584787.9930167524</v>
      </c>
      <c r="X994" s="171">
        <f t="shared" si="494"/>
        <v>4122944.4358716025</v>
      </c>
      <c r="Y994" s="171">
        <f t="shared" si="495"/>
        <v>360358.90551731084</v>
      </c>
      <c r="Z994" s="171">
        <f t="shared" si="496"/>
        <v>3762585.5303542917</v>
      </c>
      <c r="AA994" s="175">
        <f t="shared" si="497"/>
        <v>9347373.5233710445</v>
      </c>
      <c r="AB994" s="5"/>
      <c r="AC994" s="5"/>
      <c r="AD994" s="5"/>
      <c r="AE994" s="5"/>
      <c r="AF994" s="5"/>
      <c r="AG994" s="5"/>
    </row>
    <row r="995" spans="1:33" x14ac:dyDescent="0.2">
      <c r="A995" s="169">
        <v>35</v>
      </c>
      <c r="B995" s="100" t="str">
        <f t="shared" si="483"/>
        <v>Retired</v>
      </c>
      <c r="C995" s="170">
        <f t="shared" si="484"/>
        <v>0</v>
      </c>
      <c r="D995" s="170">
        <f t="shared" si="485"/>
        <v>0</v>
      </c>
      <c r="E995" s="170">
        <f t="shared" si="486"/>
        <v>0</v>
      </c>
      <c r="F995" s="170">
        <f t="shared" si="487"/>
        <v>0</v>
      </c>
      <c r="G995" s="171">
        <f t="shared" si="488"/>
        <v>0</v>
      </c>
      <c r="H995" s="171">
        <f t="shared" si="489"/>
        <v>178035.95000433255</v>
      </c>
      <c r="I995" s="171">
        <f>IF(B995="Working",MIN(MAX(D995-E995-F995-G995-H995,0),'Tax Assumptions'!$B$20),0)</f>
        <v>0</v>
      </c>
      <c r="J995" s="171">
        <f t="shared" si="490"/>
        <v>-348035.95000433258</v>
      </c>
      <c r="K995" s="170">
        <f t="shared" si="491"/>
        <v>348035.95000433258</v>
      </c>
      <c r="L995" s="170">
        <f t="shared" si="492"/>
        <v>348035.95000433258</v>
      </c>
      <c r="M995" s="170">
        <f t="shared" si="498"/>
        <v>348035.95000433258</v>
      </c>
      <c r="N995" s="170">
        <f t="shared" si="499"/>
        <v>0</v>
      </c>
      <c r="O995" s="170">
        <f t="shared" si="500"/>
        <v>0</v>
      </c>
      <c r="P995" s="170">
        <f t="shared" si="501"/>
        <v>0</v>
      </c>
      <c r="Q995" s="171">
        <f t="shared" si="502"/>
        <v>3761590.7505567009</v>
      </c>
      <c r="R995" s="171">
        <f t="shared" si="503"/>
        <v>1385971.5629656168</v>
      </c>
      <c r="S995" s="171">
        <f t="shared" si="504"/>
        <v>424277.00907110714</v>
      </c>
      <c r="T995" s="171">
        <f t="shared" si="505"/>
        <v>0</v>
      </c>
      <c r="U995" s="171">
        <f t="shared" si="493"/>
        <v>5571839.3225934245</v>
      </c>
      <c r="V995" s="171">
        <f t="shared" si="506"/>
        <v>0</v>
      </c>
      <c r="W995" s="171">
        <f>IF(OR(A995&gt;=$C$13,B995="Retired"),IF(V995&gt;0,-V995,U995-'Model Inputs'!$B$18),"")</f>
        <v>4571839.3225934245</v>
      </c>
      <c r="X995" s="171">
        <f t="shared" si="494"/>
        <v>4246632.7689477503</v>
      </c>
      <c r="Y995" s="171">
        <f t="shared" si="495"/>
        <v>297316.03425191063</v>
      </c>
      <c r="Z995" s="171">
        <f t="shared" si="496"/>
        <v>3949316.7346958397</v>
      </c>
      <c r="AA995" s="172">
        <f t="shared" si="497"/>
        <v>9521156.0572892651</v>
      </c>
      <c r="AB995" s="5"/>
      <c r="AC995" s="5"/>
      <c r="AD995" s="5"/>
      <c r="AE995" s="5"/>
      <c r="AF995" s="5"/>
      <c r="AG995" s="5"/>
    </row>
    <row r="996" spans="1:33" x14ac:dyDescent="0.2">
      <c r="A996" s="173">
        <v>36</v>
      </c>
      <c r="B996" s="65" t="str">
        <f t="shared" si="483"/>
        <v>Retired</v>
      </c>
      <c r="C996" s="174">
        <f t="shared" si="484"/>
        <v>0</v>
      </c>
      <c r="D996" s="174">
        <f t="shared" si="485"/>
        <v>0</v>
      </c>
      <c r="E996" s="174">
        <f t="shared" si="486"/>
        <v>0</v>
      </c>
      <c r="F996" s="174">
        <f t="shared" si="487"/>
        <v>0</v>
      </c>
      <c r="G996" s="171">
        <f t="shared" si="488"/>
        <v>0</v>
      </c>
      <c r="H996" s="171">
        <f t="shared" si="489"/>
        <v>180838.72763183809</v>
      </c>
      <c r="I996" s="171">
        <f>IF(B996="Working",MIN(MAX(D996-E996-F996-G996-H996,0),'Tax Assumptions'!$B$20),0)</f>
        <v>0</v>
      </c>
      <c r="J996" s="171">
        <f t="shared" si="490"/>
        <v>-350838.72763183806</v>
      </c>
      <c r="K996" s="174">
        <f t="shared" si="491"/>
        <v>350838.72763183806</v>
      </c>
      <c r="L996" s="174">
        <f t="shared" si="492"/>
        <v>350838.72763183806</v>
      </c>
      <c r="M996" s="174">
        <f t="shared" si="498"/>
        <v>350838.72763183806</v>
      </c>
      <c r="N996" s="174">
        <f t="shared" si="499"/>
        <v>0</v>
      </c>
      <c r="O996" s="174">
        <f t="shared" si="500"/>
        <v>0</v>
      </c>
      <c r="P996" s="174">
        <f t="shared" si="501"/>
        <v>0</v>
      </c>
      <c r="Q996" s="171">
        <f t="shared" si="502"/>
        <v>3636447.467958265</v>
      </c>
      <c r="R996" s="171">
        <f t="shared" si="503"/>
        <v>1469129.8567435539</v>
      </c>
      <c r="S996" s="171">
        <f t="shared" si="504"/>
        <v>449733.62961537362</v>
      </c>
      <c r="T996" s="171">
        <f t="shared" si="505"/>
        <v>0</v>
      </c>
      <c r="U996" s="171">
        <f t="shared" si="493"/>
        <v>5555310.9543171925</v>
      </c>
      <c r="V996" s="171">
        <f t="shared" si="506"/>
        <v>0</v>
      </c>
      <c r="W996" s="171">
        <f>IF(OR(A996&gt;=$C$13,B996="Retired"),IF(V996&gt;0,-V996,U996-'Model Inputs'!$B$18),"")</f>
        <v>4555310.9543171925</v>
      </c>
      <c r="X996" s="171">
        <f t="shared" si="494"/>
        <v>4374031.7520161839</v>
      </c>
      <c r="Y996" s="171">
        <f t="shared" si="495"/>
        <v>230051.06514230929</v>
      </c>
      <c r="Z996" s="171">
        <f t="shared" si="496"/>
        <v>4143980.6868738746</v>
      </c>
      <c r="AA996" s="175">
        <f t="shared" si="497"/>
        <v>9699291.6411910672</v>
      </c>
      <c r="AB996" s="5"/>
      <c r="AC996" s="5"/>
      <c r="AD996" s="5"/>
      <c r="AE996" s="5"/>
      <c r="AF996" s="5"/>
      <c r="AG996" s="5"/>
    </row>
    <row r="997" spans="1:33" x14ac:dyDescent="0.2">
      <c r="A997" s="169">
        <v>37</v>
      </c>
      <c r="B997" s="100" t="str">
        <f t="shared" si="483"/>
        <v>Retired</v>
      </c>
      <c r="C997" s="170">
        <f t="shared" si="484"/>
        <v>0</v>
      </c>
      <c r="D997" s="170">
        <f t="shared" si="485"/>
        <v>0</v>
      </c>
      <c r="E997" s="170">
        <f t="shared" si="486"/>
        <v>0</v>
      </c>
      <c r="F997" s="170">
        <f t="shared" si="487"/>
        <v>0</v>
      </c>
      <c r="G997" s="171">
        <f t="shared" si="488"/>
        <v>0</v>
      </c>
      <c r="H997" s="171">
        <f t="shared" si="489"/>
        <v>183725.58858816873</v>
      </c>
      <c r="I997" s="171">
        <f>IF(B997="Working",MIN(MAX(D997-E997-F997-G997-H997,0),'Tax Assumptions'!$B$20),0)</f>
        <v>0</v>
      </c>
      <c r="J997" s="171">
        <f t="shared" si="490"/>
        <v>-353725.58858816873</v>
      </c>
      <c r="K997" s="170">
        <f t="shared" si="491"/>
        <v>353725.58858816873</v>
      </c>
      <c r="L997" s="170">
        <f t="shared" si="492"/>
        <v>353725.58858816873</v>
      </c>
      <c r="M997" s="170">
        <f t="shared" si="498"/>
        <v>353725.58858816873</v>
      </c>
      <c r="N997" s="170">
        <f t="shared" si="499"/>
        <v>0</v>
      </c>
      <c r="O997" s="170">
        <f t="shared" si="500"/>
        <v>0</v>
      </c>
      <c r="P997" s="170">
        <f t="shared" si="501"/>
        <v>0</v>
      </c>
      <c r="Q997" s="171">
        <f t="shared" si="502"/>
        <v>3500908.7274475922</v>
      </c>
      <c r="R997" s="171">
        <f t="shared" si="503"/>
        <v>1557277.6481481672</v>
      </c>
      <c r="S997" s="171">
        <f t="shared" si="504"/>
        <v>476717.64739229606</v>
      </c>
      <c r="T997" s="171">
        <f t="shared" si="505"/>
        <v>0</v>
      </c>
      <c r="U997" s="171">
        <f t="shared" si="493"/>
        <v>5534904.0229880558</v>
      </c>
      <c r="V997" s="171">
        <f t="shared" si="506"/>
        <v>0</v>
      </c>
      <c r="W997" s="171">
        <f>IF(OR(A997&gt;=$C$13,B997="Retired"),IF(V997&gt;0,-V997,U997-'Model Inputs'!$B$18),"")</f>
        <v>4534904.0229880558</v>
      </c>
      <c r="X997" s="171">
        <f t="shared" si="494"/>
        <v>4505252.7045766683</v>
      </c>
      <c r="Y997" s="171">
        <f t="shared" si="495"/>
        <v>158281.23647654522</v>
      </c>
      <c r="Z997" s="171">
        <f t="shared" si="496"/>
        <v>4346971.4681001231</v>
      </c>
      <c r="AA997" s="172">
        <f t="shared" si="497"/>
        <v>9881875.491088178</v>
      </c>
      <c r="AB997" s="5"/>
      <c r="AC997" s="5"/>
      <c r="AD997" s="5"/>
      <c r="AE997" s="5"/>
      <c r="AF997" s="5"/>
      <c r="AG997" s="5"/>
    </row>
    <row r="998" spans="1:33" x14ac:dyDescent="0.2">
      <c r="A998" s="173">
        <v>38</v>
      </c>
      <c r="B998" s="65" t="str">
        <f t="shared" si="483"/>
        <v>Retired</v>
      </c>
      <c r="C998" s="174">
        <f t="shared" si="484"/>
        <v>0</v>
      </c>
      <c r="D998" s="174">
        <f t="shared" si="485"/>
        <v>0</v>
      </c>
      <c r="E998" s="174">
        <f t="shared" si="486"/>
        <v>0</v>
      </c>
      <c r="F998" s="174">
        <f t="shared" si="487"/>
        <v>0</v>
      </c>
      <c r="G998" s="171">
        <f t="shared" si="488"/>
        <v>0</v>
      </c>
      <c r="H998" s="171">
        <f t="shared" si="489"/>
        <v>186699.05537318936</v>
      </c>
      <c r="I998" s="171">
        <f>IF(B998="Working",MIN(MAX(D998-E998-F998-G998-H998,0),'Tax Assumptions'!$B$20),0)</f>
        <v>0</v>
      </c>
      <c r="J998" s="171">
        <f t="shared" si="490"/>
        <v>-356699.05537318939</v>
      </c>
      <c r="K998" s="174">
        <f t="shared" si="491"/>
        <v>356699.05537318939</v>
      </c>
      <c r="L998" s="174">
        <f t="shared" si="492"/>
        <v>356699.05537318939</v>
      </c>
      <c r="M998" s="174">
        <f t="shared" si="498"/>
        <v>356699.05537318939</v>
      </c>
      <c r="N998" s="174">
        <f t="shared" si="499"/>
        <v>0</v>
      </c>
      <c r="O998" s="174">
        <f t="shared" si="500"/>
        <v>0</v>
      </c>
      <c r="P998" s="174">
        <f t="shared" si="501"/>
        <v>0</v>
      </c>
      <c r="Q998" s="171">
        <f t="shared" si="502"/>
        <v>3354264.1957212584</v>
      </c>
      <c r="R998" s="171">
        <f t="shared" si="503"/>
        <v>1650714.3070370574</v>
      </c>
      <c r="S998" s="171">
        <f t="shared" si="504"/>
        <v>505320.70623583387</v>
      </c>
      <c r="T998" s="171">
        <f t="shared" si="505"/>
        <v>0</v>
      </c>
      <c r="U998" s="171">
        <f t="shared" si="493"/>
        <v>5510299.2089941492</v>
      </c>
      <c r="V998" s="171">
        <f t="shared" si="506"/>
        <v>0</v>
      </c>
      <c r="W998" s="171">
        <f>IF(OR(A998&gt;=$C$13,B998="Retired"),IF(V998&gt;0,-V998,U998-'Model Inputs'!$B$18),"")</f>
        <v>4510299.2089941492</v>
      </c>
      <c r="X998" s="171">
        <f t="shared" si="494"/>
        <v>4640410.2857139688</v>
      </c>
      <c r="Y998" s="171">
        <f t="shared" si="495"/>
        <v>81704.849467127584</v>
      </c>
      <c r="Z998" s="171">
        <f t="shared" si="496"/>
        <v>4558705.4362468412</v>
      </c>
      <c r="AA998" s="175">
        <f t="shared" si="497"/>
        <v>10069004.64524099</v>
      </c>
      <c r="AB998" s="5"/>
      <c r="AC998" s="5"/>
      <c r="AD998" s="5"/>
      <c r="AE998" s="5"/>
      <c r="AF998" s="5"/>
      <c r="AG998" s="5"/>
    </row>
    <row r="999" spans="1:33" x14ac:dyDescent="0.2">
      <c r="A999" s="169">
        <v>39</v>
      </c>
      <c r="B999" s="100" t="str">
        <f t="shared" si="483"/>
        <v>Retired</v>
      </c>
      <c r="C999" s="170">
        <f t="shared" si="484"/>
        <v>0</v>
      </c>
      <c r="D999" s="170">
        <f t="shared" si="485"/>
        <v>0</v>
      </c>
      <c r="E999" s="170">
        <f t="shared" si="486"/>
        <v>0</v>
      </c>
      <c r="F999" s="170">
        <f t="shared" si="487"/>
        <v>0</v>
      </c>
      <c r="G999" s="171">
        <f t="shared" si="488"/>
        <v>0</v>
      </c>
      <c r="H999" s="171">
        <f t="shared" si="489"/>
        <v>189761.72616176057</v>
      </c>
      <c r="I999" s="171">
        <f>IF(B999="Working",MIN(MAX(D999-E999-F999-G999-H999,0),'Tax Assumptions'!$B$20),0)</f>
        <v>0</v>
      </c>
      <c r="J999" s="171">
        <f t="shared" si="490"/>
        <v>-359761.72616176057</v>
      </c>
      <c r="K999" s="170">
        <f t="shared" si="491"/>
        <v>359761.72616176057</v>
      </c>
      <c r="L999" s="170">
        <f t="shared" si="492"/>
        <v>359761.72616176057</v>
      </c>
      <c r="M999" s="170">
        <f t="shared" si="498"/>
        <v>359761.72616176057</v>
      </c>
      <c r="N999" s="170">
        <f t="shared" si="499"/>
        <v>0</v>
      </c>
      <c r="O999" s="170">
        <f t="shared" si="500"/>
        <v>0</v>
      </c>
      <c r="P999" s="170">
        <f t="shared" si="501"/>
        <v>0</v>
      </c>
      <c r="Q999" s="171">
        <f t="shared" si="502"/>
        <v>3195758.3213027734</v>
      </c>
      <c r="R999" s="171">
        <f t="shared" si="503"/>
        <v>1749757.1654592808</v>
      </c>
      <c r="S999" s="171">
        <f t="shared" si="504"/>
        <v>535639.9486099839</v>
      </c>
      <c r="T999" s="171">
        <f t="shared" si="505"/>
        <v>0</v>
      </c>
      <c r="U999" s="171">
        <f t="shared" si="493"/>
        <v>5481155.4353720378</v>
      </c>
      <c r="V999" s="171">
        <f t="shared" si="506"/>
        <v>0</v>
      </c>
      <c r="W999" s="171">
        <f>IF(OR(A999&gt;=$C$13,B999="Retired"),IF(V999&gt;0,-V999,U999-'Model Inputs'!$B$18),"")</f>
        <v>4481155.4353720378</v>
      </c>
      <c r="X999" s="171">
        <f t="shared" si="494"/>
        <v>4779622.5942853875</v>
      </c>
      <c r="Y999" s="171">
        <f t="shared" si="495"/>
        <v>0</v>
      </c>
      <c r="Z999" s="171">
        <f t="shared" si="496"/>
        <v>4779622.5942853875</v>
      </c>
      <c r="AA999" s="172">
        <f t="shared" si="497"/>
        <v>10260778.029657425</v>
      </c>
      <c r="AB999" s="5"/>
      <c r="AC999" s="5"/>
      <c r="AD999" s="5"/>
      <c r="AE999" s="5"/>
      <c r="AF999" s="5"/>
      <c r="AG999" s="5"/>
    </row>
    <row r="1000" spans="1:33" x14ac:dyDescent="0.2">
      <c r="A1000" s="173">
        <v>40</v>
      </c>
      <c r="B1000" s="65" t="str">
        <f t="shared" si="483"/>
        <v>Retired</v>
      </c>
      <c r="C1000" s="174">
        <f t="shared" si="484"/>
        <v>0</v>
      </c>
      <c r="D1000" s="174">
        <f t="shared" si="485"/>
        <v>0</v>
      </c>
      <c r="E1000" s="174">
        <f t="shared" si="486"/>
        <v>0</v>
      </c>
      <c r="F1000" s="174">
        <f t="shared" si="487"/>
        <v>0</v>
      </c>
      <c r="G1000" s="171">
        <f t="shared" si="488"/>
        <v>0</v>
      </c>
      <c r="H1000" s="171">
        <f t="shared" si="489"/>
        <v>108306.24798650687</v>
      </c>
      <c r="I1000" s="171">
        <f>IF(B1000="Working",MIN(MAX(D1000-E1000-F1000-G1000-H1000,0),'Tax Assumptions'!$B$20),0)</f>
        <v>0</v>
      </c>
      <c r="J1000" s="171">
        <f t="shared" si="490"/>
        <v>-278306.2479865069</v>
      </c>
      <c r="K1000" s="174">
        <f t="shared" si="491"/>
        <v>278306.2479865069</v>
      </c>
      <c r="L1000" s="174">
        <f t="shared" si="492"/>
        <v>278306.2479865069</v>
      </c>
      <c r="M1000" s="174">
        <f t="shared" si="498"/>
        <v>278306.2479865069</v>
      </c>
      <c r="N1000" s="174">
        <f t="shared" si="499"/>
        <v>0</v>
      </c>
      <c r="O1000" s="174">
        <f t="shared" si="500"/>
        <v>0</v>
      </c>
      <c r="P1000" s="174">
        <f t="shared" si="501"/>
        <v>0</v>
      </c>
      <c r="Q1000" s="171">
        <f t="shared" si="502"/>
        <v>3109197.5725944331</v>
      </c>
      <c r="R1000" s="171">
        <f t="shared" si="503"/>
        <v>1854742.5953868378</v>
      </c>
      <c r="S1000" s="171">
        <f t="shared" si="504"/>
        <v>567778.34552658291</v>
      </c>
      <c r="T1000" s="171">
        <f t="shared" si="505"/>
        <v>0</v>
      </c>
      <c r="U1000" s="171">
        <f t="shared" si="493"/>
        <v>5531718.5135078533</v>
      </c>
      <c r="V1000" s="171">
        <f t="shared" si="506"/>
        <v>0</v>
      </c>
      <c r="W1000" s="171">
        <f>IF(OR(A1000&gt;=$C$13,B1000="Retired"),IF(V1000&gt;0,-V1000,U1000-'Model Inputs'!$B$18),"")</f>
        <v>4531718.5135078533</v>
      </c>
      <c r="X1000" s="171">
        <f t="shared" si="494"/>
        <v>4923011.2721139491</v>
      </c>
      <c r="Y1000" s="171">
        <f t="shared" si="495"/>
        <v>0</v>
      </c>
      <c r="Z1000" s="171">
        <f t="shared" si="496"/>
        <v>4923011.2721139491</v>
      </c>
      <c r="AA1000" s="175">
        <f t="shared" si="497"/>
        <v>10454729.785621803</v>
      </c>
      <c r="AB1000" s="5"/>
      <c r="AC1000" s="5"/>
      <c r="AD1000" s="5"/>
      <c r="AE1000" s="5"/>
      <c r="AF1000" s="5"/>
      <c r="AG1000" s="5"/>
    </row>
    <row r="1001" spans="1:33" x14ac:dyDescent="0.2">
      <c r="A1001" s="176" t="s">
        <v>369</v>
      </c>
      <c r="B1001" s="177"/>
      <c r="C1001" s="177"/>
      <c r="D1001" s="177"/>
      <c r="E1001" s="177"/>
      <c r="F1001" s="177"/>
      <c r="G1001" s="178">
        <f t="shared" ref="G1001:P1001" si="507">SUM(G961:G1000)</f>
        <v>963402.34400279156</v>
      </c>
      <c r="H1001" s="178">
        <f t="shared" si="507"/>
        <v>4769457.3820516244</v>
      </c>
      <c r="I1001" s="178">
        <f t="shared" si="507"/>
        <v>75000</v>
      </c>
      <c r="J1001" s="178">
        <f t="shared" si="507"/>
        <v>-5985267.486013894</v>
      </c>
      <c r="K1001" s="178">
        <f t="shared" si="507"/>
        <v>9740226.6128208563</v>
      </c>
      <c r="L1001" s="178">
        <f t="shared" si="507"/>
        <v>9740226.6128208563</v>
      </c>
      <c r="M1001" s="178">
        <f t="shared" si="507"/>
        <v>9740226.6128208563</v>
      </c>
      <c r="N1001" s="178">
        <f t="shared" si="507"/>
        <v>0</v>
      </c>
      <c r="O1001" s="178">
        <f t="shared" si="507"/>
        <v>0</v>
      </c>
      <c r="P1001" s="178">
        <f t="shared" si="507"/>
        <v>0</v>
      </c>
      <c r="Q1001" s="178">
        <f>Q1000</f>
        <v>3109197.5725944331</v>
      </c>
      <c r="R1001" s="178">
        <f>R1000</f>
        <v>1854742.5953868378</v>
      </c>
      <c r="S1001" s="178">
        <f>S1000</f>
        <v>567778.34552658291</v>
      </c>
      <c r="T1001" s="178">
        <f>T1000</f>
        <v>0</v>
      </c>
      <c r="U1001" s="178">
        <f>U1000</f>
        <v>5531718.5135078533</v>
      </c>
      <c r="V1001" s="178">
        <f>SUM(V961:V1000)</f>
        <v>0</v>
      </c>
      <c r="W1001" s="178">
        <f>MIN(W961:W1000)</f>
        <v>4337608.5272303335</v>
      </c>
      <c r="X1001" s="178">
        <f>X1000</f>
        <v>4923011.2721139491</v>
      </c>
      <c r="Y1001" s="178">
        <f>Y1000</f>
        <v>0</v>
      </c>
      <c r="Z1001" s="178">
        <f>Z1000</f>
        <v>4923011.2721139491</v>
      </c>
      <c r="AA1001" s="179">
        <f>AA1000</f>
        <v>10454729.785621803</v>
      </c>
      <c r="AB1001" s="5"/>
      <c r="AC1001" s="5"/>
      <c r="AD1001" s="5"/>
      <c r="AE1001" s="5"/>
      <c r="AF1001" s="5"/>
      <c r="AG1001" s="5"/>
    </row>
    <row r="1002" spans="1:33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spans="1:33" x14ac:dyDescent="0.2">
      <c r="A1003" s="319" t="str">
        <f>J244&amp;" | House "&amp;TEXT($L$244,"$#,##0")&amp;" | Spend "&amp;TEXT($N$244,"$#,##0")</f>
        <v>Case 18 | House $2,028,215 | Spend $200,000</v>
      </c>
      <c r="B1003" s="288"/>
      <c r="C1003" s="288"/>
      <c r="D1003" s="288"/>
      <c r="E1003" s="288"/>
      <c r="F1003" s="288"/>
      <c r="G1003" s="288"/>
      <c r="H1003" s="288"/>
      <c r="I1003" s="288"/>
      <c r="J1003" s="288"/>
      <c r="K1003" s="288"/>
      <c r="L1003" s="288"/>
      <c r="M1003" s="288"/>
      <c r="N1003" s="288"/>
      <c r="O1003" s="288"/>
      <c r="P1003" s="288"/>
      <c r="Q1003" s="288"/>
      <c r="R1003" s="288"/>
      <c r="S1003" s="288"/>
      <c r="T1003" s="288"/>
      <c r="U1003" s="288"/>
      <c r="V1003" s="288"/>
      <c r="W1003" s="288"/>
      <c r="X1003" s="288"/>
      <c r="Y1003" s="288"/>
      <c r="Z1003" s="288"/>
      <c r="AA1003" s="289"/>
      <c r="AB1003" s="5"/>
      <c r="AC1003" s="5"/>
      <c r="AD1003" s="5"/>
      <c r="AE1003" s="5"/>
      <c r="AF1003" s="5"/>
      <c r="AG1003" s="5"/>
    </row>
    <row r="1004" spans="1:33" ht="34" customHeight="1" x14ac:dyDescent="0.2">
      <c r="A1004" s="167" t="s">
        <v>224</v>
      </c>
      <c r="B1004" s="112" t="s">
        <v>106</v>
      </c>
      <c r="C1004" s="112" t="s">
        <v>357</v>
      </c>
      <c r="D1004" s="112" t="s">
        <v>66</v>
      </c>
      <c r="E1004" s="112" t="s">
        <v>300</v>
      </c>
      <c r="F1004" s="112" t="s">
        <v>301</v>
      </c>
      <c r="G1004" s="112" t="s">
        <v>358</v>
      </c>
      <c r="H1004" s="112" t="s">
        <v>359</v>
      </c>
      <c r="I1004" s="112" t="s">
        <v>69</v>
      </c>
      <c r="J1004" s="112" t="s">
        <v>360</v>
      </c>
      <c r="K1004" s="112" t="s">
        <v>361</v>
      </c>
      <c r="L1004" s="112" t="s">
        <v>362</v>
      </c>
      <c r="M1004" s="112" t="s">
        <v>304</v>
      </c>
      <c r="N1004" s="112" t="s">
        <v>305</v>
      </c>
      <c r="O1004" s="112" t="s">
        <v>306</v>
      </c>
      <c r="P1004" s="112" t="s">
        <v>307</v>
      </c>
      <c r="Q1004" s="112" t="s">
        <v>363</v>
      </c>
      <c r="R1004" s="112" t="s">
        <v>364</v>
      </c>
      <c r="S1004" s="112" t="s">
        <v>365</v>
      </c>
      <c r="T1004" s="112" t="s">
        <v>366</v>
      </c>
      <c r="U1004" s="112" t="s">
        <v>308</v>
      </c>
      <c r="V1004" s="112" t="s">
        <v>309</v>
      </c>
      <c r="W1004" s="112" t="s">
        <v>367</v>
      </c>
      <c r="X1004" s="112" t="s">
        <v>311</v>
      </c>
      <c r="Y1004" s="112" t="s">
        <v>312</v>
      </c>
      <c r="Z1004" s="112" t="s">
        <v>313</v>
      </c>
      <c r="AA1004" s="168" t="s">
        <v>368</v>
      </c>
      <c r="AB1004" s="5"/>
      <c r="AC1004" s="5"/>
      <c r="AD1004" s="5"/>
      <c r="AE1004" s="5"/>
      <c r="AF1004" s="5"/>
      <c r="AG1004" s="5"/>
    </row>
    <row r="1005" spans="1:33" x14ac:dyDescent="0.2">
      <c r="A1005" s="169">
        <v>1</v>
      </c>
      <c r="B1005" s="100" t="str">
        <f t="shared" ref="B1005:B1044" si="508">B80</f>
        <v>Working</v>
      </c>
      <c r="C1005" s="170">
        <f t="shared" ref="C1005:C1044" si="509">D80</f>
        <v>550000</v>
      </c>
      <c r="D1005" s="170">
        <f t="shared" ref="D1005:D1044" si="510">I80</f>
        <v>302665.46999999997</v>
      </c>
      <c r="E1005" s="170">
        <f t="shared" ref="E1005:E1044" si="511">J80</f>
        <v>78000</v>
      </c>
      <c r="F1005" s="170">
        <f t="shared" ref="F1005:F1044" si="512">K80</f>
        <v>40000</v>
      </c>
      <c r="G1005" s="171">
        <f t="shared" ref="G1005:G1044" si="513">IF(AND($L$244&gt;0,A1005=$C$13),$L$244*($C$15+$C$18),0)+IF(AND($L$244&gt;0,A1005=$C$13),$C$24,0)</f>
        <v>0</v>
      </c>
      <c r="H1005" s="171">
        <f t="shared" ref="H1005:H1044" si="514">IF(OR($L$244&lt;=0,A1005&lt;$C$13),0,IF(AND($L$244&gt;0,$C$17&gt;0,A1005&gt;=$C$13,A1005&lt;($C$13+$C$17)),IF($C$17&lt;=0,0,IF($C$16=0,MAX($L$244*(1-$C$15),0)/$C$17,-PMT($C$16/12,$C$17*12,MAX($L$244*(1-$C$15),0))*12)),0)+X1005*($C$19+$C$20+$C$21)+$C$22+$C$23)</f>
        <v>0</v>
      </c>
      <c r="I1005" s="171">
        <f>IF(B1005="Working",MIN(MAX(D1005-E1005-F1005-G1005-H1005,0),'Tax Assumptions'!$B$20),0)</f>
        <v>7500</v>
      </c>
      <c r="J1005" s="171">
        <f t="shared" ref="J1005:J1044" si="515">IF(B1005="Working",D1005-E1005-F1005-I1005-G1005-H1005,-L1005)</f>
        <v>177165.46999999997</v>
      </c>
      <c r="K1005" s="170">
        <f t="shared" ref="K1005:K1044" si="516">IF(B1005="Retired",$N$244+G1005+H1005,0)</f>
        <v>0</v>
      </c>
      <c r="L1005" s="170">
        <f t="shared" ref="L1005:L1044" si="517">M1005+N1005+O1005+P1005</f>
        <v>0</v>
      </c>
      <c r="M1005" s="170">
        <f>IF(B1005="Retired",MIN((('Savings Projection'!$B$7)*(1+$C$10)+IF(B1005="Working",J1005,0)),K1005),0)</f>
        <v>0</v>
      </c>
      <c r="N1005" s="170">
        <f>IF(B1005="Retired",MIN(MAX(K1005-M1005,0),(('Savings Projection'!$B$8)*(1+$C$10)+IF(B1005="Working",E80,0))),0)</f>
        <v>0</v>
      </c>
      <c r="O1005" s="170">
        <f>IF(B1005="Retired",MIN(MAX(K1005-M1005-N1005,0),(('Savings Projection'!$B$9)*(1+$C$10)+IF(B1005="Working",I1005,0))),0)</f>
        <v>0</v>
      </c>
      <c r="P1005" s="170">
        <f>IF(B1005="Retired",MIN(MAX(K1005-M1005-N1005-O1005,0),(('Savings Projection'!$B$10)*(1+$C$10)+IF(B1005="Working",F80,0))),0)</f>
        <v>0</v>
      </c>
      <c r="Q1005" s="171">
        <f>MAX((('Savings Projection'!$B$7)*(1+$C$10)+IF(B1005="Working",J1005,0))-M1005,0)</f>
        <v>336165.47</v>
      </c>
      <c r="R1005" s="171">
        <f>MAX((('Savings Projection'!$B$8)*(1+$C$10)+IF(B1005="Working",E80,0))-N1005,0)</f>
        <v>24500</v>
      </c>
      <c r="S1005" s="171">
        <f>MAX((('Savings Projection'!$B$9)*(1+$C$10)+IF(B1005="Working",I1005,0))-O1005,0)</f>
        <v>7500</v>
      </c>
      <c r="T1005" s="171">
        <f>MAX((('Savings Projection'!$B$10)*(1+$C$10)+IF(B1005="Working",F80,0))-P1005,0)</f>
        <v>0</v>
      </c>
      <c r="U1005" s="171">
        <f t="shared" ref="U1005:U1044" si="518">Q1005+R1005+S1005+T1005</f>
        <v>368165.47</v>
      </c>
      <c r="V1005" s="171">
        <f>IF(B1005="Working",MAX(-((('Savings Projection'!$B$7)*(1+$C$10)+IF(B1005="Working",J1005,0))),0),MAX(K1005-L1005,0))</f>
        <v>0</v>
      </c>
      <c r="W1005" s="171" t="str">
        <f>IF(OR(A1005&gt;=$C$13,B1005="Retired"),IF(V1005&gt;0,-V1005,U1005-'Model Inputs'!$B$18),"")</f>
        <v/>
      </c>
      <c r="X1005" s="171">
        <f t="shared" ref="X1005:X1044" si="519">IF(AND($L$244&gt;0,A1005&gt;=$C$13),$L$244*(1+$C$25)^(A1005-$C$13),0)</f>
        <v>0</v>
      </c>
      <c r="Y1005" s="171">
        <f t="shared" ref="Y1005:Y1044" si="520">IF(OR($L$244&lt;=0,$C$17&lt;=0,A1005&lt;$C$13,MIN(MAX((A1005-$C$13+1)*12,0),$C$17*12)&gt;=$C$17*12),0,IF($C$16=0,MAX(MAX($L$244*(1-$C$15),0)-(IF($C$17&lt;=0,0,IF($C$16=0,MAX($L$244*(1-$C$15),0)/$C$17,-PMT($C$16/12,$C$17*12,MAX($L$244*(1-$C$15),0))*12))/12)*MIN(MAX((A1005-$C$13+1)*12,0),$C$17*12),0),MAX(MAX($L$244*(1-$C$15),0)*(1+$C$16/12)^MIN(MAX((A1005-$C$13+1)*12,0),$C$17*12)-(IF($C$17&lt;=0,0,IF($C$16=0,MAX($L$244*(1-$C$15),0)/$C$17,-PMT($C$16/12,$C$17*12,MAX($L$244*(1-$C$15),0))*12))/12)*(((1+$C$16/12)^MIN(MAX((A1005-$C$13+1)*12,0),$C$17*12)-1)/($C$16/12)),0)))</f>
        <v>0</v>
      </c>
      <c r="Z1005" s="171">
        <f t="shared" ref="Z1005:Z1044" si="521">MAX(X1005-Y1005,0)</f>
        <v>0</v>
      </c>
      <c r="AA1005" s="172">
        <f t="shared" ref="AA1005:AA1044" si="522">U1005+Z1005</f>
        <v>368165.47</v>
      </c>
      <c r="AB1005" s="5"/>
      <c r="AC1005" s="5"/>
      <c r="AD1005" s="5"/>
      <c r="AE1005" s="5"/>
      <c r="AF1005" s="5"/>
      <c r="AG1005" s="5"/>
    </row>
    <row r="1006" spans="1:33" x14ac:dyDescent="0.2">
      <c r="A1006" s="173">
        <v>2</v>
      </c>
      <c r="B1006" s="65" t="str">
        <f t="shared" si="508"/>
        <v>Working</v>
      </c>
      <c r="C1006" s="174">
        <f t="shared" si="509"/>
        <v>412500</v>
      </c>
      <c r="D1006" s="174">
        <f t="shared" si="510"/>
        <v>231269.97</v>
      </c>
      <c r="E1006" s="174">
        <f t="shared" si="511"/>
        <v>80340</v>
      </c>
      <c r="F1006" s="174">
        <f t="shared" si="512"/>
        <v>41200</v>
      </c>
      <c r="G1006" s="171">
        <f t="shared" si="513"/>
        <v>0</v>
      </c>
      <c r="H1006" s="171">
        <f t="shared" si="514"/>
        <v>0</v>
      </c>
      <c r="I1006" s="171">
        <f>IF(B1006="Working",MIN(MAX(D1006-E1006-F1006-G1006-H1006,0),'Tax Assumptions'!$B$20),0)</f>
        <v>7500</v>
      </c>
      <c r="J1006" s="171">
        <f t="shared" si="515"/>
        <v>102229.97</v>
      </c>
      <c r="K1006" s="174">
        <f t="shared" si="516"/>
        <v>0</v>
      </c>
      <c r="L1006" s="174">
        <f t="shared" si="517"/>
        <v>0</v>
      </c>
      <c r="M1006" s="174">
        <f t="shared" ref="M1006:M1044" si="523">IF(B1006="Retired",MIN(((Q1005)*(1+$C$10)+IF(B1006="Working",J1006,0)),K1006),0)</f>
        <v>0</v>
      </c>
      <c r="N1006" s="174">
        <f t="shared" ref="N1006:N1044" si="524">IF(B1006="Retired",MIN(MAX(K1006-M1006,0),((R1005)*(1+$C$10)+IF(B1006="Working",E81,0))),0)</f>
        <v>0</v>
      </c>
      <c r="O1006" s="174">
        <f t="shared" ref="O1006:O1044" si="525">IF(B1006="Retired",MIN(MAX(K1006-M1006-N1006,0),((S1005)*(1+$C$10)+IF(B1006="Working",I1006,0))),0)</f>
        <v>0</v>
      </c>
      <c r="P1006" s="174">
        <f t="shared" ref="P1006:P1044" si="526">IF(B1006="Retired",MIN(MAX(K1006-M1006-N1006-O1006,0),((T1005)*(1+$C$10)+IF(B1006="Working",F81,0))),0)</f>
        <v>0</v>
      </c>
      <c r="Q1006" s="171">
        <f t="shared" ref="Q1006:Q1044" si="527">MAX(((Q1005)*(1+$C$10)+IF(B1006="Working",J1006,0))-M1006,0)</f>
        <v>458565.36820000003</v>
      </c>
      <c r="R1006" s="171">
        <f t="shared" ref="R1006:R1044" si="528">MAX(((R1005)*(1+$C$10)+IF(B1006="Working",E81,0))-N1006,0)</f>
        <v>50470</v>
      </c>
      <c r="S1006" s="171">
        <f t="shared" ref="S1006:S1044" si="529">MAX(((S1005)*(1+$C$10)+IF(B1006="Working",I1006,0))-O1006,0)</f>
        <v>15450</v>
      </c>
      <c r="T1006" s="171">
        <f t="shared" ref="T1006:T1044" si="530">MAX(((T1005)*(1+$C$10)+IF(B1006="Working",F81,0))-P1006,0)</f>
        <v>0</v>
      </c>
      <c r="U1006" s="171">
        <f t="shared" si="518"/>
        <v>524485.36820000003</v>
      </c>
      <c r="V1006" s="171">
        <f t="shared" ref="V1006:V1044" si="531">IF(B1006="Working",MAX(-(((Q1005)*(1+$C$10)+IF(B1006="Working",J1006,0))),0),MAX(K1006-L1006,0))</f>
        <v>0</v>
      </c>
      <c r="W1006" s="171" t="str">
        <f>IF(OR(A1006&gt;=$C$13,B1006="Retired"),IF(V1006&gt;0,-V1006,U1006-'Model Inputs'!$B$18),"")</f>
        <v/>
      </c>
      <c r="X1006" s="171">
        <f t="shared" si="519"/>
        <v>0</v>
      </c>
      <c r="Y1006" s="171">
        <f t="shared" si="520"/>
        <v>0</v>
      </c>
      <c r="Z1006" s="171">
        <f t="shared" si="521"/>
        <v>0</v>
      </c>
      <c r="AA1006" s="175">
        <f t="shared" si="522"/>
        <v>524485.36820000003</v>
      </c>
      <c r="AB1006" s="5"/>
      <c r="AC1006" s="5"/>
      <c r="AD1006" s="5"/>
      <c r="AE1006" s="5"/>
      <c r="AF1006" s="5"/>
      <c r="AG1006" s="5"/>
    </row>
    <row r="1007" spans="1:33" x14ac:dyDescent="0.2">
      <c r="A1007" s="169">
        <v>3</v>
      </c>
      <c r="B1007" s="100" t="str">
        <f t="shared" si="508"/>
        <v>Working</v>
      </c>
      <c r="C1007" s="170">
        <f t="shared" si="509"/>
        <v>675000</v>
      </c>
      <c r="D1007" s="170">
        <f t="shared" si="510"/>
        <v>367570.47</v>
      </c>
      <c r="E1007" s="170">
        <f t="shared" si="511"/>
        <v>82750.2</v>
      </c>
      <c r="F1007" s="170">
        <f t="shared" si="512"/>
        <v>53045</v>
      </c>
      <c r="G1007" s="171">
        <f t="shared" si="513"/>
        <v>0</v>
      </c>
      <c r="H1007" s="171">
        <f t="shared" si="514"/>
        <v>0</v>
      </c>
      <c r="I1007" s="171">
        <f>IF(B1007="Working",MIN(MAX(D1007-E1007-F1007-G1007-H1007,0),'Tax Assumptions'!$B$20),0)</f>
        <v>7500</v>
      </c>
      <c r="J1007" s="171">
        <f t="shared" si="515"/>
        <v>224275.26999999996</v>
      </c>
      <c r="K1007" s="170">
        <f t="shared" si="516"/>
        <v>0</v>
      </c>
      <c r="L1007" s="170">
        <f t="shared" si="517"/>
        <v>0</v>
      </c>
      <c r="M1007" s="170">
        <f t="shared" si="523"/>
        <v>0</v>
      </c>
      <c r="N1007" s="170">
        <f t="shared" si="524"/>
        <v>0</v>
      </c>
      <c r="O1007" s="170">
        <f t="shared" si="525"/>
        <v>0</v>
      </c>
      <c r="P1007" s="170">
        <f t="shared" si="526"/>
        <v>0</v>
      </c>
      <c r="Q1007" s="171">
        <f t="shared" si="527"/>
        <v>710354.56029199995</v>
      </c>
      <c r="R1007" s="171">
        <f t="shared" si="528"/>
        <v>77998.200000000012</v>
      </c>
      <c r="S1007" s="171">
        <f t="shared" si="529"/>
        <v>23877</v>
      </c>
      <c r="T1007" s="171">
        <f t="shared" si="530"/>
        <v>0</v>
      </c>
      <c r="U1007" s="171">
        <f t="shared" si="518"/>
        <v>812229.7602919999</v>
      </c>
      <c r="V1007" s="171">
        <f t="shared" si="531"/>
        <v>0</v>
      </c>
      <c r="W1007" s="171" t="str">
        <f>IF(OR(A1007&gt;=$C$13,B1007="Retired"),IF(V1007&gt;0,-V1007,U1007-'Model Inputs'!$B$18),"")</f>
        <v/>
      </c>
      <c r="X1007" s="171">
        <f t="shared" si="519"/>
        <v>0</v>
      </c>
      <c r="Y1007" s="171">
        <f t="shared" si="520"/>
        <v>0</v>
      </c>
      <c r="Z1007" s="171">
        <f t="shared" si="521"/>
        <v>0</v>
      </c>
      <c r="AA1007" s="172">
        <f t="shared" si="522"/>
        <v>812229.7602919999</v>
      </c>
      <c r="AB1007" s="5"/>
      <c r="AC1007" s="5"/>
      <c r="AD1007" s="5"/>
      <c r="AE1007" s="5"/>
      <c r="AF1007" s="5"/>
      <c r="AG1007" s="5"/>
    </row>
    <row r="1008" spans="1:33" x14ac:dyDescent="0.2">
      <c r="A1008" s="173">
        <v>4</v>
      </c>
      <c r="B1008" s="65" t="str">
        <f t="shared" si="508"/>
        <v>Working</v>
      </c>
      <c r="C1008" s="174">
        <f t="shared" si="509"/>
        <v>750000</v>
      </c>
      <c r="D1008" s="174">
        <f t="shared" si="510"/>
        <v>405137.47</v>
      </c>
      <c r="E1008" s="174">
        <f t="shared" si="511"/>
        <v>85232.706000000006</v>
      </c>
      <c r="F1008" s="174">
        <f t="shared" si="512"/>
        <v>54636.35</v>
      </c>
      <c r="G1008" s="171">
        <f t="shared" si="513"/>
        <v>0</v>
      </c>
      <c r="H1008" s="171">
        <f t="shared" si="514"/>
        <v>0</v>
      </c>
      <c r="I1008" s="171">
        <f>IF(B1008="Working",MIN(MAX(D1008-E1008-F1008-G1008-H1008,0),'Tax Assumptions'!$B$20),0)</f>
        <v>7500</v>
      </c>
      <c r="J1008" s="171">
        <f t="shared" si="515"/>
        <v>257768.41399999999</v>
      </c>
      <c r="K1008" s="174">
        <f t="shared" si="516"/>
        <v>0</v>
      </c>
      <c r="L1008" s="174">
        <f t="shared" si="517"/>
        <v>0</v>
      </c>
      <c r="M1008" s="174">
        <f t="shared" si="523"/>
        <v>0</v>
      </c>
      <c r="N1008" s="174">
        <f t="shared" si="524"/>
        <v>0</v>
      </c>
      <c r="O1008" s="174">
        <f t="shared" si="525"/>
        <v>0</v>
      </c>
      <c r="P1008" s="174">
        <f t="shared" si="526"/>
        <v>0</v>
      </c>
      <c r="Q1008" s="171">
        <f t="shared" si="527"/>
        <v>1010744.2479095199</v>
      </c>
      <c r="R1008" s="171">
        <f t="shared" si="528"/>
        <v>107178.09200000002</v>
      </c>
      <c r="S1008" s="171">
        <f t="shared" si="529"/>
        <v>32809.620000000003</v>
      </c>
      <c r="T1008" s="171">
        <f t="shared" si="530"/>
        <v>0</v>
      </c>
      <c r="U1008" s="171">
        <f t="shared" si="518"/>
        <v>1150731.9599095201</v>
      </c>
      <c r="V1008" s="171">
        <f t="shared" si="531"/>
        <v>0</v>
      </c>
      <c r="W1008" s="171" t="str">
        <f>IF(OR(A1008&gt;=$C$13,B1008="Retired"),IF(V1008&gt;0,-V1008,U1008-'Model Inputs'!$B$18),"")</f>
        <v/>
      </c>
      <c r="X1008" s="171">
        <f t="shared" si="519"/>
        <v>0</v>
      </c>
      <c r="Y1008" s="171">
        <f t="shared" si="520"/>
        <v>0</v>
      </c>
      <c r="Z1008" s="171">
        <f t="shared" si="521"/>
        <v>0</v>
      </c>
      <c r="AA1008" s="175">
        <f t="shared" si="522"/>
        <v>1150731.9599095201</v>
      </c>
      <c r="AB1008" s="5"/>
      <c r="AC1008" s="5"/>
      <c r="AD1008" s="5"/>
      <c r="AE1008" s="5"/>
      <c r="AF1008" s="5"/>
      <c r="AG1008" s="5"/>
    </row>
    <row r="1009" spans="1:33" x14ac:dyDescent="0.2">
      <c r="A1009" s="169">
        <v>5</v>
      </c>
      <c r="B1009" s="100" t="str">
        <f t="shared" si="508"/>
        <v>Working</v>
      </c>
      <c r="C1009" s="170">
        <f t="shared" si="509"/>
        <v>953837.51358640334</v>
      </c>
      <c r="D1009" s="170">
        <f t="shared" si="510"/>
        <v>506901.31028287602</v>
      </c>
      <c r="E1009" s="170">
        <f t="shared" si="511"/>
        <v>87789.687179999994</v>
      </c>
      <c r="F1009" s="170">
        <f t="shared" si="512"/>
        <v>56275.440499999997</v>
      </c>
      <c r="G1009" s="171">
        <f t="shared" si="513"/>
        <v>0</v>
      </c>
      <c r="H1009" s="171">
        <f t="shared" si="514"/>
        <v>0</v>
      </c>
      <c r="I1009" s="171">
        <f>IF(B1009="Working",MIN(MAX(D1009-E1009-F1009-G1009-H1009,0),'Tax Assumptions'!$B$20),0)</f>
        <v>7500</v>
      </c>
      <c r="J1009" s="171">
        <f t="shared" si="515"/>
        <v>355336.18260287598</v>
      </c>
      <c r="K1009" s="170">
        <f t="shared" si="516"/>
        <v>0</v>
      </c>
      <c r="L1009" s="170">
        <f t="shared" si="517"/>
        <v>0</v>
      </c>
      <c r="M1009" s="170">
        <f t="shared" si="523"/>
        <v>0</v>
      </c>
      <c r="N1009" s="170">
        <f t="shared" si="524"/>
        <v>0</v>
      </c>
      <c r="O1009" s="170">
        <f t="shared" si="525"/>
        <v>0</v>
      </c>
      <c r="P1009" s="170">
        <f t="shared" si="526"/>
        <v>0</v>
      </c>
      <c r="Q1009" s="171">
        <f t="shared" si="527"/>
        <v>1426725.0853869673</v>
      </c>
      <c r="R1009" s="171">
        <f t="shared" si="528"/>
        <v>138108.77752000003</v>
      </c>
      <c r="S1009" s="171">
        <f t="shared" si="529"/>
        <v>42278.197200000002</v>
      </c>
      <c r="T1009" s="171">
        <f t="shared" si="530"/>
        <v>0</v>
      </c>
      <c r="U1009" s="171">
        <f t="shared" si="518"/>
        <v>1607112.0601069673</v>
      </c>
      <c r="V1009" s="171">
        <f t="shared" si="531"/>
        <v>0</v>
      </c>
      <c r="W1009" s="171" t="str">
        <f>IF(OR(A1009&gt;=$C$13,B1009="Retired"),IF(V1009&gt;0,-V1009,U1009-'Model Inputs'!$B$18),"")</f>
        <v/>
      </c>
      <c r="X1009" s="171">
        <f t="shared" si="519"/>
        <v>0</v>
      </c>
      <c r="Y1009" s="171">
        <f t="shared" si="520"/>
        <v>0</v>
      </c>
      <c r="Z1009" s="171">
        <f t="shared" si="521"/>
        <v>0</v>
      </c>
      <c r="AA1009" s="172">
        <f t="shared" si="522"/>
        <v>1607112.0601069673</v>
      </c>
      <c r="AB1009" s="5"/>
      <c r="AC1009" s="5"/>
      <c r="AD1009" s="5"/>
      <c r="AE1009" s="5"/>
      <c r="AF1009" s="5"/>
      <c r="AG1009" s="5"/>
    </row>
    <row r="1010" spans="1:33" x14ac:dyDescent="0.2">
      <c r="A1010" s="173">
        <v>6</v>
      </c>
      <c r="B1010" s="65" t="str">
        <f t="shared" si="508"/>
        <v>Working</v>
      </c>
      <c r="C1010" s="174">
        <f t="shared" si="509"/>
        <v>1118900.665838565</v>
      </c>
      <c r="D1010" s="174">
        <f t="shared" si="510"/>
        <v>589060.11476976541</v>
      </c>
      <c r="E1010" s="174">
        <f t="shared" si="511"/>
        <v>92741.925943999988</v>
      </c>
      <c r="F1010" s="174">
        <f t="shared" si="512"/>
        <v>57963.703714999989</v>
      </c>
      <c r="G1010" s="171">
        <f t="shared" si="513"/>
        <v>0</v>
      </c>
      <c r="H1010" s="171">
        <f t="shared" si="514"/>
        <v>0</v>
      </c>
      <c r="I1010" s="171">
        <f>IF(B1010="Working",MIN(MAX(D1010-E1010-F1010-G1010-H1010,0),'Tax Assumptions'!$B$20),0)</f>
        <v>7500</v>
      </c>
      <c r="J1010" s="171">
        <f t="shared" si="515"/>
        <v>430854.48511076538</v>
      </c>
      <c r="K1010" s="174">
        <f t="shared" si="516"/>
        <v>0</v>
      </c>
      <c r="L1010" s="174">
        <f t="shared" si="517"/>
        <v>0</v>
      </c>
      <c r="M1010" s="174">
        <f t="shared" si="523"/>
        <v>0</v>
      </c>
      <c r="N1010" s="174">
        <f t="shared" si="524"/>
        <v>0</v>
      </c>
      <c r="O1010" s="174">
        <f t="shared" si="525"/>
        <v>0</v>
      </c>
      <c r="P1010" s="174">
        <f t="shared" si="526"/>
        <v>0</v>
      </c>
      <c r="Q1010" s="171">
        <f t="shared" si="527"/>
        <v>1943183.0756209507</v>
      </c>
      <c r="R1010" s="171">
        <f t="shared" si="528"/>
        <v>170895.30417120006</v>
      </c>
      <c r="S1010" s="171">
        <f t="shared" si="529"/>
        <v>52314.889032000006</v>
      </c>
      <c r="T1010" s="171">
        <f t="shared" si="530"/>
        <v>0</v>
      </c>
      <c r="U1010" s="171">
        <f t="shared" si="518"/>
        <v>2166393.2688241508</v>
      </c>
      <c r="V1010" s="171">
        <f t="shared" si="531"/>
        <v>0</v>
      </c>
      <c r="W1010" s="171" t="str">
        <f>IF(OR(A1010&gt;=$C$13,B1010="Retired"),IF(V1010&gt;0,-V1010,U1010-'Model Inputs'!$B$18),"")</f>
        <v/>
      </c>
      <c r="X1010" s="171">
        <f t="shared" si="519"/>
        <v>0</v>
      </c>
      <c r="Y1010" s="171">
        <f t="shared" si="520"/>
        <v>0</v>
      </c>
      <c r="Z1010" s="171">
        <f t="shared" si="521"/>
        <v>0</v>
      </c>
      <c r="AA1010" s="175">
        <f t="shared" si="522"/>
        <v>2166393.2688241508</v>
      </c>
      <c r="AB1010" s="5"/>
      <c r="AC1010" s="5"/>
      <c r="AD1010" s="5"/>
      <c r="AE1010" s="5"/>
      <c r="AF1010" s="5"/>
      <c r="AG1010" s="5"/>
    </row>
    <row r="1011" spans="1:33" x14ac:dyDescent="0.2">
      <c r="A1011" s="169">
        <v>7</v>
      </c>
      <c r="B1011" s="100" t="str">
        <f t="shared" si="508"/>
        <v>Working</v>
      </c>
      <c r="C1011" s="170">
        <f t="shared" si="509"/>
        <v>1418318.448466131</v>
      </c>
      <c r="D1011" s="170">
        <f t="shared" si="510"/>
        <v>730157.75065517949</v>
      </c>
      <c r="E1011" s="170">
        <f t="shared" si="511"/>
        <v>95524.183722319998</v>
      </c>
      <c r="F1011" s="170">
        <f t="shared" si="512"/>
        <v>59702.614826449993</v>
      </c>
      <c r="G1011" s="171">
        <f t="shared" si="513"/>
        <v>0</v>
      </c>
      <c r="H1011" s="171">
        <f t="shared" si="514"/>
        <v>0</v>
      </c>
      <c r="I1011" s="171">
        <f>IF(B1011="Working",MIN(MAX(D1011-E1011-F1011-G1011-H1011,0),'Tax Assumptions'!$B$20),0)</f>
        <v>7500</v>
      </c>
      <c r="J1011" s="171">
        <f t="shared" si="515"/>
        <v>567430.95210640947</v>
      </c>
      <c r="K1011" s="170">
        <f t="shared" si="516"/>
        <v>0</v>
      </c>
      <c r="L1011" s="170">
        <f t="shared" si="517"/>
        <v>0</v>
      </c>
      <c r="M1011" s="170">
        <f t="shared" si="523"/>
        <v>0</v>
      </c>
      <c r="N1011" s="170">
        <f t="shared" si="524"/>
        <v>0</v>
      </c>
      <c r="O1011" s="170">
        <f t="shared" si="525"/>
        <v>0</v>
      </c>
      <c r="P1011" s="170">
        <f t="shared" si="526"/>
        <v>0</v>
      </c>
      <c r="Q1011" s="171">
        <f t="shared" si="527"/>
        <v>2627205.0122646173</v>
      </c>
      <c r="R1011" s="171">
        <f t="shared" si="528"/>
        <v>205649.02242147207</v>
      </c>
      <c r="S1011" s="171">
        <f t="shared" si="529"/>
        <v>62953.78237392001</v>
      </c>
      <c r="T1011" s="171">
        <f t="shared" si="530"/>
        <v>0</v>
      </c>
      <c r="U1011" s="171">
        <f t="shared" si="518"/>
        <v>2895807.8170600096</v>
      </c>
      <c r="V1011" s="171">
        <f t="shared" si="531"/>
        <v>0</v>
      </c>
      <c r="W1011" s="171" t="str">
        <f>IF(OR(A1011&gt;=$C$13,B1011="Retired"),IF(V1011&gt;0,-V1011,U1011-'Model Inputs'!$B$18),"")</f>
        <v/>
      </c>
      <c r="X1011" s="171">
        <f t="shared" si="519"/>
        <v>0</v>
      </c>
      <c r="Y1011" s="171">
        <f t="shared" si="520"/>
        <v>0</v>
      </c>
      <c r="Z1011" s="171">
        <f t="shared" si="521"/>
        <v>0</v>
      </c>
      <c r="AA1011" s="172">
        <f t="shared" si="522"/>
        <v>2895807.8170600096</v>
      </c>
      <c r="AB1011" s="5"/>
      <c r="AC1011" s="5"/>
      <c r="AD1011" s="5"/>
      <c r="AE1011" s="5"/>
      <c r="AF1011" s="5"/>
      <c r="AG1011" s="5"/>
    </row>
    <row r="1012" spans="1:33" x14ac:dyDescent="0.2">
      <c r="A1012" s="173">
        <v>8</v>
      </c>
      <c r="B1012" s="65" t="str">
        <f t="shared" si="508"/>
        <v>Working</v>
      </c>
      <c r="C1012" s="174">
        <f t="shared" si="509"/>
        <v>1872205.6657868917</v>
      </c>
      <c r="D1012" s="174">
        <f t="shared" si="510"/>
        <v>944047.5629454148</v>
      </c>
      <c r="E1012" s="174">
        <f t="shared" si="511"/>
        <v>98389.909233989601</v>
      </c>
      <c r="F1012" s="174">
        <f t="shared" si="512"/>
        <v>61493.693271243501</v>
      </c>
      <c r="G1012" s="171">
        <f t="shared" si="513"/>
        <v>0</v>
      </c>
      <c r="H1012" s="171">
        <f t="shared" si="514"/>
        <v>0</v>
      </c>
      <c r="I1012" s="171">
        <f>IF(B1012="Working",MIN(MAX(D1012-E1012-F1012-G1012-H1012,0),'Tax Assumptions'!$B$20),0)</f>
        <v>7500</v>
      </c>
      <c r="J1012" s="171">
        <f t="shared" si="515"/>
        <v>776663.96044018166</v>
      </c>
      <c r="K1012" s="174">
        <f t="shared" si="516"/>
        <v>0</v>
      </c>
      <c r="L1012" s="174">
        <f t="shared" si="517"/>
        <v>0</v>
      </c>
      <c r="M1012" s="174">
        <f t="shared" si="523"/>
        <v>0</v>
      </c>
      <c r="N1012" s="174">
        <f t="shared" si="524"/>
        <v>0</v>
      </c>
      <c r="O1012" s="174">
        <f t="shared" si="525"/>
        <v>0</v>
      </c>
      <c r="P1012" s="174">
        <f t="shared" si="526"/>
        <v>0</v>
      </c>
      <c r="Q1012" s="171">
        <f t="shared" si="527"/>
        <v>3561501.2734406763</v>
      </c>
      <c r="R1012" s="171">
        <f t="shared" si="528"/>
        <v>242487.9637667604</v>
      </c>
      <c r="S1012" s="171">
        <f t="shared" si="529"/>
        <v>74231.009316355208</v>
      </c>
      <c r="T1012" s="171">
        <f t="shared" si="530"/>
        <v>0</v>
      </c>
      <c r="U1012" s="171">
        <f t="shared" si="518"/>
        <v>3878220.2465237915</v>
      </c>
      <c r="V1012" s="171">
        <f t="shared" si="531"/>
        <v>0</v>
      </c>
      <c r="W1012" s="171" t="str">
        <f>IF(OR(A1012&gt;=$C$13,B1012="Retired"),IF(V1012&gt;0,-V1012,U1012-'Model Inputs'!$B$18),"")</f>
        <v/>
      </c>
      <c r="X1012" s="171">
        <f t="shared" si="519"/>
        <v>0</v>
      </c>
      <c r="Y1012" s="171">
        <f t="shared" si="520"/>
        <v>0</v>
      </c>
      <c r="Z1012" s="171">
        <f t="shared" si="521"/>
        <v>0</v>
      </c>
      <c r="AA1012" s="175">
        <f t="shared" si="522"/>
        <v>3878220.2465237915</v>
      </c>
      <c r="AB1012" s="5"/>
      <c r="AC1012" s="5"/>
      <c r="AD1012" s="5"/>
      <c r="AE1012" s="5"/>
      <c r="AF1012" s="5"/>
      <c r="AG1012" s="5"/>
    </row>
    <row r="1013" spans="1:33" x14ac:dyDescent="0.2">
      <c r="A1013" s="169">
        <v>9</v>
      </c>
      <c r="B1013" s="100" t="str">
        <f t="shared" si="508"/>
        <v>Working</v>
      </c>
      <c r="C1013" s="170">
        <f t="shared" si="509"/>
        <v>2033969.9666232408</v>
      </c>
      <c r="D1013" s="170">
        <f t="shared" si="510"/>
        <v>1020277.372071536</v>
      </c>
      <c r="E1013" s="170">
        <f t="shared" si="511"/>
        <v>101341.60651100927</v>
      </c>
      <c r="F1013" s="170">
        <f t="shared" si="512"/>
        <v>63338.504069380797</v>
      </c>
      <c r="G1013" s="171">
        <f t="shared" si="513"/>
        <v>0</v>
      </c>
      <c r="H1013" s="171">
        <f t="shared" si="514"/>
        <v>0</v>
      </c>
      <c r="I1013" s="171">
        <f>IF(B1013="Working",MIN(MAX(D1013-E1013-F1013-G1013-H1013,0),'Tax Assumptions'!$B$20),0)</f>
        <v>7500</v>
      </c>
      <c r="J1013" s="171">
        <f t="shared" si="515"/>
        <v>848097.26149114594</v>
      </c>
      <c r="K1013" s="170">
        <f t="shared" si="516"/>
        <v>0</v>
      </c>
      <c r="L1013" s="170">
        <f t="shared" si="517"/>
        <v>0</v>
      </c>
      <c r="M1013" s="170">
        <f t="shared" si="523"/>
        <v>0</v>
      </c>
      <c r="N1013" s="170">
        <f t="shared" si="524"/>
        <v>0</v>
      </c>
      <c r="O1013" s="170">
        <f t="shared" si="525"/>
        <v>0</v>
      </c>
      <c r="P1013" s="170">
        <f t="shared" si="526"/>
        <v>0</v>
      </c>
      <c r="Q1013" s="171">
        <f t="shared" si="527"/>
        <v>4623288.6113382634</v>
      </c>
      <c r="R1013" s="171">
        <f t="shared" si="528"/>
        <v>281537.24159276602</v>
      </c>
      <c r="S1013" s="171">
        <f t="shared" si="529"/>
        <v>86184.869875336532</v>
      </c>
      <c r="T1013" s="171">
        <f t="shared" si="530"/>
        <v>0</v>
      </c>
      <c r="U1013" s="171">
        <f t="shared" si="518"/>
        <v>4991010.7228063662</v>
      </c>
      <c r="V1013" s="171">
        <f t="shared" si="531"/>
        <v>0</v>
      </c>
      <c r="W1013" s="171" t="str">
        <f>IF(OR(A1013&gt;=$C$13,B1013="Retired"),IF(V1013&gt;0,-V1013,U1013-'Model Inputs'!$B$18),"")</f>
        <v/>
      </c>
      <c r="X1013" s="171">
        <f t="shared" si="519"/>
        <v>0</v>
      </c>
      <c r="Y1013" s="171">
        <f t="shared" si="520"/>
        <v>0</v>
      </c>
      <c r="Z1013" s="171">
        <f t="shared" si="521"/>
        <v>0</v>
      </c>
      <c r="AA1013" s="172">
        <f t="shared" si="522"/>
        <v>4991010.7228063662</v>
      </c>
      <c r="AB1013" s="5"/>
      <c r="AC1013" s="5"/>
      <c r="AD1013" s="5"/>
      <c r="AE1013" s="5"/>
      <c r="AF1013" s="5"/>
      <c r="AG1013" s="5"/>
    </row>
    <row r="1014" spans="1:33" x14ac:dyDescent="0.2">
      <c r="A1014" s="173">
        <v>10</v>
      </c>
      <c r="B1014" s="65" t="str">
        <f t="shared" si="508"/>
        <v>Working</v>
      </c>
      <c r="C1014" s="174">
        <f t="shared" si="509"/>
        <v>2595495.7626410057</v>
      </c>
      <c r="D1014" s="174">
        <f t="shared" si="510"/>
        <v>1284890.7881869476</v>
      </c>
      <c r="E1014" s="174">
        <f t="shared" si="511"/>
        <v>104381.85470633955</v>
      </c>
      <c r="F1014" s="174">
        <f t="shared" si="512"/>
        <v>65238.659191462226</v>
      </c>
      <c r="G1014" s="171">
        <f t="shared" si="513"/>
        <v>963402.34400279156</v>
      </c>
      <c r="H1014" s="171">
        <f t="shared" si="514"/>
        <v>129230.76923076923</v>
      </c>
      <c r="I1014" s="171">
        <f>IF(B1014="Working",MIN(MAX(D1014-E1014-F1014-G1014-H1014,0),'Tax Assumptions'!$B$20),0)</f>
        <v>7500</v>
      </c>
      <c r="J1014" s="171">
        <f t="shared" si="515"/>
        <v>15137.161055585035</v>
      </c>
      <c r="K1014" s="174">
        <f t="shared" si="516"/>
        <v>0</v>
      </c>
      <c r="L1014" s="174">
        <f t="shared" si="517"/>
        <v>0</v>
      </c>
      <c r="M1014" s="174">
        <f t="shared" si="523"/>
        <v>0</v>
      </c>
      <c r="N1014" s="174">
        <f t="shared" si="524"/>
        <v>0</v>
      </c>
      <c r="O1014" s="174">
        <f t="shared" si="525"/>
        <v>0</v>
      </c>
      <c r="P1014" s="174">
        <f t="shared" si="526"/>
        <v>0</v>
      </c>
      <c r="Q1014" s="171">
        <f t="shared" si="527"/>
        <v>4915823.0890741451</v>
      </c>
      <c r="R1014" s="171">
        <f t="shared" si="528"/>
        <v>322929.47608833201</v>
      </c>
      <c r="S1014" s="171">
        <f t="shared" si="529"/>
        <v>98855.96206785673</v>
      </c>
      <c r="T1014" s="171">
        <f t="shared" si="530"/>
        <v>0</v>
      </c>
      <c r="U1014" s="171">
        <f t="shared" si="518"/>
        <v>5337608.5272303335</v>
      </c>
      <c r="V1014" s="171">
        <f t="shared" si="531"/>
        <v>0</v>
      </c>
      <c r="W1014" s="171">
        <f>IF(OR(A1014&gt;=$C$13,B1014="Retired"),IF(V1014&gt;0,-V1014,U1014-'Model Inputs'!$B$18),"")</f>
        <v>4337608.5272303335</v>
      </c>
      <c r="X1014" s="171">
        <f t="shared" si="519"/>
        <v>2028215.4610585084</v>
      </c>
      <c r="Y1014" s="171">
        <f t="shared" si="520"/>
        <v>1103050.0691566805</v>
      </c>
      <c r="Z1014" s="171">
        <f t="shared" si="521"/>
        <v>925165.39190182788</v>
      </c>
      <c r="AA1014" s="175">
        <f t="shared" si="522"/>
        <v>6262773.9191321619</v>
      </c>
      <c r="AB1014" s="5"/>
      <c r="AC1014" s="5"/>
      <c r="AD1014" s="5"/>
      <c r="AE1014" s="5"/>
      <c r="AF1014" s="5"/>
      <c r="AG1014" s="5"/>
    </row>
    <row r="1015" spans="1:33" x14ac:dyDescent="0.2">
      <c r="A1015" s="169">
        <v>11</v>
      </c>
      <c r="B1015" s="100" t="str">
        <f t="shared" si="508"/>
        <v>Retired</v>
      </c>
      <c r="C1015" s="170">
        <f t="shared" si="509"/>
        <v>0</v>
      </c>
      <c r="D1015" s="170">
        <f t="shared" si="510"/>
        <v>0</v>
      </c>
      <c r="E1015" s="170">
        <f t="shared" si="511"/>
        <v>0</v>
      </c>
      <c r="F1015" s="170">
        <f t="shared" si="512"/>
        <v>0</v>
      </c>
      <c r="G1015" s="171">
        <f t="shared" si="513"/>
        <v>0</v>
      </c>
      <c r="H1015" s="171">
        <f t="shared" si="514"/>
        <v>130569.39143506784</v>
      </c>
      <c r="I1015" s="171">
        <f>IF(B1015="Working",MIN(MAX(D1015-E1015-F1015-G1015-H1015,0),'Tax Assumptions'!$B$20),0)</f>
        <v>0</v>
      </c>
      <c r="J1015" s="171">
        <f t="shared" si="515"/>
        <v>-330569.39143506787</v>
      </c>
      <c r="K1015" s="170">
        <f t="shared" si="516"/>
        <v>330569.39143506787</v>
      </c>
      <c r="L1015" s="170">
        <f t="shared" si="517"/>
        <v>330569.39143506787</v>
      </c>
      <c r="M1015" s="170">
        <f t="shared" si="523"/>
        <v>330569.39143506787</v>
      </c>
      <c r="N1015" s="170">
        <f t="shared" si="524"/>
        <v>0</v>
      </c>
      <c r="O1015" s="170">
        <f t="shared" si="525"/>
        <v>0</v>
      </c>
      <c r="P1015" s="170">
        <f t="shared" si="526"/>
        <v>0</v>
      </c>
      <c r="Q1015" s="171">
        <f t="shared" si="527"/>
        <v>4880203.0829835264</v>
      </c>
      <c r="R1015" s="171">
        <f t="shared" si="528"/>
        <v>342305.24465363193</v>
      </c>
      <c r="S1015" s="171">
        <f t="shared" si="529"/>
        <v>104787.31979192814</v>
      </c>
      <c r="T1015" s="171">
        <f t="shared" si="530"/>
        <v>0</v>
      </c>
      <c r="U1015" s="171">
        <f t="shared" si="518"/>
        <v>5327295.6474290863</v>
      </c>
      <c r="V1015" s="171">
        <f t="shared" si="531"/>
        <v>0</v>
      </c>
      <c r="W1015" s="171">
        <f>IF(OR(A1015&gt;=$C$13,B1015="Retired"),IF(V1015&gt;0,-V1015,U1015-'Model Inputs'!$B$18),"")</f>
        <v>4327295.6474290863</v>
      </c>
      <c r="X1015" s="171">
        <f t="shared" si="519"/>
        <v>2089061.9248902637</v>
      </c>
      <c r="Y1015" s="171">
        <f t="shared" si="520"/>
        <v>1089746.6005861333</v>
      </c>
      <c r="Z1015" s="171">
        <f t="shared" si="521"/>
        <v>999315.32430413039</v>
      </c>
      <c r="AA1015" s="172">
        <f t="shared" si="522"/>
        <v>6326610.9717332162</v>
      </c>
      <c r="AB1015" s="5"/>
      <c r="AC1015" s="5"/>
      <c r="AD1015" s="5"/>
      <c r="AE1015" s="5"/>
      <c r="AF1015" s="5"/>
      <c r="AG1015" s="5"/>
    </row>
    <row r="1016" spans="1:33" x14ac:dyDescent="0.2">
      <c r="A1016" s="173">
        <v>12</v>
      </c>
      <c r="B1016" s="65" t="str">
        <f t="shared" si="508"/>
        <v>Retired</v>
      </c>
      <c r="C1016" s="174">
        <f t="shared" si="509"/>
        <v>0</v>
      </c>
      <c r="D1016" s="174">
        <f t="shared" si="510"/>
        <v>0</v>
      </c>
      <c r="E1016" s="174">
        <f t="shared" si="511"/>
        <v>0</v>
      </c>
      <c r="F1016" s="174">
        <f t="shared" si="512"/>
        <v>0</v>
      </c>
      <c r="G1016" s="171">
        <f t="shared" si="513"/>
        <v>0</v>
      </c>
      <c r="H1016" s="171">
        <f t="shared" si="514"/>
        <v>131948.17230549542</v>
      </c>
      <c r="I1016" s="171">
        <f>IF(B1016="Working",MIN(MAX(D1016-E1016-F1016-G1016-H1016,0),'Tax Assumptions'!$B$20),0)</f>
        <v>0</v>
      </c>
      <c r="J1016" s="171">
        <f t="shared" si="515"/>
        <v>-331948.17230549542</v>
      </c>
      <c r="K1016" s="174">
        <f t="shared" si="516"/>
        <v>331948.17230549542</v>
      </c>
      <c r="L1016" s="174">
        <f t="shared" si="517"/>
        <v>331948.17230549542</v>
      </c>
      <c r="M1016" s="174">
        <f t="shared" si="523"/>
        <v>331948.17230549542</v>
      </c>
      <c r="N1016" s="174">
        <f t="shared" si="524"/>
        <v>0</v>
      </c>
      <c r="O1016" s="174">
        <f t="shared" si="525"/>
        <v>0</v>
      </c>
      <c r="P1016" s="174">
        <f t="shared" si="526"/>
        <v>0</v>
      </c>
      <c r="Q1016" s="171">
        <f t="shared" si="527"/>
        <v>4841067.0956570432</v>
      </c>
      <c r="R1016" s="171">
        <f t="shared" si="528"/>
        <v>362843.55933284987</v>
      </c>
      <c r="S1016" s="171">
        <f t="shared" si="529"/>
        <v>111074.55897944383</v>
      </c>
      <c r="T1016" s="171">
        <f t="shared" si="530"/>
        <v>0</v>
      </c>
      <c r="U1016" s="171">
        <f t="shared" si="518"/>
        <v>5314985.2139693368</v>
      </c>
      <c r="V1016" s="171">
        <f t="shared" si="531"/>
        <v>0</v>
      </c>
      <c r="W1016" s="171">
        <f>IF(OR(A1016&gt;=$C$13,B1016="Retired"),IF(V1016&gt;0,-V1016,U1016-'Model Inputs'!$B$18),"")</f>
        <v>4314985.2139693368</v>
      </c>
      <c r="X1016" s="171">
        <f t="shared" si="519"/>
        <v>2151733.7826369712</v>
      </c>
      <c r="Y1016" s="171">
        <f t="shared" si="520"/>
        <v>1075552.1740873591</v>
      </c>
      <c r="Z1016" s="171">
        <f t="shared" si="521"/>
        <v>1076181.6085496121</v>
      </c>
      <c r="AA1016" s="175">
        <f t="shared" si="522"/>
        <v>6391166.8225189485</v>
      </c>
      <c r="AB1016" s="5"/>
      <c r="AC1016" s="5"/>
      <c r="AD1016" s="5"/>
      <c r="AE1016" s="5"/>
      <c r="AF1016" s="5"/>
      <c r="AG1016" s="5"/>
    </row>
    <row r="1017" spans="1:33" x14ac:dyDescent="0.2">
      <c r="A1017" s="169">
        <v>13</v>
      </c>
      <c r="B1017" s="100" t="str">
        <f t="shared" si="508"/>
        <v>Retired</v>
      </c>
      <c r="C1017" s="170">
        <f t="shared" si="509"/>
        <v>0</v>
      </c>
      <c r="D1017" s="170">
        <f t="shared" si="510"/>
        <v>0</v>
      </c>
      <c r="E1017" s="170">
        <f t="shared" si="511"/>
        <v>0</v>
      </c>
      <c r="F1017" s="170">
        <f t="shared" si="512"/>
        <v>0</v>
      </c>
      <c r="G1017" s="171">
        <f t="shared" si="513"/>
        <v>0</v>
      </c>
      <c r="H1017" s="171">
        <f t="shared" si="514"/>
        <v>133368.31660203583</v>
      </c>
      <c r="I1017" s="171">
        <f>IF(B1017="Working",MIN(MAX(D1017-E1017-F1017-G1017-H1017,0),'Tax Assumptions'!$B$20),0)</f>
        <v>0</v>
      </c>
      <c r="J1017" s="171">
        <f t="shared" si="515"/>
        <v>-333368.31660203583</v>
      </c>
      <c r="K1017" s="170">
        <f t="shared" si="516"/>
        <v>333368.31660203583</v>
      </c>
      <c r="L1017" s="170">
        <f t="shared" si="517"/>
        <v>333368.31660203583</v>
      </c>
      <c r="M1017" s="170">
        <f t="shared" si="523"/>
        <v>333368.31660203583</v>
      </c>
      <c r="N1017" s="170">
        <f t="shared" si="524"/>
        <v>0</v>
      </c>
      <c r="O1017" s="170">
        <f t="shared" si="525"/>
        <v>0</v>
      </c>
      <c r="P1017" s="170">
        <f t="shared" si="526"/>
        <v>0</v>
      </c>
      <c r="Q1017" s="171">
        <f t="shared" si="527"/>
        <v>4798162.8047944307</v>
      </c>
      <c r="R1017" s="171">
        <f t="shared" si="528"/>
        <v>384614.1728928209</v>
      </c>
      <c r="S1017" s="171">
        <f t="shared" si="529"/>
        <v>117739.03251821046</v>
      </c>
      <c r="T1017" s="171">
        <f t="shared" si="530"/>
        <v>0</v>
      </c>
      <c r="U1017" s="171">
        <f t="shared" si="518"/>
        <v>5300516.0102054626</v>
      </c>
      <c r="V1017" s="171">
        <f t="shared" si="531"/>
        <v>0</v>
      </c>
      <c r="W1017" s="171">
        <f>IF(OR(A1017&gt;=$C$13,B1017="Retired"),IF(V1017&gt;0,-V1017,U1017-'Model Inputs'!$B$18),"")</f>
        <v>4300516.0102054626</v>
      </c>
      <c r="X1017" s="171">
        <f t="shared" si="519"/>
        <v>2216285.7961160806</v>
      </c>
      <c r="Y1017" s="171">
        <f t="shared" si="520"/>
        <v>1060407.1205578479</v>
      </c>
      <c r="Z1017" s="171">
        <f t="shared" si="521"/>
        <v>1155878.6755582327</v>
      </c>
      <c r="AA1017" s="172">
        <f t="shared" si="522"/>
        <v>6456394.6857636953</v>
      </c>
      <c r="AB1017" s="5"/>
      <c r="AC1017" s="5"/>
      <c r="AD1017" s="5"/>
      <c r="AE1017" s="5"/>
      <c r="AF1017" s="5"/>
      <c r="AG1017" s="5"/>
    </row>
    <row r="1018" spans="1:33" x14ac:dyDescent="0.2">
      <c r="A1018" s="173">
        <v>14</v>
      </c>
      <c r="B1018" s="65" t="str">
        <f t="shared" si="508"/>
        <v>Retired</v>
      </c>
      <c r="C1018" s="174">
        <f t="shared" si="509"/>
        <v>0</v>
      </c>
      <c r="D1018" s="174">
        <f t="shared" si="510"/>
        <v>0</v>
      </c>
      <c r="E1018" s="174">
        <f t="shared" si="511"/>
        <v>0</v>
      </c>
      <c r="F1018" s="174">
        <f t="shared" si="512"/>
        <v>0</v>
      </c>
      <c r="G1018" s="171">
        <f t="shared" si="513"/>
        <v>0</v>
      </c>
      <c r="H1018" s="171">
        <f t="shared" si="514"/>
        <v>134831.06522747243</v>
      </c>
      <c r="I1018" s="171">
        <f>IF(B1018="Working",MIN(MAX(D1018-E1018-F1018-G1018-H1018,0),'Tax Assumptions'!$B$20),0)</f>
        <v>0</v>
      </c>
      <c r="J1018" s="171">
        <f t="shared" si="515"/>
        <v>-334831.06522747246</v>
      </c>
      <c r="K1018" s="174">
        <f t="shared" si="516"/>
        <v>334831.06522747246</v>
      </c>
      <c r="L1018" s="174">
        <f t="shared" si="517"/>
        <v>334831.06522747246</v>
      </c>
      <c r="M1018" s="174">
        <f t="shared" si="523"/>
        <v>334831.06522747246</v>
      </c>
      <c r="N1018" s="174">
        <f t="shared" si="524"/>
        <v>0</v>
      </c>
      <c r="O1018" s="174">
        <f t="shared" si="525"/>
        <v>0</v>
      </c>
      <c r="P1018" s="174">
        <f t="shared" si="526"/>
        <v>0</v>
      </c>
      <c r="Q1018" s="171">
        <f t="shared" si="527"/>
        <v>4751221.5078546247</v>
      </c>
      <c r="R1018" s="171">
        <f t="shared" si="528"/>
        <v>407691.0232663902</v>
      </c>
      <c r="S1018" s="171">
        <f t="shared" si="529"/>
        <v>124803.37446930309</v>
      </c>
      <c r="T1018" s="171">
        <f t="shared" si="530"/>
        <v>0</v>
      </c>
      <c r="U1018" s="171">
        <f t="shared" si="518"/>
        <v>5283715.9055903181</v>
      </c>
      <c r="V1018" s="171">
        <f t="shared" si="531"/>
        <v>0</v>
      </c>
      <c r="W1018" s="171">
        <f>IF(OR(A1018&gt;=$C$13,B1018="Retired"),IF(V1018&gt;0,-V1018,U1018-'Model Inputs'!$B$18),"")</f>
        <v>4283715.9055903181</v>
      </c>
      <c r="X1018" s="171">
        <f t="shared" si="519"/>
        <v>2282774.3699995629</v>
      </c>
      <c r="Y1018" s="171">
        <f t="shared" si="520"/>
        <v>1044247.7747447877</v>
      </c>
      <c r="Z1018" s="171">
        <f t="shared" si="521"/>
        <v>1238526.5952547751</v>
      </c>
      <c r="AA1018" s="175">
        <f t="shared" si="522"/>
        <v>6522242.5008450933</v>
      </c>
      <c r="AB1018" s="5"/>
      <c r="AC1018" s="5"/>
      <c r="AD1018" s="5"/>
      <c r="AE1018" s="5"/>
      <c r="AF1018" s="5"/>
      <c r="AG1018" s="5"/>
    </row>
    <row r="1019" spans="1:33" x14ac:dyDescent="0.2">
      <c r="A1019" s="169">
        <v>15</v>
      </c>
      <c r="B1019" s="100" t="str">
        <f t="shared" si="508"/>
        <v>Retired</v>
      </c>
      <c r="C1019" s="170">
        <f t="shared" si="509"/>
        <v>0</v>
      </c>
      <c r="D1019" s="170">
        <f t="shared" si="510"/>
        <v>0</v>
      </c>
      <c r="E1019" s="170">
        <f t="shared" si="511"/>
        <v>0</v>
      </c>
      <c r="F1019" s="170">
        <f t="shared" si="512"/>
        <v>0</v>
      </c>
      <c r="G1019" s="171">
        <f t="shared" si="513"/>
        <v>0</v>
      </c>
      <c r="H1019" s="171">
        <f t="shared" si="514"/>
        <v>136337.69631167216</v>
      </c>
      <c r="I1019" s="171">
        <f>IF(B1019="Working",MIN(MAX(D1019-E1019-F1019-G1019-H1019,0),'Tax Assumptions'!$B$20),0)</f>
        <v>0</v>
      </c>
      <c r="J1019" s="171">
        <f t="shared" si="515"/>
        <v>-336337.69631167216</v>
      </c>
      <c r="K1019" s="170">
        <f t="shared" si="516"/>
        <v>336337.69631167216</v>
      </c>
      <c r="L1019" s="170">
        <f t="shared" si="517"/>
        <v>336337.69631167216</v>
      </c>
      <c r="M1019" s="170">
        <f t="shared" si="523"/>
        <v>336337.69631167216</v>
      </c>
      <c r="N1019" s="170">
        <f t="shared" si="524"/>
        <v>0</v>
      </c>
      <c r="O1019" s="170">
        <f t="shared" si="525"/>
        <v>0</v>
      </c>
      <c r="P1019" s="170">
        <f t="shared" si="526"/>
        <v>0</v>
      </c>
      <c r="Q1019" s="171">
        <f t="shared" si="527"/>
        <v>4699957.1020142306</v>
      </c>
      <c r="R1019" s="171">
        <f t="shared" si="528"/>
        <v>432152.48466237361</v>
      </c>
      <c r="S1019" s="171">
        <f t="shared" si="529"/>
        <v>132291.57693746127</v>
      </c>
      <c r="T1019" s="171">
        <f t="shared" si="530"/>
        <v>0</v>
      </c>
      <c r="U1019" s="171">
        <f t="shared" si="518"/>
        <v>5264401.1636140654</v>
      </c>
      <c r="V1019" s="171">
        <f t="shared" si="531"/>
        <v>0</v>
      </c>
      <c r="W1019" s="171">
        <f>IF(OR(A1019&gt;=$C$13,B1019="Retired"),IF(V1019&gt;0,-V1019,U1019-'Model Inputs'!$B$18),"")</f>
        <v>4264401.1636140654</v>
      </c>
      <c r="X1019" s="171">
        <f t="shared" si="519"/>
        <v>2351257.6010995498</v>
      </c>
      <c r="Y1019" s="171">
        <f t="shared" si="520"/>
        <v>1027006.2076154774</v>
      </c>
      <c r="Z1019" s="171">
        <f t="shared" si="521"/>
        <v>1324251.3934840723</v>
      </c>
      <c r="AA1019" s="172">
        <f t="shared" si="522"/>
        <v>6588652.5570981372</v>
      </c>
      <c r="AB1019" s="5"/>
      <c r="AC1019" s="5"/>
      <c r="AD1019" s="5"/>
      <c r="AE1019" s="5"/>
      <c r="AF1019" s="5"/>
      <c r="AG1019" s="5"/>
    </row>
    <row r="1020" spans="1:33" x14ac:dyDescent="0.2">
      <c r="A1020" s="173">
        <v>16</v>
      </c>
      <c r="B1020" s="65" t="str">
        <f t="shared" si="508"/>
        <v>Retired</v>
      </c>
      <c r="C1020" s="174">
        <f t="shared" si="509"/>
        <v>0</v>
      </c>
      <c r="D1020" s="174">
        <f t="shared" si="510"/>
        <v>0</v>
      </c>
      <c r="E1020" s="174">
        <f t="shared" si="511"/>
        <v>0</v>
      </c>
      <c r="F1020" s="174">
        <f t="shared" si="512"/>
        <v>0</v>
      </c>
      <c r="G1020" s="171">
        <f t="shared" si="513"/>
        <v>0</v>
      </c>
      <c r="H1020" s="171">
        <f t="shared" si="514"/>
        <v>137889.52632839786</v>
      </c>
      <c r="I1020" s="171">
        <f>IF(B1020="Working",MIN(MAX(D1020-E1020-F1020-G1020-H1020,0),'Tax Assumptions'!$B$20),0)</f>
        <v>0</v>
      </c>
      <c r="J1020" s="171">
        <f t="shared" si="515"/>
        <v>-337889.52632839786</v>
      </c>
      <c r="K1020" s="174">
        <f t="shared" si="516"/>
        <v>337889.52632839786</v>
      </c>
      <c r="L1020" s="174">
        <f t="shared" si="517"/>
        <v>337889.52632839786</v>
      </c>
      <c r="M1020" s="174">
        <f t="shared" si="523"/>
        <v>337889.52632839786</v>
      </c>
      <c r="N1020" s="174">
        <f t="shared" si="524"/>
        <v>0</v>
      </c>
      <c r="O1020" s="174">
        <f t="shared" si="525"/>
        <v>0</v>
      </c>
      <c r="P1020" s="174">
        <f t="shared" si="526"/>
        <v>0</v>
      </c>
      <c r="Q1020" s="171">
        <f t="shared" si="527"/>
        <v>4644065.0018066866</v>
      </c>
      <c r="R1020" s="171">
        <f t="shared" si="528"/>
        <v>458081.63374211604</v>
      </c>
      <c r="S1020" s="171">
        <f t="shared" si="529"/>
        <v>140229.07155370896</v>
      </c>
      <c r="T1020" s="171">
        <f t="shared" si="530"/>
        <v>0</v>
      </c>
      <c r="U1020" s="171">
        <f t="shared" si="518"/>
        <v>5242375.707102512</v>
      </c>
      <c r="V1020" s="171">
        <f t="shared" si="531"/>
        <v>0</v>
      </c>
      <c r="W1020" s="171">
        <f>IF(OR(A1020&gt;=$C$13,B1020="Retired"),IF(V1020&gt;0,-V1020,U1020-'Model Inputs'!$B$18),"")</f>
        <v>4242375.707102512</v>
      </c>
      <c r="X1020" s="171">
        <f t="shared" si="519"/>
        <v>2421795.3291325364</v>
      </c>
      <c r="Y1020" s="171">
        <f t="shared" si="520"/>
        <v>1008609.9408040908</v>
      </c>
      <c r="Z1020" s="171">
        <f t="shared" si="521"/>
        <v>1413185.3883284456</v>
      </c>
      <c r="AA1020" s="175">
        <f t="shared" si="522"/>
        <v>6655561.0954309572</v>
      </c>
      <c r="AB1020" s="5"/>
      <c r="AC1020" s="5"/>
      <c r="AD1020" s="5"/>
      <c r="AE1020" s="5"/>
      <c r="AF1020" s="5"/>
      <c r="AG1020" s="5"/>
    </row>
    <row r="1021" spans="1:33" x14ac:dyDescent="0.2">
      <c r="A1021" s="169">
        <v>17</v>
      </c>
      <c r="B1021" s="100" t="str">
        <f t="shared" si="508"/>
        <v>Retired</v>
      </c>
      <c r="C1021" s="170">
        <f t="shared" si="509"/>
        <v>0</v>
      </c>
      <c r="D1021" s="170">
        <f t="shared" si="510"/>
        <v>0</v>
      </c>
      <c r="E1021" s="170">
        <f t="shared" si="511"/>
        <v>0</v>
      </c>
      <c r="F1021" s="170">
        <f t="shared" si="512"/>
        <v>0</v>
      </c>
      <c r="G1021" s="171">
        <f t="shared" si="513"/>
        <v>0</v>
      </c>
      <c r="H1021" s="171">
        <f t="shared" si="514"/>
        <v>139487.91124562532</v>
      </c>
      <c r="I1021" s="171">
        <f>IF(B1021="Working",MIN(MAX(D1021-E1021-F1021-G1021-H1021,0),'Tax Assumptions'!$B$20),0)</f>
        <v>0</v>
      </c>
      <c r="J1021" s="171">
        <f t="shared" si="515"/>
        <v>-339487.91124562535</v>
      </c>
      <c r="K1021" s="170">
        <f t="shared" si="516"/>
        <v>339487.91124562535</v>
      </c>
      <c r="L1021" s="170">
        <f t="shared" si="517"/>
        <v>339487.91124562535</v>
      </c>
      <c r="M1021" s="170">
        <f t="shared" si="523"/>
        <v>339487.91124562535</v>
      </c>
      <c r="N1021" s="170">
        <f t="shared" si="524"/>
        <v>0</v>
      </c>
      <c r="O1021" s="170">
        <f t="shared" si="525"/>
        <v>0</v>
      </c>
      <c r="P1021" s="170">
        <f t="shared" si="526"/>
        <v>0</v>
      </c>
      <c r="Q1021" s="171">
        <f t="shared" si="527"/>
        <v>4583220.9906694628</v>
      </c>
      <c r="R1021" s="171">
        <f t="shared" si="528"/>
        <v>485566.53176664305</v>
      </c>
      <c r="S1021" s="171">
        <f t="shared" si="529"/>
        <v>148642.81584693151</v>
      </c>
      <c r="T1021" s="171">
        <f t="shared" si="530"/>
        <v>0</v>
      </c>
      <c r="U1021" s="171">
        <f t="shared" si="518"/>
        <v>5217430.3382830368</v>
      </c>
      <c r="V1021" s="171">
        <f t="shared" si="531"/>
        <v>0</v>
      </c>
      <c r="W1021" s="171">
        <f>IF(OR(A1021&gt;=$C$13,B1021="Retired"),IF(V1021&gt;0,-V1021,U1021-'Model Inputs'!$B$18),"")</f>
        <v>4217430.3382830368</v>
      </c>
      <c r="X1021" s="171">
        <f t="shared" si="519"/>
        <v>2494449.1890065125</v>
      </c>
      <c r="Y1021" s="171">
        <f t="shared" si="520"/>
        <v>988981.641934413</v>
      </c>
      <c r="Z1021" s="171">
        <f t="shared" si="521"/>
        <v>1505467.5470720995</v>
      </c>
      <c r="AA1021" s="172">
        <f t="shared" si="522"/>
        <v>6722897.8853551364</v>
      </c>
      <c r="AB1021" s="5"/>
      <c r="AC1021" s="5"/>
      <c r="AD1021" s="5"/>
      <c r="AE1021" s="5"/>
      <c r="AF1021" s="5"/>
      <c r="AG1021" s="5"/>
    </row>
    <row r="1022" spans="1:33" x14ac:dyDescent="0.2">
      <c r="A1022" s="173">
        <v>18</v>
      </c>
      <c r="B1022" s="65" t="str">
        <f t="shared" si="508"/>
        <v>Retired</v>
      </c>
      <c r="C1022" s="174">
        <f t="shared" si="509"/>
        <v>0</v>
      </c>
      <c r="D1022" s="174">
        <f t="shared" si="510"/>
        <v>0</v>
      </c>
      <c r="E1022" s="174">
        <f t="shared" si="511"/>
        <v>0</v>
      </c>
      <c r="F1022" s="174">
        <f t="shared" si="512"/>
        <v>0</v>
      </c>
      <c r="G1022" s="171">
        <f t="shared" si="513"/>
        <v>0</v>
      </c>
      <c r="H1022" s="171">
        <f t="shared" si="514"/>
        <v>141134.24771036961</v>
      </c>
      <c r="I1022" s="171">
        <f>IF(B1022="Working",MIN(MAX(D1022-E1022-F1022-G1022-H1022,0),'Tax Assumptions'!$B$20),0)</f>
        <v>0</v>
      </c>
      <c r="J1022" s="171">
        <f t="shared" si="515"/>
        <v>-341134.24771036964</v>
      </c>
      <c r="K1022" s="174">
        <f t="shared" si="516"/>
        <v>341134.24771036964</v>
      </c>
      <c r="L1022" s="174">
        <f t="shared" si="517"/>
        <v>341134.24771036964</v>
      </c>
      <c r="M1022" s="174">
        <f t="shared" si="523"/>
        <v>341134.24771036964</v>
      </c>
      <c r="N1022" s="174">
        <f t="shared" si="524"/>
        <v>0</v>
      </c>
      <c r="O1022" s="174">
        <f t="shared" si="525"/>
        <v>0</v>
      </c>
      <c r="P1022" s="174">
        <f t="shared" si="526"/>
        <v>0</v>
      </c>
      <c r="Q1022" s="171">
        <f t="shared" si="527"/>
        <v>4517080.0023992611</v>
      </c>
      <c r="R1022" s="171">
        <f t="shared" si="528"/>
        <v>514700.52367264166</v>
      </c>
      <c r="S1022" s="171">
        <f t="shared" si="529"/>
        <v>157561.38479774742</v>
      </c>
      <c r="T1022" s="171">
        <f t="shared" si="530"/>
        <v>0</v>
      </c>
      <c r="U1022" s="171">
        <f t="shared" si="518"/>
        <v>5189341.9108696496</v>
      </c>
      <c r="V1022" s="171">
        <f t="shared" si="531"/>
        <v>0</v>
      </c>
      <c r="W1022" s="171">
        <f>IF(OR(A1022&gt;=$C$13,B1022="Retired"),IF(V1022&gt;0,-V1022,U1022-'Model Inputs'!$B$18),"")</f>
        <v>4189341.9108696496</v>
      </c>
      <c r="X1022" s="171">
        <f t="shared" si="519"/>
        <v>2569282.6646767077</v>
      </c>
      <c r="Y1022" s="171">
        <f t="shared" si="520"/>
        <v>968038.79953777313</v>
      </c>
      <c r="Z1022" s="171">
        <f t="shared" si="521"/>
        <v>1601243.8651389345</v>
      </c>
      <c r="AA1022" s="175">
        <f t="shared" si="522"/>
        <v>6790585.7760085836</v>
      </c>
      <c r="AB1022" s="5"/>
      <c r="AC1022" s="5"/>
      <c r="AD1022" s="5"/>
      <c r="AE1022" s="5"/>
      <c r="AF1022" s="5"/>
      <c r="AG1022" s="5"/>
    </row>
    <row r="1023" spans="1:33" x14ac:dyDescent="0.2">
      <c r="A1023" s="169">
        <v>19</v>
      </c>
      <c r="B1023" s="100" t="str">
        <f t="shared" si="508"/>
        <v>Retired</v>
      </c>
      <c r="C1023" s="170">
        <f t="shared" si="509"/>
        <v>0</v>
      </c>
      <c r="D1023" s="170">
        <f t="shared" si="510"/>
        <v>0</v>
      </c>
      <c r="E1023" s="170">
        <f t="shared" si="511"/>
        <v>0</v>
      </c>
      <c r="F1023" s="170">
        <f t="shared" si="512"/>
        <v>0</v>
      </c>
      <c r="G1023" s="171">
        <f t="shared" si="513"/>
        <v>0</v>
      </c>
      <c r="H1023" s="171">
        <f t="shared" si="514"/>
        <v>142829.97426905623</v>
      </c>
      <c r="I1023" s="171">
        <f>IF(B1023="Working",MIN(MAX(D1023-E1023-F1023-G1023-H1023,0),'Tax Assumptions'!$B$20),0)</f>
        <v>0</v>
      </c>
      <c r="J1023" s="171">
        <f t="shared" si="515"/>
        <v>-342829.97426905623</v>
      </c>
      <c r="K1023" s="170">
        <f t="shared" si="516"/>
        <v>342829.97426905623</v>
      </c>
      <c r="L1023" s="170">
        <f t="shared" si="517"/>
        <v>342829.97426905623</v>
      </c>
      <c r="M1023" s="170">
        <f t="shared" si="523"/>
        <v>342829.97426905623</v>
      </c>
      <c r="N1023" s="170">
        <f t="shared" si="524"/>
        <v>0</v>
      </c>
      <c r="O1023" s="170">
        <f t="shared" si="525"/>
        <v>0</v>
      </c>
      <c r="P1023" s="170">
        <f t="shared" si="526"/>
        <v>0</v>
      </c>
      <c r="Q1023" s="171">
        <f t="shared" si="527"/>
        <v>4445274.8282741606</v>
      </c>
      <c r="R1023" s="171">
        <f t="shared" si="528"/>
        <v>545582.55509300018</v>
      </c>
      <c r="S1023" s="171">
        <f t="shared" si="529"/>
        <v>167015.06788561228</v>
      </c>
      <c r="T1023" s="171">
        <f t="shared" si="530"/>
        <v>0</v>
      </c>
      <c r="U1023" s="171">
        <f t="shared" si="518"/>
        <v>5157872.4512527725</v>
      </c>
      <c r="V1023" s="171">
        <f t="shared" si="531"/>
        <v>0</v>
      </c>
      <c r="W1023" s="171">
        <f>IF(OR(A1023&gt;=$C$13,B1023="Retired"),IF(V1023&gt;0,-V1023,U1023-'Model Inputs'!$B$18),"")</f>
        <v>4157872.4512527725</v>
      </c>
      <c r="X1023" s="171">
        <f t="shared" si="519"/>
        <v>2646361.144617009</v>
      </c>
      <c r="Y1023" s="171">
        <f t="shared" si="520"/>
        <v>945693.37619963288</v>
      </c>
      <c r="Z1023" s="171">
        <f t="shared" si="521"/>
        <v>1700667.7684173761</v>
      </c>
      <c r="AA1023" s="172">
        <f t="shared" si="522"/>
        <v>6858540.2196701486</v>
      </c>
      <c r="AB1023" s="5"/>
      <c r="AC1023" s="5"/>
      <c r="AD1023" s="5"/>
      <c r="AE1023" s="5"/>
      <c r="AF1023" s="5"/>
      <c r="AG1023" s="5"/>
    </row>
    <row r="1024" spans="1:33" x14ac:dyDescent="0.2">
      <c r="A1024" s="173">
        <v>20</v>
      </c>
      <c r="B1024" s="65" t="str">
        <f t="shared" si="508"/>
        <v>Retired</v>
      </c>
      <c r="C1024" s="174">
        <f t="shared" si="509"/>
        <v>0</v>
      </c>
      <c r="D1024" s="174">
        <f t="shared" si="510"/>
        <v>0</v>
      </c>
      <c r="E1024" s="174">
        <f t="shared" si="511"/>
        <v>0</v>
      </c>
      <c r="F1024" s="174">
        <f t="shared" si="512"/>
        <v>0</v>
      </c>
      <c r="G1024" s="171">
        <f t="shared" si="513"/>
        <v>0</v>
      </c>
      <c r="H1024" s="171">
        <f t="shared" si="514"/>
        <v>144576.57262450346</v>
      </c>
      <c r="I1024" s="171">
        <f>IF(B1024="Working",MIN(MAX(D1024-E1024-F1024-G1024-H1024,0),'Tax Assumptions'!$B$20),0)</f>
        <v>0</v>
      </c>
      <c r="J1024" s="171">
        <f t="shared" si="515"/>
        <v>-344576.57262450346</v>
      </c>
      <c r="K1024" s="174">
        <f t="shared" si="516"/>
        <v>344576.57262450346</v>
      </c>
      <c r="L1024" s="174">
        <f t="shared" si="517"/>
        <v>344576.57262450346</v>
      </c>
      <c r="M1024" s="174">
        <f t="shared" si="523"/>
        <v>344576.57262450346</v>
      </c>
      <c r="N1024" s="174">
        <f t="shared" si="524"/>
        <v>0</v>
      </c>
      <c r="O1024" s="174">
        <f t="shared" si="525"/>
        <v>0</v>
      </c>
      <c r="P1024" s="174">
        <f t="shared" si="526"/>
        <v>0</v>
      </c>
      <c r="Q1024" s="171">
        <f t="shared" si="527"/>
        <v>4367414.7453461066</v>
      </c>
      <c r="R1024" s="171">
        <f t="shared" si="528"/>
        <v>578317.50839858025</v>
      </c>
      <c r="S1024" s="171">
        <f t="shared" si="529"/>
        <v>177035.97195874903</v>
      </c>
      <c r="T1024" s="171">
        <f t="shared" si="530"/>
        <v>0</v>
      </c>
      <c r="U1024" s="171">
        <f t="shared" si="518"/>
        <v>5122768.2257034359</v>
      </c>
      <c r="V1024" s="171">
        <f t="shared" si="531"/>
        <v>0</v>
      </c>
      <c r="W1024" s="171">
        <f>IF(OR(A1024&gt;=$C$13,B1024="Retired"),IF(V1024&gt;0,-V1024,U1024-'Model Inputs'!$B$18),"")</f>
        <v>4122768.2257034359</v>
      </c>
      <c r="X1024" s="171">
        <f t="shared" si="519"/>
        <v>2725751.9789555194</v>
      </c>
      <c r="Y1024" s="171">
        <f t="shared" si="520"/>
        <v>921851.43847675715</v>
      </c>
      <c r="Z1024" s="171">
        <f t="shared" si="521"/>
        <v>1803900.5404787622</v>
      </c>
      <c r="AA1024" s="175">
        <f t="shared" si="522"/>
        <v>6926668.7661821982</v>
      </c>
      <c r="AB1024" s="5"/>
      <c r="AC1024" s="5"/>
      <c r="AD1024" s="5"/>
      <c r="AE1024" s="5"/>
      <c r="AF1024" s="5"/>
      <c r="AG1024" s="5"/>
    </row>
    <row r="1025" spans="1:33" x14ac:dyDescent="0.2">
      <c r="A1025" s="169">
        <v>21</v>
      </c>
      <c r="B1025" s="100" t="str">
        <f t="shared" si="508"/>
        <v>Retired</v>
      </c>
      <c r="C1025" s="170">
        <f t="shared" si="509"/>
        <v>0</v>
      </c>
      <c r="D1025" s="170">
        <f t="shared" si="510"/>
        <v>0</v>
      </c>
      <c r="E1025" s="170">
        <f t="shared" si="511"/>
        <v>0</v>
      </c>
      <c r="F1025" s="170">
        <f t="shared" si="512"/>
        <v>0</v>
      </c>
      <c r="G1025" s="171">
        <f t="shared" si="513"/>
        <v>0</v>
      </c>
      <c r="H1025" s="171">
        <f t="shared" si="514"/>
        <v>146375.5689306141</v>
      </c>
      <c r="I1025" s="171">
        <f>IF(B1025="Working",MIN(MAX(D1025-E1025-F1025-G1025-H1025,0),'Tax Assumptions'!$B$20),0)</f>
        <v>0</v>
      </c>
      <c r="J1025" s="171">
        <f t="shared" si="515"/>
        <v>-346375.5689306141</v>
      </c>
      <c r="K1025" s="170">
        <f t="shared" si="516"/>
        <v>346375.5689306141</v>
      </c>
      <c r="L1025" s="170">
        <f t="shared" si="517"/>
        <v>346375.5689306141</v>
      </c>
      <c r="M1025" s="170">
        <f t="shared" si="523"/>
        <v>346375.5689306141</v>
      </c>
      <c r="N1025" s="170">
        <f t="shared" si="524"/>
        <v>0</v>
      </c>
      <c r="O1025" s="170">
        <f t="shared" si="525"/>
        <v>0</v>
      </c>
      <c r="P1025" s="170">
        <f t="shared" si="526"/>
        <v>0</v>
      </c>
      <c r="Q1025" s="171">
        <f t="shared" si="527"/>
        <v>4283084.0611362597</v>
      </c>
      <c r="R1025" s="171">
        <f t="shared" si="528"/>
        <v>613016.55890249508</v>
      </c>
      <c r="S1025" s="171">
        <f t="shared" si="529"/>
        <v>187658.13027627397</v>
      </c>
      <c r="T1025" s="171">
        <f t="shared" si="530"/>
        <v>0</v>
      </c>
      <c r="U1025" s="171">
        <f t="shared" si="518"/>
        <v>5083758.7503150292</v>
      </c>
      <c r="V1025" s="171">
        <f t="shared" si="531"/>
        <v>0</v>
      </c>
      <c r="W1025" s="171">
        <f>IF(OR(A1025&gt;=$C$13,B1025="Retired"),IF(V1025&gt;0,-V1025,U1025-'Model Inputs'!$B$18),"")</f>
        <v>4083758.7503150292</v>
      </c>
      <c r="X1025" s="171">
        <f t="shared" si="519"/>
        <v>2807524.5383241847</v>
      </c>
      <c r="Y1025" s="171">
        <f t="shared" si="520"/>
        <v>896412.76202925062</v>
      </c>
      <c r="Z1025" s="171">
        <f t="shared" si="521"/>
        <v>1911111.7762949341</v>
      </c>
      <c r="AA1025" s="172">
        <f t="shared" si="522"/>
        <v>6994870.5266099628</v>
      </c>
      <c r="AB1025" s="5"/>
      <c r="AC1025" s="5"/>
      <c r="AD1025" s="5"/>
      <c r="AE1025" s="5"/>
      <c r="AF1025" s="5"/>
      <c r="AG1025" s="5"/>
    </row>
    <row r="1026" spans="1:33" x14ac:dyDescent="0.2">
      <c r="A1026" s="173">
        <v>22</v>
      </c>
      <c r="B1026" s="65" t="str">
        <f t="shared" si="508"/>
        <v>Retired</v>
      </c>
      <c r="C1026" s="174">
        <f t="shared" si="509"/>
        <v>0</v>
      </c>
      <c r="D1026" s="174">
        <f t="shared" si="510"/>
        <v>0</v>
      </c>
      <c r="E1026" s="174">
        <f t="shared" si="511"/>
        <v>0</v>
      </c>
      <c r="F1026" s="174">
        <f t="shared" si="512"/>
        <v>0</v>
      </c>
      <c r="G1026" s="171">
        <f t="shared" si="513"/>
        <v>0</v>
      </c>
      <c r="H1026" s="171">
        <f t="shared" si="514"/>
        <v>148228.53512590806</v>
      </c>
      <c r="I1026" s="171">
        <f>IF(B1026="Working",MIN(MAX(D1026-E1026-F1026-G1026-H1026,0),'Tax Assumptions'!$B$20),0)</f>
        <v>0</v>
      </c>
      <c r="J1026" s="171">
        <f t="shared" si="515"/>
        <v>-348228.53512590809</v>
      </c>
      <c r="K1026" s="174">
        <f t="shared" si="516"/>
        <v>348228.53512590809</v>
      </c>
      <c r="L1026" s="174">
        <f t="shared" si="517"/>
        <v>348228.53512590809</v>
      </c>
      <c r="M1026" s="174">
        <f t="shared" si="523"/>
        <v>348228.53512590809</v>
      </c>
      <c r="N1026" s="174">
        <f t="shared" si="524"/>
        <v>0</v>
      </c>
      <c r="O1026" s="174">
        <f t="shared" si="525"/>
        <v>0</v>
      </c>
      <c r="P1026" s="174">
        <f t="shared" si="526"/>
        <v>0</v>
      </c>
      <c r="Q1026" s="171">
        <f t="shared" si="527"/>
        <v>4191840.5696785278</v>
      </c>
      <c r="R1026" s="171">
        <f t="shared" si="528"/>
        <v>649797.55243664479</v>
      </c>
      <c r="S1026" s="171">
        <f t="shared" si="529"/>
        <v>198917.6180928504</v>
      </c>
      <c r="T1026" s="171">
        <f t="shared" si="530"/>
        <v>0</v>
      </c>
      <c r="U1026" s="171">
        <f t="shared" si="518"/>
        <v>5040555.7402080232</v>
      </c>
      <c r="V1026" s="171">
        <f t="shared" si="531"/>
        <v>0</v>
      </c>
      <c r="W1026" s="171">
        <f>IF(OR(A1026&gt;=$C$13,B1026="Retired"),IF(V1026&gt;0,-V1026,U1026-'Model Inputs'!$B$18),"")</f>
        <v>4040555.7402080232</v>
      </c>
      <c r="X1026" s="171">
        <f t="shared" si="519"/>
        <v>2891750.2744739098</v>
      </c>
      <c r="Y1026" s="171">
        <f t="shared" si="520"/>
        <v>869270.41030756128</v>
      </c>
      <c r="Z1026" s="171">
        <f t="shared" si="521"/>
        <v>2022479.8641663485</v>
      </c>
      <c r="AA1026" s="175">
        <f t="shared" si="522"/>
        <v>7063035.6043743715</v>
      </c>
      <c r="AB1026" s="5"/>
      <c r="AC1026" s="5"/>
      <c r="AD1026" s="5"/>
      <c r="AE1026" s="5"/>
      <c r="AF1026" s="5"/>
      <c r="AG1026" s="5"/>
    </row>
    <row r="1027" spans="1:33" x14ac:dyDescent="0.2">
      <c r="A1027" s="169">
        <v>23</v>
      </c>
      <c r="B1027" s="100" t="str">
        <f t="shared" si="508"/>
        <v>Retired</v>
      </c>
      <c r="C1027" s="170">
        <f t="shared" si="509"/>
        <v>0</v>
      </c>
      <c r="D1027" s="170">
        <f t="shared" si="510"/>
        <v>0</v>
      </c>
      <c r="E1027" s="170">
        <f t="shared" si="511"/>
        <v>0</v>
      </c>
      <c r="F1027" s="170">
        <f t="shared" si="512"/>
        <v>0</v>
      </c>
      <c r="G1027" s="171">
        <f t="shared" si="513"/>
        <v>0</v>
      </c>
      <c r="H1027" s="171">
        <f t="shared" si="514"/>
        <v>150137.09030706083</v>
      </c>
      <c r="I1027" s="171">
        <f>IF(B1027="Working",MIN(MAX(D1027-E1027-F1027-G1027-H1027,0),'Tax Assumptions'!$B$20),0)</f>
        <v>0</v>
      </c>
      <c r="J1027" s="171">
        <f t="shared" si="515"/>
        <v>-350137.09030706086</v>
      </c>
      <c r="K1027" s="170">
        <f t="shared" si="516"/>
        <v>350137.09030706086</v>
      </c>
      <c r="L1027" s="170">
        <f t="shared" si="517"/>
        <v>350137.09030706086</v>
      </c>
      <c r="M1027" s="170">
        <f t="shared" si="523"/>
        <v>350137.09030706086</v>
      </c>
      <c r="N1027" s="170">
        <f t="shared" si="524"/>
        <v>0</v>
      </c>
      <c r="O1027" s="170">
        <f t="shared" si="525"/>
        <v>0</v>
      </c>
      <c r="P1027" s="170">
        <f t="shared" si="526"/>
        <v>0</v>
      </c>
      <c r="Q1027" s="171">
        <f t="shared" si="527"/>
        <v>4093213.913552179</v>
      </c>
      <c r="R1027" s="171">
        <f t="shared" si="528"/>
        <v>688785.40558284346</v>
      </c>
      <c r="S1027" s="171">
        <f t="shared" si="529"/>
        <v>210852.67517842143</v>
      </c>
      <c r="T1027" s="171">
        <f t="shared" si="530"/>
        <v>0</v>
      </c>
      <c r="U1027" s="171">
        <f t="shared" si="518"/>
        <v>4992851.994313444</v>
      </c>
      <c r="V1027" s="171">
        <f t="shared" si="531"/>
        <v>0</v>
      </c>
      <c r="W1027" s="171">
        <f>IF(OR(A1027&gt;=$C$13,B1027="Retired"),IF(V1027&gt;0,-V1027,U1027-'Model Inputs'!$B$18),"")</f>
        <v>3992851.994313444</v>
      </c>
      <c r="X1027" s="171">
        <f t="shared" si="519"/>
        <v>2978502.7827081271</v>
      </c>
      <c r="Y1027" s="171">
        <f t="shared" si="520"/>
        <v>840310.28502336587</v>
      </c>
      <c r="Z1027" s="171">
        <f t="shared" si="521"/>
        <v>2138192.497684761</v>
      </c>
      <c r="AA1027" s="172">
        <f t="shared" si="522"/>
        <v>7131044.491998205</v>
      </c>
      <c r="AB1027" s="5"/>
      <c r="AC1027" s="5"/>
      <c r="AD1027" s="5"/>
      <c r="AE1027" s="5"/>
      <c r="AF1027" s="5"/>
      <c r="AG1027" s="5"/>
    </row>
    <row r="1028" spans="1:33" x14ac:dyDescent="0.2">
      <c r="A1028" s="173">
        <v>24</v>
      </c>
      <c r="B1028" s="65" t="str">
        <f t="shared" si="508"/>
        <v>Retired</v>
      </c>
      <c r="C1028" s="174">
        <f t="shared" si="509"/>
        <v>0</v>
      </c>
      <c r="D1028" s="174">
        <f t="shared" si="510"/>
        <v>0</v>
      </c>
      <c r="E1028" s="174">
        <f t="shared" si="511"/>
        <v>0</v>
      </c>
      <c r="F1028" s="174">
        <f t="shared" si="512"/>
        <v>0</v>
      </c>
      <c r="G1028" s="171">
        <f t="shared" si="513"/>
        <v>0</v>
      </c>
      <c r="H1028" s="171">
        <f t="shared" si="514"/>
        <v>152102.90214364821</v>
      </c>
      <c r="I1028" s="171">
        <f>IF(B1028="Working",MIN(MAX(D1028-E1028-F1028-G1028-H1028,0),'Tax Assumptions'!$B$20),0)</f>
        <v>0</v>
      </c>
      <c r="J1028" s="171">
        <f t="shared" si="515"/>
        <v>-352102.90214364824</v>
      </c>
      <c r="K1028" s="174">
        <f t="shared" si="516"/>
        <v>352102.90214364824</v>
      </c>
      <c r="L1028" s="174">
        <f t="shared" si="517"/>
        <v>352102.90214364824</v>
      </c>
      <c r="M1028" s="174">
        <f t="shared" si="523"/>
        <v>352102.90214364824</v>
      </c>
      <c r="N1028" s="174">
        <f t="shared" si="524"/>
        <v>0</v>
      </c>
      <c r="O1028" s="174">
        <f t="shared" si="525"/>
        <v>0</v>
      </c>
      <c r="P1028" s="174">
        <f t="shared" si="526"/>
        <v>0</v>
      </c>
      <c r="Q1028" s="171">
        <f t="shared" si="527"/>
        <v>3986703.8462216617</v>
      </c>
      <c r="R1028" s="171">
        <f t="shared" si="528"/>
        <v>730112.52991781407</v>
      </c>
      <c r="S1028" s="171">
        <f t="shared" si="529"/>
        <v>223503.83568912672</v>
      </c>
      <c r="T1028" s="171">
        <f t="shared" si="530"/>
        <v>0</v>
      </c>
      <c r="U1028" s="171">
        <f t="shared" si="518"/>
        <v>4940320.2118286025</v>
      </c>
      <c r="V1028" s="171">
        <f t="shared" si="531"/>
        <v>0</v>
      </c>
      <c r="W1028" s="171">
        <f>IF(OR(A1028&gt;=$C$13,B1028="Retired"),IF(V1028&gt;0,-V1028,U1028-'Model Inputs'!$B$18),"")</f>
        <v>3940320.2118286025</v>
      </c>
      <c r="X1028" s="171">
        <f t="shared" si="519"/>
        <v>3067857.8661893713</v>
      </c>
      <c r="Y1028" s="171">
        <f t="shared" si="520"/>
        <v>809410.64651466254</v>
      </c>
      <c r="Z1028" s="171">
        <f t="shared" si="521"/>
        <v>2258447.2196747088</v>
      </c>
      <c r="AA1028" s="175">
        <f t="shared" si="522"/>
        <v>7198767.4315033108</v>
      </c>
      <c r="AB1028" s="5"/>
      <c r="AC1028" s="5"/>
      <c r="AD1028" s="5"/>
      <c r="AE1028" s="5"/>
      <c r="AF1028" s="5"/>
      <c r="AG1028" s="5"/>
    </row>
    <row r="1029" spans="1:33" x14ac:dyDescent="0.2">
      <c r="A1029" s="169">
        <v>25</v>
      </c>
      <c r="B1029" s="100" t="str">
        <f t="shared" si="508"/>
        <v>Retired</v>
      </c>
      <c r="C1029" s="170">
        <f t="shared" si="509"/>
        <v>0</v>
      </c>
      <c r="D1029" s="170">
        <f t="shared" si="510"/>
        <v>0</v>
      </c>
      <c r="E1029" s="170">
        <f t="shared" si="511"/>
        <v>0</v>
      </c>
      <c r="F1029" s="170">
        <f t="shared" si="512"/>
        <v>0</v>
      </c>
      <c r="G1029" s="171">
        <f t="shared" si="513"/>
        <v>0</v>
      </c>
      <c r="H1029" s="171">
        <f t="shared" si="514"/>
        <v>154127.68833533319</v>
      </c>
      <c r="I1029" s="171">
        <f>IF(B1029="Working",MIN(MAX(D1029-E1029-F1029-G1029-H1029,0),'Tax Assumptions'!$B$20),0)</f>
        <v>0</v>
      </c>
      <c r="J1029" s="171">
        <f t="shared" si="515"/>
        <v>-354127.68833533319</v>
      </c>
      <c r="K1029" s="170">
        <f t="shared" si="516"/>
        <v>354127.68833533319</v>
      </c>
      <c r="L1029" s="170">
        <f t="shared" si="517"/>
        <v>354127.68833533319</v>
      </c>
      <c r="M1029" s="170">
        <f t="shared" si="523"/>
        <v>354127.68833533319</v>
      </c>
      <c r="N1029" s="170">
        <f t="shared" si="524"/>
        <v>0</v>
      </c>
      <c r="O1029" s="170">
        <f t="shared" si="525"/>
        <v>0</v>
      </c>
      <c r="P1029" s="170">
        <f t="shared" si="526"/>
        <v>0</v>
      </c>
      <c r="Q1029" s="171">
        <f t="shared" si="527"/>
        <v>3871778.3886596281</v>
      </c>
      <c r="R1029" s="171">
        <f t="shared" si="528"/>
        <v>773919.28171288292</v>
      </c>
      <c r="S1029" s="171">
        <f t="shared" si="529"/>
        <v>236914.06583047434</v>
      </c>
      <c r="T1029" s="171">
        <f t="shared" si="530"/>
        <v>0</v>
      </c>
      <c r="U1029" s="171">
        <f t="shared" si="518"/>
        <v>4882611.736202986</v>
      </c>
      <c r="V1029" s="171">
        <f t="shared" si="531"/>
        <v>0</v>
      </c>
      <c r="W1029" s="171">
        <f>IF(OR(A1029&gt;=$C$13,B1029="Retired"),IF(V1029&gt;0,-V1029,U1029-'Model Inputs'!$B$18),"")</f>
        <v>3882611.736202986</v>
      </c>
      <c r="X1029" s="171">
        <f t="shared" si="519"/>
        <v>3159893.6021750527</v>
      </c>
      <c r="Y1029" s="171">
        <f t="shared" si="520"/>
        <v>776441.60198882176</v>
      </c>
      <c r="Z1029" s="171">
        <f t="shared" si="521"/>
        <v>2383452.000186231</v>
      </c>
      <c r="AA1029" s="172">
        <f t="shared" si="522"/>
        <v>7266063.736389217</v>
      </c>
      <c r="AB1029" s="5"/>
      <c r="AC1029" s="5"/>
      <c r="AD1029" s="5"/>
      <c r="AE1029" s="5"/>
      <c r="AF1029" s="5"/>
      <c r="AG1029" s="5"/>
    </row>
    <row r="1030" spans="1:33" x14ac:dyDescent="0.2">
      <c r="A1030" s="173">
        <v>26</v>
      </c>
      <c r="B1030" s="65" t="str">
        <f t="shared" si="508"/>
        <v>Retired</v>
      </c>
      <c r="C1030" s="174">
        <f t="shared" si="509"/>
        <v>0</v>
      </c>
      <c r="D1030" s="174">
        <f t="shared" si="510"/>
        <v>0</v>
      </c>
      <c r="E1030" s="174">
        <f t="shared" si="511"/>
        <v>0</v>
      </c>
      <c r="F1030" s="174">
        <f t="shared" si="512"/>
        <v>0</v>
      </c>
      <c r="G1030" s="171">
        <f t="shared" si="513"/>
        <v>0</v>
      </c>
      <c r="H1030" s="171">
        <f t="shared" si="514"/>
        <v>156213.21811276872</v>
      </c>
      <c r="I1030" s="171">
        <f>IF(B1030="Working",MIN(MAX(D1030-E1030-F1030-G1030-H1030,0),'Tax Assumptions'!$B$20),0)</f>
        <v>0</v>
      </c>
      <c r="J1030" s="171">
        <f t="shared" si="515"/>
        <v>-356213.21811276872</v>
      </c>
      <c r="K1030" s="174">
        <f t="shared" si="516"/>
        <v>356213.21811276872</v>
      </c>
      <c r="L1030" s="174">
        <f t="shared" si="517"/>
        <v>356213.21811276872</v>
      </c>
      <c r="M1030" s="174">
        <f t="shared" si="523"/>
        <v>356213.21811276872</v>
      </c>
      <c r="N1030" s="174">
        <f t="shared" si="524"/>
        <v>0</v>
      </c>
      <c r="O1030" s="174">
        <f t="shared" si="525"/>
        <v>0</v>
      </c>
      <c r="P1030" s="174">
        <f t="shared" si="526"/>
        <v>0</v>
      </c>
      <c r="Q1030" s="171">
        <f t="shared" si="527"/>
        <v>3747871.8738664375</v>
      </c>
      <c r="R1030" s="171">
        <f t="shared" si="528"/>
        <v>820354.43861565599</v>
      </c>
      <c r="S1030" s="171">
        <f t="shared" si="529"/>
        <v>251128.90978030281</v>
      </c>
      <c r="T1030" s="171">
        <f t="shared" si="530"/>
        <v>0</v>
      </c>
      <c r="U1030" s="171">
        <f t="shared" si="518"/>
        <v>4819355.2222623965</v>
      </c>
      <c r="V1030" s="171">
        <f t="shared" si="531"/>
        <v>0</v>
      </c>
      <c r="W1030" s="171">
        <f>IF(OR(A1030&gt;=$C$13,B1030="Retired"),IF(V1030&gt;0,-V1030,U1030-'Model Inputs'!$B$18),"")</f>
        <v>3819355.2222623965</v>
      </c>
      <c r="X1030" s="171">
        <f t="shared" si="519"/>
        <v>3254690.4102403037</v>
      </c>
      <c r="Y1030" s="171">
        <f t="shared" si="520"/>
        <v>741264.559492331</v>
      </c>
      <c r="Z1030" s="171">
        <f t="shared" si="521"/>
        <v>2513425.8507479727</v>
      </c>
      <c r="AA1030" s="175">
        <f t="shared" si="522"/>
        <v>7332781.0730103692</v>
      </c>
      <c r="AB1030" s="5"/>
      <c r="AC1030" s="5"/>
      <c r="AD1030" s="5"/>
      <c r="AE1030" s="5"/>
      <c r="AF1030" s="5"/>
      <c r="AG1030" s="5"/>
    </row>
    <row r="1031" spans="1:33" x14ac:dyDescent="0.2">
      <c r="A1031" s="169">
        <v>27</v>
      </c>
      <c r="B1031" s="100" t="str">
        <f t="shared" si="508"/>
        <v>Retired</v>
      </c>
      <c r="C1031" s="170">
        <f t="shared" si="509"/>
        <v>0</v>
      </c>
      <c r="D1031" s="170">
        <f t="shared" si="510"/>
        <v>0</v>
      </c>
      <c r="E1031" s="170">
        <f t="shared" si="511"/>
        <v>0</v>
      </c>
      <c r="F1031" s="170">
        <f t="shared" si="512"/>
        <v>0</v>
      </c>
      <c r="G1031" s="171">
        <f t="shared" si="513"/>
        <v>0</v>
      </c>
      <c r="H1031" s="171">
        <f t="shared" si="514"/>
        <v>158361.31378352732</v>
      </c>
      <c r="I1031" s="171">
        <f>IF(B1031="Working",MIN(MAX(D1031-E1031-F1031-G1031-H1031,0),'Tax Assumptions'!$B$20),0)</f>
        <v>0</v>
      </c>
      <c r="J1031" s="171">
        <f t="shared" si="515"/>
        <v>-358361.31378352735</v>
      </c>
      <c r="K1031" s="170">
        <f t="shared" si="516"/>
        <v>358361.31378352735</v>
      </c>
      <c r="L1031" s="170">
        <f t="shared" si="517"/>
        <v>358361.31378352735</v>
      </c>
      <c r="M1031" s="170">
        <f t="shared" si="523"/>
        <v>358361.31378352735</v>
      </c>
      <c r="N1031" s="170">
        <f t="shared" si="524"/>
        <v>0</v>
      </c>
      <c r="O1031" s="170">
        <f t="shared" si="525"/>
        <v>0</v>
      </c>
      <c r="P1031" s="170">
        <f t="shared" si="526"/>
        <v>0</v>
      </c>
      <c r="Q1031" s="171">
        <f t="shared" si="527"/>
        <v>3614382.8725148966</v>
      </c>
      <c r="R1031" s="171">
        <f t="shared" si="528"/>
        <v>869575.70493259537</v>
      </c>
      <c r="S1031" s="171">
        <f t="shared" si="529"/>
        <v>266196.64436712099</v>
      </c>
      <c r="T1031" s="171">
        <f t="shared" si="530"/>
        <v>0</v>
      </c>
      <c r="U1031" s="171">
        <f t="shared" si="518"/>
        <v>4750155.2218146129</v>
      </c>
      <c r="V1031" s="171">
        <f t="shared" si="531"/>
        <v>0</v>
      </c>
      <c r="W1031" s="171">
        <f>IF(OR(A1031&gt;=$C$13,B1031="Retired"),IF(V1031&gt;0,-V1031,U1031-'Model Inputs'!$B$18),"")</f>
        <v>3750155.2218146129</v>
      </c>
      <c r="X1031" s="171">
        <f t="shared" si="519"/>
        <v>3352331.1225475129</v>
      </c>
      <c r="Y1031" s="171">
        <f t="shared" si="520"/>
        <v>703731.64531187899</v>
      </c>
      <c r="Z1031" s="171">
        <f t="shared" si="521"/>
        <v>2648599.4772356339</v>
      </c>
      <c r="AA1031" s="172">
        <f t="shared" si="522"/>
        <v>7398754.6990502467</v>
      </c>
      <c r="AB1031" s="5"/>
      <c r="AC1031" s="5"/>
      <c r="AD1031" s="5"/>
      <c r="AE1031" s="5"/>
      <c r="AF1031" s="5"/>
      <c r="AG1031" s="5"/>
    </row>
    <row r="1032" spans="1:33" x14ac:dyDescent="0.2">
      <c r="A1032" s="173">
        <v>28</v>
      </c>
      <c r="B1032" s="65" t="str">
        <f t="shared" si="508"/>
        <v>Retired</v>
      </c>
      <c r="C1032" s="174">
        <f t="shared" si="509"/>
        <v>0</v>
      </c>
      <c r="D1032" s="174">
        <f t="shared" si="510"/>
        <v>0</v>
      </c>
      <c r="E1032" s="174">
        <f t="shared" si="511"/>
        <v>0</v>
      </c>
      <c r="F1032" s="174">
        <f t="shared" si="512"/>
        <v>0</v>
      </c>
      <c r="G1032" s="171">
        <f t="shared" si="513"/>
        <v>0</v>
      </c>
      <c r="H1032" s="171">
        <f t="shared" si="514"/>
        <v>160573.85232440868</v>
      </c>
      <c r="I1032" s="171">
        <f>IF(B1032="Working",MIN(MAX(D1032-E1032-F1032-G1032-H1032,0),'Tax Assumptions'!$B$20),0)</f>
        <v>0</v>
      </c>
      <c r="J1032" s="171">
        <f t="shared" si="515"/>
        <v>-360573.85232440871</v>
      </c>
      <c r="K1032" s="174">
        <f t="shared" si="516"/>
        <v>360573.85232440871</v>
      </c>
      <c r="L1032" s="174">
        <f t="shared" si="517"/>
        <v>360573.85232440871</v>
      </c>
      <c r="M1032" s="174">
        <f t="shared" si="523"/>
        <v>360573.85232440871</v>
      </c>
      <c r="N1032" s="174">
        <f t="shared" si="524"/>
        <v>0</v>
      </c>
      <c r="O1032" s="174">
        <f t="shared" si="525"/>
        <v>0</v>
      </c>
      <c r="P1032" s="174">
        <f t="shared" si="526"/>
        <v>0</v>
      </c>
      <c r="Q1032" s="171">
        <f t="shared" si="527"/>
        <v>3470671.9925413821</v>
      </c>
      <c r="R1032" s="171">
        <f t="shared" si="528"/>
        <v>921750.24722855119</v>
      </c>
      <c r="S1032" s="171">
        <f t="shared" si="529"/>
        <v>282168.44302914827</v>
      </c>
      <c r="T1032" s="171">
        <f t="shared" si="530"/>
        <v>0</v>
      </c>
      <c r="U1032" s="171">
        <f t="shared" si="518"/>
        <v>4674590.6827990822</v>
      </c>
      <c r="V1032" s="171">
        <f t="shared" si="531"/>
        <v>0</v>
      </c>
      <c r="W1032" s="171">
        <f>IF(OR(A1032&gt;=$C$13,B1032="Retired"),IF(V1032&gt;0,-V1032,U1032-'Model Inputs'!$B$18),"")</f>
        <v>3674590.6827990822</v>
      </c>
      <c r="X1032" s="171">
        <f t="shared" si="519"/>
        <v>3452901.0562239382</v>
      </c>
      <c r="Y1032" s="171">
        <f t="shared" si="520"/>
        <v>663685.08235770883</v>
      </c>
      <c r="Z1032" s="171">
        <f t="shared" si="521"/>
        <v>2789215.9738662294</v>
      </c>
      <c r="AA1032" s="175">
        <f t="shared" si="522"/>
        <v>7463806.6566653121</v>
      </c>
      <c r="AB1032" s="5"/>
      <c r="AC1032" s="5"/>
      <c r="AD1032" s="5"/>
      <c r="AE1032" s="5"/>
      <c r="AF1032" s="5"/>
      <c r="AG1032" s="5"/>
    </row>
    <row r="1033" spans="1:33" x14ac:dyDescent="0.2">
      <c r="A1033" s="169">
        <v>29</v>
      </c>
      <c r="B1033" s="100" t="str">
        <f t="shared" si="508"/>
        <v>Retired</v>
      </c>
      <c r="C1033" s="170">
        <f t="shared" si="509"/>
        <v>0</v>
      </c>
      <c r="D1033" s="170">
        <f t="shared" si="510"/>
        <v>0</v>
      </c>
      <c r="E1033" s="170">
        <f t="shared" si="511"/>
        <v>0</v>
      </c>
      <c r="F1033" s="170">
        <f t="shared" si="512"/>
        <v>0</v>
      </c>
      <c r="G1033" s="171">
        <f t="shared" si="513"/>
        <v>0</v>
      </c>
      <c r="H1033" s="171">
        <f t="shared" si="514"/>
        <v>162852.76702151648</v>
      </c>
      <c r="I1033" s="171">
        <f>IF(B1033="Working",MIN(MAX(D1033-E1033-F1033-G1033-H1033,0),'Tax Assumptions'!$B$20),0)</f>
        <v>0</v>
      </c>
      <c r="J1033" s="171">
        <f t="shared" si="515"/>
        <v>-362852.76702151645</v>
      </c>
      <c r="K1033" s="170">
        <f t="shared" si="516"/>
        <v>362852.76702151645</v>
      </c>
      <c r="L1033" s="170">
        <f t="shared" si="517"/>
        <v>362852.76702151645</v>
      </c>
      <c r="M1033" s="170">
        <f t="shared" si="523"/>
        <v>362852.76702151645</v>
      </c>
      <c r="N1033" s="170">
        <f t="shared" si="524"/>
        <v>0</v>
      </c>
      <c r="O1033" s="170">
        <f t="shared" si="525"/>
        <v>0</v>
      </c>
      <c r="P1033" s="170">
        <f t="shared" si="526"/>
        <v>0</v>
      </c>
      <c r="Q1033" s="171">
        <f t="shared" si="527"/>
        <v>3316059.5450723488</v>
      </c>
      <c r="R1033" s="171">
        <f t="shared" si="528"/>
        <v>977055.26206226426</v>
      </c>
      <c r="S1033" s="171">
        <f t="shared" si="529"/>
        <v>299098.5496108972</v>
      </c>
      <c r="T1033" s="171">
        <f t="shared" si="530"/>
        <v>0</v>
      </c>
      <c r="U1033" s="171">
        <f t="shared" si="518"/>
        <v>4592213.3567455104</v>
      </c>
      <c r="V1033" s="171">
        <f t="shared" si="531"/>
        <v>0</v>
      </c>
      <c r="W1033" s="171">
        <f>IF(OR(A1033&gt;=$C$13,B1033="Retired"),IF(V1033&gt;0,-V1033,U1033-'Model Inputs'!$B$18),"")</f>
        <v>3592213.3567455104</v>
      </c>
      <c r="X1033" s="171">
        <f t="shared" si="519"/>
        <v>3556488.0879106564</v>
      </c>
      <c r="Y1033" s="171">
        <f t="shared" si="520"/>
        <v>620956.52691616118</v>
      </c>
      <c r="Z1033" s="171">
        <f t="shared" si="521"/>
        <v>2935531.5609944952</v>
      </c>
      <c r="AA1033" s="172">
        <f t="shared" si="522"/>
        <v>7527744.917740006</v>
      </c>
      <c r="AB1033" s="5"/>
      <c r="AC1033" s="5"/>
      <c r="AD1033" s="5"/>
      <c r="AE1033" s="5"/>
      <c r="AF1033" s="5"/>
      <c r="AG1033" s="5"/>
    </row>
    <row r="1034" spans="1:33" x14ac:dyDescent="0.2">
      <c r="A1034" s="173">
        <v>30</v>
      </c>
      <c r="B1034" s="65" t="str">
        <f t="shared" si="508"/>
        <v>Retired</v>
      </c>
      <c r="C1034" s="174">
        <f t="shared" si="509"/>
        <v>0</v>
      </c>
      <c r="D1034" s="174">
        <f t="shared" si="510"/>
        <v>0</v>
      </c>
      <c r="E1034" s="174">
        <f t="shared" si="511"/>
        <v>0</v>
      </c>
      <c r="F1034" s="174">
        <f t="shared" si="512"/>
        <v>0</v>
      </c>
      <c r="G1034" s="171">
        <f t="shared" si="513"/>
        <v>0</v>
      </c>
      <c r="H1034" s="171">
        <f t="shared" si="514"/>
        <v>165200.04915953751</v>
      </c>
      <c r="I1034" s="171">
        <f>IF(B1034="Working",MIN(MAX(D1034-E1034-F1034-G1034-H1034,0),'Tax Assumptions'!$B$20),0)</f>
        <v>0</v>
      </c>
      <c r="J1034" s="171">
        <f t="shared" si="515"/>
        <v>-365200.04915953754</v>
      </c>
      <c r="K1034" s="174">
        <f t="shared" si="516"/>
        <v>365200.04915953754</v>
      </c>
      <c r="L1034" s="174">
        <f t="shared" si="517"/>
        <v>365200.04915953754</v>
      </c>
      <c r="M1034" s="174">
        <f t="shared" si="523"/>
        <v>365200.04915953754</v>
      </c>
      <c r="N1034" s="174">
        <f t="shared" si="524"/>
        <v>0</v>
      </c>
      <c r="O1034" s="174">
        <f t="shared" si="525"/>
        <v>0</v>
      </c>
      <c r="P1034" s="174">
        <f t="shared" si="526"/>
        <v>0</v>
      </c>
      <c r="Q1034" s="171">
        <f t="shared" si="527"/>
        <v>3149823.0686171525</v>
      </c>
      <c r="R1034" s="171">
        <f t="shared" si="528"/>
        <v>1035678.5777860002</v>
      </c>
      <c r="S1034" s="171">
        <f t="shared" si="529"/>
        <v>317044.46258755104</v>
      </c>
      <c r="T1034" s="171">
        <f t="shared" si="530"/>
        <v>0</v>
      </c>
      <c r="U1034" s="171">
        <f t="shared" si="518"/>
        <v>4502546.1089907037</v>
      </c>
      <c r="V1034" s="171">
        <f t="shared" si="531"/>
        <v>0</v>
      </c>
      <c r="W1034" s="171">
        <f>IF(OR(A1034&gt;=$C$13,B1034="Retired"),IF(V1034&gt;0,-V1034,U1034-'Model Inputs'!$B$18),"")</f>
        <v>3502546.1089907037</v>
      </c>
      <c r="X1034" s="171">
        <f t="shared" si="519"/>
        <v>3663182.7305479757</v>
      </c>
      <c r="Y1034" s="171">
        <f t="shared" si="520"/>
        <v>575366.36098330049</v>
      </c>
      <c r="Z1034" s="171">
        <f t="shared" si="521"/>
        <v>3087816.3695646753</v>
      </c>
      <c r="AA1034" s="175">
        <f t="shared" si="522"/>
        <v>7590362.4785553794</v>
      </c>
      <c r="AB1034" s="5"/>
      <c r="AC1034" s="5"/>
      <c r="AD1034" s="5"/>
      <c r="AE1034" s="5"/>
      <c r="AF1034" s="5"/>
      <c r="AG1034" s="5"/>
    </row>
    <row r="1035" spans="1:33" x14ac:dyDescent="0.2">
      <c r="A1035" s="169">
        <v>31</v>
      </c>
      <c r="B1035" s="100" t="str">
        <f t="shared" si="508"/>
        <v>Retired</v>
      </c>
      <c r="C1035" s="170">
        <f t="shared" si="509"/>
        <v>0</v>
      </c>
      <c r="D1035" s="170">
        <f t="shared" si="510"/>
        <v>0</v>
      </c>
      <c r="E1035" s="170">
        <f t="shared" si="511"/>
        <v>0</v>
      </c>
      <c r="F1035" s="170">
        <f t="shared" si="512"/>
        <v>0</v>
      </c>
      <c r="G1035" s="171">
        <f t="shared" si="513"/>
        <v>0</v>
      </c>
      <c r="H1035" s="171">
        <f t="shared" si="514"/>
        <v>167617.74976169917</v>
      </c>
      <c r="I1035" s="171">
        <f>IF(B1035="Working",MIN(MAX(D1035-E1035-F1035-G1035-H1035,0),'Tax Assumptions'!$B$20),0)</f>
        <v>0</v>
      </c>
      <c r="J1035" s="171">
        <f t="shared" si="515"/>
        <v>-367617.74976169917</v>
      </c>
      <c r="K1035" s="170">
        <f t="shared" si="516"/>
        <v>367617.74976169917</v>
      </c>
      <c r="L1035" s="170">
        <f t="shared" si="517"/>
        <v>367617.74976169917</v>
      </c>
      <c r="M1035" s="170">
        <f t="shared" si="523"/>
        <v>367617.74976169917</v>
      </c>
      <c r="N1035" s="170">
        <f t="shared" si="524"/>
        <v>0</v>
      </c>
      <c r="O1035" s="170">
        <f t="shared" si="525"/>
        <v>0</v>
      </c>
      <c r="P1035" s="170">
        <f t="shared" si="526"/>
        <v>0</v>
      </c>
      <c r="Q1035" s="171">
        <f t="shared" si="527"/>
        <v>2971194.7029724824</v>
      </c>
      <c r="R1035" s="171">
        <f t="shared" si="528"/>
        <v>1097819.2924531603</v>
      </c>
      <c r="S1035" s="171">
        <f t="shared" si="529"/>
        <v>336067.13034280413</v>
      </c>
      <c r="T1035" s="171">
        <f t="shared" si="530"/>
        <v>0</v>
      </c>
      <c r="U1035" s="171">
        <f t="shared" si="518"/>
        <v>4405081.1257684464</v>
      </c>
      <c r="V1035" s="171">
        <f t="shared" si="531"/>
        <v>0</v>
      </c>
      <c r="W1035" s="171">
        <f>IF(OR(A1035&gt;=$C$13,B1035="Retired"),IF(V1035&gt;0,-V1035,U1035-'Model Inputs'!$B$18),"")</f>
        <v>3405081.1257684464</v>
      </c>
      <c r="X1035" s="171">
        <f t="shared" si="519"/>
        <v>3773078.2124644145</v>
      </c>
      <c r="Y1035" s="171">
        <f t="shared" si="520"/>
        <v>526722.93720481312</v>
      </c>
      <c r="Z1035" s="171">
        <f t="shared" si="521"/>
        <v>3246355.2752596014</v>
      </c>
      <c r="AA1035" s="172">
        <f t="shared" si="522"/>
        <v>7651436.4010280482</v>
      </c>
      <c r="AB1035" s="5"/>
      <c r="AC1035" s="5"/>
      <c r="AD1035" s="5"/>
      <c r="AE1035" s="5"/>
      <c r="AF1035" s="5"/>
      <c r="AG1035" s="5"/>
    </row>
    <row r="1036" spans="1:33" x14ac:dyDescent="0.2">
      <c r="A1036" s="173">
        <v>32</v>
      </c>
      <c r="B1036" s="65" t="str">
        <f t="shared" si="508"/>
        <v>Retired</v>
      </c>
      <c r="C1036" s="174">
        <f t="shared" si="509"/>
        <v>0</v>
      </c>
      <c r="D1036" s="174">
        <f t="shared" si="510"/>
        <v>0</v>
      </c>
      <c r="E1036" s="174">
        <f t="shared" si="511"/>
        <v>0</v>
      </c>
      <c r="F1036" s="174">
        <f t="shared" si="512"/>
        <v>0</v>
      </c>
      <c r="G1036" s="171">
        <f t="shared" si="513"/>
        <v>0</v>
      </c>
      <c r="H1036" s="171">
        <f t="shared" si="514"/>
        <v>170107.9813819257</v>
      </c>
      <c r="I1036" s="171">
        <f>IF(B1036="Working",MIN(MAX(D1036-E1036-F1036-G1036-H1036,0),'Tax Assumptions'!$B$20),0)</f>
        <v>0</v>
      </c>
      <c r="J1036" s="171">
        <f t="shared" si="515"/>
        <v>-370107.9813819257</v>
      </c>
      <c r="K1036" s="174">
        <f t="shared" si="516"/>
        <v>370107.9813819257</v>
      </c>
      <c r="L1036" s="174">
        <f t="shared" si="517"/>
        <v>370107.9813819257</v>
      </c>
      <c r="M1036" s="174">
        <f t="shared" si="523"/>
        <v>370107.9813819257</v>
      </c>
      <c r="N1036" s="174">
        <f t="shared" si="524"/>
        <v>0</v>
      </c>
      <c r="O1036" s="174">
        <f t="shared" si="525"/>
        <v>0</v>
      </c>
      <c r="P1036" s="174">
        <f t="shared" si="526"/>
        <v>0</v>
      </c>
      <c r="Q1036" s="171">
        <f t="shared" si="527"/>
        <v>2779358.4037689059</v>
      </c>
      <c r="R1036" s="171">
        <f t="shared" si="528"/>
        <v>1163688.4500003499</v>
      </c>
      <c r="S1036" s="171">
        <f t="shared" si="529"/>
        <v>356231.15816337237</v>
      </c>
      <c r="T1036" s="171">
        <f t="shared" si="530"/>
        <v>0</v>
      </c>
      <c r="U1036" s="171">
        <f t="shared" si="518"/>
        <v>4299278.0119326282</v>
      </c>
      <c r="V1036" s="171">
        <f t="shared" si="531"/>
        <v>0</v>
      </c>
      <c r="W1036" s="171">
        <f>IF(OR(A1036&gt;=$C$13,B1036="Retired"),IF(V1036&gt;0,-V1036,U1036-'Model Inputs'!$B$18),"")</f>
        <v>3299278.0119326282</v>
      </c>
      <c r="X1036" s="171">
        <f t="shared" si="519"/>
        <v>3886270.5588383474</v>
      </c>
      <c r="Y1036" s="171">
        <f t="shared" si="520"/>
        <v>474821.77324813511</v>
      </c>
      <c r="Z1036" s="171">
        <f t="shared" si="521"/>
        <v>3411448.7855902123</v>
      </c>
      <c r="AA1036" s="175">
        <f t="shared" si="522"/>
        <v>7710726.797522841</v>
      </c>
      <c r="AB1036" s="5"/>
      <c r="AC1036" s="5"/>
      <c r="AD1036" s="5"/>
      <c r="AE1036" s="5"/>
      <c r="AF1036" s="5"/>
      <c r="AG1036" s="5"/>
    </row>
    <row r="1037" spans="1:33" x14ac:dyDescent="0.2">
      <c r="A1037" s="169">
        <v>33</v>
      </c>
      <c r="B1037" s="100" t="str">
        <f t="shared" si="508"/>
        <v>Retired</v>
      </c>
      <c r="C1037" s="170">
        <f t="shared" si="509"/>
        <v>0</v>
      </c>
      <c r="D1037" s="170">
        <f t="shared" si="510"/>
        <v>0</v>
      </c>
      <c r="E1037" s="170">
        <f t="shared" si="511"/>
        <v>0</v>
      </c>
      <c r="F1037" s="170">
        <f t="shared" si="512"/>
        <v>0</v>
      </c>
      <c r="G1037" s="171">
        <f t="shared" si="513"/>
        <v>0</v>
      </c>
      <c r="H1037" s="171">
        <f t="shared" si="514"/>
        <v>172672.91995075901</v>
      </c>
      <c r="I1037" s="171">
        <f>IF(B1037="Working",MIN(MAX(D1037-E1037-F1037-G1037-H1037,0),'Tax Assumptions'!$B$20),0)</f>
        <v>0</v>
      </c>
      <c r="J1037" s="171">
        <f t="shared" si="515"/>
        <v>-372672.91995075904</v>
      </c>
      <c r="K1037" s="170">
        <f t="shared" si="516"/>
        <v>372672.91995075904</v>
      </c>
      <c r="L1037" s="170">
        <f t="shared" si="517"/>
        <v>372672.91995075904</v>
      </c>
      <c r="M1037" s="170">
        <f t="shared" si="523"/>
        <v>372672.91995075904</v>
      </c>
      <c r="N1037" s="170">
        <f t="shared" si="524"/>
        <v>0</v>
      </c>
      <c r="O1037" s="170">
        <f t="shared" si="525"/>
        <v>0</v>
      </c>
      <c r="P1037" s="170">
        <f t="shared" si="526"/>
        <v>0</v>
      </c>
      <c r="Q1037" s="171">
        <f t="shared" si="527"/>
        <v>2573446.9880442815</v>
      </c>
      <c r="R1037" s="171">
        <f t="shared" si="528"/>
        <v>1233509.7570003709</v>
      </c>
      <c r="S1037" s="171">
        <f t="shared" si="529"/>
        <v>377605.02765317471</v>
      </c>
      <c r="T1037" s="171">
        <f t="shared" si="530"/>
        <v>0</v>
      </c>
      <c r="U1037" s="171">
        <f t="shared" si="518"/>
        <v>4184561.7726978268</v>
      </c>
      <c r="V1037" s="171">
        <f t="shared" si="531"/>
        <v>0</v>
      </c>
      <c r="W1037" s="171">
        <f>IF(OR(A1037&gt;=$C$13,B1037="Retired"),IF(V1037&gt;0,-V1037,U1037-'Model Inputs'!$B$18),"")</f>
        <v>3184561.7726978268</v>
      </c>
      <c r="X1037" s="171">
        <f t="shared" si="519"/>
        <v>4002858.6756034982</v>
      </c>
      <c r="Y1037" s="171">
        <f t="shared" si="520"/>
        <v>419444.69222019147</v>
      </c>
      <c r="Z1037" s="171">
        <f t="shared" si="521"/>
        <v>3583413.9833833068</v>
      </c>
      <c r="AA1037" s="172">
        <f t="shared" si="522"/>
        <v>7767975.7560811341</v>
      </c>
      <c r="AB1037" s="5"/>
      <c r="AC1037" s="5"/>
      <c r="AD1037" s="5"/>
      <c r="AE1037" s="5"/>
      <c r="AF1037" s="5"/>
      <c r="AG1037" s="5"/>
    </row>
    <row r="1038" spans="1:33" x14ac:dyDescent="0.2">
      <c r="A1038" s="173">
        <v>34</v>
      </c>
      <c r="B1038" s="65" t="str">
        <f t="shared" si="508"/>
        <v>Retired</v>
      </c>
      <c r="C1038" s="174">
        <f t="shared" si="509"/>
        <v>0</v>
      </c>
      <c r="D1038" s="174">
        <f t="shared" si="510"/>
        <v>0</v>
      </c>
      <c r="E1038" s="174">
        <f t="shared" si="511"/>
        <v>0</v>
      </c>
      <c r="F1038" s="174">
        <f t="shared" si="512"/>
        <v>0</v>
      </c>
      <c r="G1038" s="171">
        <f t="shared" si="513"/>
        <v>0</v>
      </c>
      <c r="H1038" s="171">
        <f t="shared" si="514"/>
        <v>175314.80667665729</v>
      </c>
      <c r="I1038" s="171">
        <f>IF(B1038="Working",MIN(MAX(D1038-E1038-F1038-G1038-H1038,0),'Tax Assumptions'!$B$20),0)</f>
        <v>0</v>
      </c>
      <c r="J1038" s="171">
        <f t="shared" si="515"/>
        <v>-375314.80667665729</v>
      </c>
      <c r="K1038" s="174">
        <f t="shared" si="516"/>
        <v>375314.80667665729</v>
      </c>
      <c r="L1038" s="174">
        <f t="shared" si="517"/>
        <v>375314.80667665729</v>
      </c>
      <c r="M1038" s="174">
        <f t="shared" si="523"/>
        <v>375314.80667665729</v>
      </c>
      <c r="N1038" s="174">
        <f t="shared" si="524"/>
        <v>0</v>
      </c>
      <c r="O1038" s="174">
        <f t="shared" si="525"/>
        <v>0</v>
      </c>
      <c r="P1038" s="174">
        <f t="shared" si="526"/>
        <v>0</v>
      </c>
      <c r="Q1038" s="171">
        <f t="shared" si="527"/>
        <v>2352539.0006502811</v>
      </c>
      <c r="R1038" s="171">
        <f t="shared" si="528"/>
        <v>1307520.3424203931</v>
      </c>
      <c r="S1038" s="171">
        <f t="shared" si="529"/>
        <v>400261.32931236521</v>
      </c>
      <c r="T1038" s="171">
        <f t="shared" si="530"/>
        <v>0</v>
      </c>
      <c r="U1038" s="171">
        <f t="shared" si="518"/>
        <v>4060320.6723830393</v>
      </c>
      <c r="V1038" s="171">
        <f t="shared" si="531"/>
        <v>0</v>
      </c>
      <c r="W1038" s="171">
        <f>IF(OR(A1038&gt;=$C$13,B1038="Retired"),IF(V1038&gt;0,-V1038,U1038-'Model Inputs'!$B$18),"")</f>
        <v>3060320.6723830393</v>
      </c>
      <c r="X1038" s="171">
        <f t="shared" si="519"/>
        <v>4122944.4358716025</v>
      </c>
      <c r="Y1038" s="171">
        <f t="shared" si="520"/>
        <v>360358.90551731084</v>
      </c>
      <c r="Z1038" s="171">
        <f t="shared" si="521"/>
        <v>3762585.5303542917</v>
      </c>
      <c r="AA1038" s="175">
        <f t="shared" si="522"/>
        <v>7822906.2027373314</v>
      </c>
      <c r="AB1038" s="5"/>
      <c r="AC1038" s="5"/>
      <c r="AD1038" s="5"/>
      <c r="AE1038" s="5"/>
      <c r="AF1038" s="5"/>
      <c r="AG1038" s="5"/>
    </row>
    <row r="1039" spans="1:33" x14ac:dyDescent="0.2">
      <c r="A1039" s="169">
        <v>35</v>
      </c>
      <c r="B1039" s="100" t="str">
        <f t="shared" si="508"/>
        <v>Retired</v>
      </c>
      <c r="C1039" s="170">
        <f t="shared" si="509"/>
        <v>0</v>
      </c>
      <c r="D1039" s="170">
        <f t="shared" si="510"/>
        <v>0</v>
      </c>
      <c r="E1039" s="170">
        <f t="shared" si="511"/>
        <v>0</v>
      </c>
      <c r="F1039" s="170">
        <f t="shared" si="512"/>
        <v>0</v>
      </c>
      <c r="G1039" s="171">
        <f t="shared" si="513"/>
        <v>0</v>
      </c>
      <c r="H1039" s="171">
        <f t="shared" si="514"/>
        <v>178035.95000433255</v>
      </c>
      <c r="I1039" s="171">
        <f>IF(B1039="Working",MIN(MAX(D1039-E1039-F1039-G1039-H1039,0),'Tax Assumptions'!$B$20),0)</f>
        <v>0</v>
      </c>
      <c r="J1039" s="171">
        <f t="shared" si="515"/>
        <v>-378035.95000433258</v>
      </c>
      <c r="K1039" s="170">
        <f t="shared" si="516"/>
        <v>378035.95000433258</v>
      </c>
      <c r="L1039" s="170">
        <f t="shared" si="517"/>
        <v>378035.95000433258</v>
      </c>
      <c r="M1039" s="170">
        <f t="shared" si="523"/>
        <v>378035.95000433258</v>
      </c>
      <c r="N1039" s="170">
        <f t="shared" si="524"/>
        <v>0</v>
      </c>
      <c r="O1039" s="170">
        <f t="shared" si="525"/>
        <v>0</v>
      </c>
      <c r="P1039" s="170">
        <f t="shared" si="526"/>
        <v>0</v>
      </c>
      <c r="Q1039" s="171">
        <f t="shared" si="527"/>
        <v>2115655.3906849655</v>
      </c>
      <c r="R1039" s="171">
        <f t="shared" si="528"/>
        <v>1385971.5629656168</v>
      </c>
      <c r="S1039" s="171">
        <f t="shared" si="529"/>
        <v>424277.00907110714</v>
      </c>
      <c r="T1039" s="171">
        <f t="shared" si="530"/>
        <v>0</v>
      </c>
      <c r="U1039" s="171">
        <f t="shared" si="518"/>
        <v>3925903.9627216896</v>
      </c>
      <c r="V1039" s="171">
        <f t="shared" si="531"/>
        <v>0</v>
      </c>
      <c r="W1039" s="171">
        <f>IF(OR(A1039&gt;=$C$13,B1039="Retired"),IF(V1039&gt;0,-V1039,U1039-'Model Inputs'!$B$18),"")</f>
        <v>2925903.9627216896</v>
      </c>
      <c r="X1039" s="171">
        <f t="shared" si="519"/>
        <v>4246632.7689477503</v>
      </c>
      <c r="Y1039" s="171">
        <f t="shared" si="520"/>
        <v>297316.03425191063</v>
      </c>
      <c r="Z1039" s="171">
        <f t="shared" si="521"/>
        <v>3949316.7346958397</v>
      </c>
      <c r="AA1039" s="172">
        <f t="shared" si="522"/>
        <v>7875220.6974175293</v>
      </c>
      <c r="AB1039" s="5"/>
      <c r="AC1039" s="5"/>
      <c r="AD1039" s="5"/>
      <c r="AE1039" s="5"/>
      <c r="AF1039" s="5"/>
      <c r="AG1039" s="5"/>
    </row>
    <row r="1040" spans="1:33" x14ac:dyDescent="0.2">
      <c r="A1040" s="173">
        <v>36</v>
      </c>
      <c r="B1040" s="65" t="str">
        <f t="shared" si="508"/>
        <v>Retired</v>
      </c>
      <c r="C1040" s="174">
        <f t="shared" si="509"/>
        <v>0</v>
      </c>
      <c r="D1040" s="174">
        <f t="shared" si="510"/>
        <v>0</v>
      </c>
      <c r="E1040" s="174">
        <f t="shared" si="511"/>
        <v>0</v>
      </c>
      <c r="F1040" s="174">
        <f t="shared" si="512"/>
        <v>0</v>
      </c>
      <c r="G1040" s="171">
        <f t="shared" si="513"/>
        <v>0</v>
      </c>
      <c r="H1040" s="171">
        <f t="shared" si="514"/>
        <v>180838.72763183809</v>
      </c>
      <c r="I1040" s="171">
        <f>IF(B1040="Working",MIN(MAX(D1040-E1040-F1040-G1040-H1040,0),'Tax Assumptions'!$B$20),0)</f>
        <v>0</v>
      </c>
      <c r="J1040" s="171">
        <f t="shared" si="515"/>
        <v>-380838.72763183806</v>
      </c>
      <c r="K1040" s="174">
        <f t="shared" si="516"/>
        <v>380838.72763183806</v>
      </c>
      <c r="L1040" s="174">
        <f t="shared" si="517"/>
        <v>380838.72763183806</v>
      </c>
      <c r="M1040" s="174">
        <f t="shared" si="523"/>
        <v>380838.72763183806</v>
      </c>
      <c r="N1040" s="174">
        <f t="shared" si="524"/>
        <v>0</v>
      </c>
      <c r="O1040" s="174">
        <f t="shared" si="525"/>
        <v>0</v>
      </c>
      <c r="P1040" s="174">
        <f t="shared" si="526"/>
        <v>0</v>
      </c>
      <c r="Q1040" s="171">
        <f t="shared" si="527"/>
        <v>1861755.9864942254</v>
      </c>
      <c r="R1040" s="171">
        <f t="shared" si="528"/>
        <v>1469129.8567435539</v>
      </c>
      <c r="S1040" s="171">
        <f t="shared" si="529"/>
        <v>449733.62961537362</v>
      </c>
      <c r="T1040" s="171">
        <f t="shared" si="530"/>
        <v>0</v>
      </c>
      <c r="U1040" s="171">
        <f t="shared" si="518"/>
        <v>3780619.4728531525</v>
      </c>
      <c r="V1040" s="171">
        <f t="shared" si="531"/>
        <v>0</v>
      </c>
      <c r="W1040" s="171">
        <f>IF(OR(A1040&gt;=$C$13,B1040="Retired"),IF(V1040&gt;0,-V1040,U1040-'Model Inputs'!$B$18),"")</f>
        <v>2780619.4728531525</v>
      </c>
      <c r="X1040" s="171">
        <f t="shared" si="519"/>
        <v>4374031.7520161839</v>
      </c>
      <c r="Y1040" s="171">
        <f t="shared" si="520"/>
        <v>230051.06514230929</v>
      </c>
      <c r="Z1040" s="171">
        <f t="shared" si="521"/>
        <v>4143980.6868738746</v>
      </c>
      <c r="AA1040" s="175">
        <f t="shared" si="522"/>
        <v>7924600.1597270276</v>
      </c>
      <c r="AB1040" s="5"/>
      <c r="AC1040" s="5"/>
      <c r="AD1040" s="5"/>
      <c r="AE1040" s="5"/>
      <c r="AF1040" s="5"/>
      <c r="AG1040" s="5"/>
    </row>
    <row r="1041" spans="1:33" x14ac:dyDescent="0.2">
      <c r="A1041" s="169">
        <v>37</v>
      </c>
      <c r="B1041" s="100" t="str">
        <f t="shared" si="508"/>
        <v>Retired</v>
      </c>
      <c r="C1041" s="170">
        <f t="shared" si="509"/>
        <v>0</v>
      </c>
      <c r="D1041" s="170">
        <f t="shared" si="510"/>
        <v>0</v>
      </c>
      <c r="E1041" s="170">
        <f t="shared" si="511"/>
        <v>0</v>
      </c>
      <c r="F1041" s="170">
        <f t="shared" si="512"/>
        <v>0</v>
      </c>
      <c r="G1041" s="171">
        <f t="shared" si="513"/>
        <v>0</v>
      </c>
      <c r="H1041" s="171">
        <f t="shared" si="514"/>
        <v>183725.58858816873</v>
      </c>
      <c r="I1041" s="171">
        <f>IF(B1041="Working",MIN(MAX(D1041-E1041-F1041-G1041-H1041,0),'Tax Assumptions'!$B$20),0)</f>
        <v>0</v>
      </c>
      <c r="J1041" s="171">
        <f t="shared" si="515"/>
        <v>-383725.58858816873</v>
      </c>
      <c r="K1041" s="170">
        <f t="shared" si="516"/>
        <v>383725.58858816873</v>
      </c>
      <c r="L1041" s="170">
        <f t="shared" si="517"/>
        <v>383725.58858816873</v>
      </c>
      <c r="M1041" s="170">
        <f t="shared" si="523"/>
        <v>383725.58858816873</v>
      </c>
      <c r="N1041" s="170">
        <f t="shared" si="524"/>
        <v>0</v>
      </c>
      <c r="O1041" s="170">
        <f t="shared" si="525"/>
        <v>0</v>
      </c>
      <c r="P1041" s="170">
        <f t="shared" si="526"/>
        <v>0</v>
      </c>
      <c r="Q1041" s="171">
        <f t="shared" si="527"/>
        <v>1589735.7570957104</v>
      </c>
      <c r="R1041" s="171">
        <f t="shared" si="528"/>
        <v>1557277.6481481672</v>
      </c>
      <c r="S1041" s="171">
        <f t="shared" si="529"/>
        <v>476717.64739229606</v>
      </c>
      <c r="T1041" s="171">
        <f t="shared" si="530"/>
        <v>0</v>
      </c>
      <c r="U1041" s="171">
        <f t="shared" si="518"/>
        <v>3623731.0526361736</v>
      </c>
      <c r="V1041" s="171">
        <f t="shared" si="531"/>
        <v>0</v>
      </c>
      <c r="W1041" s="171">
        <f>IF(OR(A1041&gt;=$C$13,B1041="Retired"),IF(V1041&gt;0,-V1041,U1041-'Model Inputs'!$B$18),"")</f>
        <v>2623731.0526361736</v>
      </c>
      <c r="X1041" s="171">
        <f t="shared" si="519"/>
        <v>4505252.7045766683</v>
      </c>
      <c r="Y1041" s="171">
        <f t="shared" si="520"/>
        <v>158281.23647654522</v>
      </c>
      <c r="Z1041" s="171">
        <f t="shared" si="521"/>
        <v>4346971.4681001231</v>
      </c>
      <c r="AA1041" s="172">
        <f t="shared" si="522"/>
        <v>7970702.5207362967</v>
      </c>
      <c r="AB1041" s="5"/>
      <c r="AC1041" s="5"/>
      <c r="AD1041" s="5"/>
      <c r="AE1041" s="5"/>
      <c r="AF1041" s="5"/>
      <c r="AG1041" s="5"/>
    </row>
    <row r="1042" spans="1:33" x14ac:dyDescent="0.2">
      <c r="A1042" s="173">
        <v>38</v>
      </c>
      <c r="B1042" s="65" t="str">
        <f t="shared" si="508"/>
        <v>Retired</v>
      </c>
      <c r="C1042" s="174">
        <f t="shared" si="509"/>
        <v>0</v>
      </c>
      <c r="D1042" s="174">
        <f t="shared" si="510"/>
        <v>0</v>
      </c>
      <c r="E1042" s="174">
        <f t="shared" si="511"/>
        <v>0</v>
      </c>
      <c r="F1042" s="174">
        <f t="shared" si="512"/>
        <v>0</v>
      </c>
      <c r="G1042" s="171">
        <f t="shared" si="513"/>
        <v>0</v>
      </c>
      <c r="H1042" s="171">
        <f t="shared" si="514"/>
        <v>186699.05537318936</v>
      </c>
      <c r="I1042" s="171">
        <f>IF(B1042="Working",MIN(MAX(D1042-E1042-F1042-G1042-H1042,0),'Tax Assumptions'!$B$20),0)</f>
        <v>0</v>
      </c>
      <c r="J1042" s="171">
        <f t="shared" si="515"/>
        <v>-386699.05537318939</v>
      </c>
      <c r="K1042" s="174">
        <f t="shared" si="516"/>
        <v>386699.05537318939</v>
      </c>
      <c r="L1042" s="174">
        <f t="shared" si="517"/>
        <v>386699.05537318939</v>
      </c>
      <c r="M1042" s="174">
        <f t="shared" si="523"/>
        <v>386699.05537318939</v>
      </c>
      <c r="N1042" s="174">
        <f t="shared" si="524"/>
        <v>0</v>
      </c>
      <c r="O1042" s="174">
        <f t="shared" si="525"/>
        <v>0</v>
      </c>
      <c r="P1042" s="174">
        <f t="shared" si="526"/>
        <v>0</v>
      </c>
      <c r="Q1042" s="171">
        <f t="shared" si="527"/>
        <v>1298420.8471482638</v>
      </c>
      <c r="R1042" s="171">
        <f t="shared" si="528"/>
        <v>1650714.3070370574</v>
      </c>
      <c r="S1042" s="171">
        <f t="shared" si="529"/>
        <v>505320.70623583387</v>
      </c>
      <c r="T1042" s="171">
        <f t="shared" si="530"/>
        <v>0</v>
      </c>
      <c r="U1042" s="171">
        <f t="shared" si="518"/>
        <v>3454455.8604211551</v>
      </c>
      <c r="V1042" s="171">
        <f t="shared" si="531"/>
        <v>0</v>
      </c>
      <c r="W1042" s="171">
        <f>IF(OR(A1042&gt;=$C$13,B1042="Retired"),IF(V1042&gt;0,-V1042,U1042-'Model Inputs'!$B$18),"")</f>
        <v>2454455.8604211551</v>
      </c>
      <c r="X1042" s="171">
        <f t="shared" si="519"/>
        <v>4640410.2857139688</v>
      </c>
      <c r="Y1042" s="171">
        <f t="shared" si="520"/>
        <v>81704.849467127584</v>
      </c>
      <c r="Z1042" s="171">
        <f t="shared" si="521"/>
        <v>4558705.4362468412</v>
      </c>
      <c r="AA1042" s="175">
        <f t="shared" si="522"/>
        <v>8013161.2966679968</v>
      </c>
      <c r="AB1042" s="5"/>
      <c r="AC1042" s="5"/>
      <c r="AD1042" s="5"/>
      <c r="AE1042" s="5"/>
      <c r="AF1042" s="5"/>
      <c r="AG1042" s="5"/>
    </row>
    <row r="1043" spans="1:33" x14ac:dyDescent="0.2">
      <c r="A1043" s="169">
        <v>39</v>
      </c>
      <c r="B1043" s="100" t="str">
        <f t="shared" si="508"/>
        <v>Retired</v>
      </c>
      <c r="C1043" s="170">
        <f t="shared" si="509"/>
        <v>0</v>
      </c>
      <c r="D1043" s="170">
        <f t="shared" si="510"/>
        <v>0</v>
      </c>
      <c r="E1043" s="170">
        <f t="shared" si="511"/>
        <v>0</v>
      </c>
      <c r="F1043" s="170">
        <f t="shared" si="512"/>
        <v>0</v>
      </c>
      <c r="G1043" s="171">
        <f t="shared" si="513"/>
        <v>0</v>
      </c>
      <c r="H1043" s="171">
        <f t="shared" si="514"/>
        <v>189761.72616176057</v>
      </c>
      <c r="I1043" s="171">
        <f>IF(B1043="Working",MIN(MAX(D1043-E1043-F1043-G1043-H1043,0),'Tax Assumptions'!$B$20),0)</f>
        <v>0</v>
      </c>
      <c r="J1043" s="171">
        <f t="shared" si="515"/>
        <v>-389761.72616176057</v>
      </c>
      <c r="K1043" s="170">
        <f t="shared" si="516"/>
        <v>389761.72616176057</v>
      </c>
      <c r="L1043" s="170">
        <f t="shared" si="517"/>
        <v>389761.72616176057</v>
      </c>
      <c r="M1043" s="170">
        <f t="shared" si="523"/>
        <v>389761.72616176057</v>
      </c>
      <c r="N1043" s="170">
        <f t="shared" si="524"/>
        <v>0</v>
      </c>
      <c r="O1043" s="170">
        <f t="shared" si="525"/>
        <v>0</v>
      </c>
      <c r="P1043" s="170">
        <f t="shared" si="526"/>
        <v>0</v>
      </c>
      <c r="Q1043" s="171">
        <f t="shared" si="527"/>
        <v>986564.37181539927</v>
      </c>
      <c r="R1043" s="171">
        <f t="shared" si="528"/>
        <v>1749757.1654592808</v>
      </c>
      <c r="S1043" s="171">
        <f t="shared" si="529"/>
        <v>535639.9486099839</v>
      </c>
      <c r="T1043" s="171">
        <f t="shared" si="530"/>
        <v>0</v>
      </c>
      <c r="U1043" s="171">
        <f t="shared" si="518"/>
        <v>3271961.4858846641</v>
      </c>
      <c r="V1043" s="171">
        <f t="shared" si="531"/>
        <v>0</v>
      </c>
      <c r="W1043" s="171">
        <f>IF(OR(A1043&gt;=$C$13,B1043="Retired"),IF(V1043&gt;0,-V1043,U1043-'Model Inputs'!$B$18),"")</f>
        <v>2271961.4858846641</v>
      </c>
      <c r="X1043" s="171">
        <f t="shared" si="519"/>
        <v>4779622.5942853875</v>
      </c>
      <c r="Y1043" s="171">
        <f t="shared" si="520"/>
        <v>0</v>
      </c>
      <c r="Z1043" s="171">
        <f t="shared" si="521"/>
        <v>4779622.5942853875</v>
      </c>
      <c r="AA1043" s="172">
        <f t="shared" si="522"/>
        <v>8051584.0801700521</v>
      </c>
      <c r="AB1043" s="5"/>
      <c r="AC1043" s="5"/>
      <c r="AD1043" s="5"/>
      <c r="AE1043" s="5"/>
      <c r="AF1043" s="5"/>
      <c r="AG1043" s="5"/>
    </row>
    <row r="1044" spans="1:33" x14ac:dyDescent="0.2">
      <c r="A1044" s="173">
        <v>40</v>
      </c>
      <c r="B1044" s="65" t="str">
        <f t="shared" si="508"/>
        <v>Retired</v>
      </c>
      <c r="C1044" s="174">
        <f t="shared" si="509"/>
        <v>0</v>
      </c>
      <c r="D1044" s="174">
        <f t="shared" si="510"/>
        <v>0</v>
      </c>
      <c r="E1044" s="174">
        <f t="shared" si="511"/>
        <v>0</v>
      </c>
      <c r="F1044" s="174">
        <f t="shared" si="512"/>
        <v>0</v>
      </c>
      <c r="G1044" s="171">
        <f t="shared" si="513"/>
        <v>0</v>
      </c>
      <c r="H1044" s="171">
        <f t="shared" si="514"/>
        <v>108306.24798650687</v>
      </c>
      <c r="I1044" s="171">
        <f>IF(B1044="Working",MIN(MAX(D1044-E1044-F1044-G1044-H1044,0),'Tax Assumptions'!$B$20),0)</f>
        <v>0</v>
      </c>
      <c r="J1044" s="171">
        <f t="shared" si="515"/>
        <v>-308306.2479865069</v>
      </c>
      <c r="K1044" s="174">
        <f t="shared" si="516"/>
        <v>308306.2479865069</v>
      </c>
      <c r="L1044" s="174">
        <f t="shared" si="517"/>
        <v>308306.2479865069</v>
      </c>
      <c r="M1044" s="174">
        <f t="shared" si="523"/>
        <v>308306.2479865069</v>
      </c>
      <c r="N1044" s="174">
        <f t="shared" si="524"/>
        <v>0</v>
      </c>
      <c r="O1044" s="174">
        <f t="shared" si="525"/>
        <v>0</v>
      </c>
      <c r="P1044" s="174">
        <f t="shared" si="526"/>
        <v>0</v>
      </c>
      <c r="Q1044" s="171">
        <f t="shared" si="527"/>
        <v>737451.98613781633</v>
      </c>
      <c r="R1044" s="171">
        <f t="shared" si="528"/>
        <v>1854742.5953868378</v>
      </c>
      <c r="S1044" s="171">
        <f t="shared" si="529"/>
        <v>567778.34552658291</v>
      </c>
      <c r="T1044" s="171">
        <f t="shared" si="530"/>
        <v>0</v>
      </c>
      <c r="U1044" s="171">
        <f t="shared" si="518"/>
        <v>3159972.9270512373</v>
      </c>
      <c r="V1044" s="171">
        <f t="shared" si="531"/>
        <v>0</v>
      </c>
      <c r="W1044" s="171">
        <f>IF(OR(A1044&gt;=$C$13,B1044="Retired"),IF(V1044&gt;0,-V1044,U1044-'Model Inputs'!$B$18),"")</f>
        <v>2159972.9270512373</v>
      </c>
      <c r="X1044" s="171">
        <f t="shared" si="519"/>
        <v>4923011.2721139491</v>
      </c>
      <c r="Y1044" s="171">
        <f t="shared" si="520"/>
        <v>0</v>
      </c>
      <c r="Z1044" s="171">
        <f t="shared" si="521"/>
        <v>4923011.2721139491</v>
      </c>
      <c r="AA1044" s="175">
        <f t="shared" si="522"/>
        <v>8082984.1991651859</v>
      </c>
      <c r="AB1044" s="5"/>
      <c r="AC1044" s="5"/>
      <c r="AD1044" s="5"/>
      <c r="AE1044" s="5"/>
      <c r="AF1044" s="5"/>
      <c r="AG1044" s="5"/>
    </row>
    <row r="1045" spans="1:33" x14ac:dyDescent="0.2">
      <c r="A1045" s="176" t="s">
        <v>369</v>
      </c>
      <c r="B1045" s="177"/>
      <c r="C1045" s="177"/>
      <c r="D1045" s="177"/>
      <c r="E1045" s="177"/>
      <c r="F1045" s="177"/>
      <c r="G1045" s="178">
        <f t="shared" ref="G1045:P1045" si="532">SUM(G1005:G1044)</f>
        <v>963402.34400279156</v>
      </c>
      <c r="H1045" s="178">
        <f t="shared" si="532"/>
        <v>4769457.3820516244</v>
      </c>
      <c r="I1045" s="178">
        <f t="shared" si="532"/>
        <v>75000</v>
      </c>
      <c r="J1045" s="178">
        <f t="shared" si="532"/>
        <v>-6885267.486013893</v>
      </c>
      <c r="K1045" s="178">
        <f t="shared" si="532"/>
        <v>10640226.612820854</v>
      </c>
      <c r="L1045" s="178">
        <f t="shared" si="532"/>
        <v>10640226.612820854</v>
      </c>
      <c r="M1045" s="178">
        <f t="shared" si="532"/>
        <v>10640226.612820854</v>
      </c>
      <c r="N1045" s="178">
        <f t="shared" si="532"/>
        <v>0</v>
      </c>
      <c r="O1045" s="178">
        <f t="shared" si="532"/>
        <v>0</v>
      </c>
      <c r="P1045" s="178">
        <f t="shared" si="532"/>
        <v>0</v>
      </c>
      <c r="Q1045" s="178">
        <f>Q1044</f>
        <v>737451.98613781633</v>
      </c>
      <c r="R1045" s="178">
        <f>R1044</f>
        <v>1854742.5953868378</v>
      </c>
      <c r="S1045" s="178">
        <f>S1044</f>
        <v>567778.34552658291</v>
      </c>
      <c r="T1045" s="178">
        <f>T1044</f>
        <v>0</v>
      </c>
      <c r="U1045" s="178">
        <f>U1044</f>
        <v>3159972.9270512373</v>
      </c>
      <c r="V1045" s="178">
        <f>SUM(V1005:V1044)</f>
        <v>0</v>
      </c>
      <c r="W1045" s="178">
        <f>MIN(W1005:W1044)</f>
        <v>2159972.9270512373</v>
      </c>
      <c r="X1045" s="178">
        <f>X1044</f>
        <v>4923011.2721139491</v>
      </c>
      <c r="Y1045" s="178">
        <f>Y1044</f>
        <v>0</v>
      </c>
      <c r="Z1045" s="178">
        <f>Z1044</f>
        <v>4923011.2721139491</v>
      </c>
      <c r="AA1045" s="179">
        <f>AA1044</f>
        <v>8082984.1991651859</v>
      </c>
      <c r="AB1045" s="5"/>
      <c r="AC1045" s="5"/>
      <c r="AD1045" s="5"/>
      <c r="AE1045" s="5"/>
      <c r="AF1045" s="5"/>
      <c r="AG1045" s="5"/>
    </row>
    <row r="1046" spans="1:33" x14ac:dyDescent="0.2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 spans="1:33" x14ac:dyDescent="0.2">
      <c r="A1047" s="319" t="str">
        <f>J245&amp;" | House "&amp;TEXT($L$245,"$#,##0")&amp;" | Spend "&amp;TEXT($N$245,"$#,##0")</f>
        <v>Case 19 | House $2,028,215 | Spend $230,000</v>
      </c>
      <c r="B1047" s="288"/>
      <c r="C1047" s="288"/>
      <c r="D1047" s="288"/>
      <c r="E1047" s="288"/>
      <c r="F1047" s="288"/>
      <c r="G1047" s="288"/>
      <c r="H1047" s="288"/>
      <c r="I1047" s="288"/>
      <c r="J1047" s="288"/>
      <c r="K1047" s="288"/>
      <c r="L1047" s="288"/>
      <c r="M1047" s="288"/>
      <c r="N1047" s="288"/>
      <c r="O1047" s="288"/>
      <c r="P1047" s="288"/>
      <c r="Q1047" s="288"/>
      <c r="R1047" s="288"/>
      <c r="S1047" s="288"/>
      <c r="T1047" s="288"/>
      <c r="U1047" s="288"/>
      <c r="V1047" s="288"/>
      <c r="W1047" s="288"/>
      <c r="X1047" s="288"/>
      <c r="Y1047" s="288"/>
      <c r="Z1047" s="288"/>
      <c r="AA1047" s="289"/>
      <c r="AB1047" s="5"/>
      <c r="AC1047" s="5"/>
      <c r="AD1047" s="5"/>
      <c r="AE1047" s="5"/>
      <c r="AF1047" s="5"/>
      <c r="AG1047" s="5"/>
    </row>
    <row r="1048" spans="1:33" ht="34" customHeight="1" x14ac:dyDescent="0.2">
      <c r="A1048" s="167" t="s">
        <v>224</v>
      </c>
      <c r="B1048" s="112" t="s">
        <v>106</v>
      </c>
      <c r="C1048" s="112" t="s">
        <v>357</v>
      </c>
      <c r="D1048" s="112" t="s">
        <v>66</v>
      </c>
      <c r="E1048" s="112" t="s">
        <v>300</v>
      </c>
      <c r="F1048" s="112" t="s">
        <v>301</v>
      </c>
      <c r="G1048" s="112" t="s">
        <v>358</v>
      </c>
      <c r="H1048" s="112" t="s">
        <v>359</v>
      </c>
      <c r="I1048" s="112" t="s">
        <v>69</v>
      </c>
      <c r="J1048" s="112" t="s">
        <v>360</v>
      </c>
      <c r="K1048" s="112" t="s">
        <v>361</v>
      </c>
      <c r="L1048" s="112" t="s">
        <v>362</v>
      </c>
      <c r="M1048" s="112" t="s">
        <v>304</v>
      </c>
      <c r="N1048" s="112" t="s">
        <v>305</v>
      </c>
      <c r="O1048" s="112" t="s">
        <v>306</v>
      </c>
      <c r="P1048" s="112" t="s">
        <v>307</v>
      </c>
      <c r="Q1048" s="112" t="s">
        <v>363</v>
      </c>
      <c r="R1048" s="112" t="s">
        <v>364</v>
      </c>
      <c r="S1048" s="112" t="s">
        <v>365</v>
      </c>
      <c r="T1048" s="112" t="s">
        <v>366</v>
      </c>
      <c r="U1048" s="112" t="s">
        <v>308</v>
      </c>
      <c r="V1048" s="112" t="s">
        <v>309</v>
      </c>
      <c r="W1048" s="112" t="s">
        <v>367</v>
      </c>
      <c r="X1048" s="112" t="s">
        <v>311</v>
      </c>
      <c r="Y1048" s="112" t="s">
        <v>312</v>
      </c>
      <c r="Z1048" s="112" t="s">
        <v>313</v>
      </c>
      <c r="AA1048" s="168" t="s">
        <v>368</v>
      </c>
      <c r="AB1048" s="5"/>
      <c r="AC1048" s="5"/>
      <c r="AD1048" s="5"/>
      <c r="AE1048" s="5"/>
      <c r="AF1048" s="5"/>
      <c r="AG1048" s="5"/>
    </row>
    <row r="1049" spans="1:33" x14ac:dyDescent="0.2">
      <c r="A1049" s="169">
        <v>1</v>
      </c>
      <c r="B1049" s="100" t="str">
        <f t="shared" ref="B1049:B1088" si="533">B80</f>
        <v>Working</v>
      </c>
      <c r="C1049" s="170">
        <f t="shared" ref="C1049:C1088" si="534">D80</f>
        <v>550000</v>
      </c>
      <c r="D1049" s="170">
        <f t="shared" ref="D1049:D1088" si="535">I80</f>
        <v>302665.46999999997</v>
      </c>
      <c r="E1049" s="170">
        <f t="shared" ref="E1049:E1088" si="536">J80</f>
        <v>78000</v>
      </c>
      <c r="F1049" s="170">
        <f t="shared" ref="F1049:F1088" si="537">K80</f>
        <v>40000</v>
      </c>
      <c r="G1049" s="171">
        <f t="shared" ref="G1049:G1088" si="538">IF(AND($L$245&gt;0,A1049=$C$13),$L$245*($C$15+$C$18),0)+IF(AND($L$245&gt;0,A1049=$C$13),$C$24,0)</f>
        <v>0</v>
      </c>
      <c r="H1049" s="171">
        <f t="shared" ref="H1049:H1088" si="539">IF(OR($L$245&lt;=0,A1049&lt;$C$13),0,IF(AND($L$245&gt;0,$C$17&gt;0,A1049&gt;=$C$13,A1049&lt;($C$13+$C$17)),IF($C$17&lt;=0,0,IF($C$16=0,MAX($L$245*(1-$C$15),0)/$C$17,-PMT($C$16/12,$C$17*12,MAX($L$245*(1-$C$15),0))*12)),0)+X1049*($C$19+$C$20+$C$21)+$C$22+$C$23)</f>
        <v>0</v>
      </c>
      <c r="I1049" s="171">
        <f>IF(B1049="Working",MIN(MAX(D1049-E1049-F1049-G1049-H1049,0),'Tax Assumptions'!$B$20),0)</f>
        <v>7500</v>
      </c>
      <c r="J1049" s="171">
        <f t="shared" ref="J1049:J1088" si="540">IF(B1049="Working",D1049-E1049-F1049-I1049-G1049-H1049,-L1049)</f>
        <v>177165.46999999997</v>
      </c>
      <c r="K1049" s="170">
        <f t="shared" ref="K1049:K1088" si="541">IF(B1049="Retired",$N$245+G1049+H1049,0)</f>
        <v>0</v>
      </c>
      <c r="L1049" s="170">
        <f t="shared" ref="L1049:L1088" si="542">M1049+N1049+O1049+P1049</f>
        <v>0</v>
      </c>
      <c r="M1049" s="170">
        <f>IF(B1049="Retired",MIN((('Savings Projection'!$B$7)*(1+$C$10)+IF(B1049="Working",J1049,0)),K1049),0)</f>
        <v>0</v>
      </c>
      <c r="N1049" s="170">
        <f>IF(B1049="Retired",MIN(MAX(K1049-M1049,0),(('Savings Projection'!$B$8)*(1+$C$10)+IF(B1049="Working",E80,0))),0)</f>
        <v>0</v>
      </c>
      <c r="O1049" s="170">
        <f>IF(B1049="Retired",MIN(MAX(K1049-M1049-N1049,0),(('Savings Projection'!$B$9)*(1+$C$10)+IF(B1049="Working",I1049,0))),0)</f>
        <v>0</v>
      </c>
      <c r="P1049" s="170">
        <f>IF(B1049="Retired",MIN(MAX(K1049-M1049-N1049-O1049,0),(('Savings Projection'!$B$10)*(1+$C$10)+IF(B1049="Working",F80,0))),0)</f>
        <v>0</v>
      </c>
      <c r="Q1049" s="171">
        <f>MAX((('Savings Projection'!$B$7)*(1+$C$10)+IF(B1049="Working",J1049,0))-M1049,0)</f>
        <v>336165.47</v>
      </c>
      <c r="R1049" s="171">
        <f>MAX((('Savings Projection'!$B$8)*(1+$C$10)+IF(B1049="Working",E80,0))-N1049,0)</f>
        <v>24500</v>
      </c>
      <c r="S1049" s="171">
        <f>MAX((('Savings Projection'!$B$9)*(1+$C$10)+IF(B1049="Working",I1049,0))-O1049,0)</f>
        <v>7500</v>
      </c>
      <c r="T1049" s="171">
        <f>MAX((('Savings Projection'!$B$10)*(1+$C$10)+IF(B1049="Working",F80,0))-P1049,0)</f>
        <v>0</v>
      </c>
      <c r="U1049" s="171">
        <f t="shared" ref="U1049:U1088" si="543">Q1049+R1049+S1049+T1049</f>
        <v>368165.47</v>
      </c>
      <c r="V1049" s="171">
        <f>IF(B1049="Working",MAX(-((('Savings Projection'!$B$7)*(1+$C$10)+IF(B1049="Working",J1049,0))),0),MAX(K1049-L1049,0))</f>
        <v>0</v>
      </c>
      <c r="W1049" s="171" t="str">
        <f>IF(OR(A1049&gt;=$C$13,B1049="Retired"),IF(V1049&gt;0,-V1049,U1049-'Model Inputs'!$B$18),"")</f>
        <v/>
      </c>
      <c r="X1049" s="171">
        <f t="shared" ref="X1049:X1088" si="544">IF(AND($L$245&gt;0,A1049&gt;=$C$13),$L$245*(1+$C$25)^(A1049-$C$13),0)</f>
        <v>0</v>
      </c>
      <c r="Y1049" s="171">
        <f t="shared" ref="Y1049:Y1088" si="545">IF(OR($L$245&lt;=0,$C$17&lt;=0,A1049&lt;$C$13,MIN(MAX((A1049-$C$13+1)*12,0),$C$17*12)&gt;=$C$17*12),0,IF($C$16=0,MAX(MAX($L$245*(1-$C$15),0)-(IF($C$17&lt;=0,0,IF($C$16=0,MAX($L$245*(1-$C$15),0)/$C$17,-PMT($C$16/12,$C$17*12,MAX($L$245*(1-$C$15),0))*12))/12)*MIN(MAX((A1049-$C$13+1)*12,0),$C$17*12),0),MAX(MAX($L$245*(1-$C$15),0)*(1+$C$16/12)^MIN(MAX((A1049-$C$13+1)*12,0),$C$17*12)-(IF($C$17&lt;=0,0,IF($C$16=0,MAX($L$245*(1-$C$15),0)/$C$17,-PMT($C$16/12,$C$17*12,MAX($L$245*(1-$C$15),0))*12))/12)*(((1+$C$16/12)^MIN(MAX((A1049-$C$13+1)*12,0),$C$17*12)-1)/($C$16/12)),0)))</f>
        <v>0</v>
      </c>
      <c r="Z1049" s="171">
        <f t="shared" ref="Z1049:Z1088" si="546">MAX(X1049-Y1049,0)</f>
        <v>0</v>
      </c>
      <c r="AA1049" s="172">
        <f t="shared" ref="AA1049:AA1088" si="547">U1049+Z1049</f>
        <v>368165.47</v>
      </c>
      <c r="AB1049" s="5"/>
      <c r="AC1049" s="5"/>
      <c r="AD1049" s="5"/>
      <c r="AE1049" s="5"/>
      <c r="AF1049" s="5"/>
      <c r="AG1049" s="5"/>
    </row>
    <row r="1050" spans="1:33" x14ac:dyDescent="0.2">
      <c r="A1050" s="173">
        <v>2</v>
      </c>
      <c r="B1050" s="65" t="str">
        <f t="shared" si="533"/>
        <v>Working</v>
      </c>
      <c r="C1050" s="174">
        <f t="shared" si="534"/>
        <v>412500</v>
      </c>
      <c r="D1050" s="174">
        <f t="shared" si="535"/>
        <v>231269.97</v>
      </c>
      <c r="E1050" s="174">
        <f t="shared" si="536"/>
        <v>80340</v>
      </c>
      <c r="F1050" s="174">
        <f t="shared" si="537"/>
        <v>41200</v>
      </c>
      <c r="G1050" s="171">
        <f t="shared" si="538"/>
        <v>0</v>
      </c>
      <c r="H1050" s="171">
        <f t="shared" si="539"/>
        <v>0</v>
      </c>
      <c r="I1050" s="171">
        <f>IF(B1050="Working",MIN(MAX(D1050-E1050-F1050-G1050-H1050,0),'Tax Assumptions'!$B$20),0)</f>
        <v>7500</v>
      </c>
      <c r="J1050" s="171">
        <f t="shared" si="540"/>
        <v>102229.97</v>
      </c>
      <c r="K1050" s="174">
        <f t="shared" si="541"/>
        <v>0</v>
      </c>
      <c r="L1050" s="174">
        <f t="shared" si="542"/>
        <v>0</v>
      </c>
      <c r="M1050" s="174">
        <f t="shared" ref="M1050:M1088" si="548">IF(B1050="Retired",MIN(((Q1049)*(1+$C$10)+IF(B1050="Working",J1050,0)),K1050),0)</f>
        <v>0</v>
      </c>
      <c r="N1050" s="174">
        <f t="shared" ref="N1050:N1088" si="549">IF(B1050="Retired",MIN(MAX(K1050-M1050,0),((R1049)*(1+$C$10)+IF(B1050="Working",E81,0))),0)</f>
        <v>0</v>
      </c>
      <c r="O1050" s="174">
        <f t="shared" ref="O1050:O1088" si="550">IF(B1050="Retired",MIN(MAX(K1050-M1050-N1050,0),((S1049)*(1+$C$10)+IF(B1050="Working",I1050,0))),0)</f>
        <v>0</v>
      </c>
      <c r="P1050" s="174">
        <f t="shared" ref="P1050:P1088" si="551">IF(B1050="Retired",MIN(MAX(K1050-M1050-N1050-O1050,0),((T1049)*(1+$C$10)+IF(B1050="Working",F81,0))),0)</f>
        <v>0</v>
      </c>
      <c r="Q1050" s="171">
        <f t="shared" ref="Q1050:Q1088" si="552">MAX(((Q1049)*(1+$C$10)+IF(B1050="Working",J1050,0))-M1050,0)</f>
        <v>458565.36820000003</v>
      </c>
      <c r="R1050" s="171">
        <f t="shared" ref="R1050:R1088" si="553">MAX(((R1049)*(1+$C$10)+IF(B1050="Working",E81,0))-N1050,0)</f>
        <v>50470</v>
      </c>
      <c r="S1050" s="171">
        <f t="shared" ref="S1050:S1088" si="554">MAX(((S1049)*(1+$C$10)+IF(B1050="Working",I1050,0))-O1050,0)</f>
        <v>15450</v>
      </c>
      <c r="T1050" s="171">
        <f t="shared" ref="T1050:T1088" si="555">MAX(((T1049)*(1+$C$10)+IF(B1050="Working",F81,0))-P1050,0)</f>
        <v>0</v>
      </c>
      <c r="U1050" s="171">
        <f t="shared" si="543"/>
        <v>524485.36820000003</v>
      </c>
      <c r="V1050" s="171">
        <f t="shared" ref="V1050:V1088" si="556">IF(B1050="Working",MAX(-(((Q1049)*(1+$C$10)+IF(B1050="Working",J1050,0))),0),MAX(K1050-L1050,0))</f>
        <v>0</v>
      </c>
      <c r="W1050" s="171" t="str">
        <f>IF(OR(A1050&gt;=$C$13,B1050="Retired"),IF(V1050&gt;0,-V1050,U1050-'Model Inputs'!$B$18),"")</f>
        <v/>
      </c>
      <c r="X1050" s="171">
        <f t="shared" si="544"/>
        <v>0</v>
      </c>
      <c r="Y1050" s="171">
        <f t="shared" si="545"/>
        <v>0</v>
      </c>
      <c r="Z1050" s="171">
        <f t="shared" si="546"/>
        <v>0</v>
      </c>
      <c r="AA1050" s="175">
        <f t="shared" si="547"/>
        <v>524485.36820000003</v>
      </c>
      <c r="AB1050" s="5"/>
      <c r="AC1050" s="5"/>
      <c r="AD1050" s="5"/>
      <c r="AE1050" s="5"/>
      <c r="AF1050" s="5"/>
      <c r="AG1050" s="5"/>
    </row>
    <row r="1051" spans="1:33" x14ac:dyDescent="0.2">
      <c r="A1051" s="169">
        <v>3</v>
      </c>
      <c r="B1051" s="100" t="str">
        <f t="shared" si="533"/>
        <v>Working</v>
      </c>
      <c r="C1051" s="170">
        <f t="shared" si="534"/>
        <v>675000</v>
      </c>
      <c r="D1051" s="170">
        <f t="shared" si="535"/>
        <v>367570.47</v>
      </c>
      <c r="E1051" s="170">
        <f t="shared" si="536"/>
        <v>82750.2</v>
      </c>
      <c r="F1051" s="170">
        <f t="shared" si="537"/>
        <v>53045</v>
      </c>
      <c r="G1051" s="171">
        <f t="shared" si="538"/>
        <v>0</v>
      </c>
      <c r="H1051" s="171">
        <f t="shared" si="539"/>
        <v>0</v>
      </c>
      <c r="I1051" s="171">
        <f>IF(B1051="Working",MIN(MAX(D1051-E1051-F1051-G1051-H1051,0),'Tax Assumptions'!$B$20),0)</f>
        <v>7500</v>
      </c>
      <c r="J1051" s="171">
        <f t="shared" si="540"/>
        <v>224275.26999999996</v>
      </c>
      <c r="K1051" s="170">
        <f t="shared" si="541"/>
        <v>0</v>
      </c>
      <c r="L1051" s="170">
        <f t="shared" si="542"/>
        <v>0</v>
      </c>
      <c r="M1051" s="170">
        <f t="shared" si="548"/>
        <v>0</v>
      </c>
      <c r="N1051" s="170">
        <f t="shared" si="549"/>
        <v>0</v>
      </c>
      <c r="O1051" s="170">
        <f t="shared" si="550"/>
        <v>0</v>
      </c>
      <c r="P1051" s="170">
        <f t="shared" si="551"/>
        <v>0</v>
      </c>
      <c r="Q1051" s="171">
        <f t="shared" si="552"/>
        <v>710354.56029199995</v>
      </c>
      <c r="R1051" s="171">
        <f t="shared" si="553"/>
        <v>77998.200000000012</v>
      </c>
      <c r="S1051" s="171">
        <f t="shared" si="554"/>
        <v>23877</v>
      </c>
      <c r="T1051" s="171">
        <f t="shared" si="555"/>
        <v>0</v>
      </c>
      <c r="U1051" s="171">
        <f t="shared" si="543"/>
        <v>812229.7602919999</v>
      </c>
      <c r="V1051" s="171">
        <f t="shared" si="556"/>
        <v>0</v>
      </c>
      <c r="W1051" s="171" t="str">
        <f>IF(OR(A1051&gt;=$C$13,B1051="Retired"),IF(V1051&gt;0,-V1051,U1051-'Model Inputs'!$B$18),"")</f>
        <v/>
      </c>
      <c r="X1051" s="171">
        <f t="shared" si="544"/>
        <v>0</v>
      </c>
      <c r="Y1051" s="171">
        <f t="shared" si="545"/>
        <v>0</v>
      </c>
      <c r="Z1051" s="171">
        <f t="shared" si="546"/>
        <v>0</v>
      </c>
      <c r="AA1051" s="172">
        <f t="shared" si="547"/>
        <v>812229.7602919999</v>
      </c>
      <c r="AB1051" s="5"/>
      <c r="AC1051" s="5"/>
      <c r="AD1051" s="5"/>
      <c r="AE1051" s="5"/>
      <c r="AF1051" s="5"/>
      <c r="AG1051" s="5"/>
    </row>
    <row r="1052" spans="1:33" x14ac:dyDescent="0.2">
      <c r="A1052" s="173">
        <v>4</v>
      </c>
      <c r="B1052" s="65" t="str">
        <f t="shared" si="533"/>
        <v>Working</v>
      </c>
      <c r="C1052" s="174">
        <f t="shared" si="534"/>
        <v>750000</v>
      </c>
      <c r="D1052" s="174">
        <f t="shared" si="535"/>
        <v>405137.47</v>
      </c>
      <c r="E1052" s="174">
        <f t="shared" si="536"/>
        <v>85232.706000000006</v>
      </c>
      <c r="F1052" s="174">
        <f t="shared" si="537"/>
        <v>54636.35</v>
      </c>
      <c r="G1052" s="171">
        <f t="shared" si="538"/>
        <v>0</v>
      </c>
      <c r="H1052" s="171">
        <f t="shared" si="539"/>
        <v>0</v>
      </c>
      <c r="I1052" s="171">
        <f>IF(B1052="Working",MIN(MAX(D1052-E1052-F1052-G1052-H1052,0),'Tax Assumptions'!$B$20),0)</f>
        <v>7500</v>
      </c>
      <c r="J1052" s="171">
        <f t="shared" si="540"/>
        <v>257768.41399999999</v>
      </c>
      <c r="K1052" s="174">
        <f t="shared" si="541"/>
        <v>0</v>
      </c>
      <c r="L1052" s="174">
        <f t="shared" si="542"/>
        <v>0</v>
      </c>
      <c r="M1052" s="174">
        <f t="shared" si="548"/>
        <v>0</v>
      </c>
      <c r="N1052" s="174">
        <f t="shared" si="549"/>
        <v>0</v>
      </c>
      <c r="O1052" s="174">
        <f t="shared" si="550"/>
        <v>0</v>
      </c>
      <c r="P1052" s="174">
        <f t="shared" si="551"/>
        <v>0</v>
      </c>
      <c r="Q1052" s="171">
        <f t="shared" si="552"/>
        <v>1010744.2479095199</v>
      </c>
      <c r="R1052" s="171">
        <f t="shared" si="553"/>
        <v>107178.09200000002</v>
      </c>
      <c r="S1052" s="171">
        <f t="shared" si="554"/>
        <v>32809.620000000003</v>
      </c>
      <c r="T1052" s="171">
        <f t="shared" si="555"/>
        <v>0</v>
      </c>
      <c r="U1052" s="171">
        <f t="shared" si="543"/>
        <v>1150731.9599095201</v>
      </c>
      <c r="V1052" s="171">
        <f t="shared" si="556"/>
        <v>0</v>
      </c>
      <c r="W1052" s="171" t="str">
        <f>IF(OR(A1052&gt;=$C$13,B1052="Retired"),IF(V1052&gt;0,-V1052,U1052-'Model Inputs'!$B$18),"")</f>
        <v/>
      </c>
      <c r="X1052" s="171">
        <f t="shared" si="544"/>
        <v>0</v>
      </c>
      <c r="Y1052" s="171">
        <f t="shared" si="545"/>
        <v>0</v>
      </c>
      <c r="Z1052" s="171">
        <f t="shared" si="546"/>
        <v>0</v>
      </c>
      <c r="AA1052" s="175">
        <f t="shared" si="547"/>
        <v>1150731.9599095201</v>
      </c>
      <c r="AB1052" s="5"/>
      <c r="AC1052" s="5"/>
      <c r="AD1052" s="5"/>
      <c r="AE1052" s="5"/>
      <c r="AF1052" s="5"/>
      <c r="AG1052" s="5"/>
    </row>
    <row r="1053" spans="1:33" x14ac:dyDescent="0.2">
      <c r="A1053" s="169">
        <v>5</v>
      </c>
      <c r="B1053" s="100" t="str">
        <f t="shared" si="533"/>
        <v>Working</v>
      </c>
      <c r="C1053" s="170">
        <f t="shared" si="534"/>
        <v>953837.51358640334</v>
      </c>
      <c r="D1053" s="170">
        <f t="shared" si="535"/>
        <v>506901.31028287602</v>
      </c>
      <c r="E1053" s="170">
        <f t="shared" si="536"/>
        <v>87789.687179999994</v>
      </c>
      <c r="F1053" s="170">
        <f t="shared" si="537"/>
        <v>56275.440499999997</v>
      </c>
      <c r="G1053" s="171">
        <f t="shared" si="538"/>
        <v>0</v>
      </c>
      <c r="H1053" s="171">
        <f t="shared" si="539"/>
        <v>0</v>
      </c>
      <c r="I1053" s="171">
        <f>IF(B1053="Working",MIN(MAX(D1053-E1053-F1053-G1053-H1053,0),'Tax Assumptions'!$B$20),0)</f>
        <v>7500</v>
      </c>
      <c r="J1053" s="171">
        <f t="shared" si="540"/>
        <v>355336.18260287598</v>
      </c>
      <c r="K1053" s="170">
        <f t="shared" si="541"/>
        <v>0</v>
      </c>
      <c r="L1053" s="170">
        <f t="shared" si="542"/>
        <v>0</v>
      </c>
      <c r="M1053" s="170">
        <f t="shared" si="548"/>
        <v>0</v>
      </c>
      <c r="N1053" s="170">
        <f t="shared" si="549"/>
        <v>0</v>
      </c>
      <c r="O1053" s="170">
        <f t="shared" si="550"/>
        <v>0</v>
      </c>
      <c r="P1053" s="170">
        <f t="shared" si="551"/>
        <v>0</v>
      </c>
      <c r="Q1053" s="171">
        <f t="shared" si="552"/>
        <v>1426725.0853869673</v>
      </c>
      <c r="R1053" s="171">
        <f t="shared" si="553"/>
        <v>138108.77752000003</v>
      </c>
      <c r="S1053" s="171">
        <f t="shared" si="554"/>
        <v>42278.197200000002</v>
      </c>
      <c r="T1053" s="171">
        <f t="shared" si="555"/>
        <v>0</v>
      </c>
      <c r="U1053" s="171">
        <f t="shared" si="543"/>
        <v>1607112.0601069673</v>
      </c>
      <c r="V1053" s="171">
        <f t="shared" si="556"/>
        <v>0</v>
      </c>
      <c r="W1053" s="171" t="str">
        <f>IF(OR(A1053&gt;=$C$13,B1053="Retired"),IF(V1053&gt;0,-V1053,U1053-'Model Inputs'!$B$18),"")</f>
        <v/>
      </c>
      <c r="X1053" s="171">
        <f t="shared" si="544"/>
        <v>0</v>
      </c>
      <c r="Y1053" s="171">
        <f t="shared" si="545"/>
        <v>0</v>
      </c>
      <c r="Z1053" s="171">
        <f t="shared" si="546"/>
        <v>0</v>
      </c>
      <c r="AA1053" s="172">
        <f t="shared" si="547"/>
        <v>1607112.0601069673</v>
      </c>
      <c r="AB1053" s="5"/>
      <c r="AC1053" s="5"/>
      <c r="AD1053" s="5"/>
      <c r="AE1053" s="5"/>
      <c r="AF1053" s="5"/>
      <c r="AG1053" s="5"/>
    </row>
    <row r="1054" spans="1:33" x14ac:dyDescent="0.2">
      <c r="A1054" s="173">
        <v>6</v>
      </c>
      <c r="B1054" s="65" t="str">
        <f t="shared" si="533"/>
        <v>Working</v>
      </c>
      <c r="C1054" s="174">
        <f t="shared" si="534"/>
        <v>1118900.665838565</v>
      </c>
      <c r="D1054" s="174">
        <f t="shared" si="535"/>
        <v>589060.11476976541</v>
      </c>
      <c r="E1054" s="174">
        <f t="shared" si="536"/>
        <v>92741.925943999988</v>
      </c>
      <c r="F1054" s="174">
        <f t="shared" si="537"/>
        <v>57963.703714999989</v>
      </c>
      <c r="G1054" s="171">
        <f t="shared" si="538"/>
        <v>0</v>
      </c>
      <c r="H1054" s="171">
        <f t="shared" si="539"/>
        <v>0</v>
      </c>
      <c r="I1054" s="171">
        <f>IF(B1054="Working",MIN(MAX(D1054-E1054-F1054-G1054-H1054,0),'Tax Assumptions'!$B$20),0)</f>
        <v>7500</v>
      </c>
      <c r="J1054" s="171">
        <f t="shared" si="540"/>
        <v>430854.48511076538</v>
      </c>
      <c r="K1054" s="174">
        <f t="shared" si="541"/>
        <v>0</v>
      </c>
      <c r="L1054" s="174">
        <f t="shared" si="542"/>
        <v>0</v>
      </c>
      <c r="M1054" s="174">
        <f t="shared" si="548"/>
        <v>0</v>
      </c>
      <c r="N1054" s="174">
        <f t="shared" si="549"/>
        <v>0</v>
      </c>
      <c r="O1054" s="174">
        <f t="shared" si="550"/>
        <v>0</v>
      </c>
      <c r="P1054" s="174">
        <f t="shared" si="551"/>
        <v>0</v>
      </c>
      <c r="Q1054" s="171">
        <f t="shared" si="552"/>
        <v>1943183.0756209507</v>
      </c>
      <c r="R1054" s="171">
        <f t="shared" si="553"/>
        <v>170895.30417120006</v>
      </c>
      <c r="S1054" s="171">
        <f t="shared" si="554"/>
        <v>52314.889032000006</v>
      </c>
      <c r="T1054" s="171">
        <f t="shared" si="555"/>
        <v>0</v>
      </c>
      <c r="U1054" s="171">
        <f t="shared" si="543"/>
        <v>2166393.2688241508</v>
      </c>
      <c r="V1054" s="171">
        <f t="shared" si="556"/>
        <v>0</v>
      </c>
      <c r="W1054" s="171" t="str">
        <f>IF(OR(A1054&gt;=$C$13,B1054="Retired"),IF(V1054&gt;0,-V1054,U1054-'Model Inputs'!$B$18),"")</f>
        <v/>
      </c>
      <c r="X1054" s="171">
        <f t="shared" si="544"/>
        <v>0</v>
      </c>
      <c r="Y1054" s="171">
        <f t="shared" si="545"/>
        <v>0</v>
      </c>
      <c r="Z1054" s="171">
        <f t="shared" si="546"/>
        <v>0</v>
      </c>
      <c r="AA1054" s="175">
        <f t="shared" si="547"/>
        <v>2166393.2688241508</v>
      </c>
      <c r="AB1054" s="5"/>
      <c r="AC1054" s="5"/>
      <c r="AD1054" s="5"/>
      <c r="AE1054" s="5"/>
      <c r="AF1054" s="5"/>
      <c r="AG1054" s="5"/>
    </row>
    <row r="1055" spans="1:33" x14ac:dyDescent="0.2">
      <c r="A1055" s="169">
        <v>7</v>
      </c>
      <c r="B1055" s="100" t="str">
        <f t="shared" si="533"/>
        <v>Working</v>
      </c>
      <c r="C1055" s="170">
        <f t="shared" si="534"/>
        <v>1418318.448466131</v>
      </c>
      <c r="D1055" s="170">
        <f t="shared" si="535"/>
        <v>730157.75065517949</v>
      </c>
      <c r="E1055" s="170">
        <f t="shared" si="536"/>
        <v>95524.183722319998</v>
      </c>
      <c r="F1055" s="170">
        <f t="shared" si="537"/>
        <v>59702.614826449993</v>
      </c>
      <c r="G1055" s="171">
        <f t="shared" si="538"/>
        <v>0</v>
      </c>
      <c r="H1055" s="171">
        <f t="shared" si="539"/>
        <v>0</v>
      </c>
      <c r="I1055" s="171">
        <f>IF(B1055="Working",MIN(MAX(D1055-E1055-F1055-G1055-H1055,0),'Tax Assumptions'!$B$20),0)</f>
        <v>7500</v>
      </c>
      <c r="J1055" s="171">
        <f t="shared" si="540"/>
        <v>567430.95210640947</v>
      </c>
      <c r="K1055" s="170">
        <f t="shared" si="541"/>
        <v>0</v>
      </c>
      <c r="L1055" s="170">
        <f t="shared" si="542"/>
        <v>0</v>
      </c>
      <c r="M1055" s="170">
        <f t="shared" si="548"/>
        <v>0</v>
      </c>
      <c r="N1055" s="170">
        <f t="shared" si="549"/>
        <v>0</v>
      </c>
      <c r="O1055" s="170">
        <f t="shared" si="550"/>
        <v>0</v>
      </c>
      <c r="P1055" s="170">
        <f t="shared" si="551"/>
        <v>0</v>
      </c>
      <c r="Q1055" s="171">
        <f t="shared" si="552"/>
        <v>2627205.0122646173</v>
      </c>
      <c r="R1055" s="171">
        <f t="shared" si="553"/>
        <v>205649.02242147207</v>
      </c>
      <c r="S1055" s="171">
        <f t="shared" si="554"/>
        <v>62953.78237392001</v>
      </c>
      <c r="T1055" s="171">
        <f t="shared" si="555"/>
        <v>0</v>
      </c>
      <c r="U1055" s="171">
        <f t="shared" si="543"/>
        <v>2895807.8170600096</v>
      </c>
      <c r="V1055" s="171">
        <f t="shared" si="556"/>
        <v>0</v>
      </c>
      <c r="W1055" s="171" t="str">
        <f>IF(OR(A1055&gt;=$C$13,B1055="Retired"),IF(V1055&gt;0,-V1055,U1055-'Model Inputs'!$B$18),"")</f>
        <v/>
      </c>
      <c r="X1055" s="171">
        <f t="shared" si="544"/>
        <v>0</v>
      </c>
      <c r="Y1055" s="171">
        <f t="shared" si="545"/>
        <v>0</v>
      </c>
      <c r="Z1055" s="171">
        <f t="shared" si="546"/>
        <v>0</v>
      </c>
      <c r="AA1055" s="172">
        <f t="shared" si="547"/>
        <v>2895807.8170600096</v>
      </c>
      <c r="AB1055" s="5"/>
      <c r="AC1055" s="5"/>
      <c r="AD1055" s="5"/>
      <c r="AE1055" s="5"/>
      <c r="AF1055" s="5"/>
      <c r="AG1055" s="5"/>
    </row>
    <row r="1056" spans="1:33" x14ac:dyDescent="0.2">
      <c r="A1056" s="173">
        <v>8</v>
      </c>
      <c r="B1056" s="65" t="str">
        <f t="shared" si="533"/>
        <v>Working</v>
      </c>
      <c r="C1056" s="174">
        <f t="shared" si="534"/>
        <v>1872205.6657868917</v>
      </c>
      <c r="D1056" s="174">
        <f t="shared" si="535"/>
        <v>944047.5629454148</v>
      </c>
      <c r="E1056" s="174">
        <f t="shared" si="536"/>
        <v>98389.909233989601</v>
      </c>
      <c r="F1056" s="174">
        <f t="shared" si="537"/>
        <v>61493.693271243501</v>
      </c>
      <c r="G1056" s="171">
        <f t="shared" si="538"/>
        <v>0</v>
      </c>
      <c r="H1056" s="171">
        <f t="shared" si="539"/>
        <v>0</v>
      </c>
      <c r="I1056" s="171">
        <f>IF(B1056="Working",MIN(MAX(D1056-E1056-F1056-G1056-H1056,0),'Tax Assumptions'!$B$20),0)</f>
        <v>7500</v>
      </c>
      <c r="J1056" s="171">
        <f t="shared" si="540"/>
        <v>776663.96044018166</v>
      </c>
      <c r="K1056" s="174">
        <f t="shared" si="541"/>
        <v>0</v>
      </c>
      <c r="L1056" s="174">
        <f t="shared" si="542"/>
        <v>0</v>
      </c>
      <c r="M1056" s="174">
        <f t="shared" si="548"/>
        <v>0</v>
      </c>
      <c r="N1056" s="174">
        <f t="shared" si="549"/>
        <v>0</v>
      </c>
      <c r="O1056" s="174">
        <f t="shared" si="550"/>
        <v>0</v>
      </c>
      <c r="P1056" s="174">
        <f t="shared" si="551"/>
        <v>0</v>
      </c>
      <c r="Q1056" s="171">
        <f t="shared" si="552"/>
        <v>3561501.2734406763</v>
      </c>
      <c r="R1056" s="171">
        <f t="shared" si="553"/>
        <v>242487.9637667604</v>
      </c>
      <c r="S1056" s="171">
        <f t="shared" si="554"/>
        <v>74231.009316355208</v>
      </c>
      <c r="T1056" s="171">
        <f t="shared" si="555"/>
        <v>0</v>
      </c>
      <c r="U1056" s="171">
        <f t="shared" si="543"/>
        <v>3878220.2465237915</v>
      </c>
      <c r="V1056" s="171">
        <f t="shared" si="556"/>
        <v>0</v>
      </c>
      <c r="W1056" s="171" t="str">
        <f>IF(OR(A1056&gt;=$C$13,B1056="Retired"),IF(V1056&gt;0,-V1056,U1056-'Model Inputs'!$B$18),"")</f>
        <v/>
      </c>
      <c r="X1056" s="171">
        <f t="shared" si="544"/>
        <v>0</v>
      </c>
      <c r="Y1056" s="171">
        <f t="shared" si="545"/>
        <v>0</v>
      </c>
      <c r="Z1056" s="171">
        <f t="shared" si="546"/>
        <v>0</v>
      </c>
      <c r="AA1056" s="175">
        <f t="shared" si="547"/>
        <v>3878220.2465237915</v>
      </c>
      <c r="AB1056" s="5"/>
      <c r="AC1056" s="5"/>
      <c r="AD1056" s="5"/>
      <c r="AE1056" s="5"/>
      <c r="AF1056" s="5"/>
      <c r="AG1056" s="5"/>
    </row>
    <row r="1057" spans="1:33" x14ac:dyDescent="0.2">
      <c r="A1057" s="169">
        <v>9</v>
      </c>
      <c r="B1057" s="100" t="str">
        <f t="shared" si="533"/>
        <v>Working</v>
      </c>
      <c r="C1057" s="170">
        <f t="shared" si="534"/>
        <v>2033969.9666232408</v>
      </c>
      <c r="D1057" s="170">
        <f t="shared" si="535"/>
        <v>1020277.372071536</v>
      </c>
      <c r="E1057" s="170">
        <f t="shared" si="536"/>
        <v>101341.60651100927</v>
      </c>
      <c r="F1057" s="170">
        <f t="shared" si="537"/>
        <v>63338.504069380797</v>
      </c>
      <c r="G1057" s="171">
        <f t="shared" si="538"/>
        <v>0</v>
      </c>
      <c r="H1057" s="171">
        <f t="shared" si="539"/>
        <v>0</v>
      </c>
      <c r="I1057" s="171">
        <f>IF(B1057="Working",MIN(MAX(D1057-E1057-F1057-G1057-H1057,0),'Tax Assumptions'!$B$20),0)</f>
        <v>7500</v>
      </c>
      <c r="J1057" s="171">
        <f t="shared" si="540"/>
        <v>848097.26149114594</v>
      </c>
      <c r="K1057" s="170">
        <f t="shared" si="541"/>
        <v>0</v>
      </c>
      <c r="L1057" s="170">
        <f t="shared" si="542"/>
        <v>0</v>
      </c>
      <c r="M1057" s="170">
        <f t="shared" si="548"/>
        <v>0</v>
      </c>
      <c r="N1057" s="170">
        <f t="shared" si="549"/>
        <v>0</v>
      </c>
      <c r="O1057" s="170">
        <f t="shared" si="550"/>
        <v>0</v>
      </c>
      <c r="P1057" s="170">
        <f t="shared" si="551"/>
        <v>0</v>
      </c>
      <c r="Q1057" s="171">
        <f t="shared" si="552"/>
        <v>4623288.6113382634</v>
      </c>
      <c r="R1057" s="171">
        <f t="shared" si="553"/>
        <v>281537.24159276602</v>
      </c>
      <c r="S1057" s="171">
        <f t="shared" si="554"/>
        <v>86184.869875336532</v>
      </c>
      <c r="T1057" s="171">
        <f t="shared" si="555"/>
        <v>0</v>
      </c>
      <c r="U1057" s="171">
        <f t="shared" si="543"/>
        <v>4991010.7228063662</v>
      </c>
      <c r="V1057" s="171">
        <f t="shared" si="556"/>
        <v>0</v>
      </c>
      <c r="W1057" s="171" t="str">
        <f>IF(OR(A1057&gt;=$C$13,B1057="Retired"),IF(V1057&gt;0,-V1057,U1057-'Model Inputs'!$B$18),"")</f>
        <v/>
      </c>
      <c r="X1057" s="171">
        <f t="shared" si="544"/>
        <v>0</v>
      </c>
      <c r="Y1057" s="171">
        <f t="shared" si="545"/>
        <v>0</v>
      </c>
      <c r="Z1057" s="171">
        <f t="shared" si="546"/>
        <v>0</v>
      </c>
      <c r="AA1057" s="172">
        <f t="shared" si="547"/>
        <v>4991010.7228063662</v>
      </c>
      <c r="AB1057" s="5"/>
      <c r="AC1057" s="5"/>
      <c r="AD1057" s="5"/>
      <c r="AE1057" s="5"/>
      <c r="AF1057" s="5"/>
      <c r="AG1057" s="5"/>
    </row>
    <row r="1058" spans="1:33" x14ac:dyDescent="0.2">
      <c r="A1058" s="173">
        <v>10</v>
      </c>
      <c r="B1058" s="65" t="str">
        <f t="shared" si="533"/>
        <v>Working</v>
      </c>
      <c r="C1058" s="174">
        <f t="shared" si="534"/>
        <v>2595495.7626410057</v>
      </c>
      <c r="D1058" s="174">
        <f t="shared" si="535"/>
        <v>1284890.7881869476</v>
      </c>
      <c r="E1058" s="174">
        <f t="shared" si="536"/>
        <v>104381.85470633955</v>
      </c>
      <c r="F1058" s="174">
        <f t="shared" si="537"/>
        <v>65238.659191462226</v>
      </c>
      <c r="G1058" s="171">
        <f t="shared" si="538"/>
        <v>963402.34400279156</v>
      </c>
      <c r="H1058" s="171">
        <f t="shared" si="539"/>
        <v>129230.76923076923</v>
      </c>
      <c r="I1058" s="171">
        <f>IF(B1058="Working",MIN(MAX(D1058-E1058-F1058-G1058-H1058,0),'Tax Assumptions'!$B$20),0)</f>
        <v>7500</v>
      </c>
      <c r="J1058" s="171">
        <f t="shared" si="540"/>
        <v>15137.161055585035</v>
      </c>
      <c r="K1058" s="174">
        <f t="shared" si="541"/>
        <v>0</v>
      </c>
      <c r="L1058" s="174">
        <f t="shared" si="542"/>
        <v>0</v>
      </c>
      <c r="M1058" s="174">
        <f t="shared" si="548"/>
        <v>0</v>
      </c>
      <c r="N1058" s="174">
        <f t="shared" si="549"/>
        <v>0</v>
      </c>
      <c r="O1058" s="174">
        <f t="shared" si="550"/>
        <v>0</v>
      </c>
      <c r="P1058" s="174">
        <f t="shared" si="551"/>
        <v>0</v>
      </c>
      <c r="Q1058" s="171">
        <f t="shared" si="552"/>
        <v>4915823.0890741451</v>
      </c>
      <c r="R1058" s="171">
        <f t="shared" si="553"/>
        <v>322929.47608833201</v>
      </c>
      <c r="S1058" s="171">
        <f t="shared" si="554"/>
        <v>98855.96206785673</v>
      </c>
      <c r="T1058" s="171">
        <f t="shared" si="555"/>
        <v>0</v>
      </c>
      <c r="U1058" s="171">
        <f t="shared" si="543"/>
        <v>5337608.5272303335</v>
      </c>
      <c r="V1058" s="171">
        <f t="shared" si="556"/>
        <v>0</v>
      </c>
      <c r="W1058" s="171">
        <f>IF(OR(A1058&gt;=$C$13,B1058="Retired"),IF(V1058&gt;0,-V1058,U1058-'Model Inputs'!$B$18),"")</f>
        <v>4337608.5272303335</v>
      </c>
      <c r="X1058" s="171">
        <f t="shared" si="544"/>
        <v>2028215.4610585084</v>
      </c>
      <c r="Y1058" s="171">
        <f t="shared" si="545"/>
        <v>1103050.0691566805</v>
      </c>
      <c r="Z1058" s="171">
        <f t="shared" si="546"/>
        <v>925165.39190182788</v>
      </c>
      <c r="AA1058" s="175">
        <f t="shared" si="547"/>
        <v>6262773.9191321619</v>
      </c>
      <c r="AB1058" s="5"/>
      <c r="AC1058" s="5"/>
      <c r="AD1058" s="5"/>
      <c r="AE1058" s="5"/>
      <c r="AF1058" s="5"/>
      <c r="AG1058" s="5"/>
    </row>
    <row r="1059" spans="1:33" x14ac:dyDescent="0.2">
      <c r="A1059" s="169">
        <v>11</v>
      </c>
      <c r="B1059" s="100" t="str">
        <f t="shared" si="533"/>
        <v>Retired</v>
      </c>
      <c r="C1059" s="170">
        <f t="shared" si="534"/>
        <v>0</v>
      </c>
      <c r="D1059" s="170">
        <f t="shared" si="535"/>
        <v>0</v>
      </c>
      <c r="E1059" s="170">
        <f t="shared" si="536"/>
        <v>0</v>
      </c>
      <c r="F1059" s="170">
        <f t="shared" si="537"/>
        <v>0</v>
      </c>
      <c r="G1059" s="171">
        <f t="shared" si="538"/>
        <v>0</v>
      </c>
      <c r="H1059" s="171">
        <f t="shared" si="539"/>
        <v>130569.39143506784</v>
      </c>
      <c r="I1059" s="171">
        <f>IF(B1059="Working",MIN(MAX(D1059-E1059-F1059-G1059-H1059,0),'Tax Assumptions'!$B$20),0)</f>
        <v>0</v>
      </c>
      <c r="J1059" s="171">
        <f t="shared" si="540"/>
        <v>-360569.39143506781</v>
      </c>
      <c r="K1059" s="170">
        <f t="shared" si="541"/>
        <v>360569.39143506781</v>
      </c>
      <c r="L1059" s="170">
        <f t="shared" si="542"/>
        <v>360569.39143506781</v>
      </c>
      <c r="M1059" s="170">
        <f t="shared" si="548"/>
        <v>360569.39143506781</v>
      </c>
      <c r="N1059" s="170">
        <f t="shared" si="549"/>
        <v>0</v>
      </c>
      <c r="O1059" s="170">
        <f t="shared" si="550"/>
        <v>0</v>
      </c>
      <c r="P1059" s="170">
        <f t="shared" si="551"/>
        <v>0</v>
      </c>
      <c r="Q1059" s="171">
        <f t="shared" si="552"/>
        <v>4850203.0829835264</v>
      </c>
      <c r="R1059" s="171">
        <f t="shared" si="553"/>
        <v>342305.24465363193</v>
      </c>
      <c r="S1059" s="171">
        <f t="shared" si="554"/>
        <v>104787.31979192814</v>
      </c>
      <c r="T1059" s="171">
        <f t="shared" si="555"/>
        <v>0</v>
      </c>
      <c r="U1059" s="171">
        <f t="shared" si="543"/>
        <v>5297295.6474290863</v>
      </c>
      <c r="V1059" s="171">
        <f t="shared" si="556"/>
        <v>0</v>
      </c>
      <c r="W1059" s="171">
        <f>IF(OR(A1059&gt;=$C$13,B1059="Retired"),IF(V1059&gt;0,-V1059,U1059-'Model Inputs'!$B$18),"")</f>
        <v>4297295.6474290863</v>
      </c>
      <c r="X1059" s="171">
        <f t="shared" si="544"/>
        <v>2089061.9248902637</v>
      </c>
      <c r="Y1059" s="171">
        <f t="shared" si="545"/>
        <v>1089746.6005861333</v>
      </c>
      <c r="Z1059" s="171">
        <f t="shared" si="546"/>
        <v>999315.32430413039</v>
      </c>
      <c r="AA1059" s="172">
        <f t="shared" si="547"/>
        <v>6296610.9717332162</v>
      </c>
      <c r="AB1059" s="5"/>
      <c r="AC1059" s="5"/>
      <c r="AD1059" s="5"/>
      <c r="AE1059" s="5"/>
      <c r="AF1059" s="5"/>
      <c r="AG1059" s="5"/>
    </row>
    <row r="1060" spans="1:33" x14ac:dyDescent="0.2">
      <c r="A1060" s="173">
        <v>12</v>
      </c>
      <c r="B1060" s="65" t="str">
        <f t="shared" si="533"/>
        <v>Retired</v>
      </c>
      <c r="C1060" s="174">
        <f t="shared" si="534"/>
        <v>0</v>
      </c>
      <c r="D1060" s="174">
        <f t="shared" si="535"/>
        <v>0</v>
      </c>
      <c r="E1060" s="174">
        <f t="shared" si="536"/>
        <v>0</v>
      </c>
      <c r="F1060" s="174">
        <f t="shared" si="537"/>
        <v>0</v>
      </c>
      <c r="G1060" s="171">
        <f t="shared" si="538"/>
        <v>0</v>
      </c>
      <c r="H1060" s="171">
        <f t="shared" si="539"/>
        <v>131948.17230549542</v>
      </c>
      <c r="I1060" s="171">
        <f>IF(B1060="Working",MIN(MAX(D1060-E1060-F1060-G1060-H1060,0),'Tax Assumptions'!$B$20),0)</f>
        <v>0</v>
      </c>
      <c r="J1060" s="171">
        <f t="shared" si="540"/>
        <v>-361948.17230549536</v>
      </c>
      <c r="K1060" s="174">
        <f t="shared" si="541"/>
        <v>361948.17230549536</v>
      </c>
      <c r="L1060" s="174">
        <f t="shared" si="542"/>
        <v>361948.17230549536</v>
      </c>
      <c r="M1060" s="174">
        <f t="shared" si="548"/>
        <v>361948.17230549536</v>
      </c>
      <c r="N1060" s="174">
        <f t="shared" si="549"/>
        <v>0</v>
      </c>
      <c r="O1060" s="174">
        <f t="shared" si="550"/>
        <v>0</v>
      </c>
      <c r="P1060" s="174">
        <f t="shared" si="551"/>
        <v>0</v>
      </c>
      <c r="Q1060" s="171">
        <f t="shared" si="552"/>
        <v>4779267.0956570432</v>
      </c>
      <c r="R1060" s="171">
        <f t="shared" si="553"/>
        <v>362843.55933284987</v>
      </c>
      <c r="S1060" s="171">
        <f t="shared" si="554"/>
        <v>111074.55897944383</v>
      </c>
      <c r="T1060" s="171">
        <f t="shared" si="555"/>
        <v>0</v>
      </c>
      <c r="U1060" s="171">
        <f t="shared" si="543"/>
        <v>5253185.2139693368</v>
      </c>
      <c r="V1060" s="171">
        <f t="shared" si="556"/>
        <v>0</v>
      </c>
      <c r="W1060" s="171">
        <f>IF(OR(A1060&gt;=$C$13,B1060="Retired"),IF(V1060&gt;0,-V1060,U1060-'Model Inputs'!$B$18),"")</f>
        <v>4253185.2139693368</v>
      </c>
      <c r="X1060" s="171">
        <f t="shared" si="544"/>
        <v>2151733.7826369712</v>
      </c>
      <c r="Y1060" s="171">
        <f t="shared" si="545"/>
        <v>1075552.1740873591</v>
      </c>
      <c r="Z1060" s="171">
        <f t="shared" si="546"/>
        <v>1076181.6085496121</v>
      </c>
      <c r="AA1060" s="175">
        <f t="shared" si="547"/>
        <v>6329366.8225189485</v>
      </c>
      <c r="AB1060" s="5"/>
      <c r="AC1060" s="5"/>
      <c r="AD1060" s="5"/>
      <c r="AE1060" s="5"/>
      <c r="AF1060" s="5"/>
      <c r="AG1060" s="5"/>
    </row>
    <row r="1061" spans="1:33" x14ac:dyDescent="0.2">
      <c r="A1061" s="169">
        <v>13</v>
      </c>
      <c r="B1061" s="100" t="str">
        <f t="shared" si="533"/>
        <v>Retired</v>
      </c>
      <c r="C1061" s="170">
        <f t="shared" si="534"/>
        <v>0</v>
      </c>
      <c r="D1061" s="170">
        <f t="shared" si="535"/>
        <v>0</v>
      </c>
      <c r="E1061" s="170">
        <f t="shared" si="536"/>
        <v>0</v>
      </c>
      <c r="F1061" s="170">
        <f t="shared" si="537"/>
        <v>0</v>
      </c>
      <c r="G1061" s="171">
        <f t="shared" si="538"/>
        <v>0</v>
      </c>
      <c r="H1061" s="171">
        <f t="shared" si="539"/>
        <v>133368.31660203583</v>
      </c>
      <c r="I1061" s="171">
        <f>IF(B1061="Working",MIN(MAX(D1061-E1061-F1061-G1061-H1061,0),'Tax Assumptions'!$B$20),0)</f>
        <v>0</v>
      </c>
      <c r="J1061" s="171">
        <f t="shared" si="540"/>
        <v>-363368.31660203577</v>
      </c>
      <c r="K1061" s="170">
        <f t="shared" si="541"/>
        <v>363368.31660203577</v>
      </c>
      <c r="L1061" s="170">
        <f t="shared" si="542"/>
        <v>363368.31660203577</v>
      </c>
      <c r="M1061" s="170">
        <f t="shared" si="548"/>
        <v>363368.31660203577</v>
      </c>
      <c r="N1061" s="170">
        <f t="shared" si="549"/>
        <v>0</v>
      </c>
      <c r="O1061" s="170">
        <f t="shared" si="550"/>
        <v>0</v>
      </c>
      <c r="P1061" s="170">
        <f t="shared" si="551"/>
        <v>0</v>
      </c>
      <c r="Q1061" s="171">
        <f t="shared" si="552"/>
        <v>4702654.8047944307</v>
      </c>
      <c r="R1061" s="171">
        <f t="shared" si="553"/>
        <v>384614.1728928209</v>
      </c>
      <c r="S1061" s="171">
        <f t="shared" si="554"/>
        <v>117739.03251821046</v>
      </c>
      <c r="T1061" s="171">
        <f t="shared" si="555"/>
        <v>0</v>
      </c>
      <c r="U1061" s="171">
        <f t="shared" si="543"/>
        <v>5205008.0102054626</v>
      </c>
      <c r="V1061" s="171">
        <f t="shared" si="556"/>
        <v>0</v>
      </c>
      <c r="W1061" s="171">
        <f>IF(OR(A1061&gt;=$C$13,B1061="Retired"),IF(V1061&gt;0,-V1061,U1061-'Model Inputs'!$B$18),"")</f>
        <v>4205008.0102054626</v>
      </c>
      <c r="X1061" s="171">
        <f t="shared" si="544"/>
        <v>2216285.7961160806</v>
      </c>
      <c r="Y1061" s="171">
        <f t="shared" si="545"/>
        <v>1060407.1205578479</v>
      </c>
      <c r="Z1061" s="171">
        <f t="shared" si="546"/>
        <v>1155878.6755582327</v>
      </c>
      <c r="AA1061" s="172">
        <f t="shared" si="547"/>
        <v>6360886.6857636953</v>
      </c>
      <c r="AB1061" s="5"/>
      <c r="AC1061" s="5"/>
      <c r="AD1061" s="5"/>
      <c r="AE1061" s="5"/>
      <c r="AF1061" s="5"/>
      <c r="AG1061" s="5"/>
    </row>
    <row r="1062" spans="1:33" x14ac:dyDescent="0.2">
      <c r="A1062" s="173">
        <v>14</v>
      </c>
      <c r="B1062" s="65" t="str">
        <f t="shared" si="533"/>
        <v>Retired</v>
      </c>
      <c r="C1062" s="174">
        <f t="shared" si="534"/>
        <v>0</v>
      </c>
      <c r="D1062" s="174">
        <f t="shared" si="535"/>
        <v>0</v>
      </c>
      <c r="E1062" s="174">
        <f t="shared" si="536"/>
        <v>0</v>
      </c>
      <c r="F1062" s="174">
        <f t="shared" si="537"/>
        <v>0</v>
      </c>
      <c r="G1062" s="171">
        <f t="shared" si="538"/>
        <v>0</v>
      </c>
      <c r="H1062" s="171">
        <f t="shared" si="539"/>
        <v>134831.06522747243</v>
      </c>
      <c r="I1062" s="171">
        <f>IF(B1062="Working",MIN(MAX(D1062-E1062-F1062-G1062-H1062,0),'Tax Assumptions'!$B$20),0)</f>
        <v>0</v>
      </c>
      <c r="J1062" s="171">
        <f t="shared" si="540"/>
        <v>-364831.0652274724</v>
      </c>
      <c r="K1062" s="174">
        <f t="shared" si="541"/>
        <v>364831.0652274724</v>
      </c>
      <c r="L1062" s="174">
        <f t="shared" si="542"/>
        <v>364831.0652274724</v>
      </c>
      <c r="M1062" s="174">
        <f t="shared" si="548"/>
        <v>364831.0652274724</v>
      </c>
      <c r="N1062" s="174">
        <f t="shared" si="549"/>
        <v>0</v>
      </c>
      <c r="O1062" s="174">
        <f t="shared" si="550"/>
        <v>0</v>
      </c>
      <c r="P1062" s="174">
        <f t="shared" si="551"/>
        <v>0</v>
      </c>
      <c r="Q1062" s="171">
        <f t="shared" si="552"/>
        <v>4619983.0278546242</v>
      </c>
      <c r="R1062" s="171">
        <f t="shared" si="553"/>
        <v>407691.0232663902</v>
      </c>
      <c r="S1062" s="171">
        <f t="shared" si="554"/>
        <v>124803.37446930309</v>
      </c>
      <c r="T1062" s="171">
        <f t="shared" si="555"/>
        <v>0</v>
      </c>
      <c r="U1062" s="171">
        <f t="shared" si="543"/>
        <v>5152477.4255903177</v>
      </c>
      <c r="V1062" s="171">
        <f t="shared" si="556"/>
        <v>0</v>
      </c>
      <c r="W1062" s="171">
        <f>IF(OR(A1062&gt;=$C$13,B1062="Retired"),IF(V1062&gt;0,-V1062,U1062-'Model Inputs'!$B$18),"")</f>
        <v>4152477.4255903177</v>
      </c>
      <c r="X1062" s="171">
        <f t="shared" si="544"/>
        <v>2282774.3699995629</v>
      </c>
      <c r="Y1062" s="171">
        <f t="shared" si="545"/>
        <v>1044247.7747447877</v>
      </c>
      <c r="Z1062" s="171">
        <f t="shared" si="546"/>
        <v>1238526.5952547751</v>
      </c>
      <c r="AA1062" s="175">
        <f t="shared" si="547"/>
        <v>6391004.0208450928</v>
      </c>
      <c r="AB1062" s="5"/>
      <c r="AC1062" s="5"/>
      <c r="AD1062" s="5"/>
      <c r="AE1062" s="5"/>
      <c r="AF1062" s="5"/>
      <c r="AG1062" s="5"/>
    </row>
    <row r="1063" spans="1:33" x14ac:dyDescent="0.2">
      <c r="A1063" s="169">
        <v>15</v>
      </c>
      <c r="B1063" s="100" t="str">
        <f t="shared" si="533"/>
        <v>Retired</v>
      </c>
      <c r="C1063" s="170">
        <f t="shared" si="534"/>
        <v>0</v>
      </c>
      <c r="D1063" s="170">
        <f t="shared" si="535"/>
        <v>0</v>
      </c>
      <c r="E1063" s="170">
        <f t="shared" si="536"/>
        <v>0</v>
      </c>
      <c r="F1063" s="170">
        <f t="shared" si="537"/>
        <v>0</v>
      </c>
      <c r="G1063" s="171">
        <f t="shared" si="538"/>
        <v>0</v>
      </c>
      <c r="H1063" s="171">
        <f t="shared" si="539"/>
        <v>136337.69631167216</v>
      </c>
      <c r="I1063" s="171">
        <f>IF(B1063="Working",MIN(MAX(D1063-E1063-F1063-G1063-H1063,0),'Tax Assumptions'!$B$20),0)</f>
        <v>0</v>
      </c>
      <c r="J1063" s="171">
        <f t="shared" si="540"/>
        <v>-366337.6963116721</v>
      </c>
      <c r="K1063" s="170">
        <f t="shared" si="541"/>
        <v>366337.6963116721</v>
      </c>
      <c r="L1063" s="170">
        <f t="shared" si="542"/>
        <v>366337.6963116721</v>
      </c>
      <c r="M1063" s="170">
        <f t="shared" si="548"/>
        <v>366337.6963116721</v>
      </c>
      <c r="N1063" s="170">
        <f t="shared" si="549"/>
        <v>0</v>
      </c>
      <c r="O1063" s="170">
        <f t="shared" si="550"/>
        <v>0</v>
      </c>
      <c r="P1063" s="170">
        <f t="shared" si="551"/>
        <v>0</v>
      </c>
      <c r="Q1063" s="171">
        <f t="shared" si="552"/>
        <v>4530844.3132142294</v>
      </c>
      <c r="R1063" s="171">
        <f t="shared" si="553"/>
        <v>432152.48466237361</v>
      </c>
      <c r="S1063" s="171">
        <f t="shared" si="554"/>
        <v>132291.57693746127</v>
      </c>
      <c r="T1063" s="171">
        <f t="shared" si="555"/>
        <v>0</v>
      </c>
      <c r="U1063" s="171">
        <f t="shared" si="543"/>
        <v>5095288.3748140642</v>
      </c>
      <c r="V1063" s="171">
        <f t="shared" si="556"/>
        <v>0</v>
      </c>
      <c r="W1063" s="171">
        <f>IF(OR(A1063&gt;=$C$13,B1063="Retired"),IF(V1063&gt;0,-V1063,U1063-'Model Inputs'!$B$18),"")</f>
        <v>4095288.3748140642</v>
      </c>
      <c r="X1063" s="171">
        <f t="shared" si="544"/>
        <v>2351257.6010995498</v>
      </c>
      <c r="Y1063" s="171">
        <f t="shared" si="545"/>
        <v>1027006.2076154774</v>
      </c>
      <c r="Z1063" s="171">
        <f t="shared" si="546"/>
        <v>1324251.3934840723</v>
      </c>
      <c r="AA1063" s="172">
        <f t="shared" si="547"/>
        <v>6419539.7682981361</v>
      </c>
      <c r="AB1063" s="5"/>
      <c r="AC1063" s="5"/>
      <c r="AD1063" s="5"/>
      <c r="AE1063" s="5"/>
      <c r="AF1063" s="5"/>
      <c r="AG1063" s="5"/>
    </row>
    <row r="1064" spans="1:33" x14ac:dyDescent="0.2">
      <c r="A1064" s="173">
        <v>16</v>
      </c>
      <c r="B1064" s="65" t="str">
        <f t="shared" si="533"/>
        <v>Retired</v>
      </c>
      <c r="C1064" s="174">
        <f t="shared" si="534"/>
        <v>0</v>
      </c>
      <c r="D1064" s="174">
        <f t="shared" si="535"/>
        <v>0</v>
      </c>
      <c r="E1064" s="174">
        <f t="shared" si="536"/>
        <v>0</v>
      </c>
      <c r="F1064" s="174">
        <f t="shared" si="537"/>
        <v>0</v>
      </c>
      <c r="G1064" s="171">
        <f t="shared" si="538"/>
        <v>0</v>
      </c>
      <c r="H1064" s="171">
        <f t="shared" si="539"/>
        <v>137889.52632839786</v>
      </c>
      <c r="I1064" s="171">
        <f>IF(B1064="Working",MIN(MAX(D1064-E1064-F1064-G1064-H1064,0),'Tax Assumptions'!$B$20),0)</f>
        <v>0</v>
      </c>
      <c r="J1064" s="171">
        <f t="shared" si="540"/>
        <v>-367889.5263283978</v>
      </c>
      <c r="K1064" s="174">
        <f t="shared" si="541"/>
        <v>367889.5263283978</v>
      </c>
      <c r="L1064" s="174">
        <f t="shared" si="542"/>
        <v>367889.5263283978</v>
      </c>
      <c r="M1064" s="174">
        <f t="shared" si="548"/>
        <v>367889.5263283978</v>
      </c>
      <c r="N1064" s="174">
        <f t="shared" si="549"/>
        <v>0</v>
      </c>
      <c r="O1064" s="174">
        <f t="shared" si="550"/>
        <v>0</v>
      </c>
      <c r="P1064" s="174">
        <f t="shared" si="551"/>
        <v>0</v>
      </c>
      <c r="Q1064" s="171">
        <f t="shared" si="552"/>
        <v>4434805.4456786858</v>
      </c>
      <c r="R1064" s="171">
        <f t="shared" si="553"/>
        <v>458081.63374211604</v>
      </c>
      <c r="S1064" s="171">
        <f t="shared" si="554"/>
        <v>140229.07155370896</v>
      </c>
      <c r="T1064" s="171">
        <f t="shared" si="555"/>
        <v>0</v>
      </c>
      <c r="U1064" s="171">
        <f t="shared" si="543"/>
        <v>5033116.1509745112</v>
      </c>
      <c r="V1064" s="171">
        <f t="shared" si="556"/>
        <v>0</v>
      </c>
      <c r="W1064" s="171">
        <f>IF(OR(A1064&gt;=$C$13,B1064="Retired"),IF(V1064&gt;0,-V1064,U1064-'Model Inputs'!$B$18),"")</f>
        <v>4033116.1509745112</v>
      </c>
      <c r="X1064" s="171">
        <f t="shared" si="544"/>
        <v>2421795.3291325364</v>
      </c>
      <c r="Y1064" s="171">
        <f t="shared" si="545"/>
        <v>1008609.9408040908</v>
      </c>
      <c r="Z1064" s="171">
        <f t="shared" si="546"/>
        <v>1413185.3883284456</v>
      </c>
      <c r="AA1064" s="175">
        <f t="shared" si="547"/>
        <v>6446301.5393029563</v>
      </c>
      <c r="AB1064" s="5"/>
      <c r="AC1064" s="5"/>
      <c r="AD1064" s="5"/>
      <c r="AE1064" s="5"/>
      <c r="AF1064" s="5"/>
      <c r="AG1064" s="5"/>
    </row>
    <row r="1065" spans="1:33" x14ac:dyDescent="0.2">
      <c r="A1065" s="169">
        <v>17</v>
      </c>
      <c r="B1065" s="100" t="str">
        <f t="shared" si="533"/>
        <v>Retired</v>
      </c>
      <c r="C1065" s="170">
        <f t="shared" si="534"/>
        <v>0</v>
      </c>
      <c r="D1065" s="170">
        <f t="shared" si="535"/>
        <v>0</v>
      </c>
      <c r="E1065" s="170">
        <f t="shared" si="536"/>
        <v>0</v>
      </c>
      <c r="F1065" s="170">
        <f t="shared" si="537"/>
        <v>0</v>
      </c>
      <c r="G1065" s="171">
        <f t="shared" si="538"/>
        <v>0</v>
      </c>
      <c r="H1065" s="171">
        <f t="shared" si="539"/>
        <v>139487.91124562532</v>
      </c>
      <c r="I1065" s="171">
        <f>IF(B1065="Working",MIN(MAX(D1065-E1065-F1065-G1065-H1065,0),'Tax Assumptions'!$B$20),0)</f>
        <v>0</v>
      </c>
      <c r="J1065" s="171">
        <f t="shared" si="540"/>
        <v>-369487.91124562529</v>
      </c>
      <c r="K1065" s="170">
        <f t="shared" si="541"/>
        <v>369487.91124562529</v>
      </c>
      <c r="L1065" s="170">
        <f t="shared" si="542"/>
        <v>369487.91124562529</v>
      </c>
      <c r="M1065" s="170">
        <f t="shared" si="548"/>
        <v>369487.91124562529</v>
      </c>
      <c r="N1065" s="170">
        <f t="shared" si="549"/>
        <v>0</v>
      </c>
      <c r="O1065" s="170">
        <f t="shared" si="550"/>
        <v>0</v>
      </c>
      <c r="P1065" s="170">
        <f t="shared" si="551"/>
        <v>0</v>
      </c>
      <c r="Q1065" s="171">
        <f t="shared" si="552"/>
        <v>4331405.8611737816</v>
      </c>
      <c r="R1065" s="171">
        <f t="shared" si="553"/>
        <v>485566.53176664305</v>
      </c>
      <c r="S1065" s="171">
        <f t="shared" si="554"/>
        <v>148642.81584693151</v>
      </c>
      <c r="T1065" s="171">
        <f t="shared" si="555"/>
        <v>0</v>
      </c>
      <c r="U1065" s="171">
        <f t="shared" si="543"/>
        <v>4965615.2087873556</v>
      </c>
      <c r="V1065" s="171">
        <f t="shared" si="556"/>
        <v>0</v>
      </c>
      <c r="W1065" s="171">
        <f>IF(OR(A1065&gt;=$C$13,B1065="Retired"),IF(V1065&gt;0,-V1065,U1065-'Model Inputs'!$B$18),"")</f>
        <v>3965615.2087873556</v>
      </c>
      <c r="X1065" s="171">
        <f t="shared" si="544"/>
        <v>2494449.1890065125</v>
      </c>
      <c r="Y1065" s="171">
        <f t="shared" si="545"/>
        <v>988981.641934413</v>
      </c>
      <c r="Z1065" s="171">
        <f t="shared" si="546"/>
        <v>1505467.5470720995</v>
      </c>
      <c r="AA1065" s="172">
        <f t="shared" si="547"/>
        <v>6471082.7558594551</v>
      </c>
      <c r="AB1065" s="5"/>
      <c r="AC1065" s="5"/>
      <c r="AD1065" s="5"/>
      <c r="AE1065" s="5"/>
      <c r="AF1065" s="5"/>
      <c r="AG1065" s="5"/>
    </row>
    <row r="1066" spans="1:33" x14ac:dyDescent="0.2">
      <c r="A1066" s="173">
        <v>18</v>
      </c>
      <c r="B1066" s="65" t="str">
        <f t="shared" si="533"/>
        <v>Retired</v>
      </c>
      <c r="C1066" s="174">
        <f t="shared" si="534"/>
        <v>0</v>
      </c>
      <c r="D1066" s="174">
        <f t="shared" si="535"/>
        <v>0</v>
      </c>
      <c r="E1066" s="174">
        <f t="shared" si="536"/>
        <v>0</v>
      </c>
      <c r="F1066" s="174">
        <f t="shared" si="537"/>
        <v>0</v>
      </c>
      <c r="G1066" s="171">
        <f t="shared" si="538"/>
        <v>0</v>
      </c>
      <c r="H1066" s="171">
        <f t="shared" si="539"/>
        <v>141134.24771036961</v>
      </c>
      <c r="I1066" s="171">
        <f>IF(B1066="Working",MIN(MAX(D1066-E1066-F1066-G1066-H1066,0),'Tax Assumptions'!$B$20),0)</f>
        <v>0</v>
      </c>
      <c r="J1066" s="171">
        <f t="shared" si="540"/>
        <v>-371134.24771036959</v>
      </c>
      <c r="K1066" s="174">
        <f t="shared" si="541"/>
        <v>371134.24771036959</v>
      </c>
      <c r="L1066" s="174">
        <f t="shared" si="542"/>
        <v>371134.24771036959</v>
      </c>
      <c r="M1066" s="174">
        <f t="shared" si="548"/>
        <v>371134.24771036959</v>
      </c>
      <c r="N1066" s="174">
        <f t="shared" si="549"/>
        <v>0</v>
      </c>
      <c r="O1066" s="174">
        <f t="shared" si="550"/>
        <v>0</v>
      </c>
      <c r="P1066" s="174">
        <f t="shared" si="551"/>
        <v>0</v>
      </c>
      <c r="Q1066" s="171">
        <f t="shared" si="552"/>
        <v>4220155.9651338393</v>
      </c>
      <c r="R1066" s="171">
        <f t="shared" si="553"/>
        <v>514700.52367264166</v>
      </c>
      <c r="S1066" s="171">
        <f t="shared" si="554"/>
        <v>157561.38479774742</v>
      </c>
      <c r="T1066" s="171">
        <f t="shared" si="555"/>
        <v>0</v>
      </c>
      <c r="U1066" s="171">
        <f t="shared" si="543"/>
        <v>4892417.8736042278</v>
      </c>
      <c r="V1066" s="171">
        <f t="shared" si="556"/>
        <v>0</v>
      </c>
      <c r="W1066" s="171">
        <f>IF(OR(A1066&gt;=$C$13,B1066="Retired"),IF(V1066&gt;0,-V1066,U1066-'Model Inputs'!$B$18),"")</f>
        <v>3892417.8736042278</v>
      </c>
      <c r="X1066" s="171">
        <f t="shared" si="544"/>
        <v>2569282.6646767077</v>
      </c>
      <c r="Y1066" s="171">
        <f t="shared" si="545"/>
        <v>968038.79953777313</v>
      </c>
      <c r="Z1066" s="171">
        <f t="shared" si="546"/>
        <v>1601243.8651389345</v>
      </c>
      <c r="AA1066" s="175">
        <f t="shared" si="547"/>
        <v>6493661.7387431618</v>
      </c>
      <c r="AB1066" s="5"/>
      <c r="AC1066" s="5"/>
      <c r="AD1066" s="5"/>
      <c r="AE1066" s="5"/>
      <c r="AF1066" s="5"/>
      <c r="AG1066" s="5"/>
    </row>
    <row r="1067" spans="1:33" x14ac:dyDescent="0.2">
      <c r="A1067" s="169">
        <v>19</v>
      </c>
      <c r="B1067" s="100" t="str">
        <f t="shared" si="533"/>
        <v>Retired</v>
      </c>
      <c r="C1067" s="170">
        <f t="shared" si="534"/>
        <v>0</v>
      </c>
      <c r="D1067" s="170">
        <f t="shared" si="535"/>
        <v>0</v>
      </c>
      <c r="E1067" s="170">
        <f t="shared" si="536"/>
        <v>0</v>
      </c>
      <c r="F1067" s="170">
        <f t="shared" si="537"/>
        <v>0</v>
      </c>
      <c r="G1067" s="171">
        <f t="shared" si="538"/>
        <v>0</v>
      </c>
      <c r="H1067" s="171">
        <f t="shared" si="539"/>
        <v>142829.97426905623</v>
      </c>
      <c r="I1067" s="171">
        <f>IF(B1067="Working",MIN(MAX(D1067-E1067-F1067-G1067-H1067,0),'Tax Assumptions'!$B$20),0)</f>
        <v>0</v>
      </c>
      <c r="J1067" s="171">
        <f t="shared" si="540"/>
        <v>-372829.97426905623</v>
      </c>
      <c r="K1067" s="170">
        <f t="shared" si="541"/>
        <v>372829.97426905623</v>
      </c>
      <c r="L1067" s="170">
        <f t="shared" si="542"/>
        <v>372829.97426905623</v>
      </c>
      <c r="M1067" s="170">
        <f t="shared" si="548"/>
        <v>372829.97426905623</v>
      </c>
      <c r="N1067" s="170">
        <f t="shared" si="549"/>
        <v>0</v>
      </c>
      <c r="O1067" s="170">
        <f t="shared" si="550"/>
        <v>0</v>
      </c>
      <c r="P1067" s="170">
        <f t="shared" si="551"/>
        <v>0</v>
      </c>
      <c r="Q1067" s="171">
        <f t="shared" si="552"/>
        <v>4100535.348772814</v>
      </c>
      <c r="R1067" s="171">
        <f t="shared" si="553"/>
        <v>545582.55509300018</v>
      </c>
      <c r="S1067" s="171">
        <f t="shared" si="554"/>
        <v>167015.06788561228</v>
      </c>
      <c r="T1067" s="171">
        <f t="shared" si="555"/>
        <v>0</v>
      </c>
      <c r="U1067" s="171">
        <f t="shared" si="543"/>
        <v>4813132.9717514263</v>
      </c>
      <c r="V1067" s="171">
        <f t="shared" si="556"/>
        <v>0</v>
      </c>
      <c r="W1067" s="171">
        <f>IF(OR(A1067&gt;=$C$13,B1067="Retired"),IF(V1067&gt;0,-V1067,U1067-'Model Inputs'!$B$18),"")</f>
        <v>3813132.9717514263</v>
      </c>
      <c r="X1067" s="171">
        <f t="shared" si="544"/>
        <v>2646361.144617009</v>
      </c>
      <c r="Y1067" s="171">
        <f t="shared" si="545"/>
        <v>945693.37619963288</v>
      </c>
      <c r="Z1067" s="171">
        <f t="shared" si="546"/>
        <v>1700667.7684173761</v>
      </c>
      <c r="AA1067" s="172">
        <f t="shared" si="547"/>
        <v>6513800.7401688024</v>
      </c>
      <c r="AB1067" s="5"/>
      <c r="AC1067" s="5"/>
      <c r="AD1067" s="5"/>
      <c r="AE1067" s="5"/>
      <c r="AF1067" s="5"/>
      <c r="AG1067" s="5"/>
    </row>
    <row r="1068" spans="1:33" x14ac:dyDescent="0.2">
      <c r="A1068" s="173">
        <v>20</v>
      </c>
      <c r="B1068" s="65" t="str">
        <f t="shared" si="533"/>
        <v>Retired</v>
      </c>
      <c r="C1068" s="174">
        <f t="shared" si="534"/>
        <v>0</v>
      </c>
      <c r="D1068" s="174">
        <f t="shared" si="535"/>
        <v>0</v>
      </c>
      <c r="E1068" s="174">
        <f t="shared" si="536"/>
        <v>0</v>
      </c>
      <c r="F1068" s="174">
        <f t="shared" si="537"/>
        <v>0</v>
      </c>
      <c r="G1068" s="171">
        <f t="shared" si="538"/>
        <v>0</v>
      </c>
      <c r="H1068" s="171">
        <f t="shared" si="539"/>
        <v>144576.57262450346</v>
      </c>
      <c r="I1068" s="171">
        <f>IF(B1068="Working",MIN(MAX(D1068-E1068-F1068-G1068-H1068,0),'Tax Assumptions'!$B$20),0)</f>
        <v>0</v>
      </c>
      <c r="J1068" s="171">
        <f t="shared" si="540"/>
        <v>-374576.5726245034</v>
      </c>
      <c r="K1068" s="174">
        <f t="shared" si="541"/>
        <v>374576.5726245034</v>
      </c>
      <c r="L1068" s="174">
        <f t="shared" si="542"/>
        <v>374576.5726245034</v>
      </c>
      <c r="M1068" s="174">
        <f t="shared" si="548"/>
        <v>374576.5726245034</v>
      </c>
      <c r="N1068" s="174">
        <f t="shared" si="549"/>
        <v>0</v>
      </c>
      <c r="O1068" s="174">
        <f t="shared" si="550"/>
        <v>0</v>
      </c>
      <c r="P1068" s="174">
        <f t="shared" si="551"/>
        <v>0</v>
      </c>
      <c r="Q1068" s="171">
        <f t="shared" si="552"/>
        <v>3971990.8970746798</v>
      </c>
      <c r="R1068" s="171">
        <f t="shared" si="553"/>
        <v>578317.50839858025</v>
      </c>
      <c r="S1068" s="171">
        <f t="shared" si="554"/>
        <v>177035.97195874903</v>
      </c>
      <c r="T1068" s="171">
        <f t="shared" si="555"/>
        <v>0</v>
      </c>
      <c r="U1068" s="171">
        <f t="shared" si="543"/>
        <v>4727344.3774320092</v>
      </c>
      <c r="V1068" s="171">
        <f t="shared" si="556"/>
        <v>0</v>
      </c>
      <c r="W1068" s="171">
        <f>IF(OR(A1068&gt;=$C$13,B1068="Retired"),IF(V1068&gt;0,-V1068,U1068-'Model Inputs'!$B$18),"")</f>
        <v>3727344.3774320092</v>
      </c>
      <c r="X1068" s="171">
        <f t="shared" si="544"/>
        <v>2725751.9789555194</v>
      </c>
      <c r="Y1068" s="171">
        <f t="shared" si="545"/>
        <v>921851.43847675715</v>
      </c>
      <c r="Z1068" s="171">
        <f t="shared" si="546"/>
        <v>1803900.5404787622</v>
      </c>
      <c r="AA1068" s="175">
        <f t="shared" si="547"/>
        <v>6531244.9179107714</v>
      </c>
      <c r="AB1068" s="5"/>
      <c r="AC1068" s="5"/>
      <c r="AD1068" s="5"/>
      <c r="AE1068" s="5"/>
      <c r="AF1068" s="5"/>
      <c r="AG1068" s="5"/>
    </row>
    <row r="1069" spans="1:33" x14ac:dyDescent="0.2">
      <c r="A1069" s="169">
        <v>21</v>
      </c>
      <c r="B1069" s="100" t="str">
        <f t="shared" si="533"/>
        <v>Retired</v>
      </c>
      <c r="C1069" s="170">
        <f t="shared" si="534"/>
        <v>0</v>
      </c>
      <c r="D1069" s="170">
        <f t="shared" si="535"/>
        <v>0</v>
      </c>
      <c r="E1069" s="170">
        <f t="shared" si="536"/>
        <v>0</v>
      </c>
      <c r="F1069" s="170">
        <f t="shared" si="537"/>
        <v>0</v>
      </c>
      <c r="G1069" s="171">
        <f t="shared" si="538"/>
        <v>0</v>
      </c>
      <c r="H1069" s="171">
        <f t="shared" si="539"/>
        <v>146375.5689306141</v>
      </c>
      <c r="I1069" s="171">
        <f>IF(B1069="Working",MIN(MAX(D1069-E1069-F1069-G1069-H1069,0),'Tax Assumptions'!$B$20),0)</f>
        <v>0</v>
      </c>
      <c r="J1069" s="171">
        <f t="shared" si="540"/>
        <v>-376375.56893061404</v>
      </c>
      <c r="K1069" s="170">
        <f t="shared" si="541"/>
        <v>376375.56893061404</v>
      </c>
      <c r="L1069" s="170">
        <f t="shared" si="542"/>
        <v>376375.56893061404</v>
      </c>
      <c r="M1069" s="170">
        <f t="shared" si="548"/>
        <v>376375.56893061404</v>
      </c>
      <c r="N1069" s="170">
        <f t="shared" si="549"/>
        <v>0</v>
      </c>
      <c r="O1069" s="170">
        <f t="shared" si="550"/>
        <v>0</v>
      </c>
      <c r="P1069" s="170">
        <f t="shared" si="551"/>
        <v>0</v>
      </c>
      <c r="Q1069" s="171">
        <f t="shared" si="552"/>
        <v>3833934.781968547</v>
      </c>
      <c r="R1069" s="171">
        <f t="shared" si="553"/>
        <v>613016.55890249508</v>
      </c>
      <c r="S1069" s="171">
        <f t="shared" si="554"/>
        <v>187658.13027627397</v>
      </c>
      <c r="T1069" s="171">
        <f t="shared" si="555"/>
        <v>0</v>
      </c>
      <c r="U1069" s="171">
        <f t="shared" si="543"/>
        <v>4634609.4711473156</v>
      </c>
      <c r="V1069" s="171">
        <f t="shared" si="556"/>
        <v>0</v>
      </c>
      <c r="W1069" s="171">
        <f>IF(OR(A1069&gt;=$C$13,B1069="Retired"),IF(V1069&gt;0,-V1069,U1069-'Model Inputs'!$B$18),"")</f>
        <v>3634609.4711473156</v>
      </c>
      <c r="X1069" s="171">
        <f t="shared" si="544"/>
        <v>2807524.5383241847</v>
      </c>
      <c r="Y1069" s="171">
        <f t="shared" si="545"/>
        <v>896412.76202925062</v>
      </c>
      <c r="Z1069" s="171">
        <f t="shared" si="546"/>
        <v>1911111.7762949341</v>
      </c>
      <c r="AA1069" s="172">
        <f t="shared" si="547"/>
        <v>6545721.2474422492</v>
      </c>
      <c r="AB1069" s="5"/>
      <c r="AC1069" s="5"/>
      <c r="AD1069" s="5"/>
      <c r="AE1069" s="5"/>
      <c r="AF1069" s="5"/>
      <c r="AG1069" s="5"/>
    </row>
    <row r="1070" spans="1:33" x14ac:dyDescent="0.2">
      <c r="A1070" s="173">
        <v>22</v>
      </c>
      <c r="B1070" s="65" t="str">
        <f t="shared" si="533"/>
        <v>Retired</v>
      </c>
      <c r="C1070" s="174">
        <f t="shared" si="534"/>
        <v>0</v>
      </c>
      <c r="D1070" s="174">
        <f t="shared" si="535"/>
        <v>0</v>
      </c>
      <c r="E1070" s="174">
        <f t="shared" si="536"/>
        <v>0</v>
      </c>
      <c r="F1070" s="174">
        <f t="shared" si="537"/>
        <v>0</v>
      </c>
      <c r="G1070" s="171">
        <f t="shared" si="538"/>
        <v>0</v>
      </c>
      <c r="H1070" s="171">
        <f t="shared" si="539"/>
        <v>148228.53512590806</v>
      </c>
      <c r="I1070" s="171">
        <f>IF(B1070="Working",MIN(MAX(D1070-E1070-F1070-G1070-H1070,0),'Tax Assumptions'!$B$20),0)</f>
        <v>0</v>
      </c>
      <c r="J1070" s="171">
        <f t="shared" si="540"/>
        <v>-378228.53512590803</v>
      </c>
      <c r="K1070" s="174">
        <f t="shared" si="541"/>
        <v>378228.53512590803</v>
      </c>
      <c r="L1070" s="174">
        <f t="shared" si="542"/>
        <v>378228.53512590803</v>
      </c>
      <c r="M1070" s="174">
        <f t="shared" si="548"/>
        <v>378228.53512590803</v>
      </c>
      <c r="N1070" s="174">
        <f t="shared" si="549"/>
        <v>0</v>
      </c>
      <c r="O1070" s="174">
        <f t="shared" si="550"/>
        <v>0</v>
      </c>
      <c r="P1070" s="174">
        <f t="shared" si="551"/>
        <v>0</v>
      </c>
      <c r="Q1070" s="171">
        <f t="shared" si="552"/>
        <v>3685742.3337607519</v>
      </c>
      <c r="R1070" s="171">
        <f t="shared" si="553"/>
        <v>649797.55243664479</v>
      </c>
      <c r="S1070" s="171">
        <f t="shared" si="554"/>
        <v>198917.6180928504</v>
      </c>
      <c r="T1070" s="171">
        <f t="shared" si="555"/>
        <v>0</v>
      </c>
      <c r="U1070" s="171">
        <f t="shared" si="543"/>
        <v>4534457.5042902473</v>
      </c>
      <c r="V1070" s="171">
        <f t="shared" si="556"/>
        <v>0</v>
      </c>
      <c r="W1070" s="171">
        <f>IF(OR(A1070&gt;=$C$13,B1070="Retired"),IF(V1070&gt;0,-V1070,U1070-'Model Inputs'!$B$18),"")</f>
        <v>3534457.5042902473</v>
      </c>
      <c r="X1070" s="171">
        <f t="shared" si="544"/>
        <v>2891750.2744739098</v>
      </c>
      <c r="Y1070" s="171">
        <f t="shared" si="545"/>
        <v>869270.41030756128</v>
      </c>
      <c r="Z1070" s="171">
        <f t="shared" si="546"/>
        <v>2022479.8641663485</v>
      </c>
      <c r="AA1070" s="175">
        <f t="shared" si="547"/>
        <v>6556937.3684565956</v>
      </c>
      <c r="AB1070" s="5"/>
      <c r="AC1070" s="5"/>
      <c r="AD1070" s="5"/>
      <c r="AE1070" s="5"/>
      <c r="AF1070" s="5"/>
      <c r="AG1070" s="5"/>
    </row>
    <row r="1071" spans="1:33" x14ac:dyDescent="0.2">
      <c r="A1071" s="169">
        <v>23</v>
      </c>
      <c r="B1071" s="100" t="str">
        <f t="shared" si="533"/>
        <v>Retired</v>
      </c>
      <c r="C1071" s="170">
        <f t="shared" si="534"/>
        <v>0</v>
      </c>
      <c r="D1071" s="170">
        <f t="shared" si="535"/>
        <v>0</v>
      </c>
      <c r="E1071" s="170">
        <f t="shared" si="536"/>
        <v>0</v>
      </c>
      <c r="F1071" s="170">
        <f t="shared" si="537"/>
        <v>0</v>
      </c>
      <c r="G1071" s="171">
        <f t="shared" si="538"/>
        <v>0</v>
      </c>
      <c r="H1071" s="171">
        <f t="shared" si="539"/>
        <v>150137.09030706083</v>
      </c>
      <c r="I1071" s="171">
        <f>IF(B1071="Working",MIN(MAX(D1071-E1071-F1071-G1071-H1071,0),'Tax Assumptions'!$B$20),0)</f>
        <v>0</v>
      </c>
      <c r="J1071" s="171">
        <f t="shared" si="540"/>
        <v>-380137.0903070608</v>
      </c>
      <c r="K1071" s="170">
        <f t="shared" si="541"/>
        <v>380137.0903070608</v>
      </c>
      <c r="L1071" s="170">
        <f t="shared" si="542"/>
        <v>380137.0903070608</v>
      </c>
      <c r="M1071" s="170">
        <f t="shared" si="548"/>
        <v>380137.0903070608</v>
      </c>
      <c r="N1071" s="170">
        <f t="shared" si="549"/>
        <v>0</v>
      </c>
      <c r="O1071" s="170">
        <f t="shared" si="550"/>
        <v>0</v>
      </c>
      <c r="P1071" s="170">
        <f t="shared" si="551"/>
        <v>0</v>
      </c>
      <c r="Q1071" s="171">
        <f t="shared" si="552"/>
        <v>3526749.7834793366</v>
      </c>
      <c r="R1071" s="171">
        <f t="shared" si="553"/>
        <v>688785.40558284346</v>
      </c>
      <c r="S1071" s="171">
        <f t="shared" si="554"/>
        <v>210852.67517842143</v>
      </c>
      <c r="T1071" s="171">
        <f t="shared" si="555"/>
        <v>0</v>
      </c>
      <c r="U1071" s="171">
        <f t="shared" si="543"/>
        <v>4426387.8642406017</v>
      </c>
      <c r="V1071" s="171">
        <f t="shared" si="556"/>
        <v>0</v>
      </c>
      <c r="W1071" s="171">
        <f>IF(OR(A1071&gt;=$C$13,B1071="Retired"),IF(V1071&gt;0,-V1071,U1071-'Model Inputs'!$B$18),"")</f>
        <v>3426387.8642406017</v>
      </c>
      <c r="X1071" s="171">
        <f t="shared" si="544"/>
        <v>2978502.7827081271</v>
      </c>
      <c r="Y1071" s="171">
        <f t="shared" si="545"/>
        <v>840310.28502336587</v>
      </c>
      <c r="Z1071" s="171">
        <f t="shared" si="546"/>
        <v>2138192.497684761</v>
      </c>
      <c r="AA1071" s="172">
        <f t="shared" si="547"/>
        <v>6564580.3619253626</v>
      </c>
      <c r="AB1071" s="5"/>
      <c r="AC1071" s="5"/>
      <c r="AD1071" s="5"/>
      <c r="AE1071" s="5"/>
      <c r="AF1071" s="5"/>
      <c r="AG1071" s="5"/>
    </row>
    <row r="1072" spans="1:33" x14ac:dyDescent="0.2">
      <c r="A1072" s="173">
        <v>24</v>
      </c>
      <c r="B1072" s="65" t="str">
        <f t="shared" si="533"/>
        <v>Retired</v>
      </c>
      <c r="C1072" s="174">
        <f t="shared" si="534"/>
        <v>0</v>
      </c>
      <c r="D1072" s="174">
        <f t="shared" si="535"/>
        <v>0</v>
      </c>
      <c r="E1072" s="174">
        <f t="shared" si="536"/>
        <v>0</v>
      </c>
      <c r="F1072" s="174">
        <f t="shared" si="537"/>
        <v>0</v>
      </c>
      <c r="G1072" s="171">
        <f t="shared" si="538"/>
        <v>0</v>
      </c>
      <c r="H1072" s="171">
        <f t="shared" si="539"/>
        <v>152102.90214364821</v>
      </c>
      <c r="I1072" s="171">
        <f>IF(B1072="Working",MIN(MAX(D1072-E1072-F1072-G1072-H1072,0),'Tax Assumptions'!$B$20),0)</f>
        <v>0</v>
      </c>
      <c r="J1072" s="171">
        <f t="shared" si="540"/>
        <v>-382102.90214364819</v>
      </c>
      <c r="K1072" s="174">
        <f t="shared" si="541"/>
        <v>382102.90214364819</v>
      </c>
      <c r="L1072" s="174">
        <f t="shared" si="542"/>
        <v>382102.90214364819</v>
      </c>
      <c r="M1072" s="174">
        <f t="shared" si="548"/>
        <v>382102.90214364819</v>
      </c>
      <c r="N1072" s="174">
        <f t="shared" si="549"/>
        <v>0</v>
      </c>
      <c r="O1072" s="174">
        <f t="shared" si="550"/>
        <v>0</v>
      </c>
      <c r="P1072" s="174">
        <f t="shared" si="551"/>
        <v>0</v>
      </c>
      <c r="Q1072" s="171">
        <f t="shared" si="552"/>
        <v>3356251.8683444485</v>
      </c>
      <c r="R1072" s="171">
        <f t="shared" si="553"/>
        <v>730112.52991781407</v>
      </c>
      <c r="S1072" s="171">
        <f t="shared" si="554"/>
        <v>223503.83568912672</v>
      </c>
      <c r="T1072" s="171">
        <f t="shared" si="555"/>
        <v>0</v>
      </c>
      <c r="U1072" s="171">
        <f t="shared" si="543"/>
        <v>4309868.2339513889</v>
      </c>
      <c r="V1072" s="171">
        <f t="shared" si="556"/>
        <v>0</v>
      </c>
      <c r="W1072" s="171">
        <f>IF(OR(A1072&gt;=$C$13,B1072="Retired"),IF(V1072&gt;0,-V1072,U1072-'Model Inputs'!$B$18),"")</f>
        <v>3309868.2339513889</v>
      </c>
      <c r="X1072" s="171">
        <f t="shared" si="544"/>
        <v>3067857.8661893713</v>
      </c>
      <c r="Y1072" s="171">
        <f t="shared" si="545"/>
        <v>809410.64651466254</v>
      </c>
      <c r="Z1072" s="171">
        <f t="shared" si="546"/>
        <v>2258447.2196747088</v>
      </c>
      <c r="AA1072" s="175">
        <f t="shared" si="547"/>
        <v>6568315.4536260981</v>
      </c>
      <c r="AB1072" s="5"/>
      <c r="AC1072" s="5"/>
      <c r="AD1072" s="5"/>
      <c r="AE1072" s="5"/>
      <c r="AF1072" s="5"/>
      <c r="AG1072" s="5"/>
    </row>
    <row r="1073" spans="1:33" x14ac:dyDescent="0.2">
      <c r="A1073" s="169">
        <v>25</v>
      </c>
      <c r="B1073" s="100" t="str">
        <f t="shared" si="533"/>
        <v>Retired</v>
      </c>
      <c r="C1073" s="170">
        <f t="shared" si="534"/>
        <v>0</v>
      </c>
      <c r="D1073" s="170">
        <f t="shared" si="535"/>
        <v>0</v>
      </c>
      <c r="E1073" s="170">
        <f t="shared" si="536"/>
        <v>0</v>
      </c>
      <c r="F1073" s="170">
        <f t="shared" si="537"/>
        <v>0</v>
      </c>
      <c r="G1073" s="171">
        <f t="shared" si="538"/>
        <v>0</v>
      </c>
      <c r="H1073" s="171">
        <f t="shared" si="539"/>
        <v>154127.68833533319</v>
      </c>
      <c r="I1073" s="171">
        <f>IF(B1073="Working",MIN(MAX(D1073-E1073-F1073-G1073-H1073,0),'Tax Assumptions'!$B$20),0)</f>
        <v>0</v>
      </c>
      <c r="J1073" s="171">
        <f t="shared" si="540"/>
        <v>-384127.68833533314</v>
      </c>
      <c r="K1073" s="170">
        <f t="shared" si="541"/>
        <v>384127.68833533314</v>
      </c>
      <c r="L1073" s="170">
        <f t="shared" si="542"/>
        <v>384127.68833533314</v>
      </c>
      <c r="M1073" s="170">
        <f t="shared" si="548"/>
        <v>384127.68833533314</v>
      </c>
      <c r="N1073" s="170">
        <f t="shared" si="549"/>
        <v>0</v>
      </c>
      <c r="O1073" s="170">
        <f t="shared" si="550"/>
        <v>0</v>
      </c>
      <c r="P1073" s="170">
        <f t="shared" si="551"/>
        <v>0</v>
      </c>
      <c r="Q1073" s="171">
        <f t="shared" si="552"/>
        <v>3173499.2921097828</v>
      </c>
      <c r="R1073" s="171">
        <f t="shared" si="553"/>
        <v>773919.28171288292</v>
      </c>
      <c r="S1073" s="171">
        <f t="shared" si="554"/>
        <v>236914.06583047434</v>
      </c>
      <c r="T1073" s="171">
        <f t="shared" si="555"/>
        <v>0</v>
      </c>
      <c r="U1073" s="171">
        <f t="shared" si="543"/>
        <v>4184332.6396531402</v>
      </c>
      <c r="V1073" s="171">
        <f t="shared" si="556"/>
        <v>0</v>
      </c>
      <c r="W1073" s="171">
        <f>IF(OR(A1073&gt;=$C$13,B1073="Retired"),IF(V1073&gt;0,-V1073,U1073-'Model Inputs'!$B$18),"")</f>
        <v>3184332.6396531402</v>
      </c>
      <c r="X1073" s="171">
        <f t="shared" si="544"/>
        <v>3159893.6021750527</v>
      </c>
      <c r="Y1073" s="171">
        <f t="shared" si="545"/>
        <v>776441.60198882176</v>
      </c>
      <c r="Z1073" s="171">
        <f t="shared" si="546"/>
        <v>2383452.000186231</v>
      </c>
      <c r="AA1073" s="172">
        <f t="shared" si="547"/>
        <v>6567784.6398393717</v>
      </c>
      <c r="AB1073" s="5"/>
      <c r="AC1073" s="5"/>
      <c r="AD1073" s="5"/>
      <c r="AE1073" s="5"/>
      <c r="AF1073" s="5"/>
      <c r="AG1073" s="5"/>
    </row>
    <row r="1074" spans="1:33" x14ac:dyDescent="0.2">
      <c r="A1074" s="173">
        <v>26</v>
      </c>
      <c r="B1074" s="65" t="str">
        <f t="shared" si="533"/>
        <v>Retired</v>
      </c>
      <c r="C1074" s="174">
        <f t="shared" si="534"/>
        <v>0</v>
      </c>
      <c r="D1074" s="174">
        <f t="shared" si="535"/>
        <v>0</v>
      </c>
      <c r="E1074" s="174">
        <f t="shared" si="536"/>
        <v>0</v>
      </c>
      <c r="F1074" s="174">
        <f t="shared" si="537"/>
        <v>0</v>
      </c>
      <c r="G1074" s="171">
        <f t="shared" si="538"/>
        <v>0</v>
      </c>
      <c r="H1074" s="171">
        <f t="shared" si="539"/>
        <v>156213.21811276872</v>
      </c>
      <c r="I1074" s="171">
        <f>IF(B1074="Working",MIN(MAX(D1074-E1074-F1074-G1074-H1074,0),'Tax Assumptions'!$B$20),0)</f>
        <v>0</v>
      </c>
      <c r="J1074" s="171">
        <f t="shared" si="540"/>
        <v>-386213.21811276872</v>
      </c>
      <c r="K1074" s="174">
        <f t="shared" si="541"/>
        <v>386213.21811276872</v>
      </c>
      <c r="L1074" s="174">
        <f t="shared" si="542"/>
        <v>386213.21811276872</v>
      </c>
      <c r="M1074" s="174">
        <f t="shared" si="548"/>
        <v>386213.21811276872</v>
      </c>
      <c r="N1074" s="174">
        <f t="shared" si="549"/>
        <v>0</v>
      </c>
      <c r="O1074" s="174">
        <f t="shared" si="550"/>
        <v>0</v>
      </c>
      <c r="P1074" s="174">
        <f t="shared" si="551"/>
        <v>0</v>
      </c>
      <c r="Q1074" s="171">
        <f t="shared" si="552"/>
        <v>2977696.0315236012</v>
      </c>
      <c r="R1074" s="171">
        <f t="shared" si="553"/>
        <v>820354.43861565599</v>
      </c>
      <c r="S1074" s="171">
        <f t="shared" si="554"/>
        <v>251128.90978030281</v>
      </c>
      <c r="T1074" s="171">
        <f t="shared" si="555"/>
        <v>0</v>
      </c>
      <c r="U1074" s="171">
        <f t="shared" si="543"/>
        <v>4049179.3799195602</v>
      </c>
      <c r="V1074" s="171">
        <f t="shared" si="556"/>
        <v>0</v>
      </c>
      <c r="W1074" s="171">
        <f>IF(OR(A1074&gt;=$C$13,B1074="Retired"),IF(V1074&gt;0,-V1074,U1074-'Model Inputs'!$B$18),"")</f>
        <v>3049179.3799195602</v>
      </c>
      <c r="X1074" s="171">
        <f t="shared" si="544"/>
        <v>3254690.4102403037</v>
      </c>
      <c r="Y1074" s="171">
        <f t="shared" si="545"/>
        <v>741264.559492331</v>
      </c>
      <c r="Z1074" s="171">
        <f t="shared" si="546"/>
        <v>2513425.8507479727</v>
      </c>
      <c r="AA1074" s="175">
        <f t="shared" si="547"/>
        <v>6562605.2306675334</v>
      </c>
      <c r="AB1074" s="5"/>
      <c r="AC1074" s="5"/>
      <c r="AD1074" s="5"/>
      <c r="AE1074" s="5"/>
      <c r="AF1074" s="5"/>
      <c r="AG1074" s="5"/>
    </row>
    <row r="1075" spans="1:33" x14ac:dyDescent="0.2">
      <c r="A1075" s="169">
        <v>27</v>
      </c>
      <c r="B1075" s="100" t="str">
        <f t="shared" si="533"/>
        <v>Retired</v>
      </c>
      <c r="C1075" s="170">
        <f t="shared" si="534"/>
        <v>0</v>
      </c>
      <c r="D1075" s="170">
        <f t="shared" si="535"/>
        <v>0</v>
      </c>
      <c r="E1075" s="170">
        <f t="shared" si="536"/>
        <v>0</v>
      </c>
      <c r="F1075" s="170">
        <f t="shared" si="537"/>
        <v>0</v>
      </c>
      <c r="G1075" s="171">
        <f t="shared" si="538"/>
        <v>0</v>
      </c>
      <c r="H1075" s="171">
        <f t="shared" si="539"/>
        <v>158361.31378352732</v>
      </c>
      <c r="I1075" s="171">
        <f>IF(B1075="Working",MIN(MAX(D1075-E1075-F1075-G1075-H1075,0),'Tax Assumptions'!$B$20),0)</f>
        <v>0</v>
      </c>
      <c r="J1075" s="171">
        <f t="shared" si="540"/>
        <v>-388361.31378352729</v>
      </c>
      <c r="K1075" s="170">
        <f t="shared" si="541"/>
        <v>388361.31378352729</v>
      </c>
      <c r="L1075" s="170">
        <f t="shared" si="542"/>
        <v>388361.31378352729</v>
      </c>
      <c r="M1075" s="170">
        <f t="shared" si="548"/>
        <v>388361.31378352729</v>
      </c>
      <c r="N1075" s="170">
        <f t="shared" si="549"/>
        <v>0</v>
      </c>
      <c r="O1075" s="170">
        <f t="shared" si="550"/>
        <v>0</v>
      </c>
      <c r="P1075" s="170">
        <f t="shared" si="551"/>
        <v>0</v>
      </c>
      <c r="Q1075" s="171">
        <f t="shared" si="552"/>
        <v>2767996.4796314901</v>
      </c>
      <c r="R1075" s="171">
        <f t="shared" si="553"/>
        <v>869575.70493259537</v>
      </c>
      <c r="S1075" s="171">
        <f t="shared" si="554"/>
        <v>266196.64436712099</v>
      </c>
      <c r="T1075" s="171">
        <f t="shared" si="555"/>
        <v>0</v>
      </c>
      <c r="U1075" s="171">
        <f t="shared" si="543"/>
        <v>3903768.8289312068</v>
      </c>
      <c r="V1075" s="171">
        <f t="shared" si="556"/>
        <v>0</v>
      </c>
      <c r="W1075" s="171">
        <f>IF(OR(A1075&gt;=$C$13,B1075="Retired"),IF(V1075&gt;0,-V1075,U1075-'Model Inputs'!$B$18),"")</f>
        <v>2903768.8289312068</v>
      </c>
      <c r="X1075" s="171">
        <f t="shared" si="544"/>
        <v>3352331.1225475129</v>
      </c>
      <c r="Y1075" s="171">
        <f t="shared" si="545"/>
        <v>703731.64531187899</v>
      </c>
      <c r="Z1075" s="171">
        <f t="shared" si="546"/>
        <v>2648599.4772356339</v>
      </c>
      <c r="AA1075" s="172">
        <f t="shared" si="547"/>
        <v>6552368.3061668407</v>
      </c>
      <c r="AB1075" s="5"/>
      <c r="AC1075" s="5"/>
      <c r="AD1075" s="5"/>
      <c r="AE1075" s="5"/>
      <c r="AF1075" s="5"/>
      <c r="AG1075" s="5"/>
    </row>
    <row r="1076" spans="1:33" x14ac:dyDescent="0.2">
      <c r="A1076" s="173">
        <v>28</v>
      </c>
      <c r="B1076" s="65" t="str">
        <f t="shared" si="533"/>
        <v>Retired</v>
      </c>
      <c r="C1076" s="174">
        <f t="shared" si="534"/>
        <v>0</v>
      </c>
      <c r="D1076" s="174">
        <f t="shared" si="535"/>
        <v>0</v>
      </c>
      <c r="E1076" s="174">
        <f t="shared" si="536"/>
        <v>0</v>
      </c>
      <c r="F1076" s="174">
        <f t="shared" si="537"/>
        <v>0</v>
      </c>
      <c r="G1076" s="171">
        <f t="shared" si="538"/>
        <v>0</v>
      </c>
      <c r="H1076" s="171">
        <f t="shared" si="539"/>
        <v>160573.85232440868</v>
      </c>
      <c r="I1076" s="171">
        <f>IF(B1076="Working",MIN(MAX(D1076-E1076-F1076-G1076-H1076,0),'Tax Assumptions'!$B$20),0)</f>
        <v>0</v>
      </c>
      <c r="J1076" s="171">
        <f t="shared" si="540"/>
        <v>-390573.85232440865</v>
      </c>
      <c r="K1076" s="174">
        <f t="shared" si="541"/>
        <v>390573.85232440865</v>
      </c>
      <c r="L1076" s="174">
        <f t="shared" si="542"/>
        <v>390573.85232440865</v>
      </c>
      <c r="M1076" s="174">
        <f t="shared" si="548"/>
        <v>390573.85232440865</v>
      </c>
      <c r="N1076" s="174">
        <f t="shared" si="549"/>
        <v>0</v>
      </c>
      <c r="O1076" s="174">
        <f t="shared" si="550"/>
        <v>0</v>
      </c>
      <c r="P1076" s="174">
        <f t="shared" si="551"/>
        <v>0</v>
      </c>
      <c r="Q1076" s="171">
        <f t="shared" si="552"/>
        <v>2543502.4160849713</v>
      </c>
      <c r="R1076" s="171">
        <f t="shared" si="553"/>
        <v>921750.24722855119</v>
      </c>
      <c r="S1076" s="171">
        <f t="shared" si="554"/>
        <v>282168.44302914827</v>
      </c>
      <c r="T1076" s="171">
        <f t="shared" si="555"/>
        <v>0</v>
      </c>
      <c r="U1076" s="171">
        <f t="shared" si="543"/>
        <v>3747421.1063426705</v>
      </c>
      <c r="V1076" s="171">
        <f t="shared" si="556"/>
        <v>0</v>
      </c>
      <c r="W1076" s="171">
        <f>IF(OR(A1076&gt;=$C$13,B1076="Retired"),IF(V1076&gt;0,-V1076,U1076-'Model Inputs'!$B$18),"")</f>
        <v>2747421.1063426705</v>
      </c>
      <c r="X1076" s="171">
        <f t="shared" si="544"/>
        <v>3452901.0562239382</v>
      </c>
      <c r="Y1076" s="171">
        <f t="shared" si="545"/>
        <v>663685.08235770883</v>
      </c>
      <c r="Z1076" s="171">
        <f t="shared" si="546"/>
        <v>2789215.9738662294</v>
      </c>
      <c r="AA1076" s="175">
        <f t="shared" si="547"/>
        <v>6536637.0802088995</v>
      </c>
      <c r="AB1076" s="5"/>
      <c r="AC1076" s="5"/>
      <c r="AD1076" s="5"/>
      <c r="AE1076" s="5"/>
      <c r="AF1076" s="5"/>
      <c r="AG1076" s="5"/>
    </row>
    <row r="1077" spans="1:33" x14ac:dyDescent="0.2">
      <c r="A1077" s="169">
        <v>29</v>
      </c>
      <c r="B1077" s="100" t="str">
        <f t="shared" si="533"/>
        <v>Retired</v>
      </c>
      <c r="C1077" s="170">
        <f t="shared" si="534"/>
        <v>0</v>
      </c>
      <c r="D1077" s="170">
        <f t="shared" si="535"/>
        <v>0</v>
      </c>
      <c r="E1077" s="170">
        <f t="shared" si="536"/>
        <v>0</v>
      </c>
      <c r="F1077" s="170">
        <f t="shared" si="537"/>
        <v>0</v>
      </c>
      <c r="G1077" s="171">
        <f t="shared" si="538"/>
        <v>0</v>
      </c>
      <c r="H1077" s="171">
        <f t="shared" si="539"/>
        <v>162852.76702151648</v>
      </c>
      <c r="I1077" s="171">
        <f>IF(B1077="Working",MIN(MAX(D1077-E1077-F1077-G1077-H1077,0),'Tax Assumptions'!$B$20),0)</f>
        <v>0</v>
      </c>
      <c r="J1077" s="171">
        <f t="shared" si="540"/>
        <v>-392852.76702151645</v>
      </c>
      <c r="K1077" s="170">
        <f t="shared" si="541"/>
        <v>392852.76702151645</v>
      </c>
      <c r="L1077" s="170">
        <f t="shared" si="542"/>
        <v>392852.76702151645</v>
      </c>
      <c r="M1077" s="170">
        <f t="shared" si="548"/>
        <v>392852.76702151645</v>
      </c>
      <c r="N1077" s="170">
        <f t="shared" si="549"/>
        <v>0</v>
      </c>
      <c r="O1077" s="170">
        <f t="shared" si="550"/>
        <v>0</v>
      </c>
      <c r="P1077" s="170">
        <f t="shared" si="551"/>
        <v>0</v>
      </c>
      <c r="Q1077" s="171">
        <f t="shared" si="552"/>
        <v>2303259.7940285532</v>
      </c>
      <c r="R1077" s="171">
        <f t="shared" si="553"/>
        <v>977055.26206226426</v>
      </c>
      <c r="S1077" s="171">
        <f t="shared" si="554"/>
        <v>299098.5496108972</v>
      </c>
      <c r="T1077" s="171">
        <f t="shared" si="555"/>
        <v>0</v>
      </c>
      <c r="U1077" s="171">
        <f t="shared" si="543"/>
        <v>3579413.6057017148</v>
      </c>
      <c r="V1077" s="171">
        <f t="shared" si="556"/>
        <v>0</v>
      </c>
      <c r="W1077" s="171">
        <f>IF(OR(A1077&gt;=$C$13,B1077="Retired"),IF(V1077&gt;0,-V1077,U1077-'Model Inputs'!$B$18),"")</f>
        <v>2579413.6057017148</v>
      </c>
      <c r="X1077" s="171">
        <f t="shared" si="544"/>
        <v>3556488.0879106564</v>
      </c>
      <c r="Y1077" s="171">
        <f t="shared" si="545"/>
        <v>620956.52691616118</v>
      </c>
      <c r="Z1077" s="171">
        <f t="shared" si="546"/>
        <v>2935531.5609944952</v>
      </c>
      <c r="AA1077" s="172">
        <f t="shared" si="547"/>
        <v>6514945.1666962095</v>
      </c>
      <c r="AB1077" s="5"/>
      <c r="AC1077" s="5"/>
      <c r="AD1077" s="5"/>
      <c r="AE1077" s="5"/>
      <c r="AF1077" s="5"/>
      <c r="AG1077" s="5"/>
    </row>
    <row r="1078" spans="1:33" x14ac:dyDescent="0.2">
      <c r="A1078" s="173">
        <v>30</v>
      </c>
      <c r="B1078" s="65" t="str">
        <f t="shared" si="533"/>
        <v>Retired</v>
      </c>
      <c r="C1078" s="174">
        <f t="shared" si="534"/>
        <v>0</v>
      </c>
      <c r="D1078" s="174">
        <f t="shared" si="535"/>
        <v>0</v>
      </c>
      <c r="E1078" s="174">
        <f t="shared" si="536"/>
        <v>0</v>
      </c>
      <c r="F1078" s="174">
        <f t="shared" si="537"/>
        <v>0</v>
      </c>
      <c r="G1078" s="171">
        <f t="shared" si="538"/>
        <v>0</v>
      </c>
      <c r="H1078" s="171">
        <f t="shared" si="539"/>
        <v>165200.04915953751</v>
      </c>
      <c r="I1078" s="171">
        <f>IF(B1078="Working",MIN(MAX(D1078-E1078-F1078-G1078-H1078,0),'Tax Assumptions'!$B$20),0)</f>
        <v>0</v>
      </c>
      <c r="J1078" s="171">
        <f t="shared" si="540"/>
        <v>-395200.04915953748</v>
      </c>
      <c r="K1078" s="174">
        <f t="shared" si="541"/>
        <v>395200.04915953748</v>
      </c>
      <c r="L1078" s="174">
        <f t="shared" si="542"/>
        <v>395200.04915953748</v>
      </c>
      <c r="M1078" s="174">
        <f t="shared" si="548"/>
        <v>395200.04915953748</v>
      </c>
      <c r="N1078" s="174">
        <f t="shared" si="549"/>
        <v>0</v>
      </c>
      <c r="O1078" s="174">
        <f t="shared" si="550"/>
        <v>0</v>
      </c>
      <c r="P1078" s="174">
        <f t="shared" si="551"/>
        <v>0</v>
      </c>
      <c r="Q1078" s="171">
        <f t="shared" si="552"/>
        <v>2046255.3325107289</v>
      </c>
      <c r="R1078" s="171">
        <f t="shared" si="553"/>
        <v>1035678.5777860002</v>
      </c>
      <c r="S1078" s="171">
        <f t="shared" si="554"/>
        <v>317044.46258755104</v>
      </c>
      <c r="T1078" s="171">
        <f t="shared" si="555"/>
        <v>0</v>
      </c>
      <c r="U1078" s="171">
        <f t="shared" si="543"/>
        <v>3398978.37288428</v>
      </c>
      <c r="V1078" s="171">
        <f t="shared" si="556"/>
        <v>0</v>
      </c>
      <c r="W1078" s="171">
        <f>IF(OR(A1078&gt;=$C$13,B1078="Retired"),IF(V1078&gt;0,-V1078,U1078-'Model Inputs'!$B$18),"")</f>
        <v>2398978.37288428</v>
      </c>
      <c r="X1078" s="171">
        <f t="shared" si="544"/>
        <v>3663182.7305479757</v>
      </c>
      <c r="Y1078" s="171">
        <f t="shared" si="545"/>
        <v>575366.36098330049</v>
      </c>
      <c r="Z1078" s="171">
        <f t="shared" si="546"/>
        <v>3087816.3695646753</v>
      </c>
      <c r="AA1078" s="175">
        <f t="shared" si="547"/>
        <v>6486794.7424489558</v>
      </c>
      <c r="AB1078" s="5"/>
      <c r="AC1078" s="5"/>
      <c r="AD1078" s="5"/>
      <c r="AE1078" s="5"/>
      <c r="AF1078" s="5"/>
      <c r="AG1078" s="5"/>
    </row>
    <row r="1079" spans="1:33" x14ac:dyDescent="0.2">
      <c r="A1079" s="169">
        <v>31</v>
      </c>
      <c r="B1079" s="100" t="str">
        <f t="shared" si="533"/>
        <v>Retired</v>
      </c>
      <c r="C1079" s="170">
        <f t="shared" si="534"/>
        <v>0</v>
      </c>
      <c r="D1079" s="170">
        <f t="shared" si="535"/>
        <v>0</v>
      </c>
      <c r="E1079" s="170">
        <f t="shared" si="536"/>
        <v>0</v>
      </c>
      <c r="F1079" s="170">
        <f t="shared" si="537"/>
        <v>0</v>
      </c>
      <c r="G1079" s="171">
        <f t="shared" si="538"/>
        <v>0</v>
      </c>
      <c r="H1079" s="171">
        <f t="shared" si="539"/>
        <v>167617.74976169917</v>
      </c>
      <c r="I1079" s="171">
        <f>IF(B1079="Working",MIN(MAX(D1079-E1079-F1079-G1079-H1079,0),'Tax Assumptions'!$B$20),0)</f>
        <v>0</v>
      </c>
      <c r="J1079" s="171">
        <f t="shared" si="540"/>
        <v>-397617.74976169912</v>
      </c>
      <c r="K1079" s="170">
        <f t="shared" si="541"/>
        <v>397617.74976169912</v>
      </c>
      <c r="L1079" s="170">
        <f t="shared" si="542"/>
        <v>397617.74976169912</v>
      </c>
      <c r="M1079" s="170">
        <f t="shared" si="548"/>
        <v>397617.74976169912</v>
      </c>
      <c r="N1079" s="170">
        <f t="shared" si="549"/>
        <v>0</v>
      </c>
      <c r="O1079" s="170">
        <f t="shared" si="550"/>
        <v>0</v>
      </c>
      <c r="P1079" s="170">
        <f t="shared" si="551"/>
        <v>0</v>
      </c>
      <c r="Q1079" s="171">
        <f t="shared" si="552"/>
        <v>1771412.9026996735</v>
      </c>
      <c r="R1079" s="171">
        <f t="shared" si="553"/>
        <v>1097819.2924531603</v>
      </c>
      <c r="S1079" s="171">
        <f t="shared" si="554"/>
        <v>336067.13034280413</v>
      </c>
      <c r="T1079" s="171">
        <f t="shared" si="555"/>
        <v>0</v>
      </c>
      <c r="U1079" s="171">
        <f t="shared" si="543"/>
        <v>3205299.325495638</v>
      </c>
      <c r="V1079" s="171">
        <f t="shared" si="556"/>
        <v>0</v>
      </c>
      <c r="W1079" s="171">
        <f>IF(OR(A1079&gt;=$C$13,B1079="Retired"),IF(V1079&gt;0,-V1079,U1079-'Model Inputs'!$B$18),"")</f>
        <v>2205299.325495638</v>
      </c>
      <c r="X1079" s="171">
        <f t="shared" si="544"/>
        <v>3773078.2124644145</v>
      </c>
      <c r="Y1079" s="171">
        <f t="shared" si="545"/>
        <v>526722.93720481312</v>
      </c>
      <c r="Z1079" s="171">
        <f t="shared" si="546"/>
        <v>3246355.2752596014</v>
      </c>
      <c r="AA1079" s="172">
        <f t="shared" si="547"/>
        <v>6451654.6007552389</v>
      </c>
      <c r="AB1079" s="5"/>
      <c r="AC1079" s="5"/>
      <c r="AD1079" s="5"/>
      <c r="AE1079" s="5"/>
      <c r="AF1079" s="5"/>
      <c r="AG1079" s="5"/>
    </row>
    <row r="1080" spans="1:33" x14ac:dyDescent="0.2">
      <c r="A1080" s="173">
        <v>32</v>
      </c>
      <c r="B1080" s="65" t="str">
        <f t="shared" si="533"/>
        <v>Retired</v>
      </c>
      <c r="C1080" s="174">
        <f t="shared" si="534"/>
        <v>0</v>
      </c>
      <c r="D1080" s="174">
        <f t="shared" si="535"/>
        <v>0</v>
      </c>
      <c r="E1080" s="174">
        <f t="shared" si="536"/>
        <v>0</v>
      </c>
      <c r="F1080" s="174">
        <f t="shared" si="537"/>
        <v>0</v>
      </c>
      <c r="G1080" s="171">
        <f t="shared" si="538"/>
        <v>0</v>
      </c>
      <c r="H1080" s="171">
        <f t="shared" si="539"/>
        <v>170107.9813819257</v>
      </c>
      <c r="I1080" s="171">
        <f>IF(B1080="Working",MIN(MAX(D1080-E1080-F1080-G1080-H1080,0),'Tax Assumptions'!$B$20),0)</f>
        <v>0</v>
      </c>
      <c r="J1080" s="171">
        <f t="shared" si="540"/>
        <v>-400107.98138192564</v>
      </c>
      <c r="K1080" s="174">
        <f t="shared" si="541"/>
        <v>400107.98138192564</v>
      </c>
      <c r="L1080" s="174">
        <f t="shared" si="542"/>
        <v>400107.98138192564</v>
      </c>
      <c r="M1080" s="174">
        <f t="shared" si="548"/>
        <v>400107.98138192564</v>
      </c>
      <c r="N1080" s="174">
        <f t="shared" si="549"/>
        <v>0</v>
      </c>
      <c r="O1080" s="174">
        <f t="shared" si="550"/>
        <v>0</v>
      </c>
      <c r="P1080" s="174">
        <f t="shared" si="551"/>
        <v>0</v>
      </c>
      <c r="Q1080" s="171">
        <f t="shared" si="552"/>
        <v>1477589.6954797283</v>
      </c>
      <c r="R1080" s="171">
        <f t="shared" si="553"/>
        <v>1163688.4500003499</v>
      </c>
      <c r="S1080" s="171">
        <f t="shared" si="554"/>
        <v>356231.15816337237</v>
      </c>
      <c r="T1080" s="171">
        <f t="shared" si="555"/>
        <v>0</v>
      </c>
      <c r="U1080" s="171">
        <f t="shared" si="543"/>
        <v>2997509.3036434506</v>
      </c>
      <c r="V1080" s="171">
        <f t="shared" si="556"/>
        <v>0</v>
      </c>
      <c r="W1080" s="171">
        <f>IF(OR(A1080&gt;=$C$13,B1080="Retired"),IF(V1080&gt;0,-V1080,U1080-'Model Inputs'!$B$18),"")</f>
        <v>1997509.3036434506</v>
      </c>
      <c r="X1080" s="171">
        <f t="shared" si="544"/>
        <v>3886270.5588383474</v>
      </c>
      <c r="Y1080" s="171">
        <f t="shared" si="545"/>
        <v>474821.77324813511</v>
      </c>
      <c r="Z1080" s="171">
        <f t="shared" si="546"/>
        <v>3411448.7855902123</v>
      </c>
      <c r="AA1080" s="175">
        <f t="shared" si="547"/>
        <v>6408958.0892336629</v>
      </c>
      <c r="AB1080" s="5"/>
      <c r="AC1080" s="5"/>
      <c r="AD1080" s="5"/>
      <c r="AE1080" s="5"/>
      <c r="AF1080" s="5"/>
      <c r="AG1080" s="5"/>
    </row>
    <row r="1081" spans="1:33" x14ac:dyDescent="0.2">
      <c r="A1081" s="169">
        <v>33</v>
      </c>
      <c r="B1081" s="100" t="str">
        <f t="shared" si="533"/>
        <v>Retired</v>
      </c>
      <c r="C1081" s="170">
        <f t="shared" si="534"/>
        <v>0</v>
      </c>
      <c r="D1081" s="170">
        <f t="shared" si="535"/>
        <v>0</v>
      </c>
      <c r="E1081" s="170">
        <f t="shared" si="536"/>
        <v>0</v>
      </c>
      <c r="F1081" s="170">
        <f t="shared" si="537"/>
        <v>0</v>
      </c>
      <c r="G1081" s="171">
        <f t="shared" si="538"/>
        <v>0</v>
      </c>
      <c r="H1081" s="171">
        <f t="shared" si="539"/>
        <v>172672.91995075901</v>
      </c>
      <c r="I1081" s="171">
        <f>IF(B1081="Working",MIN(MAX(D1081-E1081-F1081-G1081-H1081,0),'Tax Assumptions'!$B$20),0)</f>
        <v>0</v>
      </c>
      <c r="J1081" s="171">
        <f t="shared" si="540"/>
        <v>-402672.91995075898</v>
      </c>
      <c r="K1081" s="170">
        <f t="shared" si="541"/>
        <v>402672.91995075898</v>
      </c>
      <c r="L1081" s="170">
        <f t="shared" si="542"/>
        <v>402672.91995075898</v>
      </c>
      <c r="M1081" s="170">
        <f t="shared" si="548"/>
        <v>402672.91995075898</v>
      </c>
      <c r="N1081" s="170">
        <f t="shared" si="549"/>
        <v>0</v>
      </c>
      <c r="O1081" s="170">
        <f t="shared" si="550"/>
        <v>0</v>
      </c>
      <c r="P1081" s="170">
        <f t="shared" si="551"/>
        <v>0</v>
      </c>
      <c r="Q1081" s="171">
        <f t="shared" si="552"/>
        <v>1163572.157257753</v>
      </c>
      <c r="R1081" s="171">
        <f t="shared" si="553"/>
        <v>1233509.7570003709</v>
      </c>
      <c r="S1081" s="171">
        <f t="shared" si="554"/>
        <v>377605.02765317471</v>
      </c>
      <c r="T1081" s="171">
        <f t="shared" si="555"/>
        <v>0</v>
      </c>
      <c r="U1081" s="171">
        <f t="shared" si="543"/>
        <v>2774686.9419112988</v>
      </c>
      <c r="V1081" s="171">
        <f t="shared" si="556"/>
        <v>0</v>
      </c>
      <c r="W1081" s="171">
        <f>IF(OR(A1081&gt;=$C$13,B1081="Retired"),IF(V1081&gt;0,-V1081,U1081-'Model Inputs'!$B$18),"")</f>
        <v>1774686.9419112988</v>
      </c>
      <c r="X1081" s="171">
        <f t="shared" si="544"/>
        <v>4002858.6756034982</v>
      </c>
      <c r="Y1081" s="171">
        <f t="shared" si="545"/>
        <v>419444.69222019147</v>
      </c>
      <c r="Z1081" s="171">
        <f t="shared" si="546"/>
        <v>3583413.9833833068</v>
      </c>
      <c r="AA1081" s="172">
        <f t="shared" si="547"/>
        <v>6358100.925294606</v>
      </c>
      <c r="AB1081" s="5"/>
      <c r="AC1081" s="5"/>
      <c r="AD1081" s="5"/>
      <c r="AE1081" s="5"/>
      <c r="AF1081" s="5"/>
      <c r="AG1081" s="5"/>
    </row>
    <row r="1082" spans="1:33" x14ac:dyDescent="0.2">
      <c r="A1082" s="173">
        <v>34</v>
      </c>
      <c r="B1082" s="65" t="str">
        <f t="shared" si="533"/>
        <v>Retired</v>
      </c>
      <c r="C1082" s="174">
        <f t="shared" si="534"/>
        <v>0</v>
      </c>
      <c r="D1082" s="174">
        <f t="shared" si="535"/>
        <v>0</v>
      </c>
      <c r="E1082" s="174">
        <f t="shared" si="536"/>
        <v>0</v>
      </c>
      <c r="F1082" s="174">
        <f t="shared" si="537"/>
        <v>0</v>
      </c>
      <c r="G1082" s="171">
        <f t="shared" si="538"/>
        <v>0</v>
      </c>
      <c r="H1082" s="171">
        <f t="shared" si="539"/>
        <v>175314.80667665729</v>
      </c>
      <c r="I1082" s="171">
        <f>IF(B1082="Working",MIN(MAX(D1082-E1082-F1082-G1082-H1082,0),'Tax Assumptions'!$B$20),0)</f>
        <v>0</v>
      </c>
      <c r="J1082" s="171">
        <f t="shared" si="540"/>
        <v>-405314.80667665729</v>
      </c>
      <c r="K1082" s="174">
        <f t="shared" si="541"/>
        <v>405314.80667665729</v>
      </c>
      <c r="L1082" s="174">
        <f t="shared" si="542"/>
        <v>405314.80667665729</v>
      </c>
      <c r="M1082" s="174">
        <f t="shared" si="548"/>
        <v>405314.80667665729</v>
      </c>
      <c r="N1082" s="174">
        <f t="shared" si="549"/>
        <v>0</v>
      </c>
      <c r="O1082" s="174">
        <f t="shared" si="550"/>
        <v>0</v>
      </c>
      <c r="P1082" s="174">
        <f t="shared" si="551"/>
        <v>0</v>
      </c>
      <c r="Q1082" s="171">
        <f t="shared" si="552"/>
        <v>828071.68001656083</v>
      </c>
      <c r="R1082" s="171">
        <f t="shared" si="553"/>
        <v>1307520.3424203931</v>
      </c>
      <c r="S1082" s="171">
        <f t="shared" si="554"/>
        <v>400261.32931236521</v>
      </c>
      <c r="T1082" s="171">
        <f t="shared" si="555"/>
        <v>0</v>
      </c>
      <c r="U1082" s="171">
        <f t="shared" si="543"/>
        <v>2535853.3517493191</v>
      </c>
      <c r="V1082" s="171">
        <f t="shared" si="556"/>
        <v>0</v>
      </c>
      <c r="W1082" s="171">
        <f>IF(OR(A1082&gt;=$C$13,B1082="Retired"),IF(V1082&gt;0,-V1082,U1082-'Model Inputs'!$B$18),"")</f>
        <v>1535853.3517493191</v>
      </c>
      <c r="X1082" s="171">
        <f t="shared" si="544"/>
        <v>4122944.4358716025</v>
      </c>
      <c r="Y1082" s="171">
        <f t="shared" si="545"/>
        <v>360358.90551731084</v>
      </c>
      <c r="Z1082" s="171">
        <f t="shared" si="546"/>
        <v>3762585.5303542917</v>
      </c>
      <c r="AA1082" s="175">
        <f t="shared" si="547"/>
        <v>6298438.8821036108</v>
      </c>
      <c r="AB1082" s="5"/>
      <c r="AC1082" s="5"/>
      <c r="AD1082" s="5"/>
      <c r="AE1082" s="5"/>
      <c r="AF1082" s="5"/>
      <c r="AG1082" s="5"/>
    </row>
    <row r="1083" spans="1:33" x14ac:dyDescent="0.2">
      <c r="A1083" s="169">
        <v>35</v>
      </c>
      <c r="B1083" s="100" t="str">
        <f t="shared" si="533"/>
        <v>Retired</v>
      </c>
      <c r="C1083" s="170">
        <f t="shared" si="534"/>
        <v>0</v>
      </c>
      <c r="D1083" s="170">
        <f t="shared" si="535"/>
        <v>0</v>
      </c>
      <c r="E1083" s="170">
        <f t="shared" si="536"/>
        <v>0</v>
      </c>
      <c r="F1083" s="170">
        <f t="shared" si="537"/>
        <v>0</v>
      </c>
      <c r="G1083" s="171">
        <f t="shared" si="538"/>
        <v>0</v>
      </c>
      <c r="H1083" s="171">
        <f t="shared" si="539"/>
        <v>178035.95000433255</v>
      </c>
      <c r="I1083" s="171">
        <f>IF(B1083="Working",MIN(MAX(D1083-E1083-F1083-G1083-H1083,0),'Tax Assumptions'!$B$20),0)</f>
        <v>0</v>
      </c>
      <c r="J1083" s="171">
        <f t="shared" si="540"/>
        <v>-408035.95000433252</v>
      </c>
      <c r="K1083" s="170">
        <f t="shared" si="541"/>
        <v>408035.95000433252</v>
      </c>
      <c r="L1083" s="170">
        <f t="shared" si="542"/>
        <v>408035.95000433252</v>
      </c>
      <c r="M1083" s="170">
        <f t="shared" si="548"/>
        <v>408035.95000433252</v>
      </c>
      <c r="N1083" s="170">
        <f t="shared" si="549"/>
        <v>0</v>
      </c>
      <c r="O1083" s="170">
        <f t="shared" si="550"/>
        <v>0</v>
      </c>
      <c r="P1083" s="170">
        <f t="shared" si="551"/>
        <v>0</v>
      </c>
      <c r="Q1083" s="171">
        <f t="shared" si="552"/>
        <v>469720.03081322199</v>
      </c>
      <c r="R1083" s="171">
        <f t="shared" si="553"/>
        <v>1385971.5629656168</v>
      </c>
      <c r="S1083" s="171">
        <f t="shared" si="554"/>
        <v>424277.00907110714</v>
      </c>
      <c r="T1083" s="171">
        <f t="shared" si="555"/>
        <v>0</v>
      </c>
      <c r="U1083" s="171">
        <f t="shared" si="543"/>
        <v>2279968.6028499459</v>
      </c>
      <c r="V1083" s="171">
        <f t="shared" si="556"/>
        <v>0</v>
      </c>
      <c r="W1083" s="171">
        <f>IF(OR(A1083&gt;=$C$13,B1083="Retired"),IF(V1083&gt;0,-V1083,U1083-'Model Inputs'!$B$18),"")</f>
        <v>1279968.6028499459</v>
      </c>
      <c r="X1083" s="171">
        <f t="shared" si="544"/>
        <v>4246632.7689477503</v>
      </c>
      <c r="Y1083" s="171">
        <f t="shared" si="545"/>
        <v>297316.03425191063</v>
      </c>
      <c r="Z1083" s="171">
        <f t="shared" si="546"/>
        <v>3949316.7346958397</v>
      </c>
      <c r="AA1083" s="172">
        <f t="shared" si="547"/>
        <v>6229285.3375457861</v>
      </c>
      <c r="AB1083" s="5"/>
      <c r="AC1083" s="5"/>
      <c r="AD1083" s="5"/>
      <c r="AE1083" s="5"/>
      <c r="AF1083" s="5"/>
      <c r="AG1083" s="5"/>
    </row>
    <row r="1084" spans="1:33" x14ac:dyDescent="0.2">
      <c r="A1084" s="173">
        <v>36</v>
      </c>
      <c r="B1084" s="65" t="str">
        <f t="shared" si="533"/>
        <v>Retired</v>
      </c>
      <c r="C1084" s="174">
        <f t="shared" si="534"/>
        <v>0</v>
      </c>
      <c r="D1084" s="174">
        <f t="shared" si="535"/>
        <v>0</v>
      </c>
      <c r="E1084" s="174">
        <f t="shared" si="536"/>
        <v>0</v>
      </c>
      <c r="F1084" s="174">
        <f t="shared" si="537"/>
        <v>0</v>
      </c>
      <c r="G1084" s="171">
        <f t="shared" si="538"/>
        <v>0</v>
      </c>
      <c r="H1084" s="171">
        <f t="shared" si="539"/>
        <v>180838.72763183809</v>
      </c>
      <c r="I1084" s="171">
        <f>IF(B1084="Working",MIN(MAX(D1084-E1084-F1084-G1084-H1084,0),'Tax Assumptions'!$B$20),0)</f>
        <v>0</v>
      </c>
      <c r="J1084" s="171">
        <f t="shared" si="540"/>
        <v>-410838.72763183806</v>
      </c>
      <c r="K1084" s="174">
        <f t="shared" si="541"/>
        <v>410838.72763183806</v>
      </c>
      <c r="L1084" s="174">
        <f t="shared" si="542"/>
        <v>410838.72763183806</v>
      </c>
      <c r="M1084" s="174">
        <f t="shared" si="548"/>
        <v>410838.72763183806</v>
      </c>
      <c r="N1084" s="174">
        <f t="shared" si="549"/>
        <v>0</v>
      </c>
      <c r="O1084" s="174">
        <f t="shared" si="550"/>
        <v>0</v>
      </c>
      <c r="P1084" s="174">
        <f t="shared" si="551"/>
        <v>0</v>
      </c>
      <c r="Q1084" s="171">
        <f t="shared" si="552"/>
        <v>87064.505030177301</v>
      </c>
      <c r="R1084" s="171">
        <f t="shared" si="553"/>
        <v>1469129.8567435539</v>
      </c>
      <c r="S1084" s="171">
        <f t="shared" si="554"/>
        <v>449733.62961537362</v>
      </c>
      <c r="T1084" s="171">
        <f t="shared" si="555"/>
        <v>0</v>
      </c>
      <c r="U1084" s="171">
        <f t="shared" si="543"/>
        <v>2005927.9913891049</v>
      </c>
      <c r="V1084" s="171">
        <f t="shared" si="556"/>
        <v>0</v>
      </c>
      <c r="W1084" s="171">
        <f>IF(OR(A1084&gt;=$C$13,B1084="Retired"),IF(V1084&gt;0,-V1084,U1084-'Model Inputs'!$B$18),"")</f>
        <v>1005927.9913891049</v>
      </c>
      <c r="X1084" s="171">
        <f t="shared" si="544"/>
        <v>4374031.7520161839</v>
      </c>
      <c r="Y1084" s="171">
        <f t="shared" si="545"/>
        <v>230051.06514230929</v>
      </c>
      <c r="Z1084" s="171">
        <f t="shared" si="546"/>
        <v>4143980.6868738746</v>
      </c>
      <c r="AA1084" s="175">
        <f t="shared" si="547"/>
        <v>6149908.6782629797</v>
      </c>
      <c r="AB1084" s="5"/>
      <c r="AC1084" s="5"/>
      <c r="AD1084" s="5"/>
      <c r="AE1084" s="5"/>
      <c r="AF1084" s="5"/>
      <c r="AG1084" s="5"/>
    </row>
    <row r="1085" spans="1:33" x14ac:dyDescent="0.2">
      <c r="A1085" s="169">
        <v>37</v>
      </c>
      <c r="B1085" s="100" t="str">
        <f t="shared" si="533"/>
        <v>Retired</v>
      </c>
      <c r="C1085" s="170">
        <f t="shared" si="534"/>
        <v>0</v>
      </c>
      <c r="D1085" s="170">
        <f t="shared" si="535"/>
        <v>0</v>
      </c>
      <c r="E1085" s="170">
        <f t="shared" si="536"/>
        <v>0</v>
      </c>
      <c r="F1085" s="170">
        <f t="shared" si="537"/>
        <v>0</v>
      </c>
      <c r="G1085" s="171">
        <f t="shared" si="538"/>
        <v>0</v>
      </c>
      <c r="H1085" s="171">
        <f t="shared" si="539"/>
        <v>183725.58858816873</v>
      </c>
      <c r="I1085" s="171">
        <f>IF(B1085="Working",MIN(MAX(D1085-E1085-F1085-G1085-H1085,0),'Tax Assumptions'!$B$20),0)</f>
        <v>0</v>
      </c>
      <c r="J1085" s="171">
        <f t="shared" si="540"/>
        <v>-413725.58858816873</v>
      </c>
      <c r="K1085" s="170">
        <f t="shared" si="541"/>
        <v>413725.58858816873</v>
      </c>
      <c r="L1085" s="170">
        <f t="shared" si="542"/>
        <v>413725.58858816873</v>
      </c>
      <c r="M1085" s="170">
        <f t="shared" si="548"/>
        <v>92288.375331987947</v>
      </c>
      <c r="N1085" s="170">
        <f t="shared" si="549"/>
        <v>321437.21325618075</v>
      </c>
      <c r="O1085" s="170">
        <f t="shared" si="550"/>
        <v>0</v>
      </c>
      <c r="P1085" s="170">
        <f t="shared" si="551"/>
        <v>0</v>
      </c>
      <c r="Q1085" s="171">
        <f t="shared" si="552"/>
        <v>0</v>
      </c>
      <c r="R1085" s="171">
        <f t="shared" si="553"/>
        <v>1235840.4348919864</v>
      </c>
      <c r="S1085" s="171">
        <f t="shared" si="554"/>
        <v>476717.64739229606</v>
      </c>
      <c r="T1085" s="171">
        <f t="shared" si="555"/>
        <v>0</v>
      </c>
      <c r="U1085" s="171">
        <f t="shared" si="543"/>
        <v>1712558.0822842824</v>
      </c>
      <c r="V1085" s="171">
        <f t="shared" si="556"/>
        <v>0</v>
      </c>
      <c r="W1085" s="171">
        <f>IF(OR(A1085&gt;=$C$13,B1085="Retired"),IF(V1085&gt;0,-V1085,U1085-'Model Inputs'!$B$18),"")</f>
        <v>712558.08228428243</v>
      </c>
      <c r="X1085" s="171">
        <f t="shared" si="544"/>
        <v>4505252.7045766683</v>
      </c>
      <c r="Y1085" s="171">
        <f t="shared" si="545"/>
        <v>158281.23647654522</v>
      </c>
      <c r="Z1085" s="171">
        <f t="shared" si="546"/>
        <v>4346971.4681001231</v>
      </c>
      <c r="AA1085" s="172">
        <f t="shared" si="547"/>
        <v>6059529.550384406</v>
      </c>
      <c r="AB1085" s="5"/>
      <c r="AC1085" s="5"/>
      <c r="AD1085" s="5"/>
      <c r="AE1085" s="5"/>
      <c r="AF1085" s="5"/>
      <c r="AG1085" s="5"/>
    </row>
    <row r="1086" spans="1:33" x14ac:dyDescent="0.2">
      <c r="A1086" s="173">
        <v>38</v>
      </c>
      <c r="B1086" s="65" t="str">
        <f t="shared" si="533"/>
        <v>Retired</v>
      </c>
      <c r="C1086" s="174">
        <f t="shared" si="534"/>
        <v>0</v>
      </c>
      <c r="D1086" s="174">
        <f t="shared" si="535"/>
        <v>0</v>
      </c>
      <c r="E1086" s="174">
        <f t="shared" si="536"/>
        <v>0</v>
      </c>
      <c r="F1086" s="174">
        <f t="shared" si="537"/>
        <v>0</v>
      </c>
      <c r="G1086" s="171">
        <f t="shared" si="538"/>
        <v>0</v>
      </c>
      <c r="H1086" s="171">
        <f t="shared" si="539"/>
        <v>186699.05537318936</v>
      </c>
      <c r="I1086" s="171">
        <f>IF(B1086="Working",MIN(MAX(D1086-E1086-F1086-G1086-H1086,0),'Tax Assumptions'!$B$20),0)</f>
        <v>0</v>
      </c>
      <c r="J1086" s="171">
        <f t="shared" si="540"/>
        <v>-416699.05537318933</v>
      </c>
      <c r="K1086" s="174">
        <f t="shared" si="541"/>
        <v>416699.05537318933</v>
      </c>
      <c r="L1086" s="174">
        <f t="shared" si="542"/>
        <v>416699.05537318933</v>
      </c>
      <c r="M1086" s="174">
        <f t="shared" si="548"/>
        <v>0</v>
      </c>
      <c r="N1086" s="174">
        <f t="shared" si="549"/>
        <v>416699.05537318933</v>
      </c>
      <c r="O1086" s="174">
        <f t="shared" si="550"/>
        <v>0</v>
      </c>
      <c r="P1086" s="174">
        <f t="shared" si="551"/>
        <v>0</v>
      </c>
      <c r="Q1086" s="171">
        <f t="shared" si="552"/>
        <v>0</v>
      </c>
      <c r="R1086" s="171">
        <f t="shared" si="553"/>
        <v>893291.80561231636</v>
      </c>
      <c r="S1086" s="171">
        <f t="shared" si="554"/>
        <v>505320.70623583387</v>
      </c>
      <c r="T1086" s="171">
        <f t="shared" si="555"/>
        <v>0</v>
      </c>
      <c r="U1086" s="171">
        <f t="shared" si="543"/>
        <v>1398612.5118481503</v>
      </c>
      <c r="V1086" s="171">
        <f t="shared" si="556"/>
        <v>0</v>
      </c>
      <c r="W1086" s="171">
        <f>IF(OR(A1086&gt;=$C$13,B1086="Retired"),IF(V1086&gt;0,-V1086,U1086-'Model Inputs'!$B$18),"")</f>
        <v>398612.51184815029</v>
      </c>
      <c r="X1086" s="171">
        <f t="shared" si="544"/>
        <v>4640410.2857139688</v>
      </c>
      <c r="Y1086" s="171">
        <f t="shared" si="545"/>
        <v>81704.849467127584</v>
      </c>
      <c r="Z1086" s="171">
        <f t="shared" si="546"/>
        <v>4558705.4362468412</v>
      </c>
      <c r="AA1086" s="175">
        <f t="shared" si="547"/>
        <v>5957317.948094992</v>
      </c>
      <c r="AB1086" s="5"/>
      <c r="AC1086" s="5"/>
      <c r="AD1086" s="5"/>
      <c r="AE1086" s="5"/>
      <c r="AF1086" s="5"/>
      <c r="AG1086" s="5"/>
    </row>
    <row r="1087" spans="1:33" x14ac:dyDescent="0.2">
      <c r="A1087" s="169">
        <v>39</v>
      </c>
      <c r="B1087" s="100" t="str">
        <f t="shared" si="533"/>
        <v>Retired</v>
      </c>
      <c r="C1087" s="170">
        <f t="shared" si="534"/>
        <v>0</v>
      </c>
      <c r="D1087" s="170">
        <f t="shared" si="535"/>
        <v>0</v>
      </c>
      <c r="E1087" s="170">
        <f t="shared" si="536"/>
        <v>0</v>
      </c>
      <c r="F1087" s="170">
        <f t="shared" si="537"/>
        <v>0</v>
      </c>
      <c r="G1087" s="171">
        <f t="shared" si="538"/>
        <v>0</v>
      </c>
      <c r="H1087" s="171">
        <f t="shared" si="539"/>
        <v>189761.72616176057</v>
      </c>
      <c r="I1087" s="171">
        <f>IF(B1087="Working",MIN(MAX(D1087-E1087-F1087-G1087-H1087,0),'Tax Assumptions'!$B$20),0)</f>
        <v>0</v>
      </c>
      <c r="J1087" s="171">
        <f t="shared" si="540"/>
        <v>-419761.72616176051</v>
      </c>
      <c r="K1087" s="170">
        <f t="shared" si="541"/>
        <v>419761.72616176051</v>
      </c>
      <c r="L1087" s="170">
        <f t="shared" si="542"/>
        <v>419761.72616176051</v>
      </c>
      <c r="M1087" s="170">
        <f t="shared" si="548"/>
        <v>0</v>
      </c>
      <c r="N1087" s="170">
        <f t="shared" si="549"/>
        <v>419761.72616176051</v>
      </c>
      <c r="O1087" s="170">
        <f t="shared" si="550"/>
        <v>0</v>
      </c>
      <c r="P1087" s="170">
        <f t="shared" si="551"/>
        <v>0</v>
      </c>
      <c r="Q1087" s="171">
        <f t="shared" si="552"/>
        <v>0</v>
      </c>
      <c r="R1087" s="171">
        <f t="shared" si="553"/>
        <v>527127.58778729488</v>
      </c>
      <c r="S1087" s="171">
        <f t="shared" si="554"/>
        <v>535639.9486099839</v>
      </c>
      <c r="T1087" s="171">
        <f t="shared" si="555"/>
        <v>0</v>
      </c>
      <c r="U1087" s="171">
        <f t="shared" si="543"/>
        <v>1062767.5363972788</v>
      </c>
      <c r="V1087" s="171">
        <f t="shared" si="556"/>
        <v>0</v>
      </c>
      <c r="W1087" s="171">
        <f>IF(OR(A1087&gt;=$C$13,B1087="Retired"),IF(V1087&gt;0,-V1087,U1087-'Model Inputs'!$B$18),"")</f>
        <v>62767.536397278775</v>
      </c>
      <c r="X1087" s="171">
        <f t="shared" si="544"/>
        <v>4779622.5942853875</v>
      </c>
      <c r="Y1087" s="171">
        <f t="shared" si="545"/>
        <v>0</v>
      </c>
      <c r="Z1087" s="171">
        <f t="shared" si="546"/>
        <v>4779622.5942853875</v>
      </c>
      <c r="AA1087" s="172">
        <f t="shared" si="547"/>
        <v>5842390.1306826659</v>
      </c>
      <c r="AB1087" s="5"/>
      <c r="AC1087" s="5"/>
      <c r="AD1087" s="5"/>
      <c r="AE1087" s="5"/>
      <c r="AF1087" s="5"/>
      <c r="AG1087" s="5"/>
    </row>
    <row r="1088" spans="1:33" x14ac:dyDescent="0.2">
      <c r="A1088" s="173">
        <v>40</v>
      </c>
      <c r="B1088" s="65" t="str">
        <f t="shared" si="533"/>
        <v>Retired</v>
      </c>
      <c r="C1088" s="174">
        <f t="shared" si="534"/>
        <v>0</v>
      </c>
      <c r="D1088" s="174">
        <f t="shared" si="535"/>
        <v>0</v>
      </c>
      <c r="E1088" s="174">
        <f t="shared" si="536"/>
        <v>0</v>
      </c>
      <c r="F1088" s="174">
        <f t="shared" si="537"/>
        <v>0</v>
      </c>
      <c r="G1088" s="171">
        <f t="shared" si="538"/>
        <v>0</v>
      </c>
      <c r="H1088" s="171">
        <f t="shared" si="539"/>
        <v>108306.24798650687</v>
      </c>
      <c r="I1088" s="171">
        <f>IF(B1088="Working",MIN(MAX(D1088-E1088-F1088-G1088-H1088,0),'Tax Assumptions'!$B$20),0)</f>
        <v>0</v>
      </c>
      <c r="J1088" s="171">
        <f t="shared" si="540"/>
        <v>-338306.24798650685</v>
      </c>
      <c r="K1088" s="174">
        <f t="shared" si="541"/>
        <v>338306.24798650685</v>
      </c>
      <c r="L1088" s="174">
        <f t="shared" si="542"/>
        <v>338306.24798650685</v>
      </c>
      <c r="M1088" s="174">
        <f t="shared" si="548"/>
        <v>0</v>
      </c>
      <c r="N1088" s="174">
        <f t="shared" si="549"/>
        <v>338306.24798650685</v>
      </c>
      <c r="O1088" s="174">
        <f t="shared" si="550"/>
        <v>0</v>
      </c>
      <c r="P1088" s="174">
        <f t="shared" si="551"/>
        <v>0</v>
      </c>
      <c r="Q1088" s="171">
        <f t="shared" si="552"/>
        <v>0</v>
      </c>
      <c r="R1088" s="171">
        <f t="shared" si="553"/>
        <v>220448.99506802572</v>
      </c>
      <c r="S1088" s="171">
        <f t="shared" si="554"/>
        <v>567778.34552658291</v>
      </c>
      <c r="T1088" s="171">
        <f t="shared" si="555"/>
        <v>0</v>
      </c>
      <c r="U1088" s="171">
        <f t="shared" si="543"/>
        <v>788227.34059460857</v>
      </c>
      <c r="V1088" s="171">
        <f t="shared" si="556"/>
        <v>0</v>
      </c>
      <c r="W1088" s="171">
        <f>IF(OR(A1088&gt;=$C$13,B1088="Retired"),IF(V1088&gt;0,-V1088,U1088-'Model Inputs'!$B$18),"")</f>
        <v>-211772.65940539143</v>
      </c>
      <c r="X1088" s="171">
        <f t="shared" si="544"/>
        <v>4923011.2721139491</v>
      </c>
      <c r="Y1088" s="171">
        <f t="shared" si="545"/>
        <v>0</v>
      </c>
      <c r="Z1088" s="171">
        <f t="shared" si="546"/>
        <v>4923011.2721139491</v>
      </c>
      <c r="AA1088" s="175">
        <f t="shared" si="547"/>
        <v>5711238.6127085574</v>
      </c>
      <c r="AB1088" s="5"/>
      <c r="AC1088" s="5"/>
      <c r="AD1088" s="5"/>
      <c r="AE1088" s="5"/>
      <c r="AF1088" s="5"/>
      <c r="AG1088" s="5"/>
    </row>
    <row r="1089" spans="1:33" x14ac:dyDescent="0.2">
      <c r="A1089" s="176" t="s">
        <v>369</v>
      </c>
      <c r="B1089" s="177"/>
      <c r="C1089" s="177"/>
      <c r="D1089" s="177"/>
      <c r="E1089" s="177"/>
      <c r="F1089" s="177"/>
      <c r="G1089" s="178">
        <f t="shared" ref="G1089:P1089" si="557">SUM(G1049:G1088)</f>
        <v>963402.34400279156</v>
      </c>
      <c r="H1089" s="178">
        <f t="shared" si="557"/>
        <v>4769457.3820516244</v>
      </c>
      <c r="I1089" s="178">
        <f t="shared" si="557"/>
        <v>75000</v>
      </c>
      <c r="J1089" s="178">
        <f t="shared" si="557"/>
        <v>-7785267.4860138912</v>
      </c>
      <c r="K1089" s="178">
        <f t="shared" si="557"/>
        <v>11540226.612820854</v>
      </c>
      <c r="L1089" s="178">
        <f t="shared" si="557"/>
        <v>11540226.612820854</v>
      </c>
      <c r="M1089" s="178">
        <f t="shared" si="557"/>
        <v>10044022.370043216</v>
      </c>
      <c r="N1089" s="178">
        <f t="shared" si="557"/>
        <v>1496204.2427776374</v>
      </c>
      <c r="O1089" s="178">
        <f t="shared" si="557"/>
        <v>0</v>
      </c>
      <c r="P1089" s="178">
        <f t="shared" si="557"/>
        <v>0</v>
      </c>
      <c r="Q1089" s="178">
        <f>Q1088</f>
        <v>0</v>
      </c>
      <c r="R1089" s="178">
        <f>R1088</f>
        <v>220448.99506802572</v>
      </c>
      <c r="S1089" s="178">
        <f>S1088</f>
        <v>567778.34552658291</v>
      </c>
      <c r="T1089" s="178">
        <f>T1088</f>
        <v>0</v>
      </c>
      <c r="U1089" s="178">
        <f>U1088</f>
        <v>788227.34059460857</v>
      </c>
      <c r="V1089" s="178">
        <f>SUM(V1049:V1088)</f>
        <v>0</v>
      </c>
      <c r="W1089" s="178">
        <f>MIN(W1049:W1088)</f>
        <v>-211772.65940539143</v>
      </c>
      <c r="X1089" s="178">
        <f>X1088</f>
        <v>4923011.2721139491</v>
      </c>
      <c r="Y1089" s="178">
        <f>Y1088</f>
        <v>0</v>
      </c>
      <c r="Z1089" s="178">
        <f>Z1088</f>
        <v>4923011.2721139491</v>
      </c>
      <c r="AA1089" s="179">
        <f>AA1088</f>
        <v>5711238.6127085574</v>
      </c>
      <c r="AB1089" s="5"/>
      <c r="AC1089" s="5"/>
      <c r="AD1089" s="5"/>
      <c r="AE1089" s="5"/>
      <c r="AF1089" s="5"/>
      <c r="AG1089" s="5"/>
    </row>
    <row r="1090" spans="1:33" x14ac:dyDescent="0.2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</row>
    <row r="1091" spans="1:33" x14ac:dyDescent="0.2">
      <c r="A1091" s="319" t="str">
        <f>J246&amp;" | House "&amp;TEXT($L$246,"$#,##0")&amp;" | Spend "&amp;TEXT($N$246,"$#,##0")</f>
        <v>Case 20 | House $2,028,215 | Spend $260,000</v>
      </c>
      <c r="B1091" s="288"/>
      <c r="C1091" s="288"/>
      <c r="D1091" s="288"/>
      <c r="E1091" s="288"/>
      <c r="F1091" s="288"/>
      <c r="G1091" s="288"/>
      <c r="H1091" s="288"/>
      <c r="I1091" s="288"/>
      <c r="J1091" s="288"/>
      <c r="K1091" s="288"/>
      <c r="L1091" s="288"/>
      <c r="M1091" s="288"/>
      <c r="N1091" s="288"/>
      <c r="O1091" s="288"/>
      <c r="P1091" s="288"/>
      <c r="Q1091" s="288"/>
      <c r="R1091" s="288"/>
      <c r="S1091" s="288"/>
      <c r="T1091" s="288"/>
      <c r="U1091" s="288"/>
      <c r="V1091" s="288"/>
      <c r="W1091" s="288"/>
      <c r="X1091" s="288"/>
      <c r="Y1091" s="288"/>
      <c r="Z1091" s="288"/>
      <c r="AA1091" s="289"/>
      <c r="AB1091" s="5"/>
      <c r="AC1091" s="5"/>
      <c r="AD1091" s="5"/>
      <c r="AE1091" s="5"/>
      <c r="AF1091" s="5"/>
      <c r="AG1091" s="5"/>
    </row>
    <row r="1092" spans="1:33" ht="34" customHeight="1" x14ac:dyDescent="0.2">
      <c r="A1092" s="167" t="s">
        <v>224</v>
      </c>
      <c r="B1092" s="112" t="s">
        <v>106</v>
      </c>
      <c r="C1092" s="112" t="s">
        <v>357</v>
      </c>
      <c r="D1092" s="112" t="s">
        <v>66</v>
      </c>
      <c r="E1092" s="112" t="s">
        <v>300</v>
      </c>
      <c r="F1092" s="112" t="s">
        <v>301</v>
      </c>
      <c r="G1092" s="112" t="s">
        <v>358</v>
      </c>
      <c r="H1092" s="112" t="s">
        <v>359</v>
      </c>
      <c r="I1092" s="112" t="s">
        <v>69</v>
      </c>
      <c r="J1092" s="112" t="s">
        <v>360</v>
      </c>
      <c r="K1092" s="112" t="s">
        <v>361</v>
      </c>
      <c r="L1092" s="112" t="s">
        <v>362</v>
      </c>
      <c r="M1092" s="112" t="s">
        <v>304</v>
      </c>
      <c r="N1092" s="112" t="s">
        <v>305</v>
      </c>
      <c r="O1092" s="112" t="s">
        <v>306</v>
      </c>
      <c r="P1092" s="112" t="s">
        <v>307</v>
      </c>
      <c r="Q1092" s="112" t="s">
        <v>363</v>
      </c>
      <c r="R1092" s="112" t="s">
        <v>364</v>
      </c>
      <c r="S1092" s="112" t="s">
        <v>365</v>
      </c>
      <c r="T1092" s="112" t="s">
        <v>366</v>
      </c>
      <c r="U1092" s="112" t="s">
        <v>308</v>
      </c>
      <c r="V1092" s="112" t="s">
        <v>309</v>
      </c>
      <c r="W1092" s="112" t="s">
        <v>367</v>
      </c>
      <c r="X1092" s="112" t="s">
        <v>311</v>
      </c>
      <c r="Y1092" s="112" t="s">
        <v>312</v>
      </c>
      <c r="Z1092" s="112" t="s">
        <v>313</v>
      </c>
      <c r="AA1092" s="168" t="s">
        <v>368</v>
      </c>
      <c r="AB1092" s="5"/>
      <c r="AC1092" s="5"/>
      <c r="AD1092" s="5"/>
      <c r="AE1092" s="5"/>
      <c r="AF1092" s="5"/>
      <c r="AG1092" s="5"/>
    </row>
    <row r="1093" spans="1:33" x14ac:dyDescent="0.2">
      <c r="A1093" s="169">
        <v>1</v>
      </c>
      <c r="B1093" s="100" t="str">
        <f t="shared" ref="B1093:B1132" si="558">B80</f>
        <v>Working</v>
      </c>
      <c r="C1093" s="170">
        <f t="shared" ref="C1093:C1132" si="559">D80</f>
        <v>550000</v>
      </c>
      <c r="D1093" s="170">
        <f t="shared" ref="D1093:D1132" si="560">I80</f>
        <v>302665.46999999997</v>
      </c>
      <c r="E1093" s="170">
        <f t="shared" ref="E1093:E1132" si="561">J80</f>
        <v>78000</v>
      </c>
      <c r="F1093" s="170">
        <f t="shared" ref="F1093:F1132" si="562">K80</f>
        <v>40000</v>
      </c>
      <c r="G1093" s="171">
        <f t="shared" ref="G1093:G1132" si="563">IF(AND($L$246&gt;0,A1093=$C$13),$L$246*($C$15+$C$18),0)+IF(AND($L$246&gt;0,A1093=$C$13),$C$24,0)</f>
        <v>0</v>
      </c>
      <c r="H1093" s="171">
        <f t="shared" ref="H1093:H1132" si="564">IF(OR($L$246&lt;=0,A1093&lt;$C$13),0,IF(AND($L$246&gt;0,$C$17&gt;0,A1093&gt;=$C$13,A1093&lt;($C$13+$C$17)),IF($C$17&lt;=0,0,IF($C$16=0,MAX($L$246*(1-$C$15),0)/$C$17,-PMT($C$16/12,$C$17*12,MAX($L$246*(1-$C$15),0))*12)),0)+X1093*($C$19+$C$20+$C$21)+$C$22+$C$23)</f>
        <v>0</v>
      </c>
      <c r="I1093" s="171">
        <f>IF(B1093="Working",MIN(MAX(D1093-E1093-F1093-G1093-H1093,0),'Tax Assumptions'!$B$20),0)</f>
        <v>7500</v>
      </c>
      <c r="J1093" s="171">
        <f t="shared" ref="J1093:J1132" si="565">IF(B1093="Working",D1093-E1093-F1093-I1093-G1093-H1093,-L1093)</f>
        <v>177165.46999999997</v>
      </c>
      <c r="K1093" s="170">
        <f t="shared" ref="K1093:K1132" si="566">IF(B1093="Retired",$N$246+G1093+H1093,0)</f>
        <v>0</v>
      </c>
      <c r="L1093" s="170">
        <f t="shared" ref="L1093:L1132" si="567">M1093+N1093+O1093+P1093</f>
        <v>0</v>
      </c>
      <c r="M1093" s="170">
        <f>IF(B1093="Retired",MIN((('Savings Projection'!$B$7)*(1+$C$10)+IF(B1093="Working",J1093,0)),K1093),0)</f>
        <v>0</v>
      </c>
      <c r="N1093" s="170">
        <f>IF(B1093="Retired",MIN(MAX(K1093-M1093,0),(('Savings Projection'!$B$8)*(1+$C$10)+IF(B1093="Working",E80,0))),0)</f>
        <v>0</v>
      </c>
      <c r="O1093" s="170">
        <f>IF(B1093="Retired",MIN(MAX(K1093-M1093-N1093,0),(('Savings Projection'!$B$9)*(1+$C$10)+IF(B1093="Working",I1093,0))),0)</f>
        <v>0</v>
      </c>
      <c r="P1093" s="170">
        <f>IF(B1093="Retired",MIN(MAX(K1093-M1093-N1093-O1093,0),(('Savings Projection'!$B$10)*(1+$C$10)+IF(B1093="Working",F80,0))),0)</f>
        <v>0</v>
      </c>
      <c r="Q1093" s="171">
        <f>MAX((('Savings Projection'!$B$7)*(1+$C$10)+IF(B1093="Working",J1093,0))-M1093,0)</f>
        <v>336165.47</v>
      </c>
      <c r="R1093" s="171">
        <f>MAX((('Savings Projection'!$B$8)*(1+$C$10)+IF(B1093="Working",E80,0))-N1093,0)</f>
        <v>24500</v>
      </c>
      <c r="S1093" s="171">
        <f>MAX((('Savings Projection'!$B$9)*(1+$C$10)+IF(B1093="Working",I1093,0))-O1093,0)</f>
        <v>7500</v>
      </c>
      <c r="T1093" s="171">
        <f>MAX((('Savings Projection'!$B$10)*(1+$C$10)+IF(B1093="Working",F80,0))-P1093,0)</f>
        <v>0</v>
      </c>
      <c r="U1093" s="171">
        <f t="shared" ref="U1093:U1132" si="568">Q1093+R1093+S1093+T1093</f>
        <v>368165.47</v>
      </c>
      <c r="V1093" s="171">
        <f>IF(B1093="Working",MAX(-((('Savings Projection'!$B$7)*(1+$C$10)+IF(B1093="Working",J1093,0))),0),MAX(K1093-L1093,0))</f>
        <v>0</v>
      </c>
      <c r="W1093" s="171" t="str">
        <f>IF(OR(A1093&gt;=$C$13,B1093="Retired"),IF(V1093&gt;0,-V1093,U1093-'Model Inputs'!$B$18),"")</f>
        <v/>
      </c>
      <c r="X1093" s="171">
        <f t="shared" ref="X1093:X1132" si="569">IF(AND($L$246&gt;0,A1093&gt;=$C$13),$L$246*(1+$C$25)^(A1093-$C$13),0)</f>
        <v>0</v>
      </c>
      <c r="Y1093" s="171">
        <f t="shared" ref="Y1093:Y1132" si="570">IF(OR($L$246&lt;=0,$C$17&lt;=0,A1093&lt;$C$13,MIN(MAX((A1093-$C$13+1)*12,0),$C$17*12)&gt;=$C$17*12),0,IF($C$16=0,MAX(MAX($L$246*(1-$C$15),0)-(IF($C$17&lt;=0,0,IF($C$16=0,MAX($L$246*(1-$C$15),0)/$C$17,-PMT($C$16/12,$C$17*12,MAX($L$246*(1-$C$15),0))*12))/12)*MIN(MAX((A1093-$C$13+1)*12,0),$C$17*12),0),MAX(MAX($L$246*(1-$C$15),0)*(1+$C$16/12)^MIN(MAX((A1093-$C$13+1)*12,0),$C$17*12)-(IF($C$17&lt;=0,0,IF($C$16=0,MAX($L$246*(1-$C$15),0)/$C$17,-PMT($C$16/12,$C$17*12,MAX($L$246*(1-$C$15),0))*12))/12)*(((1+$C$16/12)^MIN(MAX((A1093-$C$13+1)*12,0),$C$17*12)-1)/($C$16/12)),0)))</f>
        <v>0</v>
      </c>
      <c r="Z1093" s="171">
        <f t="shared" ref="Z1093:Z1132" si="571">MAX(X1093-Y1093,0)</f>
        <v>0</v>
      </c>
      <c r="AA1093" s="172">
        <f t="shared" ref="AA1093:AA1132" si="572">U1093+Z1093</f>
        <v>368165.47</v>
      </c>
      <c r="AB1093" s="5"/>
      <c r="AC1093" s="5"/>
      <c r="AD1093" s="5"/>
      <c r="AE1093" s="5"/>
      <c r="AF1093" s="5"/>
      <c r="AG1093" s="5"/>
    </row>
    <row r="1094" spans="1:33" x14ac:dyDescent="0.2">
      <c r="A1094" s="173">
        <v>2</v>
      </c>
      <c r="B1094" s="65" t="str">
        <f t="shared" si="558"/>
        <v>Working</v>
      </c>
      <c r="C1094" s="174">
        <f t="shared" si="559"/>
        <v>412500</v>
      </c>
      <c r="D1094" s="174">
        <f t="shared" si="560"/>
        <v>231269.97</v>
      </c>
      <c r="E1094" s="174">
        <f t="shared" si="561"/>
        <v>80340</v>
      </c>
      <c r="F1094" s="174">
        <f t="shared" si="562"/>
        <v>41200</v>
      </c>
      <c r="G1094" s="171">
        <f t="shared" si="563"/>
        <v>0</v>
      </c>
      <c r="H1094" s="171">
        <f t="shared" si="564"/>
        <v>0</v>
      </c>
      <c r="I1094" s="171">
        <f>IF(B1094="Working",MIN(MAX(D1094-E1094-F1094-G1094-H1094,0),'Tax Assumptions'!$B$20),0)</f>
        <v>7500</v>
      </c>
      <c r="J1094" s="171">
        <f t="shared" si="565"/>
        <v>102229.97</v>
      </c>
      <c r="K1094" s="174">
        <f t="shared" si="566"/>
        <v>0</v>
      </c>
      <c r="L1094" s="174">
        <f t="shared" si="567"/>
        <v>0</v>
      </c>
      <c r="M1094" s="174">
        <f t="shared" ref="M1094:M1132" si="573">IF(B1094="Retired",MIN(((Q1093)*(1+$C$10)+IF(B1094="Working",J1094,0)),K1094),0)</f>
        <v>0</v>
      </c>
      <c r="N1094" s="174">
        <f t="shared" ref="N1094:N1132" si="574">IF(B1094="Retired",MIN(MAX(K1094-M1094,0),((R1093)*(1+$C$10)+IF(B1094="Working",E81,0))),0)</f>
        <v>0</v>
      </c>
      <c r="O1094" s="174">
        <f t="shared" ref="O1094:O1132" si="575">IF(B1094="Retired",MIN(MAX(K1094-M1094-N1094,0),((S1093)*(1+$C$10)+IF(B1094="Working",I1094,0))),0)</f>
        <v>0</v>
      </c>
      <c r="P1094" s="174">
        <f t="shared" ref="P1094:P1132" si="576">IF(B1094="Retired",MIN(MAX(K1094-M1094-N1094-O1094,0),((T1093)*(1+$C$10)+IF(B1094="Working",F81,0))),0)</f>
        <v>0</v>
      </c>
      <c r="Q1094" s="171">
        <f t="shared" ref="Q1094:Q1132" si="577">MAX(((Q1093)*(1+$C$10)+IF(B1094="Working",J1094,0))-M1094,0)</f>
        <v>458565.36820000003</v>
      </c>
      <c r="R1094" s="171">
        <f t="shared" ref="R1094:R1132" si="578">MAX(((R1093)*(1+$C$10)+IF(B1094="Working",E81,0))-N1094,0)</f>
        <v>50470</v>
      </c>
      <c r="S1094" s="171">
        <f t="shared" ref="S1094:S1132" si="579">MAX(((S1093)*(1+$C$10)+IF(B1094="Working",I1094,0))-O1094,0)</f>
        <v>15450</v>
      </c>
      <c r="T1094" s="171">
        <f t="shared" ref="T1094:T1132" si="580">MAX(((T1093)*(1+$C$10)+IF(B1094="Working",F81,0))-P1094,0)</f>
        <v>0</v>
      </c>
      <c r="U1094" s="171">
        <f t="shared" si="568"/>
        <v>524485.36820000003</v>
      </c>
      <c r="V1094" s="171">
        <f t="shared" ref="V1094:V1132" si="581">IF(B1094="Working",MAX(-(((Q1093)*(1+$C$10)+IF(B1094="Working",J1094,0))),0),MAX(K1094-L1094,0))</f>
        <v>0</v>
      </c>
      <c r="W1094" s="171" t="str">
        <f>IF(OR(A1094&gt;=$C$13,B1094="Retired"),IF(V1094&gt;0,-V1094,U1094-'Model Inputs'!$B$18),"")</f>
        <v/>
      </c>
      <c r="X1094" s="171">
        <f t="shared" si="569"/>
        <v>0</v>
      </c>
      <c r="Y1094" s="171">
        <f t="shared" si="570"/>
        <v>0</v>
      </c>
      <c r="Z1094" s="171">
        <f t="shared" si="571"/>
        <v>0</v>
      </c>
      <c r="AA1094" s="175">
        <f t="shared" si="572"/>
        <v>524485.36820000003</v>
      </c>
      <c r="AB1094" s="5"/>
      <c r="AC1094" s="5"/>
      <c r="AD1094" s="5"/>
      <c r="AE1094" s="5"/>
      <c r="AF1094" s="5"/>
      <c r="AG1094" s="5"/>
    </row>
    <row r="1095" spans="1:33" x14ac:dyDescent="0.2">
      <c r="A1095" s="169">
        <v>3</v>
      </c>
      <c r="B1095" s="100" t="str">
        <f t="shared" si="558"/>
        <v>Working</v>
      </c>
      <c r="C1095" s="170">
        <f t="shared" si="559"/>
        <v>675000</v>
      </c>
      <c r="D1095" s="170">
        <f t="shared" si="560"/>
        <v>367570.47</v>
      </c>
      <c r="E1095" s="170">
        <f t="shared" si="561"/>
        <v>82750.2</v>
      </c>
      <c r="F1095" s="170">
        <f t="shared" si="562"/>
        <v>53045</v>
      </c>
      <c r="G1095" s="171">
        <f t="shared" si="563"/>
        <v>0</v>
      </c>
      <c r="H1095" s="171">
        <f t="shared" si="564"/>
        <v>0</v>
      </c>
      <c r="I1095" s="171">
        <f>IF(B1095="Working",MIN(MAX(D1095-E1095-F1095-G1095-H1095,0),'Tax Assumptions'!$B$20),0)</f>
        <v>7500</v>
      </c>
      <c r="J1095" s="171">
        <f t="shared" si="565"/>
        <v>224275.26999999996</v>
      </c>
      <c r="K1095" s="170">
        <f t="shared" si="566"/>
        <v>0</v>
      </c>
      <c r="L1095" s="170">
        <f t="shared" si="567"/>
        <v>0</v>
      </c>
      <c r="M1095" s="170">
        <f t="shared" si="573"/>
        <v>0</v>
      </c>
      <c r="N1095" s="170">
        <f t="shared" si="574"/>
        <v>0</v>
      </c>
      <c r="O1095" s="170">
        <f t="shared" si="575"/>
        <v>0</v>
      </c>
      <c r="P1095" s="170">
        <f t="shared" si="576"/>
        <v>0</v>
      </c>
      <c r="Q1095" s="171">
        <f t="shared" si="577"/>
        <v>710354.56029199995</v>
      </c>
      <c r="R1095" s="171">
        <f t="shared" si="578"/>
        <v>77998.200000000012</v>
      </c>
      <c r="S1095" s="171">
        <f t="shared" si="579"/>
        <v>23877</v>
      </c>
      <c r="T1095" s="171">
        <f t="shared" si="580"/>
        <v>0</v>
      </c>
      <c r="U1095" s="171">
        <f t="shared" si="568"/>
        <v>812229.7602919999</v>
      </c>
      <c r="V1095" s="171">
        <f t="shared" si="581"/>
        <v>0</v>
      </c>
      <c r="W1095" s="171" t="str">
        <f>IF(OR(A1095&gt;=$C$13,B1095="Retired"),IF(V1095&gt;0,-V1095,U1095-'Model Inputs'!$B$18),"")</f>
        <v/>
      </c>
      <c r="X1095" s="171">
        <f t="shared" si="569"/>
        <v>0</v>
      </c>
      <c r="Y1095" s="171">
        <f t="shared" si="570"/>
        <v>0</v>
      </c>
      <c r="Z1095" s="171">
        <f t="shared" si="571"/>
        <v>0</v>
      </c>
      <c r="AA1095" s="172">
        <f t="shared" si="572"/>
        <v>812229.7602919999</v>
      </c>
      <c r="AB1095" s="5"/>
      <c r="AC1095" s="5"/>
      <c r="AD1095" s="5"/>
      <c r="AE1095" s="5"/>
      <c r="AF1095" s="5"/>
      <c r="AG1095" s="5"/>
    </row>
    <row r="1096" spans="1:33" x14ac:dyDescent="0.2">
      <c r="A1096" s="173">
        <v>4</v>
      </c>
      <c r="B1096" s="65" t="str">
        <f t="shared" si="558"/>
        <v>Working</v>
      </c>
      <c r="C1096" s="174">
        <f t="shared" si="559"/>
        <v>750000</v>
      </c>
      <c r="D1096" s="174">
        <f t="shared" si="560"/>
        <v>405137.47</v>
      </c>
      <c r="E1096" s="174">
        <f t="shared" si="561"/>
        <v>85232.706000000006</v>
      </c>
      <c r="F1096" s="174">
        <f t="shared" si="562"/>
        <v>54636.35</v>
      </c>
      <c r="G1096" s="171">
        <f t="shared" si="563"/>
        <v>0</v>
      </c>
      <c r="H1096" s="171">
        <f t="shared" si="564"/>
        <v>0</v>
      </c>
      <c r="I1096" s="171">
        <f>IF(B1096="Working",MIN(MAX(D1096-E1096-F1096-G1096-H1096,0),'Tax Assumptions'!$B$20),0)</f>
        <v>7500</v>
      </c>
      <c r="J1096" s="171">
        <f t="shared" si="565"/>
        <v>257768.41399999999</v>
      </c>
      <c r="K1096" s="174">
        <f t="shared" si="566"/>
        <v>0</v>
      </c>
      <c r="L1096" s="174">
        <f t="shared" si="567"/>
        <v>0</v>
      </c>
      <c r="M1096" s="174">
        <f t="shared" si="573"/>
        <v>0</v>
      </c>
      <c r="N1096" s="174">
        <f t="shared" si="574"/>
        <v>0</v>
      </c>
      <c r="O1096" s="174">
        <f t="shared" si="575"/>
        <v>0</v>
      </c>
      <c r="P1096" s="174">
        <f t="shared" si="576"/>
        <v>0</v>
      </c>
      <c r="Q1096" s="171">
        <f t="shared" si="577"/>
        <v>1010744.2479095199</v>
      </c>
      <c r="R1096" s="171">
        <f t="shared" si="578"/>
        <v>107178.09200000002</v>
      </c>
      <c r="S1096" s="171">
        <f t="shared" si="579"/>
        <v>32809.620000000003</v>
      </c>
      <c r="T1096" s="171">
        <f t="shared" si="580"/>
        <v>0</v>
      </c>
      <c r="U1096" s="171">
        <f t="shared" si="568"/>
        <v>1150731.9599095201</v>
      </c>
      <c r="V1096" s="171">
        <f t="shared" si="581"/>
        <v>0</v>
      </c>
      <c r="W1096" s="171" t="str">
        <f>IF(OR(A1096&gt;=$C$13,B1096="Retired"),IF(V1096&gt;0,-V1096,U1096-'Model Inputs'!$B$18),"")</f>
        <v/>
      </c>
      <c r="X1096" s="171">
        <f t="shared" si="569"/>
        <v>0</v>
      </c>
      <c r="Y1096" s="171">
        <f t="shared" si="570"/>
        <v>0</v>
      </c>
      <c r="Z1096" s="171">
        <f t="shared" si="571"/>
        <v>0</v>
      </c>
      <c r="AA1096" s="175">
        <f t="shared" si="572"/>
        <v>1150731.9599095201</v>
      </c>
      <c r="AB1096" s="5"/>
      <c r="AC1096" s="5"/>
      <c r="AD1096" s="5"/>
      <c r="AE1096" s="5"/>
      <c r="AF1096" s="5"/>
      <c r="AG1096" s="5"/>
    </row>
    <row r="1097" spans="1:33" x14ac:dyDescent="0.2">
      <c r="A1097" s="169">
        <v>5</v>
      </c>
      <c r="B1097" s="100" t="str">
        <f t="shared" si="558"/>
        <v>Working</v>
      </c>
      <c r="C1097" s="170">
        <f t="shared" si="559"/>
        <v>953837.51358640334</v>
      </c>
      <c r="D1097" s="170">
        <f t="shared" si="560"/>
        <v>506901.31028287602</v>
      </c>
      <c r="E1097" s="170">
        <f t="shared" si="561"/>
        <v>87789.687179999994</v>
      </c>
      <c r="F1097" s="170">
        <f t="shared" si="562"/>
        <v>56275.440499999997</v>
      </c>
      <c r="G1097" s="171">
        <f t="shared" si="563"/>
        <v>0</v>
      </c>
      <c r="H1097" s="171">
        <f t="shared" si="564"/>
        <v>0</v>
      </c>
      <c r="I1097" s="171">
        <f>IF(B1097="Working",MIN(MAX(D1097-E1097-F1097-G1097-H1097,0),'Tax Assumptions'!$B$20),0)</f>
        <v>7500</v>
      </c>
      <c r="J1097" s="171">
        <f t="shared" si="565"/>
        <v>355336.18260287598</v>
      </c>
      <c r="K1097" s="170">
        <f t="shared" si="566"/>
        <v>0</v>
      </c>
      <c r="L1097" s="170">
        <f t="shared" si="567"/>
        <v>0</v>
      </c>
      <c r="M1097" s="170">
        <f t="shared" si="573"/>
        <v>0</v>
      </c>
      <c r="N1097" s="170">
        <f t="shared" si="574"/>
        <v>0</v>
      </c>
      <c r="O1097" s="170">
        <f t="shared" si="575"/>
        <v>0</v>
      </c>
      <c r="P1097" s="170">
        <f t="shared" si="576"/>
        <v>0</v>
      </c>
      <c r="Q1097" s="171">
        <f t="shared" si="577"/>
        <v>1426725.0853869673</v>
      </c>
      <c r="R1097" s="171">
        <f t="shared" si="578"/>
        <v>138108.77752000003</v>
      </c>
      <c r="S1097" s="171">
        <f t="shared" si="579"/>
        <v>42278.197200000002</v>
      </c>
      <c r="T1097" s="171">
        <f t="shared" si="580"/>
        <v>0</v>
      </c>
      <c r="U1097" s="171">
        <f t="shared" si="568"/>
        <v>1607112.0601069673</v>
      </c>
      <c r="V1097" s="171">
        <f t="shared" si="581"/>
        <v>0</v>
      </c>
      <c r="W1097" s="171" t="str">
        <f>IF(OR(A1097&gt;=$C$13,B1097="Retired"),IF(V1097&gt;0,-V1097,U1097-'Model Inputs'!$B$18),"")</f>
        <v/>
      </c>
      <c r="X1097" s="171">
        <f t="shared" si="569"/>
        <v>0</v>
      </c>
      <c r="Y1097" s="171">
        <f t="shared" si="570"/>
        <v>0</v>
      </c>
      <c r="Z1097" s="171">
        <f t="shared" si="571"/>
        <v>0</v>
      </c>
      <c r="AA1097" s="172">
        <f t="shared" si="572"/>
        <v>1607112.0601069673</v>
      </c>
      <c r="AB1097" s="5"/>
      <c r="AC1097" s="5"/>
      <c r="AD1097" s="5"/>
      <c r="AE1097" s="5"/>
      <c r="AF1097" s="5"/>
      <c r="AG1097" s="5"/>
    </row>
    <row r="1098" spans="1:33" x14ac:dyDescent="0.2">
      <c r="A1098" s="173">
        <v>6</v>
      </c>
      <c r="B1098" s="65" t="str">
        <f t="shared" si="558"/>
        <v>Working</v>
      </c>
      <c r="C1098" s="174">
        <f t="shared" si="559"/>
        <v>1118900.665838565</v>
      </c>
      <c r="D1098" s="174">
        <f t="shared" si="560"/>
        <v>589060.11476976541</v>
      </c>
      <c r="E1098" s="174">
        <f t="shared" si="561"/>
        <v>92741.925943999988</v>
      </c>
      <c r="F1098" s="174">
        <f t="shared" si="562"/>
        <v>57963.703714999989</v>
      </c>
      <c r="G1098" s="171">
        <f t="shared" si="563"/>
        <v>0</v>
      </c>
      <c r="H1098" s="171">
        <f t="shared" si="564"/>
        <v>0</v>
      </c>
      <c r="I1098" s="171">
        <f>IF(B1098="Working",MIN(MAX(D1098-E1098-F1098-G1098-H1098,0),'Tax Assumptions'!$B$20),0)</f>
        <v>7500</v>
      </c>
      <c r="J1098" s="171">
        <f t="shared" si="565"/>
        <v>430854.48511076538</v>
      </c>
      <c r="K1098" s="174">
        <f t="shared" si="566"/>
        <v>0</v>
      </c>
      <c r="L1098" s="174">
        <f t="shared" si="567"/>
        <v>0</v>
      </c>
      <c r="M1098" s="174">
        <f t="shared" si="573"/>
        <v>0</v>
      </c>
      <c r="N1098" s="174">
        <f t="shared" si="574"/>
        <v>0</v>
      </c>
      <c r="O1098" s="174">
        <f t="shared" si="575"/>
        <v>0</v>
      </c>
      <c r="P1098" s="174">
        <f t="shared" si="576"/>
        <v>0</v>
      </c>
      <c r="Q1098" s="171">
        <f t="shared" si="577"/>
        <v>1943183.0756209507</v>
      </c>
      <c r="R1098" s="171">
        <f t="shared" si="578"/>
        <v>170895.30417120006</v>
      </c>
      <c r="S1098" s="171">
        <f t="shared" si="579"/>
        <v>52314.889032000006</v>
      </c>
      <c r="T1098" s="171">
        <f t="shared" si="580"/>
        <v>0</v>
      </c>
      <c r="U1098" s="171">
        <f t="shared" si="568"/>
        <v>2166393.2688241508</v>
      </c>
      <c r="V1098" s="171">
        <f t="shared" si="581"/>
        <v>0</v>
      </c>
      <c r="W1098" s="171" t="str">
        <f>IF(OR(A1098&gt;=$C$13,B1098="Retired"),IF(V1098&gt;0,-V1098,U1098-'Model Inputs'!$B$18),"")</f>
        <v/>
      </c>
      <c r="X1098" s="171">
        <f t="shared" si="569"/>
        <v>0</v>
      </c>
      <c r="Y1098" s="171">
        <f t="shared" si="570"/>
        <v>0</v>
      </c>
      <c r="Z1098" s="171">
        <f t="shared" si="571"/>
        <v>0</v>
      </c>
      <c r="AA1098" s="175">
        <f t="shared" si="572"/>
        <v>2166393.2688241508</v>
      </c>
      <c r="AB1098" s="5"/>
      <c r="AC1098" s="5"/>
      <c r="AD1098" s="5"/>
      <c r="AE1098" s="5"/>
      <c r="AF1098" s="5"/>
      <c r="AG1098" s="5"/>
    </row>
    <row r="1099" spans="1:33" x14ac:dyDescent="0.2">
      <c r="A1099" s="169">
        <v>7</v>
      </c>
      <c r="B1099" s="100" t="str">
        <f t="shared" si="558"/>
        <v>Working</v>
      </c>
      <c r="C1099" s="170">
        <f t="shared" si="559"/>
        <v>1418318.448466131</v>
      </c>
      <c r="D1099" s="170">
        <f t="shared" si="560"/>
        <v>730157.75065517949</v>
      </c>
      <c r="E1099" s="170">
        <f t="shared" si="561"/>
        <v>95524.183722319998</v>
      </c>
      <c r="F1099" s="170">
        <f t="shared" si="562"/>
        <v>59702.614826449993</v>
      </c>
      <c r="G1099" s="171">
        <f t="shared" si="563"/>
        <v>0</v>
      </c>
      <c r="H1099" s="171">
        <f t="shared" si="564"/>
        <v>0</v>
      </c>
      <c r="I1099" s="171">
        <f>IF(B1099="Working",MIN(MAX(D1099-E1099-F1099-G1099-H1099,0),'Tax Assumptions'!$B$20),0)</f>
        <v>7500</v>
      </c>
      <c r="J1099" s="171">
        <f t="shared" si="565"/>
        <v>567430.95210640947</v>
      </c>
      <c r="K1099" s="170">
        <f t="shared" si="566"/>
        <v>0</v>
      </c>
      <c r="L1099" s="170">
        <f t="shared" si="567"/>
        <v>0</v>
      </c>
      <c r="M1099" s="170">
        <f t="shared" si="573"/>
        <v>0</v>
      </c>
      <c r="N1099" s="170">
        <f t="shared" si="574"/>
        <v>0</v>
      </c>
      <c r="O1099" s="170">
        <f t="shared" si="575"/>
        <v>0</v>
      </c>
      <c r="P1099" s="170">
        <f t="shared" si="576"/>
        <v>0</v>
      </c>
      <c r="Q1099" s="171">
        <f t="shared" si="577"/>
        <v>2627205.0122646173</v>
      </c>
      <c r="R1099" s="171">
        <f t="shared" si="578"/>
        <v>205649.02242147207</v>
      </c>
      <c r="S1099" s="171">
        <f t="shared" si="579"/>
        <v>62953.78237392001</v>
      </c>
      <c r="T1099" s="171">
        <f t="shared" si="580"/>
        <v>0</v>
      </c>
      <c r="U1099" s="171">
        <f t="shared" si="568"/>
        <v>2895807.8170600096</v>
      </c>
      <c r="V1099" s="171">
        <f t="shared" si="581"/>
        <v>0</v>
      </c>
      <c r="W1099" s="171" t="str">
        <f>IF(OR(A1099&gt;=$C$13,B1099="Retired"),IF(V1099&gt;0,-V1099,U1099-'Model Inputs'!$B$18),"")</f>
        <v/>
      </c>
      <c r="X1099" s="171">
        <f t="shared" si="569"/>
        <v>0</v>
      </c>
      <c r="Y1099" s="171">
        <f t="shared" si="570"/>
        <v>0</v>
      </c>
      <c r="Z1099" s="171">
        <f t="shared" si="571"/>
        <v>0</v>
      </c>
      <c r="AA1099" s="172">
        <f t="shared" si="572"/>
        <v>2895807.8170600096</v>
      </c>
      <c r="AB1099" s="5"/>
      <c r="AC1099" s="5"/>
      <c r="AD1099" s="5"/>
      <c r="AE1099" s="5"/>
      <c r="AF1099" s="5"/>
      <c r="AG1099" s="5"/>
    </row>
    <row r="1100" spans="1:33" x14ac:dyDescent="0.2">
      <c r="A1100" s="173">
        <v>8</v>
      </c>
      <c r="B1100" s="65" t="str">
        <f t="shared" si="558"/>
        <v>Working</v>
      </c>
      <c r="C1100" s="174">
        <f t="shared" si="559"/>
        <v>1872205.6657868917</v>
      </c>
      <c r="D1100" s="174">
        <f t="shared" si="560"/>
        <v>944047.5629454148</v>
      </c>
      <c r="E1100" s="174">
        <f t="shared" si="561"/>
        <v>98389.909233989601</v>
      </c>
      <c r="F1100" s="174">
        <f t="shared" si="562"/>
        <v>61493.693271243501</v>
      </c>
      <c r="G1100" s="171">
        <f t="shared" si="563"/>
        <v>0</v>
      </c>
      <c r="H1100" s="171">
        <f t="shared" si="564"/>
        <v>0</v>
      </c>
      <c r="I1100" s="171">
        <f>IF(B1100="Working",MIN(MAX(D1100-E1100-F1100-G1100-H1100,0),'Tax Assumptions'!$B$20),0)</f>
        <v>7500</v>
      </c>
      <c r="J1100" s="171">
        <f t="shared" si="565"/>
        <v>776663.96044018166</v>
      </c>
      <c r="K1100" s="174">
        <f t="shared" si="566"/>
        <v>0</v>
      </c>
      <c r="L1100" s="174">
        <f t="shared" si="567"/>
        <v>0</v>
      </c>
      <c r="M1100" s="174">
        <f t="shared" si="573"/>
        <v>0</v>
      </c>
      <c r="N1100" s="174">
        <f t="shared" si="574"/>
        <v>0</v>
      </c>
      <c r="O1100" s="174">
        <f t="shared" si="575"/>
        <v>0</v>
      </c>
      <c r="P1100" s="174">
        <f t="shared" si="576"/>
        <v>0</v>
      </c>
      <c r="Q1100" s="171">
        <f t="shared" si="577"/>
        <v>3561501.2734406763</v>
      </c>
      <c r="R1100" s="171">
        <f t="shared" si="578"/>
        <v>242487.9637667604</v>
      </c>
      <c r="S1100" s="171">
        <f t="shared" si="579"/>
        <v>74231.009316355208</v>
      </c>
      <c r="T1100" s="171">
        <f t="shared" si="580"/>
        <v>0</v>
      </c>
      <c r="U1100" s="171">
        <f t="shared" si="568"/>
        <v>3878220.2465237915</v>
      </c>
      <c r="V1100" s="171">
        <f t="shared" si="581"/>
        <v>0</v>
      </c>
      <c r="W1100" s="171" t="str">
        <f>IF(OR(A1100&gt;=$C$13,B1100="Retired"),IF(V1100&gt;0,-V1100,U1100-'Model Inputs'!$B$18),"")</f>
        <v/>
      </c>
      <c r="X1100" s="171">
        <f t="shared" si="569"/>
        <v>0</v>
      </c>
      <c r="Y1100" s="171">
        <f t="shared" si="570"/>
        <v>0</v>
      </c>
      <c r="Z1100" s="171">
        <f t="shared" si="571"/>
        <v>0</v>
      </c>
      <c r="AA1100" s="175">
        <f t="shared" si="572"/>
        <v>3878220.2465237915</v>
      </c>
      <c r="AB1100" s="5"/>
      <c r="AC1100" s="5"/>
      <c r="AD1100" s="5"/>
      <c r="AE1100" s="5"/>
      <c r="AF1100" s="5"/>
      <c r="AG1100" s="5"/>
    </row>
    <row r="1101" spans="1:33" x14ac:dyDescent="0.2">
      <c r="A1101" s="169">
        <v>9</v>
      </c>
      <c r="B1101" s="100" t="str">
        <f t="shared" si="558"/>
        <v>Working</v>
      </c>
      <c r="C1101" s="170">
        <f t="shared" si="559"/>
        <v>2033969.9666232408</v>
      </c>
      <c r="D1101" s="170">
        <f t="shared" si="560"/>
        <v>1020277.372071536</v>
      </c>
      <c r="E1101" s="170">
        <f t="shared" si="561"/>
        <v>101341.60651100927</v>
      </c>
      <c r="F1101" s="170">
        <f t="shared" si="562"/>
        <v>63338.504069380797</v>
      </c>
      <c r="G1101" s="171">
        <f t="shared" si="563"/>
        <v>0</v>
      </c>
      <c r="H1101" s="171">
        <f t="shared" si="564"/>
        <v>0</v>
      </c>
      <c r="I1101" s="171">
        <f>IF(B1101="Working",MIN(MAX(D1101-E1101-F1101-G1101-H1101,0),'Tax Assumptions'!$B$20),0)</f>
        <v>7500</v>
      </c>
      <c r="J1101" s="171">
        <f t="shared" si="565"/>
        <v>848097.26149114594</v>
      </c>
      <c r="K1101" s="170">
        <f t="shared" si="566"/>
        <v>0</v>
      </c>
      <c r="L1101" s="170">
        <f t="shared" si="567"/>
        <v>0</v>
      </c>
      <c r="M1101" s="170">
        <f t="shared" si="573"/>
        <v>0</v>
      </c>
      <c r="N1101" s="170">
        <f t="shared" si="574"/>
        <v>0</v>
      </c>
      <c r="O1101" s="170">
        <f t="shared" si="575"/>
        <v>0</v>
      </c>
      <c r="P1101" s="170">
        <f t="shared" si="576"/>
        <v>0</v>
      </c>
      <c r="Q1101" s="171">
        <f t="shared" si="577"/>
        <v>4623288.6113382634</v>
      </c>
      <c r="R1101" s="171">
        <f t="shared" si="578"/>
        <v>281537.24159276602</v>
      </c>
      <c r="S1101" s="171">
        <f t="shared" si="579"/>
        <v>86184.869875336532</v>
      </c>
      <c r="T1101" s="171">
        <f t="shared" si="580"/>
        <v>0</v>
      </c>
      <c r="U1101" s="171">
        <f t="shared" si="568"/>
        <v>4991010.7228063662</v>
      </c>
      <c r="V1101" s="171">
        <f t="shared" si="581"/>
        <v>0</v>
      </c>
      <c r="W1101" s="171" t="str">
        <f>IF(OR(A1101&gt;=$C$13,B1101="Retired"),IF(V1101&gt;0,-V1101,U1101-'Model Inputs'!$B$18),"")</f>
        <v/>
      </c>
      <c r="X1101" s="171">
        <f t="shared" si="569"/>
        <v>0</v>
      </c>
      <c r="Y1101" s="171">
        <f t="shared" si="570"/>
        <v>0</v>
      </c>
      <c r="Z1101" s="171">
        <f t="shared" si="571"/>
        <v>0</v>
      </c>
      <c r="AA1101" s="172">
        <f t="shared" si="572"/>
        <v>4991010.7228063662</v>
      </c>
      <c r="AB1101" s="5"/>
      <c r="AC1101" s="5"/>
      <c r="AD1101" s="5"/>
      <c r="AE1101" s="5"/>
      <c r="AF1101" s="5"/>
      <c r="AG1101" s="5"/>
    </row>
    <row r="1102" spans="1:33" x14ac:dyDescent="0.2">
      <c r="A1102" s="173">
        <v>10</v>
      </c>
      <c r="B1102" s="65" t="str">
        <f t="shared" si="558"/>
        <v>Working</v>
      </c>
      <c r="C1102" s="174">
        <f t="shared" si="559"/>
        <v>2595495.7626410057</v>
      </c>
      <c r="D1102" s="174">
        <f t="shared" si="560"/>
        <v>1284890.7881869476</v>
      </c>
      <c r="E1102" s="174">
        <f t="shared" si="561"/>
        <v>104381.85470633955</v>
      </c>
      <c r="F1102" s="174">
        <f t="shared" si="562"/>
        <v>65238.659191462226</v>
      </c>
      <c r="G1102" s="171">
        <f t="shared" si="563"/>
        <v>963402.34400279156</v>
      </c>
      <c r="H1102" s="171">
        <f t="shared" si="564"/>
        <v>129230.76923076923</v>
      </c>
      <c r="I1102" s="171">
        <f>IF(B1102="Working",MIN(MAX(D1102-E1102-F1102-G1102-H1102,0),'Tax Assumptions'!$B$20),0)</f>
        <v>7500</v>
      </c>
      <c r="J1102" s="171">
        <f t="shared" si="565"/>
        <v>15137.161055585035</v>
      </c>
      <c r="K1102" s="174">
        <f t="shared" si="566"/>
        <v>0</v>
      </c>
      <c r="L1102" s="174">
        <f t="shared" si="567"/>
        <v>0</v>
      </c>
      <c r="M1102" s="174">
        <f t="shared" si="573"/>
        <v>0</v>
      </c>
      <c r="N1102" s="174">
        <f t="shared" si="574"/>
        <v>0</v>
      </c>
      <c r="O1102" s="174">
        <f t="shared" si="575"/>
        <v>0</v>
      </c>
      <c r="P1102" s="174">
        <f t="shared" si="576"/>
        <v>0</v>
      </c>
      <c r="Q1102" s="171">
        <f t="shared" si="577"/>
        <v>4915823.0890741451</v>
      </c>
      <c r="R1102" s="171">
        <f t="shared" si="578"/>
        <v>322929.47608833201</v>
      </c>
      <c r="S1102" s="171">
        <f t="shared" si="579"/>
        <v>98855.96206785673</v>
      </c>
      <c r="T1102" s="171">
        <f t="shared" si="580"/>
        <v>0</v>
      </c>
      <c r="U1102" s="171">
        <f t="shared" si="568"/>
        <v>5337608.5272303335</v>
      </c>
      <c r="V1102" s="171">
        <f t="shared" si="581"/>
        <v>0</v>
      </c>
      <c r="W1102" s="171">
        <f>IF(OR(A1102&gt;=$C$13,B1102="Retired"),IF(V1102&gt;0,-V1102,U1102-'Model Inputs'!$B$18),"")</f>
        <v>4337608.5272303335</v>
      </c>
      <c r="X1102" s="171">
        <f t="shared" si="569"/>
        <v>2028215.4610585084</v>
      </c>
      <c r="Y1102" s="171">
        <f t="shared" si="570"/>
        <v>1103050.0691566805</v>
      </c>
      <c r="Z1102" s="171">
        <f t="shared" si="571"/>
        <v>925165.39190182788</v>
      </c>
      <c r="AA1102" s="175">
        <f t="shared" si="572"/>
        <v>6262773.9191321619</v>
      </c>
      <c r="AB1102" s="5"/>
      <c r="AC1102" s="5"/>
      <c r="AD1102" s="5"/>
      <c r="AE1102" s="5"/>
      <c r="AF1102" s="5"/>
      <c r="AG1102" s="5"/>
    </row>
    <row r="1103" spans="1:33" x14ac:dyDescent="0.2">
      <c r="A1103" s="169">
        <v>11</v>
      </c>
      <c r="B1103" s="100" t="str">
        <f t="shared" si="558"/>
        <v>Retired</v>
      </c>
      <c r="C1103" s="170">
        <f t="shared" si="559"/>
        <v>0</v>
      </c>
      <c r="D1103" s="170">
        <f t="shared" si="560"/>
        <v>0</v>
      </c>
      <c r="E1103" s="170">
        <f t="shared" si="561"/>
        <v>0</v>
      </c>
      <c r="F1103" s="170">
        <f t="shared" si="562"/>
        <v>0</v>
      </c>
      <c r="G1103" s="171">
        <f t="shared" si="563"/>
        <v>0</v>
      </c>
      <c r="H1103" s="171">
        <f t="shared" si="564"/>
        <v>130569.39143506784</v>
      </c>
      <c r="I1103" s="171">
        <f>IF(B1103="Working",MIN(MAX(D1103-E1103-F1103-G1103-H1103,0),'Tax Assumptions'!$B$20),0)</f>
        <v>0</v>
      </c>
      <c r="J1103" s="171">
        <f t="shared" si="565"/>
        <v>-390569.39143506787</v>
      </c>
      <c r="K1103" s="170">
        <f t="shared" si="566"/>
        <v>390569.39143506787</v>
      </c>
      <c r="L1103" s="170">
        <f t="shared" si="567"/>
        <v>390569.39143506787</v>
      </c>
      <c r="M1103" s="170">
        <f t="shared" si="573"/>
        <v>390569.39143506787</v>
      </c>
      <c r="N1103" s="170">
        <f t="shared" si="574"/>
        <v>0</v>
      </c>
      <c r="O1103" s="170">
        <f t="shared" si="575"/>
        <v>0</v>
      </c>
      <c r="P1103" s="170">
        <f t="shared" si="576"/>
        <v>0</v>
      </c>
      <c r="Q1103" s="171">
        <f t="shared" si="577"/>
        <v>4820203.0829835264</v>
      </c>
      <c r="R1103" s="171">
        <f t="shared" si="578"/>
        <v>342305.24465363193</v>
      </c>
      <c r="S1103" s="171">
        <f t="shared" si="579"/>
        <v>104787.31979192814</v>
      </c>
      <c r="T1103" s="171">
        <f t="shared" si="580"/>
        <v>0</v>
      </c>
      <c r="U1103" s="171">
        <f t="shared" si="568"/>
        <v>5267295.6474290863</v>
      </c>
      <c r="V1103" s="171">
        <f t="shared" si="581"/>
        <v>0</v>
      </c>
      <c r="W1103" s="171">
        <f>IF(OR(A1103&gt;=$C$13,B1103="Retired"),IF(V1103&gt;0,-V1103,U1103-'Model Inputs'!$B$18),"")</f>
        <v>4267295.6474290863</v>
      </c>
      <c r="X1103" s="171">
        <f t="shared" si="569"/>
        <v>2089061.9248902637</v>
      </c>
      <c r="Y1103" s="171">
        <f t="shared" si="570"/>
        <v>1089746.6005861333</v>
      </c>
      <c r="Z1103" s="171">
        <f t="shared" si="571"/>
        <v>999315.32430413039</v>
      </c>
      <c r="AA1103" s="172">
        <f t="shared" si="572"/>
        <v>6266610.9717332162</v>
      </c>
      <c r="AB1103" s="5"/>
      <c r="AC1103" s="5"/>
      <c r="AD1103" s="5"/>
      <c r="AE1103" s="5"/>
      <c r="AF1103" s="5"/>
      <c r="AG1103" s="5"/>
    </row>
    <row r="1104" spans="1:33" x14ac:dyDescent="0.2">
      <c r="A1104" s="173">
        <v>12</v>
      </c>
      <c r="B1104" s="65" t="str">
        <f t="shared" si="558"/>
        <v>Retired</v>
      </c>
      <c r="C1104" s="174">
        <f t="shared" si="559"/>
        <v>0</v>
      </c>
      <c r="D1104" s="174">
        <f t="shared" si="560"/>
        <v>0</v>
      </c>
      <c r="E1104" s="174">
        <f t="shared" si="561"/>
        <v>0</v>
      </c>
      <c r="F1104" s="174">
        <f t="shared" si="562"/>
        <v>0</v>
      </c>
      <c r="G1104" s="171">
        <f t="shared" si="563"/>
        <v>0</v>
      </c>
      <c r="H1104" s="171">
        <f t="shared" si="564"/>
        <v>131948.17230549542</v>
      </c>
      <c r="I1104" s="171">
        <f>IF(B1104="Working",MIN(MAX(D1104-E1104-F1104-G1104-H1104,0),'Tax Assumptions'!$B$20),0)</f>
        <v>0</v>
      </c>
      <c r="J1104" s="171">
        <f t="shared" si="565"/>
        <v>-391948.17230549542</v>
      </c>
      <c r="K1104" s="174">
        <f t="shared" si="566"/>
        <v>391948.17230549542</v>
      </c>
      <c r="L1104" s="174">
        <f t="shared" si="567"/>
        <v>391948.17230549542</v>
      </c>
      <c r="M1104" s="174">
        <f t="shared" si="573"/>
        <v>391948.17230549542</v>
      </c>
      <c r="N1104" s="174">
        <f t="shared" si="574"/>
        <v>0</v>
      </c>
      <c r="O1104" s="174">
        <f t="shared" si="575"/>
        <v>0</v>
      </c>
      <c r="P1104" s="174">
        <f t="shared" si="576"/>
        <v>0</v>
      </c>
      <c r="Q1104" s="171">
        <f t="shared" si="577"/>
        <v>4717467.0956570432</v>
      </c>
      <c r="R1104" s="171">
        <f t="shared" si="578"/>
        <v>362843.55933284987</v>
      </c>
      <c r="S1104" s="171">
        <f t="shared" si="579"/>
        <v>111074.55897944383</v>
      </c>
      <c r="T1104" s="171">
        <f t="shared" si="580"/>
        <v>0</v>
      </c>
      <c r="U1104" s="171">
        <f t="shared" si="568"/>
        <v>5191385.2139693368</v>
      </c>
      <c r="V1104" s="171">
        <f t="shared" si="581"/>
        <v>0</v>
      </c>
      <c r="W1104" s="171">
        <f>IF(OR(A1104&gt;=$C$13,B1104="Retired"),IF(V1104&gt;0,-V1104,U1104-'Model Inputs'!$B$18),"")</f>
        <v>4191385.2139693368</v>
      </c>
      <c r="X1104" s="171">
        <f t="shared" si="569"/>
        <v>2151733.7826369712</v>
      </c>
      <c r="Y1104" s="171">
        <f t="shared" si="570"/>
        <v>1075552.1740873591</v>
      </c>
      <c r="Z1104" s="171">
        <f t="shared" si="571"/>
        <v>1076181.6085496121</v>
      </c>
      <c r="AA1104" s="175">
        <f t="shared" si="572"/>
        <v>6267566.8225189485</v>
      </c>
      <c r="AB1104" s="5"/>
      <c r="AC1104" s="5"/>
      <c r="AD1104" s="5"/>
      <c r="AE1104" s="5"/>
      <c r="AF1104" s="5"/>
      <c r="AG1104" s="5"/>
    </row>
    <row r="1105" spans="1:33" x14ac:dyDescent="0.2">
      <c r="A1105" s="169">
        <v>13</v>
      </c>
      <c r="B1105" s="100" t="str">
        <f t="shared" si="558"/>
        <v>Retired</v>
      </c>
      <c r="C1105" s="170">
        <f t="shared" si="559"/>
        <v>0</v>
      </c>
      <c r="D1105" s="170">
        <f t="shared" si="560"/>
        <v>0</v>
      </c>
      <c r="E1105" s="170">
        <f t="shared" si="561"/>
        <v>0</v>
      </c>
      <c r="F1105" s="170">
        <f t="shared" si="562"/>
        <v>0</v>
      </c>
      <c r="G1105" s="171">
        <f t="shared" si="563"/>
        <v>0</v>
      </c>
      <c r="H1105" s="171">
        <f t="shared" si="564"/>
        <v>133368.31660203583</v>
      </c>
      <c r="I1105" s="171">
        <f>IF(B1105="Working",MIN(MAX(D1105-E1105-F1105-G1105-H1105,0),'Tax Assumptions'!$B$20),0)</f>
        <v>0</v>
      </c>
      <c r="J1105" s="171">
        <f t="shared" si="565"/>
        <v>-393368.31660203583</v>
      </c>
      <c r="K1105" s="170">
        <f t="shared" si="566"/>
        <v>393368.31660203583</v>
      </c>
      <c r="L1105" s="170">
        <f t="shared" si="567"/>
        <v>393368.31660203583</v>
      </c>
      <c r="M1105" s="170">
        <f t="shared" si="573"/>
        <v>393368.31660203583</v>
      </c>
      <c r="N1105" s="170">
        <f t="shared" si="574"/>
        <v>0</v>
      </c>
      <c r="O1105" s="170">
        <f t="shared" si="575"/>
        <v>0</v>
      </c>
      <c r="P1105" s="170">
        <f t="shared" si="576"/>
        <v>0</v>
      </c>
      <c r="Q1105" s="171">
        <f t="shared" si="577"/>
        <v>4607146.8047944307</v>
      </c>
      <c r="R1105" s="171">
        <f t="shared" si="578"/>
        <v>384614.1728928209</v>
      </c>
      <c r="S1105" s="171">
        <f t="shared" si="579"/>
        <v>117739.03251821046</v>
      </c>
      <c r="T1105" s="171">
        <f t="shared" si="580"/>
        <v>0</v>
      </c>
      <c r="U1105" s="171">
        <f t="shared" si="568"/>
        <v>5109500.0102054626</v>
      </c>
      <c r="V1105" s="171">
        <f t="shared" si="581"/>
        <v>0</v>
      </c>
      <c r="W1105" s="171">
        <f>IF(OR(A1105&gt;=$C$13,B1105="Retired"),IF(V1105&gt;0,-V1105,U1105-'Model Inputs'!$B$18),"")</f>
        <v>4109500.0102054626</v>
      </c>
      <c r="X1105" s="171">
        <f t="shared" si="569"/>
        <v>2216285.7961160806</v>
      </c>
      <c r="Y1105" s="171">
        <f t="shared" si="570"/>
        <v>1060407.1205578479</v>
      </c>
      <c r="Z1105" s="171">
        <f t="shared" si="571"/>
        <v>1155878.6755582327</v>
      </c>
      <c r="AA1105" s="172">
        <f t="shared" si="572"/>
        <v>6265378.6857636953</v>
      </c>
      <c r="AB1105" s="5"/>
      <c r="AC1105" s="5"/>
      <c r="AD1105" s="5"/>
      <c r="AE1105" s="5"/>
      <c r="AF1105" s="5"/>
      <c r="AG1105" s="5"/>
    </row>
    <row r="1106" spans="1:33" x14ac:dyDescent="0.2">
      <c r="A1106" s="173">
        <v>14</v>
      </c>
      <c r="B1106" s="65" t="str">
        <f t="shared" si="558"/>
        <v>Retired</v>
      </c>
      <c r="C1106" s="174">
        <f t="shared" si="559"/>
        <v>0</v>
      </c>
      <c r="D1106" s="174">
        <f t="shared" si="560"/>
        <v>0</v>
      </c>
      <c r="E1106" s="174">
        <f t="shared" si="561"/>
        <v>0</v>
      </c>
      <c r="F1106" s="174">
        <f t="shared" si="562"/>
        <v>0</v>
      </c>
      <c r="G1106" s="171">
        <f t="shared" si="563"/>
        <v>0</v>
      </c>
      <c r="H1106" s="171">
        <f t="shared" si="564"/>
        <v>134831.06522747243</v>
      </c>
      <c r="I1106" s="171">
        <f>IF(B1106="Working",MIN(MAX(D1106-E1106-F1106-G1106-H1106,0),'Tax Assumptions'!$B$20),0)</f>
        <v>0</v>
      </c>
      <c r="J1106" s="171">
        <f t="shared" si="565"/>
        <v>-394831.06522747246</v>
      </c>
      <c r="K1106" s="174">
        <f t="shared" si="566"/>
        <v>394831.06522747246</v>
      </c>
      <c r="L1106" s="174">
        <f t="shared" si="567"/>
        <v>394831.06522747246</v>
      </c>
      <c r="M1106" s="174">
        <f t="shared" si="573"/>
        <v>394831.06522747246</v>
      </c>
      <c r="N1106" s="174">
        <f t="shared" si="574"/>
        <v>0</v>
      </c>
      <c r="O1106" s="174">
        <f t="shared" si="575"/>
        <v>0</v>
      </c>
      <c r="P1106" s="174">
        <f t="shared" si="576"/>
        <v>0</v>
      </c>
      <c r="Q1106" s="171">
        <f t="shared" si="577"/>
        <v>4488744.5478546247</v>
      </c>
      <c r="R1106" s="171">
        <f t="shared" si="578"/>
        <v>407691.0232663902</v>
      </c>
      <c r="S1106" s="171">
        <f t="shared" si="579"/>
        <v>124803.37446930309</v>
      </c>
      <c r="T1106" s="171">
        <f t="shared" si="580"/>
        <v>0</v>
      </c>
      <c r="U1106" s="171">
        <f t="shared" si="568"/>
        <v>5021238.9455903182</v>
      </c>
      <c r="V1106" s="171">
        <f t="shared" si="581"/>
        <v>0</v>
      </c>
      <c r="W1106" s="171">
        <f>IF(OR(A1106&gt;=$C$13,B1106="Retired"),IF(V1106&gt;0,-V1106,U1106-'Model Inputs'!$B$18),"")</f>
        <v>4021238.9455903182</v>
      </c>
      <c r="X1106" s="171">
        <f t="shared" si="569"/>
        <v>2282774.3699995629</v>
      </c>
      <c r="Y1106" s="171">
        <f t="shared" si="570"/>
        <v>1044247.7747447877</v>
      </c>
      <c r="Z1106" s="171">
        <f t="shared" si="571"/>
        <v>1238526.5952547751</v>
      </c>
      <c r="AA1106" s="175">
        <f t="shared" si="572"/>
        <v>6259765.5408450933</v>
      </c>
      <c r="AB1106" s="5"/>
      <c r="AC1106" s="5"/>
      <c r="AD1106" s="5"/>
      <c r="AE1106" s="5"/>
      <c r="AF1106" s="5"/>
      <c r="AG1106" s="5"/>
    </row>
    <row r="1107" spans="1:33" x14ac:dyDescent="0.2">
      <c r="A1107" s="169">
        <v>15</v>
      </c>
      <c r="B1107" s="100" t="str">
        <f t="shared" si="558"/>
        <v>Retired</v>
      </c>
      <c r="C1107" s="170">
        <f t="shared" si="559"/>
        <v>0</v>
      </c>
      <c r="D1107" s="170">
        <f t="shared" si="560"/>
        <v>0</v>
      </c>
      <c r="E1107" s="170">
        <f t="shared" si="561"/>
        <v>0</v>
      </c>
      <c r="F1107" s="170">
        <f t="shared" si="562"/>
        <v>0</v>
      </c>
      <c r="G1107" s="171">
        <f t="shared" si="563"/>
        <v>0</v>
      </c>
      <c r="H1107" s="171">
        <f t="shared" si="564"/>
        <v>136337.69631167216</v>
      </c>
      <c r="I1107" s="171">
        <f>IF(B1107="Working",MIN(MAX(D1107-E1107-F1107-G1107-H1107,0),'Tax Assumptions'!$B$20),0)</f>
        <v>0</v>
      </c>
      <c r="J1107" s="171">
        <f t="shared" si="565"/>
        <v>-396337.69631167216</v>
      </c>
      <c r="K1107" s="170">
        <f t="shared" si="566"/>
        <v>396337.69631167216</v>
      </c>
      <c r="L1107" s="170">
        <f t="shared" si="567"/>
        <v>396337.69631167216</v>
      </c>
      <c r="M1107" s="170">
        <f t="shared" si="573"/>
        <v>396337.69631167216</v>
      </c>
      <c r="N1107" s="170">
        <f t="shared" si="574"/>
        <v>0</v>
      </c>
      <c r="O1107" s="170">
        <f t="shared" si="575"/>
        <v>0</v>
      </c>
      <c r="P1107" s="170">
        <f t="shared" si="576"/>
        <v>0</v>
      </c>
      <c r="Q1107" s="171">
        <f t="shared" si="577"/>
        <v>4361731.5244142301</v>
      </c>
      <c r="R1107" s="171">
        <f t="shared" si="578"/>
        <v>432152.48466237361</v>
      </c>
      <c r="S1107" s="171">
        <f t="shared" si="579"/>
        <v>132291.57693746127</v>
      </c>
      <c r="T1107" s="171">
        <f t="shared" si="580"/>
        <v>0</v>
      </c>
      <c r="U1107" s="171">
        <f t="shared" si="568"/>
        <v>4926175.586014065</v>
      </c>
      <c r="V1107" s="171">
        <f t="shared" si="581"/>
        <v>0</v>
      </c>
      <c r="W1107" s="171">
        <f>IF(OR(A1107&gt;=$C$13,B1107="Retired"),IF(V1107&gt;0,-V1107,U1107-'Model Inputs'!$B$18),"")</f>
        <v>3926175.586014065</v>
      </c>
      <c r="X1107" s="171">
        <f t="shared" si="569"/>
        <v>2351257.6010995498</v>
      </c>
      <c r="Y1107" s="171">
        <f t="shared" si="570"/>
        <v>1027006.2076154774</v>
      </c>
      <c r="Z1107" s="171">
        <f t="shared" si="571"/>
        <v>1324251.3934840723</v>
      </c>
      <c r="AA1107" s="172">
        <f t="shared" si="572"/>
        <v>6250426.9794981368</v>
      </c>
      <c r="AB1107" s="5"/>
      <c r="AC1107" s="5"/>
      <c r="AD1107" s="5"/>
      <c r="AE1107" s="5"/>
      <c r="AF1107" s="5"/>
      <c r="AG1107" s="5"/>
    </row>
    <row r="1108" spans="1:33" x14ac:dyDescent="0.2">
      <c r="A1108" s="173">
        <v>16</v>
      </c>
      <c r="B1108" s="65" t="str">
        <f t="shared" si="558"/>
        <v>Retired</v>
      </c>
      <c r="C1108" s="174">
        <f t="shared" si="559"/>
        <v>0</v>
      </c>
      <c r="D1108" s="174">
        <f t="shared" si="560"/>
        <v>0</v>
      </c>
      <c r="E1108" s="174">
        <f t="shared" si="561"/>
        <v>0</v>
      </c>
      <c r="F1108" s="174">
        <f t="shared" si="562"/>
        <v>0</v>
      </c>
      <c r="G1108" s="171">
        <f t="shared" si="563"/>
        <v>0</v>
      </c>
      <c r="H1108" s="171">
        <f t="shared" si="564"/>
        <v>137889.52632839786</v>
      </c>
      <c r="I1108" s="171">
        <f>IF(B1108="Working",MIN(MAX(D1108-E1108-F1108-G1108-H1108,0),'Tax Assumptions'!$B$20),0)</f>
        <v>0</v>
      </c>
      <c r="J1108" s="171">
        <f t="shared" si="565"/>
        <v>-397889.52632839786</v>
      </c>
      <c r="K1108" s="174">
        <f t="shared" si="566"/>
        <v>397889.52632839786</v>
      </c>
      <c r="L1108" s="174">
        <f t="shared" si="567"/>
        <v>397889.52632839786</v>
      </c>
      <c r="M1108" s="174">
        <f t="shared" si="573"/>
        <v>397889.52632839786</v>
      </c>
      <c r="N1108" s="174">
        <f t="shared" si="574"/>
        <v>0</v>
      </c>
      <c r="O1108" s="174">
        <f t="shared" si="575"/>
        <v>0</v>
      </c>
      <c r="P1108" s="174">
        <f t="shared" si="576"/>
        <v>0</v>
      </c>
      <c r="Q1108" s="171">
        <f t="shared" si="577"/>
        <v>4225545.8895506859</v>
      </c>
      <c r="R1108" s="171">
        <f t="shared" si="578"/>
        <v>458081.63374211604</v>
      </c>
      <c r="S1108" s="171">
        <f t="shared" si="579"/>
        <v>140229.07155370896</v>
      </c>
      <c r="T1108" s="171">
        <f t="shared" si="580"/>
        <v>0</v>
      </c>
      <c r="U1108" s="171">
        <f t="shared" si="568"/>
        <v>4823856.5948465113</v>
      </c>
      <c r="V1108" s="171">
        <f t="shared" si="581"/>
        <v>0</v>
      </c>
      <c r="W1108" s="171">
        <f>IF(OR(A1108&gt;=$C$13,B1108="Retired"),IF(V1108&gt;0,-V1108,U1108-'Model Inputs'!$B$18),"")</f>
        <v>3823856.5948465113</v>
      </c>
      <c r="X1108" s="171">
        <f t="shared" si="569"/>
        <v>2421795.3291325364</v>
      </c>
      <c r="Y1108" s="171">
        <f t="shared" si="570"/>
        <v>1008609.9408040908</v>
      </c>
      <c r="Z1108" s="171">
        <f t="shared" si="571"/>
        <v>1413185.3883284456</v>
      </c>
      <c r="AA1108" s="175">
        <f t="shared" si="572"/>
        <v>6237041.9831749573</v>
      </c>
      <c r="AB1108" s="5"/>
      <c r="AC1108" s="5"/>
      <c r="AD1108" s="5"/>
      <c r="AE1108" s="5"/>
      <c r="AF1108" s="5"/>
      <c r="AG1108" s="5"/>
    </row>
    <row r="1109" spans="1:33" x14ac:dyDescent="0.2">
      <c r="A1109" s="169">
        <v>17</v>
      </c>
      <c r="B1109" s="100" t="str">
        <f t="shared" si="558"/>
        <v>Retired</v>
      </c>
      <c r="C1109" s="170">
        <f t="shared" si="559"/>
        <v>0</v>
      </c>
      <c r="D1109" s="170">
        <f t="shared" si="560"/>
        <v>0</v>
      </c>
      <c r="E1109" s="170">
        <f t="shared" si="561"/>
        <v>0</v>
      </c>
      <c r="F1109" s="170">
        <f t="shared" si="562"/>
        <v>0</v>
      </c>
      <c r="G1109" s="171">
        <f t="shared" si="563"/>
        <v>0</v>
      </c>
      <c r="H1109" s="171">
        <f t="shared" si="564"/>
        <v>139487.91124562532</v>
      </c>
      <c r="I1109" s="171">
        <f>IF(B1109="Working",MIN(MAX(D1109-E1109-F1109-G1109-H1109,0),'Tax Assumptions'!$B$20),0)</f>
        <v>0</v>
      </c>
      <c r="J1109" s="171">
        <f t="shared" si="565"/>
        <v>-399487.91124562535</v>
      </c>
      <c r="K1109" s="170">
        <f t="shared" si="566"/>
        <v>399487.91124562535</v>
      </c>
      <c r="L1109" s="170">
        <f t="shared" si="567"/>
        <v>399487.91124562535</v>
      </c>
      <c r="M1109" s="170">
        <f t="shared" si="573"/>
        <v>399487.91124562535</v>
      </c>
      <c r="N1109" s="170">
        <f t="shared" si="574"/>
        <v>0</v>
      </c>
      <c r="O1109" s="170">
        <f t="shared" si="575"/>
        <v>0</v>
      </c>
      <c r="P1109" s="170">
        <f t="shared" si="576"/>
        <v>0</v>
      </c>
      <c r="Q1109" s="171">
        <f t="shared" si="577"/>
        <v>4079590.7316781022</v>
      </c>
      <c r="R1109" s="171">
        <f t="shared" si="578"/>
        <v>485566.53176664305</v>
      </c>
      <c r="S1109" s="171">
        <f t="shared" si="579"/>
        <v>148642.81584693151</v>
      </c>
      <c r="T1109" s="171">
        <f t="shared" si="580"/>
        <v>0</v>
      </c>
      <c r="U1109" s="171">
        <f t="shared" si="568"/>
        <v>4713800.0792916762</v>
      </c>
      <c r="V1109" s="171">
        <f t="shared" si="581"/>
        <v>0</v>
      </c>
      <c r="W1109" s="171">
        <f>IF(OR(A1109&gt;=$C$13,B1109="Retired"),IF(V1109&gt;0,-V1109,U1109-'Model Inputs'!$B$18),"")</f>
        <v>3713800.0792916762</v>
      </c>
      <c r="X1109" s="171">
        <f t="shared" si="569"/>
        <v>2494449.1890065125</v>
      </c>
      <c r="Y1109" s="171">
        <f t="shared" si="570"/>
        <v>988981.641934413</v>
      </c>
      <c r="Z1109" s="171">
        <f t="shared" si="571"/>
        <v>1505467.5470720995</v>
      </c>
      <c r="AA1109" s="172">
        <f t="shared" si="572"/>
        <v>6219267.6263637757</v>
      </c>
      <c r="AB1109" s="5"/>
      <c r="AC1109" s="5"/>
      <c r="AD1109" s="5"/>
      <c r="AE1109" s="5"/>
      <c r="AF1109" s="5"/>
      <c r="AG1109" s="5"/>
    </row>
    <row r="1110" spans="1:33" x14ac:dyDescent="0.2">
      <c r="A1110" s="173">
        <v>18</v>
      </c>
      <c r="B1110" s="65" t="str">
        <f t="shared" si="558"/>
        <v>Retired</v>
      </c>
      <c r="C1110" s="174">
        <f t="shared" si="559"/>
        <v>0</v>
      </c>
      <c r="D1110" s="174">
        <f t="shared" si="560"/>
        <v>0</v>
      </c>
      <c r="E1110" s="174">
        <f t="shared" si="561"/>
        <v>0</v>
      </c>
      <c r="F1110" s="174">
        <f t="shared" si="562"/>
        <v>0</v>
      </c>
      <c r="G1110" s="171">
        <f t="shared" si="563"/>
        <v>0</v>
      </c>
      <c r="H1110" s="171">
        <f t="shared" si="564"/>
        <v>141134.24771036961</v>
      </c>
      <c r="I1110" s="171">
        <f>IF(B1110="Working",MIN(MAX(D1110-E1110-F1110-G1110-H1110,0),'Tax Assumptions'!$B$20),0)</f>
        <v>0</v>
      </c>
      <c r="J1110" s="171">
        <f t="shared" si="565"/>
        <v>-401134.24771036964</v>
      </c>
      <c r="K1110" s="174">
        <f t="shared" si="566"/>
        <v>401134.24771036964</v>
      </c>
      <c r="L1110" s="174">
        <f t="shared" si="567"/>
        <v>401134.24771036964</v>
      </c>
      <c r="M1110" s="174">
        <f t="shared" si="573"/>
        <v>401134.24771036964</v>
      </c>
      <c r="N1110" s="174">
        <f t="shared" si="574"/>
        <v>0</v>
      </c>
      <c r="O1110" s="174">
        <f t="shared" si="575"/>
        <v>0</v>
      </c>
      <c r="P1110" s="174">
        <f t="shared" si="576"/>
        <v>0</v>
      </c>
      <c r="Q1110" s="171">
        <f t="shared" si="577"/>
        <v>3923231.9278684193</v>
      </c>
      <c r="R1110" s="171">
        <f t="shared" si="578"/>
        <v>514700.52367264166</v>
      </c>
      <c r="S1110" s="171">
        <f t="shared" si="579"/>
        <v>157561.38479774742</v>
      </c>
      <c r="T1110" s="171">
        <f t="shared" si="580"/>
        <v>0</v>
      </c>
      <c r="U1110" s="171">
        <f t="shared" si="568"/>
        <v>4595493.8363388078</v>
      </c>
      <c r="V1110" s="171">
        <f t="shared" si="581"/>
        <v>0</v>
      </c>
      <c r="W1110" s="171">
        <f>IF(OR(A1110&gt;=$C$13,B1110="Retired"),IF(V1110&gt;0,-V1110,U1110-'Model Inputs'!$B$18),"")</f>
        <v>3595493.8363388078</v>
      </c>
      <c r="X1110" s="171">
        <f t="shared" si="569"/>
        <v>2569282.6646767077</v>
      </c>
      <c r="Y1110" s="171">
        <f t="shared" si="570"/>
        <v>968038.79953777313</v>
      </c>
      <c r="Z1110" s="171">
        <f t="shared" si="571"/>
        <v>1601243.8651389345</v>
      </c>
      <c r="AA1110" s="175">
        <f t="shared" si="572"/>
        <v>6196737.7014777418</v>
      </c>
      <c r="AB1110" s="5"/>
      <c r="AC1110" s="5"/>
      <c r="AD1110" s="5"/>
      <c r="AE1110" s="5"/>
      <c r="AF1110" s="5"/>
      <c r="AG1110" s="5"/>
    </row>
    <row r="1111" spans="1:33" x14ac:dyDescent="0.2">
      <c r="A1111" s="169">
        <v>19</v>
      </c>
      <c r="B1111" s="100" t="str">
        <f t="shared" si="558"/>
        <v>Retired</v>
      </c>
      <c r="C1111" s="170">
        <f t="shared" si="559"/>
        <v>0</v>
      </c>
      <c r="D1111" s="170">
        <f t="shared" si="560"/>
        <v>0</v>
      </c>
      <c r="E1111" s="170">
        <f t="shared" si="561"/>
        <v>0</v>
      </c>
      <c r="F1111" s="170">
        <f t="shared" si="562"/>
        <v>0</v>
      </c>
      <c r="G1111" s="171">
        <f t="shared" si="563"/>
        <v>0</v>
      </c>
      <c r="H1111" s="171">
        <f t="shared" si="564"/>
        <v>142829.97426905623</v>
      </c>
      <c r="I1111" s="171">
        <f>IF(B1111="Working",MIN(MAX(D1111-E1111-F1111-G1111-H1111,0),'Tax Assumptions'!$B$20),0)</f>
        <v>0</v>
      </c>
      <c r="J1111" s="171">
        <f t="shared" si="565"/>
        <v>-402829.97426905623</v>
      </c>
      <c r="K1111" s="170">
        <f t="shared" si="566"/>
        <v>402829.97426905623</v>
      </c>
      <c r="L1111" s="170">
        <f t="shared" si="567"/>
        <v>402829.97426905623</v>
      </c>
      <c r="M1111" s="170">
        <f t="shared" si="573"/>
        <v>402829.97426905623</v>
      </c>
      <c r="N1111" s="170">
        <f t="shared" si="574"/>
        <v>0</v>
      </c>
      <c r="O1111" s="170">
        <f t="shared" si="575"/>
        <v>0</v>
      </c>
      <c r="P1111" s="170">
        <f t="shared" si="576"/>
        <v>0</v>
      </c>
      <c r="Q1111" s="171">
        <f t="shared" si="577"/>
        <v>3755795.8692714684</v>
      </c>
      <c r="R1111" s="171">
        <f t="shared" si="578"/>
        <v>545582.55509300018</v>
      </c>
      <c r="S1111" s="171">
        <f t="shared" si="579"/>
        <v>167015.06788561228</v>
      </c>
      <c r="T1111" s="171">
        <f t="shared" si="580"/>
        <v>0</v>
      </c>
      <c r="U1111" s="171">
        <f t="shared" si="568"/>
        <v>4468393.4922500802</v>
      </c>
      <c r="V1111" s="171">
        <f t="shared" si="581"/>
        <v>0</v>
      </c>
      <c r="W1111" s="171">
        <f>IF(OR(A1111&gt;=$C$13,B1111="Retired"),IF(V1111&gt;0,-V1111,U1111-'Model Inputs'!$B$18),"")</f>
        <v>3468393.4922500802</v>
      </c>
      <c r="X1111" s="171">
        <f t="shared" si="569"/>
        <v>2646361.144617009</v>
      </c>
      <c r="Y1111" s="171">
        <f t="shared" si="570"/>
        <v>945693.37619963288</v>
      </c>
      <c r="Z1111" s="171">
        <f t="shared" si="571"/>
        <v>1700667.7684173761</v>
      </c>
      <c r="AA1111" s="172">
        <f t="shared" si="572"/>
        <v>6169061.2606674563</v>
      </c>
      <c r="AB1111" s="5"/>
      <c r="AC1111" s="5"/>
      <c r="AD1111" s="5"/>
      <c r="AE1111" s="5"/>
      <c r="AF1111" s="5"/>
      <c r="AG1111" s="5"/>
    </row>
    <row r="1112" spans="1:33" x14ac:dyDescent="0.2">
      <c r="A1112" s="173">
        <v>20</v>
      </c>
      <c r="B1112" s="65" t="str">
        <f t="shared" si="558"/>
        <v>Retired</v>
      </c>
      <c r="C1112" s="174">
        <f t="shared" si="559"/>
        <v>0</v>
      </c>
      <c r="D1112" s="174">
        <f t="shared" si="560"/>
        <v>0</v>
      </c>
      <c r="E1112" s="174">
        <f t="shared" si="561"/>
        <v>0</v>
      </c>
      <c r="F1112" s="174">
        <f t="shared" si="562"/>
        <v>0</v>
      </c>
      <c r="G1112" s="171">
        <f t="shared" si="563"/>
        <v>0</v>
      </c>
      <c r="H1112" s="171">
        <f t="shared" si="564"/>
        <v>144576.57262450346</v>
      </c>
      <c r="I1112" s="171">
        <f>IF(B1112="Working",MIN(MAX(D1112-E1112-F1112-G1112-H1112,0),'Tax Assumptions'!$B$20),0)</f>
        <v>0</v>
      </c>
      <c r="J1112" s="171">
        <f t="shared" si="565"/>
        <v>-404576.57262450346</v>
      </c>
      <c r="K1112" s="174">
        <f t="shared" si="566"/>
        <v>404576.57262450346</v>
      </c>
      <c r="L1112" s="174">
        <f t="shared" si="567"/>
        <v>404576.57262450346</v>
      </c>
      <c r="M1112" s="174">
        <f t="shared" si="573"/>
        <v>404576.57262450346</v>
      </c>
      <c r="N1112" s="174">
        <f t="shared" si="574"/>
        <v>0</v>
      </c>
      <c r="O1112" s="174">
        <f t="shared" si="575"/>
        <v>0</v>
      </c>
      <c r="P1112" s="174">
        <f t="shared" si="576"/>
        <v>0</v>
      </c>
      <c r="Q1112" s="171">
        <f t="shared" si="577"/>
        <v>3576567.0488032531</v>
      </c>
      <c r="R1112" s="171">
        <f t="shared" si="578"/>
        <v>578317.50839858025</v>
      </c>
      <c r="S1112" s="171">
        <f t="shared" si="579"/>
        <v>177035.97195874903</v>
      </c>
      <c r="T1112" s="171">
        <f t="shared" si="580"/>
        <v>0</v>
      </c>
      <c r="U1112" s="171">
        <f t="shared" si="568"/>
        <v>4331920.5291605825</v>
      </c>
      <c r="V1112" s="171">
        <f t="shared" si="581"/>
        <v>0</v>
      </c>
      <c r="W1112" s="171">
        <f>IF(OR(A1112&gt;=$C$13,B1112="Retired"),IF(V1112&gt;0,-V1112,U1112-'Model Inputs'!$B$18),"")</f>
        <v>3331920.5291605825</v>
      </c>
      <c r="X1112" s="171">
        <f t="shared" si="569"/>
        <v>2725751.9789555194</v>
      </c>
      <c r="Y1112" s="171">
        <f t="shared" si="570"/>
        <v>921851.43847675715</v>
      </c>
      <c r="Z1112" s="171">
        <f t="shared" si="571"/>
        <v>1803900.5404787622</v>
      </c>
      <c r="AA1112" s="175">
        <f t="shared" si="572"/>
        <v>6135821.0696393447</v>
      </c>
      <c r="AB1112" s="5"/>
      <c r="AC1112" s="5"/>
      <c r="AD1112" s="5"/>
      <c r="AE1112" s="5"/>
      <c r="AF1112" s="5"/>
      <c r="AG1112" s="5"/>
    </row>
    <row r="1113" spans="1:33" x14ac:dyDescent="0.2">
      <c r="A1113" s="169">
        <v>21</v>
      </c>
      <c r="B1113" s="100" t="str">
        <f t="shared" si="558"/>
        <v>Retired</v>
      </c>
      <c r="C1113" s="170">
        <f t="shared" si="559"/>
        <v>0</v>
      </c>
      <c r="D1113" s="170">
        <f t="shared" si="560"/>
        <v>0</v>
      </c>
      <c r="E1113" s="170">
        <f t="shared" si="561"/>
        <v>0</v>
      </c>
      <c r="F1113" s="170">
        <f t="shared" si="562"/>
        <v>0</v>
      </c>
      <c r="G1113" s="171">
        <f t="shared" si="563"/>
        <v>0</v>
      </c>
      <c r="H1113" s="171">
        <f t="shared" si="564"/>
        <v>146375.5689306141</v>
      </c>
      <c r="I1113" s="171">
        <f>IF(B1113="Working",MIN(MAX(D1113-E1113-F1113-G1113-H1113,0),'Tax Assumptions'!$B$20),0)</f>
        <v>0</v>
      </c>
      <c r="J1113" s="171">
        <f t="shared" si="565"/>
        <v>-406375.5689306141</v>
      </c>
      <c r="K1113" s="170">
        <f t="shared" si="566"/>
        <v>406375.5689306141</v>
      </c>
      <c r="L1113" s="170">
        <f t="shared" si="567"/>
        <v>406375.5689306141</v>
      </c>
      <c r="M1113" s="170">
        <f t="shared" si="573"/>
        <v>406375.5689306141</v>
      </c>
      <c r="N1113" s="170">
        <f t="shared" si="574"/>
        <v>0</v>
      </c>
      <c r="O1113" s="170">
        <f t="shared" si="575"/>
        <v>0</v>
      </c>
      <c r="P1113" s="170">
        <f t="shared" si="576"/>
        <v>0</v>
      </c>
      <c r="Q1113" s="171">
        <f t="shared" si="577"/>
        <v>3384785.5028008344</v>
      </c>
      <c r="R1113" s="171">
        <f t="shared" si="578"/>
        <v>613016.55890249508</v>
      </c>
      <c r="S1113" s="171">
        <f t="shared" si="579"/>
        <v>187658.13027627397</v>
      </c>
      <c r="T1113" s="171">
        <f t="shared" si="580"/>
        <v>0</v>
      </c>
      <c r="U1113" s="171">
        <f t="shared" si="568"/>
        <v>4185460.1919796034</v>
      </c>
      <c r="V1113" s="171">
        <f t="shared" si="581"/>
        <v>0</v>
      </c>
      <c r="W1113" s="171">
        <f>IF(OR(A1113&gt;=$C$13,B1113="Retired"),IF(V1113&gt;0,-V1113,U1113-'Model Inputs'!$B$18),"")</f>
        <v>3185460.1919796034</v>
      </c>
      <c r="X1113" s="171">
        <f t="shared" si="569"/>
        <v>2807524.5383241847</v>
      </c>
      <c r="Y1113" s="171">
        <f t="shared" si="570"/>
        <v>896412.76202925062</v>
      </c>
      <c r="Z1113" s="171">
        <f t="shared" si="571"/>
        <v>1911111.7762949341</v>
      </c>
      <c r="AA1113" s="172">
        <f t="shared" si="572"/>
        <v>6096571.9682745375</v>
      </c>
      <c r="AB1113" s="5"/>
      <c r="AC1113" s="5"/>
      <c r="AD1113" s="5"/>
      <c r="AE1113" s="5"/>
      <c r="AF1113" s="5"/>
      <c r="AG1113" s="5"/>
    </row>
    <row r="1114" spans="1:33" x14ac:dyDescent="0.2">
      <c r="A1114" s="173">
        <v>22</v>
      </c>
      <c r="B1114" s="65" t="str">
        <f t="shared" si="558"/>
        <v>Retired</v>
      </c>
      <c r="C1114" s="174">
        <f t="shared" si="559"/>
        <v>0</v>
      </c>
      <c r="D1114" s="174">
        <f t="shared" si="560"/>
        <v>0</v>
      </c>
      <c r="E1114" s="174">
        <f t="shared" si="561"/>
        <v>0</v>
      </c>
      <c r="F1114" s="174">
        <f t="shared" si="562"/>
        <v>0</v>
      </c>
      <c r="G1114" s="171">
        <f t="shared" si="563"/>
        <v>0</v>
      </c>
      <c r="H1114" s="171">
        <f t="shared" si="564"/>
        <v>148228.53512590806</v>
      </c>
      <c r="I1114" s="171">
        <f>IF(B1114="Working",MIN(MAX(D1114-E1114-F1114-G1114-H1114,0),'Tax Assumptions'!$B$20),0)</f>
        <v>0</v>
      </c>
      <c r="J1114" s="171">
        <f t="shared" si="565"/>
        <v>-408228.53512590809</v>
      </c>
      <c r="K1114" s="174">
        <f t="shared" si="566"/>
        <v>408228.53512590809</v>
      </c>
      <c r="L1114" s="174">
        <f t="shared" si="567"/>
        <v>408228.53512590809</v>
      </c>
      <c r="M1114" s="174">
        <f t="shared" si="573"/>
        <v>408228.53512590809</v>
      </c>
      <c r="N1114" s="174">
        <f t="shared" si="574"/>
        <v>0</v>
      </c>
      <c r="O1114" s="174">
        <f t="shared" si="575"/>
        <v>0</v>
      </c>
      <c r="P1114" s="174">
        <f t="shared" si="576"/>
        <v>0</v>
      </c>
      <c r="Q1114" s="171">
        <f t="shared" si="577"/>
        <v>3179644.0978429765</v>
      </c>
      <c r="R1114" s="171">
        <f t="shared" si="578"/>
        <v>649797.55243664479</v>
      </c>
      <c r="S1114" s="171">
        <f t="shared" si="579"/>
        <v>198917.6180928504</v>
      </c>
      <c r="T1114" s="171">
        <f t="shared" si="580"/>
        <v>0</v>
      </c>
      <c r="U1114" s="171">
        <f t="shared" si="568"/>
        <v>4028359.2683724714</v>
      </c>
      <c r="V1114" s="171">
        <f t="shared" si="581"/>
        <v>0</v>
      </c>
      <c r="W1114" s="171">
        <f>IF(OR(A1114&gt;=$C$13,B1114="Retired"),IF(V1114&gt;0,-V1114,U1114-'Model Inputs'!$B$18),"")</f>
        <v>3028359.2683724714</v>
      </c>
      <c r="X1114" s="171">
        <f t="shared" si="569"/>
        <v>2891750.2744739098</v>
      </c>
      <c r="Y1114" s="171">
        <f t="shared" si="570"/>
        <v>869270.41030756128</v>
      </c>
      <c r="Z1114" s="171">
        <f t="shared" si="571"/>
        <v>2022479.8641663485</v>
      </c>
      <c r="AA1114" s="175">
        <f t="shared" si="572"/>
        <v>6050839.1325388197</v>
      </c>
      <c r="AB1114" s="5"/>
      <c r="AC1114" s="5"/>
      <c r="AD1114" s="5"/>
      <c r="AE1114" s="5"/>
      <c r="AF1114" s="5"/>
      <c r="AG1114" s="5"/>
    </row>
    <row r="1115" spans="1:33" x14ac:dyDescent="0.2">
      <c r="A1115" s="169">
        <v>23</v>
      </c>
      <c r="B1115" s="100" t="str">
        <f t="shared" si="558"/>
        <v>Retired</v>
      </c>
      <c r="C1115" s="170">
        <f t="shared" si="559"/>
        <v>0</v>
      </c>
      <c r="D1115" s="170">
        <f t="shared" si="560"/>
        <v>0</v>
      </c>
      <c r="E1115" s="170">
        <f t="shared" si="561"/>
        <v>0</v>
      </c>
      <c r="F1115" s="170">
        <f t="shared" si="562"/>
        <v>0</v>
      </c>
      <c r="G1115" s="171">
        <f t="shared" si="563"/>
        <v>0</v>
      </c>
      <c r="H1115" s="171">
        <f t="shared" si="564"/>
        <v>150137.09030706083</v>
      </c>
      <c r="I1115" s="171">
        <f>IF(B1115="Working",MIN(MAX(D1115-E1115-F1115-G1115-H1115,0),'Tax Assumptions'!$B$20),0)</f>
        <v>0</v>
      </c>
      <c r="J1115" s="171">
        <f t="shared" si="565"/>
        <v>-410137.09030706086</v>
      </c>
      <c r="K1115" s="170">
        <f t="shared" si="566"/>
        <v>410137.09030706086</v>
      </c>
      <c r="L1115" s="170">
        <f t="shared" si="567"/>
        <v>410137.09030706086</v>
      </c>
      <c r="M1115" s="170">
        <f t="shared" si="573"/>
        <v>410137.09030706086</v>
      </c>
      <c r="N1115" s="170">
        <f t="shared" si="574"/>
        <v>0</v>
      </c>
      <c r="O1115" s="170">
        <f t="shared" si="575"/>
        <v>0</v>
      </c>
      <c r="P1115" s="170">
        <f t="shared" si="576"/>
        <v>0</v>
      </c>
      <c r="Q1115" s="171">
        <f t="shared" si="577"/>
        <v>2960285.6534064943</v>
      </c>
      <c r="R1115" s="171">
        <f t="shared" si="578"/>
        <v>688785.40558284346</v>
      </c>
      <c r="S1115" s="171">
        <f t="shared" si="579"/>
        <v>210852.67517842143</v>
      </c>
      <c r="T1115" s="171">
        <f t="shared" si="580"/>
        <v>0</v>
      </c>
      <c r="U1115" s="171">
        <f t="shared" si="568"/>
        <v>3859923.7341677593</v>
      </c>
      <c r="V1115" s="171">
        <f t="shared" si="581"/>
        <v>0</v>
      </c>
      <c r="W1115" s="171">
        <f>IF(OR(A1115&gt;=$C$13,B1115="Retired"),IF(V1115&gt;0,-V1115,U1115-'Model Inputs'!$B$18),"")</f>
        <v>2859923.7341677593</v>
      </c>
      <c r="X1115" s="171">
        <f t="shared" si="569"/>
        <v>2978502.7827081271</v>
      </c>
      <c r="Y1115" s="171">
        <f t="shared" si="570"/>
        <v>840310.28502336587</v>
      </c>
      <c r="Z1115" s="171">
        <f t="shared" si="571"/>
        <v>2138192.497684761</v>
      </c>
      <c r="AA1115" s="172">
        <f t="shared" si="572"/>
        <v>5998116.2318525203</v>
      </c>
      <c r="AB1115" s="5"/>
      <c r="AC1115" s="5"/>
      <c r="AD1115" s="5"/>
      <c r="AE1115" s="5"/>
      <c r="AF1115" s="5"/>
      <c r="AG1115" s="5"/>
    </row>
    <row r="1116" spans="1:33" x14ac:dyDescent="0.2">
      <c r="A1116" s="173">
        <v>24</v>
      </c>
      <c r="B1116" s="65" t="str">
        <f t="shared" si="558"/>
        <v>Retired</v>
      </c>
      <c r="C1116" s="174">
        <f t="shared" si="559"/>
        <v>0</v>
      </c>
      <c r="D1116" s="174">
        <f t="shared" si="560"/>
        <v>0</v>
      </c>
      <c r="E1116" s="174">
        <f t="shared" si="561"/>
        <v>0</v>
      </c>
      <c r="F1116" s="174">
        <f t="shared" si="562"/>
        <v>0</v>
      </c>
      <c r="G1116" s="171">
        <f t="shared" si="563"/>
        <v>0</v>
      </c>
      <c r="H1116" s="171">
        <f t="shared" si="564"/>
        <v>152102.90214364821</v>
      </c>
      <c r="I1116" s="171">
        <f>IF(B1116="Working",MIN(MAX(D1116-E1116-F1116-G1116-H1116,0),'Tax Assumptions'!$B$20),0)</f>
        <v>0</v>
      </c>
      <c r="J1116" s="171">
        <f t="shared" si="565"/>
        <v>-412102.90214364824</v>
      </c>
      <c r="K1116" s="174">
        <f t="shared" si="566"/>
        <v>412102.90214364824</v>
      </c>
      <c r="L1116" s="174">
        <f t="shared" si="567"/>
        <v>412102.90214364824</v>
      </c>
      <c r="M1116" s="174">
        <f t="shared" si="573"/>
        <v>412102.90214364824</v>
      </c>
      <c r="N1116" s="174">
        <f t="shared" si="574"/>
        <v>0</v>
      </c>
      <c r="O1116" s="174">
        <f t="shared" si="575"/>
        <v>0</v>
      </c>
      <c r="P1116" s="174">
        <f t="shared" si="576"/>
        <v>0</v>
      </c>
      <c r="Q1116" s="171">
        <f t="shared" si="577"/>
        <v>2725799.8904672358</v>
      </c>
      <c r="R1116" s="171">
        <f t="shared" si="578"/>
        <v>730112.52991781407</v>
      </c>
      <c r="S1116" s="171">
        <f t="shared" si="579"/>
        <v>223503.83568912672</v>
      </c>
      <c r="T1116" s="171">
        <f t="shared" si="580"/>
        <v>0</v>
      </c>
      <c r="U1116" s="171">
        <f t="shared" si="568"/>
        <v>3679416.2560741762</v>
      </c>
      <c r="V1116" s="171">
        <f t="shared" si="581"/>
        <v>0</v>
      </c>
      <c r="W1116" s="171">
        <f>IF(OR(A1116&gt;=$C$13,B1116="Retired"),IF(V1116&gt;0,-V1116,U1116-'Model Inputs'!$B$18),"")</f>
        <v>2679416.2560741762</v>
      </c>
      <c r="X1116" s="171">
        <f t="shared" si="569"/>
        <v>3067857.8661893713</v>
      </c>
      <c r="Y1116" s="171">
        <f t="shared" si="570"/>
        <v>809410.64651466254</v>
      </c>
      <c r="Z1116" s="171">
        <f t="shared" si="571"/>
        <v>2258447.2196747088</v>
      </c>
      <c r="AA1116" s="175">
        <f t="shared" si="572"/>
        <v>5937863.4757488854</v>
      </c>
      <c r="AB1116" s="5"/>
      <c r="AC1116" s="5"/>
      <c r="AD1116" s="5"/>
      <c r="AE1116" s="5"/>
      <c r="AF1116" s="5"/>
      <c r="AG1116" s="5"/>
    </row>
    <row r="1117" spans="1:33" x14ac:dyDescent="0.2">
      <c r="A1117" s="169">
        <v>25</v>
      </c>
      <c r="B1117" s="100" t="str">
        <f t="shared" si="558"/>
        <v>Retired</v>
      </c>
      <c r="C1117" s="170">
        <f t="shared" si="559"/>
        <v>0</v>
      </c>
      <c r="D1117" s="170">
        <f t="shared" si="560"/>
        <v>0</v>
      </c>
      <c r="E1117" s="170">
        <f t="shared" si="561"/>
        <v>0</v>
      </c>
      <c r="F1117" s="170">
        <f t="shared" si="562"/>
        <v>0</v>
      </c>
      <c r="G1117" s="171">
        <f t="shared" si="563"/>
        <v>0</v>
      </c>
      <c r="H1117" s="171">
        <f t="shared" si="564"/>
        <v>154127.68833533319</v>
      </c>
      <c r="I1117" s="171">
        <f>IF(B1117="Working",MIN(MAX(D1117-E1117-F1117-G1117-H1117,0),'Tax Assumptions'!$B$20),0)</f>
        <v>0</v>
      </c>
      <c r="J1117" s="171">
        <f t="shared" si="565"/>
        <v>-414127.68833533319</v>
      </c>
      <c r="K1117" s="170">
        <f t="shared" si="566"/>
        <v>414127.68833533319</v>
      </c>
      <c r="L1117" s="170">
        <f t="shared" si="567"/>
        <v>414127.68833533319</v>
      </c>
      <c r="M1117" s="170">
        <f t="shared" si="573"/>
        <v>414127.68833533319</v>
      </c>
      <c r="N1117" s="170">
        <f t="shared" si="574"/>
        <v>0</v>
      </c>
      <c r="O1117" s="170">
        <f t="shared" si="575"/>
        <v>0</v>
      </c>
      <c r="P1117" s="170">
        <f t="shared" si="576"/>
        <v>0</v>
      </c>
      <c r="Q1117" s="171">
        <f t="shared" si="577"/>
        <v>2475220.195559937</v>
      </c>
      <c r="R1117" s="171">
        <f t="shared" si="578"/>
        <v>773919.28171288292</v>
      </c>
      <c r="S1117" s="171">
        <f t="shared" si="579"/>
        <v>236914.06583047434</v>
      </c>
      <c r="T1117" s="171">
        <f t="shared" si="580"/>
        <v>0</v>
      </c>
      <c r="U1117" s="171">
        <f t="shared" si="568"/>
        <v>3486053.543103294</v>
      </c>
      <c r="V1117" s="171">
        <f t="shared" si="581"/>
        <v>0</v>
      </c>
      <c r="W1117" s="171">
        <f>IF(OR(A1117&gt;=$C$13,B1117="Retired"),IF(V1117&gt;0,-V1117,U1117-'Model Inputs'!$B$18),"")</f>
        <v>2486053.543103294</v>
      </c>
      <c r="X1117" s="171">
        <f t="shared" si="569"/>
        <v>3159893.6021750527</v>
      </c>
      <c r="Y1117" s="171">
        <f t="shared" si="570"/>
        <v>776441.60198882176</v>
      </c>
      <c r="Z1117" s="171">
        <f t="shared" si="571"/>
        <v>2383452.000186231</v>
      </c>
      <c r="AA1117" s="172">
        <f t="shared" si="572"/>
        <v>5869505.5432895254</v>
      </c>
      <c r="AB1117" s="5"/>
      <c r="AC1117" s="5"/>
      <c r="AD1117" s="5"/>
      <c r="AE1117" s="5"/>
      <c r="AF1117" s="5"/>
      <c r="AG1117" s="5"/>
    </row>
    <row r="1118" spans="1:33" x14ac:dyDescent="0.2">
      <c r="A1118" s="173">
        <v>26</v>
      </c>
      <c r="B1118" s="65" t="str">
        <f t="shared" si="558"/>
        <v>Retired</v>
      </c>
      <c r="C1118" s="174">
        <f t="shared" si="559"/>
        <v>0</v>
      </c>
      <c r="D1118" s="174">
        <f t="shared" si="560"/>
        <v>0</v>
      </c>
      <c r="E1118" s="174">
        <f t="shared" si="561"/>
        <v>0</v>
      </c>
      <c r="F1118" s="174">
        <f t="shared" si="562"/>
        <v>0</v>
      </c>
      <c r="G1118" s="171">
        <f t="shared" si="563"/>
        <v>0</v>
      </c>
      <c r="H1118" s="171">
        <f t="shared" si="564"/>
        <v>156213.21811276872</v>
      </c>
      <c r="I1118" s="171">
        <f>IF(B1118="Working",MIN(MAX(D1118-E1118-F1118-G1118-H1118,0),'Tax Assumptions'!$B$20),0)</f>
        <v>0</v>
      </c>
      <c r="J1118" s="171">
        <f t="shared" si="565"/>
        <v>-416213.21811276872</v>
      </c>
      <c r="K1118" s="174">
        <f t="shared" si="566"/>
        <v>416213.21811276872</v>
      </c>
      <c r="L1118" s="174">
        <f t="shared" si="567"/>
        <v>416213.21811276872</v>
      </c>
      <c r="M1118" s="174">
        <f t="shared" si="573"/>
        <v>416213.21811276872</v>
      </c>
      <c r="N1118" s="174">
        <f t="shared" si="574"/>
        <v>0</v>
      </c>
      <c r="O1118" s="174">
        <f t="shared" si="575"/>
        <v>0</v>
      </c>
      <c r="P1118" s="174">
        <f t="shared" si="576"/>
        <v>0</v>
      </c>
      <c r="Q1118" s="171">
        <f t="shared" si="577"/>
        <v>2207520.1891807648</v>
      </c>
      <c r="R1118" s="171">
        <f t="shared" si="578"/>
        <v>820354.43861565599</v>
      </c>
      <c r="S1118" s="171">
        <f t="shared" si="579"/>
        <v>251128.90978030281</v>
      </c>
      <c r="T1118" s="171">
        <f t="shared" si="580"/>
        <v>0</v>
      </c>
      <c r="U1118" s="171">
        <f t="shared" si="568"/>
        <v>3279003.5375767238</v>
      </c>
      <c r="V1118" s="171">
        <f t="shared" si="581"/>
        <v>0</v>
      </c>
      <c r="W1118" s="171">
        <f>IF(OR(A1118&gt;=$C$13,B1118="Retired"),IF(V1118&gt;0,-V1118,U1118-'Model Inputs'!$B$18),"")</f>
        <v>2279003.5375767238</v>
      </c>
      <c r="X1118" s="171">
        <f t="shared" si="569"/>
        <v>3254690.4102403037</v>
      </c>
      <c r="Y1118" s="171">
        <f t="shared" si="570"/>
        <v>741264.559492331</v>
      </c>
      <c r="Z1118" s="171">
        <f t="shared" si="571"/>
        <v>2513425.8507479727</v>
      </c>
      <c r="AA1118" s="175">
        <f t="shared" si="572"/>
        <v>5792429.3883246966</v>
      </c>
      <c r="AB1118" s="5"/>
      <c r="AC1118" s="5"/>
      <c r="AD1118" s="5"/>
      <c r="AE1118" s="5"/>
      <c r="AF1118" s="5"/>
      <c r="AG1118" s="5"/>
    </row>
    <row r="1119" spans="1:33" x14ac:dyDescent="0.2">
      <c r="A1119" s="169">
        <v>27</v>
      </c>
      <c r="B1119" s="100" t="str">
        <f t="shared" si="558"/>
        <v>Retired</v>
      </c>
      <c r="C1119" s="170">
        <f t="shared" si="559"/>
        <v>0</v>
      </c>
      <c r="D1119" s="170">
        <f t="shared" si="560"/>
        <v>0</v>
      </c>
      <c r="E1119" s="170">
        <f t="shared" si="561"/>
        <v>0</v>
      </c>
      <c r="F1119" s="170">
        <f t="shared" si="562"/>
        <v>0</v>
      </c>
      <c r="G1119" s="171">
        <f t="shared" si="563"/>
        <v>0</v>
      </c>
      <c r="H1119" s="171">
        <f t="shared" si="564"/>
        <v>158361.31378352732</v>
      </c>
      <c r="I1119" s="171">
        <f>IF(B1119="Working",MIN(MAX(D1119-E1119-F1119-G1119-H1119,0),'Tax Assumptions'!$B$20),0)</f>
        <v>0</v>
      </c>
      <c r="J1119" s="171">
        <f t="shared" si="565"/>
        <v>-418361.31378352735</v>
      </c>
      <c r="K1119" s="170">
        <f t="shared" si="566"/>
        <v>418361.31378352735</v>
      </c>
      <c r="L1119" s="170">
        <f t="shared" si="567"/>
        <v>418361.31378352735</v>
      </c>
      <c r="M1119" s="170">
        <f t="shared" si="573"/>
        <v>418361.31378352735</v>
      </c>
      <c r="N1119" s="170">
        <f t="shared" si="574"/>
        <v>0</v>
      </c>
      <c r="O1119" s="170">
        <f t="shared" si="575"/>
        <v>0</v>
      </c>
      <c r="P1119" s="170">
        <f t="shared" si="576"/>
        <v>0</v>
      </c>
      <c r="Q1119" s="171">
        <f t="shared" si="577"/>
        <v>1921610.0867480836</v>
      </c>
      <c r="R1119" s="171">
        <f t="shared" si="578"/>
        <v>869575.70493259537</v>
      </c>
      <c r="S1119" s="171">
        <f t="shared" si="579"/>
        <v>266196.64436712099</v>
      </c>
      <c r="T1119" s="171">
        <f t="shared" si="580"/>
        <v>0</v>
      </c>
      <c r="U1119" s="171">
        <f t="shared" si="568"/>
        <v>3057382.4360477999</v>
      </c>
      <c r="V1119" s="171">
        <f t="shared" si="581"/>
        <v>0</v>
      </c>
      <c r="W1119" s="171">
        <f>IF(OR(A1119&gt;=$C$13,B1119="Retired"),IF(V1119&gt;0,-V1119,U1119-'Model Inputs'!$B$18),"")</f>
        <v>2057382.4360477999</v>
      </c>
      <c r="X1119" s="171">
        <f t="shared" si="569"/>
        <v>3352331.1225475129</v>
      </c>
      <c r="Y1119" s="171">
        <f t="shared" si="570"/>
        <v>703731.64531187899</v>
      </c>
      <c r="Z1119" s="171">
        <f t="shared" si="571"/>
        <v>2648599.4772356339</v>
      </c>
      <c r="AA1119" s="172">
        <f t="shared" si="572"/>
        <v>5705981.9132834338</v>
      </c>
      <c r="AB1119" s="5"/>
      <c r="AC1119" s="5"/>
      <c r="AD1119" s="5"/>
      <c r="AE1119" s="5"/>
      <c r="AF1119" s="5"/>
      <c r="AG1119" s="5"/>
    </row>
    <row r="1120" spans="1:33" x14ac:dyDescent="0.2">
      <c r="A1120" s="173">
        <v>28</v>
      </c>
      <c r="B1120" s="65" t="str">
        <f t="shared" si="558"/>
        <v>Retired</v>
      </c>
      <c r="C1120" s="174">
        <f t="shared" si="559"/>
        <v>0</v>
      </c>
      <c r="D1120" s="174">
        <f t="shared" si="560"/>
        <v>0</v>
      </c>
      <c r="E1120" s="174">
        <f t="shared" si="561"/>
        <v>0</v>
      </c>
      <c r="F1120" s="174">
        <f t="shared" si="562"/>
        <v>0</v>
      </c>
      <c r="G1120" s="171">
        <f t="shared" si="563"/>
        <v>0</v>
      </c>
      <c r="H1120" s="171">
        <f t="shared" si="564"/>
        <v>160573.85232440868</v>
      </c>
      <c r="I1120" s="171">
        <f>IF(B1120="Working",MIN(MAX(D1120-E1120-F1120-G1120-H1120,0),'Tax Assumptions'!$B$20),0)</f>
        <v>0</v>
      </c>
      <c r="J1120" s="171">
        <f t="shared" si="565"/>
        <v>-420573.85232440871</v>
      </c>
      <c r="K1120" s="174">
        <f t="shared" si="566"/>
        <v>420573.85232440871</v>
      </c>
      <c r="L1120" s="174">
        <f t="shared" si="567"/>
        <v>420573.85232440871</v>
      </c>
      <c r="M1120" s="174">
        <f t="shared" si="573"/>
        <v>420573.85232440871</v>
      </c>
      <c r="N1120" s="174">
        <f t="shared" si="574"/>
        <v>0</v>
      </c>
      <c r="O1120" s="174">
        <f t="shared" si="575"/>
        <v>0</v>
      </c>
      <c r="P1120" s="174">
        <f t="shared" si="576"/>
        <v>0</v>
      </c>
      <c r="Q1120" s="171">
        <f t="shared" si="577"/>
        <v>1616332.83962856</v>
      </c>
      <c r="R1120" s="171">
        <f t="shared" si="578"/>
        <v>921750.24722855119</v>
      </c>
      <c r="S1120" s="171">
        <f t="shared" si="579"/>
        <v>282168.44302914827</v>
      </c>
      <c r="T1120" s="171">
        <f t="shared" si="580"/>
        <v>0</v>
      </c>
      <c r="U1120" s="171">
        <f t="shared" si="568"/>
        <v>2820251.5298862597</v>
      </c>
      <c r="V1120" s="171">
        <f t="shared" si="581"/>
        <v>0</v>
      </c>
      <c r="W1120" s="171">
        <f>IF(OR(A1120&gt;=$C$13,B1120="Retired"),IF(V1120&gt;0,-V1120,U1120-'Model Inputs'!$B$18),"")</f>
        <v>1820251.5298862597</v>
      </c>
      <c r="X1120" s="171">
        <f t="shared" si="569"/>
        <v>3452901.0562239382</v>
      </c>
      <c r="Y1120" s="171">
        <f t="shared" si="570"/>
        <v>663685.08235770883</v>
      </c>
      <c r="Z1120" s="171">
        <f t="shared" si="571"/>
        <v>2789215.9738662294</v>
      </c>
      <c r="AA1120" s="175">
        <f t="shared" si="572"/>
        <v>5609467.5037524886</v>
      </c>
      <c r="AB1120" s="5"/>
      <c r="AC1120" s="5"/>
      <c r="AD1120" s="5"/>
      <c r="AE1120" s="5"/>
      <c r="AF1120" s="5"/>
      <c r="AG1120" s="5"/>
    </row>
    <row r="1121" spans="1:33" x14ac:dyDescent="0.2">
      <c r="A1121" s="169">
        <v>29</v>
      </c>
      <c r="B1121" s="100" t="str">
        <f t="shared" si="558"/>
        <v>Retired</v>
      </c>
      <c r="C1121" s="170">
        <f t="shared" si="559"/>
        <v>0</v>
      </c>
      <c r="D1121" s="170">
        <f t="shared" si="560"/>
        <v>0</v>
      </c>
      <c r="E1121" s="170">
        <f t="shared" si="561"/>
        <v>0</v>
      </c>
      <c r="F1121" s="170">
        <f t="shared" si="562"/>
        <v>0</v>
      </c>
      <c r="G1121" s="171">
        <f t="shared" si="563"/>
        <v>0</v>
      </c>
      <c r="H1121" s="171">
        <f t="shared" si="564"/>
        <v>162852.76702151648</v>
      </c>
      <c r="I1121" s="171">
        <f>IF(B1121="Working",MIN(MAX(D1121-E1121-F1121-G1121-H1121,0),'Tax Assumptions'!$B$20),0)</f>
        <v>0</v>
      </c>
      <c r="J1121" s="171">
        <f t="shared" si="565"/>
        <v>-422852.76702151645</v>
      </c>
      <c r="K1121" s="170">
        <f t="shared" si="566"/>
        <v>422852.76702151645</v>
      </c>
      <c r="L1121" s="170">
        <f t="shared" si="567"/>
        <v>422852.76702151645</v>
      </c>
      <c r="M1121" s="170">
        <f t="shared" si="573"/>
        <v>422852.76702151645</v>
      </c>
      <c r="N1121" s="170">
        <f t="shared" si="574"/>
        <v>0</v>
      </c>
      <c r="O1121" s="170">
        <f t="shared" si="575"/>
        <v>0</v>
      </c>
      <c r="P1121" s="170">
        <f t="shared" si="576"/>
        <v>0</v>
      </c>
      <c r="Q1121" s="171">
        <f t="shared" si="577"/>
        <v>1290460.0429847571</v>
      </c>
      <c r="R1121" s="171">
        <f t="shared" si="578"/>
        <v>977055.26206226426</v>
      </c>
      <c r="S1121" s="171">
        <f t="shared" si="579"/>
        <v>299098.5496108972</v>
      </c>
      <c r="T1121" s="171">
        <f t="shared" si="580"/>
        <v>0</v>
      </c>
      <c r="U1121" s="171">
        <f t="shared" si="568"/>
        <v>2566613.8546579182</v>
      </c>
      <c r="V1121" s="171">
        <f t="shared" si="581"/>
        <v>0</v>
      </c>
      <c r="W1121" s="171">
        <f>IF(OR(A1121&gt;=$C$13,B1121="Retired"),IF(V1121&gt;0,-V1121,U1121-'Model Inputs'!$B$18),"")</f>
        <v>1566613.8546579182</v>
      </c>
      <c r="X1121" s="171">
        <f t="shared" si="569"/>
        <v>3556488.0879106564</v>
      </c>
      <c r="Y1121" s="171">
        <f t="shared" si="570"/>
        <v>620956.52691616118</v>
      </c>
      <c r="Z1121" s="171">
        <f t="shared" si="571"/>
        <v>2935531.5609944952</v>
      </c>
      <c r="AA1121" s="172">
        <f t="shared" si="572"/>
        <v>5502145.4156524129</v>
      </c>
      <c r="AB1121" s="5"/>
      <c r="AC1121" s="5"/>
      <c r="AD1121" s="5"/>
      <c r="AE1121" s="5"/>
      <c r="AF1121" s="5"/>
      <c r="AG1121" s="5"/>
    </row>
    <row r="1122" spans="1:33" x14ac:dyDescent="0.2">
      <c r="A1122" s="173">
        <v>30</v>
      </c>
      <c r="B1122" s="65" t="str">
        <f t="shared" si="558"/>
        <v>Retired</v>
      </c>
      <c r="C1122" s="174">
        <f t="shared" si="559"/>
        <v>0</v>
      </c>
      <c r="D1122" s="174">
        <f t="shared" si="560"/>
        <v>0</v>
      </c>
      <c r="E1122" s="174">
        <f t="shared" si="561"/>
        <v>0</v>
      </c>
      <c r="F1122" s="174">
        <f t="shared" si="562"/>
        <v>0</v>
      </c>
      <c r="G1122" s="171">
        <f t="shared" si="563"/>
        <v>0</v>
      </c>
      <c r="H1122" s="171">
        <f t="shared" si="564"/>
        <v>165200.04915953751</v>
      </c>
      <c r="I1122" s="171">
        <f>IF(B1122="Working",MIN(MAX(D1122-E1122-F1122-G1122-H1122,0),'Tax Assumptions'!$B$20),0)</f>
        <v>0</v>
      </c>
      <c r="J1122" s="171">
        <f t="shared" si="565"/>
        <v>-425200.04915953754</v>
      </c>
      <c r="K1122" s="174">
        <f t="shared" si="566"/>
        <v>425200.04915953754</v>
      </c>
      <c r="L1122" s="174">
        <f t="shared" si="567"/>
        <v>425200.04915953754</v>
      </c>
      <c r="M1122" s="174">
        <f t="shared" si="573"/>
        <v>425200.04915953754</v>
      </c>
      <c r="N1122" s="174">
        <f t="shared" si="574"/>
        <v>0</v>
      </c>
      <c r="O1122" s="174">
        <f t="shared" si="575"/>
        <v>0</v>
      </c>
      <c r="P1122" s="174">
        <f t="shared" si="576"/>
        <v>0</v>
      </c>
      <c r="Q1122" s="171">
        <f t="shared" si="577"/>
        <v>942687.59640430496</v>
      </c>
      <c r="R1122" s="171">
        <f t="shared" si="578"/>
        <v>1035678.5777860002</v>
      </c>
      <c r="S1122" s="171">
        <f t="shared" si="579"/>
        <v>317044.46258755104</v>
      </c>
      <c r="T1122" s="171">
        <f t="shared" si="580"/>
        <v>0</v>
      </c>
      <c r="U1122" s="171">
        <f t="shared" si="568"/>
        <v>2295410.6367778564</v>
      </c>
      <c r="V1122" s="171">
        <f t="shared" si="581"/>
        <v>0</v>
      </c>
      <c r="W1122" s="171">
        <f>IF(OR(A1122&gt;=$C$13,B1122="Retired"),IF(V1122&gt;0,-V1122,U1122-'Model Inputs'!$B$18),"")</f>
        <v>1295410.6367778564</v>
      </c>
      <c r="X1122" s="171">
        <f t="shared" si="569"/>
        <v>3663182.7305479757</v>
      </c>
      <c r="Y1122" s="171">
        <f t="shared" si="570"/>
        <v>575366.36098330049</v>
      </c>
      <c r="Z1122" s="171">
        <f t="shared" si="571"/>
        <v>3087816.3695646753</v>
      </c>
      <c r="AA1122" s="175">
        <f t="shared" si="572"/>
        <v>5383227.0063425321</v>
      </c>
      <c r="AB1122" s="5"/>
      <c r="AC1122" s="5"/>
      <c r="AD1122" s="5"/>
      <c r="AE1122" s="5"/>
      <c r="AF1122" s="5"/>
      <c r="AG1122" s="5"/>
    </row>
    <row r="1123" spans="1:33" x14ac:dyDescent="0.2">
      <c r="A1123" s="169">
        <v>31</v>
      </c>
      <c r="B1123" s="100" t="str">
        <f t="shared" si="558"/>
        <v>Retired</v>
      </c>
      <c r="C1123" s="170">
        <f t="shared" si="559"/>
        <v>0</v>
      </c>
      <c r="D1123" s="170">
        <f t="shared" si="560"/>
        <v>0</v>
      </c>
      <c r="E1123" s="170">
        <f t="shared" si="561"/>
        <v>0</v>
      </c>
      <c r="F1123" s="170">
        <f t="shared" si="562"/>
        <v>0</v>
      </c>
      <c r="G1123" s="171">
        <f t="shared" si="563"/>
        <v>0</v>
      </c>
      <c r="H1123" s="171">
        <f t="shared" si="564"/>
        <v>167617.74976169917</v>
      </c>
      <c r="I1123" s="171">
        <f>IF(B1123="Working",MIN(MAX(D1123-E1123-F1123-G1123-H1123,0),'Tax Assumptions'!$B$20),0)</f>
        <v>0</v>
      </c>
      <c r="J1123" s="171">
        <f t="shared" si="565"/>
        <v>-427617.74976169917</v>
      </c>
      <c r="K1123" s="170">
        <f t="shared" si="566"/>
        <v>427617.74976169917</v>
      </c>
      <c r="L1123" s="170">
        <f t="shared" si="567"/>
        <v>427617.74976169917</v>
      </c>
      <c r="M1123" s="170">
        <f t="shared" si="573"/>
        <v>427617.74976169917</v>
      </c>
      <c r="N1123" s="170">
        <f t="shared" si="574"/>
        <v>0</v>
      </c>
      <c r="O1123" s="170">
        <f t="shared" si="575"/>
        <v>0</v>
      </c>
      <c r="P1123" s="170">
        <f t="shared" si="576"/>
        <v>0</v>
      </c>
      <c r="Q1123" s="171">
        <f t="shared" si="577"/>
        <v>571631.10242686421</v>
      </c>
      <c r="R1123" s="171">
        <f t="shared" si="578"/>
        <v>1097819.2924531603</v>
      </c>
      <c r="S1123" s="171">
        <f t="shared" si="579"/>
        <v>336067.13034280413</v>
      </c>
      <c r="T1123" s="171">
        <f t="shared" si="580"/>
        <v>0</v>
      </c>
      <c r="U1123" s="171">
        <f t="shared" si="568"/>
        <v>2005517.5252228286</v>
      </c>
      <c r="V1123" s="171">
        <f t="shared" si="581"/>
        <v>0</v>
      </c>
      <c r="W1123" s="171">
        <f>IF(OR(A1123&gt;=$C$13,B1123="Retired"),IF(V1123&gt;0,-V1123,U1123-'Model Inputs'!$B$18),"")</f>
        <v>1005517.5252228286</v>
      </c>
      <c r="X1123" s="171">
        <f t="shared" si="569"/>
        <v>3773078.2124644145</v>
      </c>
      <c r="Y1123" s="171">
        <f t="shared" si="570"/>
        <v>526722.93720481312</v>
      </c>
      <c r="Z1123" s="171">
        <f t="shared" si="571"/>
        <v>3246355.2752596014</v>
      </c>
      <c r="AA1123" s="172">
        <f t="shared" si="572"/>
        <v>5251872.8004824296</v>
      </c>
      <c r="AB1123" s="5"/>
      <c r="AC1123" s="5"/>
      <c r="AD1123" s="5"/>
      <c r="AE1123" s="5"/>
      <c r="AF1123" s="5"/>
      <c r="AG1123" s="5"/>
    </row>
    <row r="1124" spans="1:33" x14ac:dyDescent="0.2">
      <c r="A1124" s="173">
        <v>32</v>
      </c>
      <c r="B1124" s="65" t="str">
        <f t="shared" si="558"/>
        <v>Retired</v>
      </c>
      <c r="C1124" s="174">
        <f t="shared" si="559"/>
        <v>0</v>
      </c>
      <c r="D1124" s="174">
        <f t="shared" si="560"/>
        <v>0</v>
      </c>
      <c r="E1124" s="174">
        <f t="shared" si="561"/>
        <v>0</v>
      </c>
      <c r="F1124" s="174">
        <f t="shared" si="562"/>
        <v>0</v>
      </c>
      <c r="G1124" s="171">
        <f t="shared" si="563"/>
        <v>0</v>
      </c>
      <c r="H1124" s="171">
        <f t="shared" si="564"/>
        <v>170107.9813819257</v>
      </c>
      <c r="I1124" s="171">
        <f>IF(B1124="Working",MIN(MAX(D1124-E1124-F1124-G1124-H1124,0),'Tax Assumptions'!$B$20),0)</f>
        <v>0</v>
      </c>
      <c r="J1124" s="171">
        <f t="shared" si="565"/>
        <v>-430107.9813819257</v>
      </c>
      <c r="K1124" s="174">
        <f t="shared" si="566"/>
        <v>430107.9813819257</v>
      </c>
      <c r="L1124" s="174">
        <f t="shared" si="567"/>
        <v>430107.9813819257</v>
      </c>
      <c r="M1124" s="174">
        <f t="shared" si="573"/>
        <v>430107.9813819257</v>
      </c>
      <c r="N1124" s="174">
        <f t="shared" si="574"/>
        <v>0</v>
      </c>
      <c r="O1124" s="174">
        <f t="shared" si="575"/>
        <v>0</v>
      </c>
      <c r="P1124" s="174">
        <f t="shared" si="576"/>
        <v>0</v>
      </c>
      <c r="Q1124" s="171">
        <f t="shared" si="577"/>
        <v>175820.98719055037</v>
      </c>
      <c r="R1124" s="171">
        <f t="shared" si="578"/>
        <v>1163688.4500003499</v>
      </c>
      <c r="S1124" s="171">
        <f t="shared" si="579"/>
        <v>356231.15816337237</v>
      </c>
      <c r="T1124" s="171">
        <f t="shared" si="580"/>
        <v>0</v>
      </c>
      <c r="U1124" s="171">
        <f t="shared" si="568"/>
        <v>1695740.5953542728</v>
      </c>
      <c r="V1124" s="171">
        <f t="shared" si="581"/>
        <v>0</v>
      </c>
      <c r="W1124" s="171">
        <f>IF(OR(A1124&gt;=$C$13,B1124="Retired"),IF(V1124&gt;0,-V1124,U1124-'Model Inputs'!$B$18),"")</f>
        <v>695740.59535427275</v>
      </c>
      <c r="X1124" s="171">
        <f t="shared" si="569"/>
        <v>3886270.5588383474</v>
      </c>
      <c r="Y1124" s="171">
        <f t="shared" si="570"/>
        <v>474821.77324813511</v>
      </c>
      <c r="Z1124" s="171">
        <f t="shared" si="571"/>
        <v>3411448.7855902123</v>
      </c>
      <c r="AA1124" s="175">
        <f t="shared" si="572"/>
        <v>5107189.3809444848</v>
      </c>
      <c r="AB1124" s="5"/>
      <c r="AC1124" s="5"/>
      <c r="AD1124" s="5"/>
      <c r="AE1124" s="5"/>
      <c r="AF1124" s="5"/>
      <c r="AG1124" s="5"/>
    </row>
    <row r="1125" spans="1:33" x14ac:dyDescent="0.2">
      <c r="A1125" s="169">
        <v>33</v>
      </c>
      <c r="B1125" s="100" t="str">
        <f t="shared" si="558"/>
        <v>Retired</v>
      </c>
      <c r="C1125" s="170">
        <f t="shared" si="559"/>
        <v>0</v>
      </c>
      <c r="D1125" s="170">
        <f t="shared" si="560"/>
        <v>0</v>
      </c>
      <c r="E1125" s="170">
        <f t="shared" si="561"/>
        <v>0</v>
      </c>
      <c r="F1125" s="170">
        <f t="shared" si="562"/>
        <v>0</v>
      </c>
      <c r="G1125" s="171">
        <f t="shared" si="563"/>
        <v>0</v>
      </c>
      <c r="H1125" s="171">
        <f t="shared" si="564"/>
        <v>172672.91995075901</v>
      </c>
      <c r="I1125" s="171">
        <f>IF(B1125="Working",MIN(MAX(D1125-E1125-F1125-G1125-H1125,0),'Tax Assumptions'!$B$20),0)</f>
        <v>0</v>
      </c>
      <c r="J1125" s="171">
        <f t="shared" si="565"/>
        <v>-432672.91995075904</v>
      </c>
      <c r="K1125" s="170">
        <f t="shared" si="566"/>
        <v>432672.91995075904</v>
      </c>
      <c r="L1125" s="170">
        <f t="shared" si="567"/>
        <v>432672.91995075904</v>
      </c>
      <c r="M1125" s="170">
        <f t="shared" si="573"/>
        <v>186370.24642198341</v>
      </c>
      <c r="N1125" s="170">
        <f t="shared" si="574"/>
        <v>246302.67352877563</v>
      </c>
      <c r="O1125" s="170">
        <f t="shared" si="575"/>
        <v>0</v>
      </c>
      <c r="P1125" s="170">
        <f t="shared" si="576"/>
        <v>0</v>
      </c>
      <c r="Q1125" s="171">
        <f t="shared" si="577"/>
        <v>0</v>
      </c>
      <c r="R1125" s="171">
        <f t="shared" si="578"/>
        <v>987207.08347159531</v>
      </c>
      <c r="S1125" s="171">
        <f t="shared" si="579"/>
        <v>377605.02765317471</v>
      </c>
      <c r="T1125" s="171">
        <f t="shared" si="580"/>
        <v>0</v>
      </c>
      <c r="U1125" s="171">
        <f t="shared" si="568"/>
        <v>1364812.11112477</v>
      </c>
      <c r="V1125" s="171">
        <f t="shared" si="581"/>
        <v>0</v>
      </c>
      <c r="W1125" s="171">
        <f>IF(OR(A1125&gt;=$C$13,B1125="Retired"),IF(V1125&gt;0,-V1125,U1125-'Model Inputs'!$B$18),"")</f>
        <v>364812.11112477002</v>
      </c>
      <c r="X1125" s="171">
        <f t="shared" si="569"/>
        <v>4002858.6756034982</v>
      </c>
      <c r="Y1125" s="171">
        <f t="shared" si="570"/>
        <v>419444.69222019147</v>
      </c>
      <c r="Z1125" s="171">
        <f t="shared" si="571"/>
        <v>3583413.9833833068</v>
      </c>
      <c r="AA1125" s="172">
        <f t="shared" si="572"/>
        <v>4948226.094508077</v>
      </c>
      <c r="AB1125" s="5"/>
      <c r="AC1125" s="5"/>
      <c r="AD1125" s="5"/>
      <c r="AE1125" s="5"/>
      <c r="AF1125" s="5"/>
      <c r="AG1125" s="5"/>
    </row>
    <row r="1126" spans="1:33" x14ac:dyDescent="0.2">
      <c r="A1126" s="173">
        <v>34</v>
      </c>
      <c r="B1126" s="65" t="str">
        <f t="shared" si="558"/>
        <v>Retired</v>
      </c>
      <c r="C1126" s="174">
        <f t="shared" si="559"/>
        <v>0</v>
      </c>
      <c r="D1126" s="174">
        <f t="shared" si="560"/>
        <v>0</v>
      </c>
      <c r="E1126" s="174">
        <f t="shared" si="561"/>
        <v>0</v>
      </c>
      <c r="F1126" s="174">
        <f t="shared" si="562"/>
        <v>0</v>
      </c>
      <c r="G1126" s="171">
        <f t="shared" si="563"/>
        <v>0</v>
      </c>
      <c r="H1126" s="171">
        <f t="shared" si="564"/>
        <v>175314.80667665729</v>
      </c>
      <c r="I1126" s="171">
        <f>IF(B1126="Working",MIN(MAX(D1126-E1126-F1126-G1126-H1126,0),'Tax Assumptions'!$B$20),0)</f>
        <v>0</v>
      </c>
      <c r="J1126" s="171">
        <f t="shared" si="565"/>
        <v>-435314.80667665729</v>
      </c>
      <c r="K1126" s="174">
        <f t="shared" si="566"/>
        <v>435314.80667665729</v>
      </c>
      <c r="L1126" s="174">
        <f t="shared" si="567"/>
        <v>435314.80667665729</v>
      </c>
      <c r="M1126" s="174">
        <f t="shared" si="573"/>
        <v>0</v>
      </c>
      <c r="N1126" s="174">
        <f t="shared" si="574"/>
        <v>435314.80667665729</v>
      </c>
      <c r="O1126" s="174">
        <f t="shared" si="575"/>
        <v>0</v>
      </c>
      <c r="P1126" s="174">
        <f t="shared" si="576"/>
        <v>0</v>
      </c>
      <c r="Q1126" s="171">
        <f t="shared" si="577"/>
        <v>0</v>
      </c>
      <c r="R1126" s="171">
        <f t="shared" si="578"/>
        <v>611124.70180323382</v>
      </c>
      <c r="S1126" s="171">
        <f t="shared" si="579"/>
        <v>400261.32931236521</v>
      </c>
      <c r="T1126" s="171">
        <f t="shared" si="580"/>
        <v>0</v>
      </c>
      <c r="U1126" s="171">
        <f t="shared" si="568"/>
        <v>1011386.031115599</v>
      </c>
      <c r="V1126" s="171">
        <f t="shared" si="581"/>
        <v>0</v>
      </c>
      <c r="W1126" s="171">
        <f>IF(OR(A1126&gt;=$C$13,B1126="Retired"),IF(V1126&gt;0,-V1126,U1126-'Model Inputs'!$B$18),"")</f>
        <v>11386.031115598977</v>
      </c>
      <c r="X1126" s="171">
        <f t="shared" si="569"/>
        <v>4122944.4358716025</v>
      </c>
      <c r="Y1126" s="171">
        <f t="shared" si="570"/>
        <v>360358.90551731084</v>
      </c>
      <c r="Z1126" s="171">
        <f t="shared" si="571"/>
        <v>3762585.5303542917</v>
      </c>
      <c r="AA1126" s="175">
        <f t="shared" si="572"/>
        <v>4773971.5614698902</v>
      </c>
      <c r="AB1126" s="5"/>
      <c r="AC1126" s="5"/>
      <c r="AD1126" s="5"/>
      <c r="AE1126" s="5"/>
      <c r="AF1126" s="5"/>
      <c r="AG1126" s="5"/>
    </row>
    <row r="1127" spans="1:33" x14ac:dyDescent="0.2">
      <c r="A1127" s="169">
        <v>35</v>
      </c>
      <c r="B1127" s="100" t="str">
        <f t="shared" si="558"/>
        <v>Retired</v>
      </c>
      <c r="C1127" s="170">
        <f t="shared" si="559"/>
        <v>0</v>
      </c>
      <c r="D1127" s="170">
        <f t="shared" si="560"/>
        <v>0</v>
      </c>
      <c r="E1127" s="170">
        <f t="shared" si="561"/>
        <v>0</v>
      </c>
      <c r="F1127" s="170">
        <f t="shared" si="562"/>
        <v>0</v>
      </c>
      <c r="G1127" s="171">
        <f t="shared" si="563"/>
        <v>0</v>
      </c>
      <c r="H1127" s="171">
        <f t="shared" si="564"/>
        <v>178035.95000433255</v>
      </c>
      <c r="I1127" s="171">
        <f>IF(B1127="Working",MIN(MAX(D1127-E1127-F1127-G1127-H1127,0),'Tax Assumptions'!$B$20),0)</f>
        <v>0</v>
      </c>
      <c r="J1127" s="171">
        <f t="shared" si="565"/>
        <v>-438035.95000433258</v>
      </c>
      <c r="K1127" s="170">
        <f t="shared" si="566"/>
        <v>438035.95000433258</v>
      </c>
      <c r="L1127" s="170">
        <f t="shared" si="567"/>
        <v>438035.95000433258</v>
      </c>
      <c r="M1127" s="170">
        <f t="shared" si="573"/>
        <v>0</v>
      </c>
      <c r="N1127" s="170">
        <f t="shared" si="574"/>
        <v>438035.95000433258</v>
      </c>
      <c r="O1127" s="170">
        <f t="shared" si="575"/>
        <v>0</v>
      </c>
      <c r="P1127" s="170">
        <f t="shared" si="576"/>
        <v>0</v>
      </c>
      <c r="Q1127" s="171">
        <f t="shared" si="577"/>
        <v>0</v>
      </c>
      <c r="R1127" s="171">
        <f t="shared" si="578"/>
        <v>209756.23390709527</v>
      </c>
      <c r="S1127" s="171">
        <f t="shared" si="579"/>
        <v>424277.00907110714</v>
      </c>
      <c r="T1127" s="171">
        <f t="shared" si="580"/>
        <v>0</v>
      </c>
      <c r="U1127" s="171">
        <f t="shared" si="568"/>
        <v>634033.24297820241</v>
      </c>
      <c r="V1127" s="171">
        <f t="shared" si="581"/>
        <v>0</v>
      </c>
      <c r="W1127" s="171">
        <f>IF(OR(A1127&gt;=$C$13,B1127="Retired"),IF(V1127&gt;0,-V1127,U1127-'Model Inputs'!$B$18),"")</f>
        <v>-365966.75702179759</v>
      </c>
      <c r="X1127" s="171">
        <f t="shared" si="569"/>
        <v>4246632.7689477503</v>
      </c>
      <c r="Y1127" s="171">
        <f t="shared" si="570"/>
        <v>297316.03425191063</v>
      </c>
      <c r="Z1127" s="171">
        <f t="shared" si="571"/>
        <v>3949316.7346958397</v>
      </c>
      <c r="AA1127" s="172">
        <f t="shared" si="572"/>
        <v>4583349.9776740419</v>
      </c>
      <c r="AB1127" s="5"/>
      <c r="AC1127" s="5"/>
      <c r="AD1127" s="5"/>
      <c r="AE1127" s="5"/>
      <c r="AF1127" s="5"/>
      <c r="AG1127" s="5"/>
    </row>
    <row r="1128" spans="1:33" x14ac:dyDescent="0.2">
      <c r="A1128" s="173">
        <v>36</v>
      </c>
      <c r="B1128" s="65" t="str">
        <f t="shared" si="558"/>
        <v>Retired</v>
      </c>
      <c r="C1128" s="174">
        <f t="shared" si="559"/>
        <v>0</v>
      </c>
      <c r="D1128" s="174">
        <f t="shared" si="560"/>
        <v>0</v>
      </c>
      <c r="E1128" s="174">
        <f t="shared" si="561"/>
        <v>0</v>
      </c>
      <c r="F1128" s="174">
        <f t="shared" si="562"/>
        <v>0</v>
      </c>
      <c r="G1128" s="171">
        <f t="shared" si="563"/>
        <v>0</v>
      </c>
      <c r="H1128" s="171">
        <f t="shared" si="564"/>
        <v>180838.72763183809</v>
      </c>
      <c r="I1128" s="171">
        <f>IF(B1128="Working",MIN(MAX(D1128-E1128-F1128-G1128-H1128,0),'Tax Assumptions'!$B$20),0)</f>
        <v>0</v>
      </c>
      <c r="J1128" s="171">
        <f t="shared" si="565"/>
        <v>-440838.72763183806</v>
      </c>
      <c r="K1128" s="174">
        <f t="shared" si="566"/>
        <v>440838.72763183806</v>
      </c>
      <c r="L1128" s="174">
        <f t="shared" si="567"/>
        <v>440838.72763183806</v>
      </c>
      <c r="M1128" s="174">
        <f t="shared" si="573"/>
        <v>0</v>
      </c>
      <c r="N1128" s="174">
        <f t="shared" si="574"/>
        <v>222341.60794152101</v>
      </c>
      <c r="O1128" s="174">
        <f t="shared" si="575"/>
        <v>218497.11969031705</v>
      </c>
      <c r="P1128" s="174">
        <f t="shared" si="576"/>
        <v>0</v>
      </c>
      <c r="Q1128" s="171">
        <f t="shared" si="577"/>
        <v>0</v>
      </c>
      <c r="R1128" s="171">
        <f t="shared" si="578"/>
        <v>0</v>
      </c>
      <c r="S1128" s="171">
        <f t="shared" si="579"/>
        <v>231236.50992505657</v>
      </c>
      <c r="T1128" s="171">
        <f t="shared" si="580"/>
        <v>0</v>
      </c>
      <c r="U1128" s="171">
        <f t="shared" si="568"/>
        <v>231236.50992505657</v>
      </c>
      <c r="V1128" s="171">
        <f t="shared" si="581"/>
        <v>0</v>
      </c>
      <c r="W1128" s="171">
        <f>IF(OR(A1128&gt;=$C$13,B1128="Retired"),IF(V1128&gt;0,-V1128,U1128-'Model Inputs'!$B$18),"")</f>
        <v>-768763.4900749434</v>
      </c>
      <c r="X1128" s="171">
        <f t="shared" si="569"/>
        <v>4374031.7520161839</v>
      </c>
      <c r="Y1128" s="171">
        <f t="shared" si="570"/>
        <v>230051.06514230929</v>
      </c>
      <c r="Z1128" s="171">
        <f t="shared" si="571"/>
        <v>4143980.6868738746</v>
      </c>
      <c r="AA1128" s="175">
        <f t="shared" si="572"/>
        <v>4375217.1967989309</v>
      </c>
      <c r="AB1128" s="5"/>
      <c r="AC1128" s="5"/>
      <c r="AD1128" s="5"/>
      <c r="AE1128" s="5"/>
      <c r="AF1128" s="5"/>
      <c r="AG1128" s="5"/>
    </row>
    <row r="1129" spans="1:33" x14ac:dyDescent="0.2">
      <c r="A1129" s="169">
        <v>37</v>
      </c>
      <c r="B1129" s="100" t="str">
        <f t="shared" si="558"/>
        <v>Retired</v>
      </c>
      <c r="C1129" s="170">
        <f t="shared" si="559"/>
        <v>0</v>
      </c>
      <c r="D1129" s="170">
        <f t="shared" si="560"/>
        <v>0</v>
      </c>
      <c r="E1129" s="170">
        <f t="shared" si="561"/>
        <v>0</v>
      </c>
      <c r="F1129" s="170">
        <f t="shared" si="562"/>
        <v>0</v>
      </c>
      <c r="G1129" s="171">
        <f t="shared" si="563"/>
        <v>0</v>
      </c>
      <c r="H1129" s="171">
        <f t="shared" si="564"/>
        <v>183725.58858816873</v>
      </c>
      <c r="I1129" s="171">
        <f>IF(B1129="Working",MIN(MAX(D1129-E1129-F1129-G1129-H1129,0),'Tax Assumptions'!$B$20),0)</f>
        <v>0</v>
      </c>
      <c r="J1129" s="171">
        <f t="shared" si="565"/>
        <v>-245110.70052055997</v>
      </c>
      <c r="K1129" s="170">
        <f t="shared" si="566"/>
        <v>443725.58858816873</v>
      </c>
      <c r="L1129" s="170">
        <f t="shared" si="567"/>
        <v>245110.70052055997</v>
      </c>
      <c r="M1129" s="170">
        <f t="shared" si="573"/>
        <v>0</v>
      </c>
      <c r="N1129" s="170">
        <f t="shared" si="574"/>
        <v>0</v>
      </c>
      <c r="O1129" s="170">
        <f t="shared" si="575"/>
        <v>245110.70052055997</v>
      </c>
      <c r="P1129" s="170">
        <f t="shared" si="576"/>
        <v>0</v>
      </c>
      <c r="Q1129" s="171">
        <f t="shared" si="577"/>
        <v>0</v>
      </c>
      <c r="R1129" s="171">
        <f t="shared" si="578"/>
        <v>0</v>
      </c>
      <c r="S1129" s="171">
        <f t="shared" si="579"/>
        <v>0</v>
      </c>
      <c r="T1129" s="171">
        <f t="shared" si="580"/>
        <v>0</v>
      </c>
      <c r="U1129" s="171">
        <f t="shared" si="568"/>
        <v>0</v>
      </c>
      <c r="V1129" s="171">
        <f t="shared" si="581"/>
        <v>198614.88806760876</v>
      </c>
      <c r="W1129" s="171">
        <f>IF(OR(A1129&gt;=$C$13,B1129="Retired"),IF(V1129&gt;0,-V1129,U1129-'Model Inputs'!$B$18),"")</f>
        <v>-198614.88806760876</v>
      </c>
      <c r="X1129" s="171">
        <f t="shared" si="569"/>
        <v>4505252.7045766683</v>
      </c>
      <c r="Y1129" s="171">
        <f t="shared" si="570"/>
        <v>158281.23647654522</v>
      </c>
      <c r="Z1129" s="171">
        <f t="shared" si="571"/>
        <v>4346971.4681001231</v>
      </c>
      <c r="AA1129" s="172">
        <f t="shared" si="572"/>
        <v>4346971.4681001231</v>
      </c>
      <c r="AB1129" s="5"/>
      <c r="AC1129" s="5"/>
      <c r="AD1129" s="5"/>
      <c r="AE1129" s="5"/>
      <c r="AF1129" s="5"/>
      <c r="AG1129" s="5"/>
    </row>
    <row r="1130" spans="1:33" x14ac:dyDescent="0.2">
      <c r="A1130" s="173">
        <v>38</v>
      </c>
      <c r="B1130" s="65" t="str">
        <f t="shared" si="558"/>
        <v>Retired</v>
      </c>
      <c r="C1130" s="174">
        <f t="shared" si="559"/>
        <v>0</v>
      </c>
      <c r="D1130" s="174">
        <f t="shared" si="560"/>
        <v>0</v>
      </c>
      <c r="E1130" s="174">
        <f t="shared" si="561"/>
        <v>0</v>
      </c>
      <c r="F1130" s="174">
        <f t="shared" si="562"/>
        <v>0</v>
      </c>
      <c r="G1130" s="171">
        <f t="shared" si="563"/>
        <v>0</v>
      </c>
      <c r="H1130" s="171">
        <f t="shared" si="564"/>
        <v>186699.05537318936</v>
      </c>
      <c r="I1130" s="171">
        <f>IF(B1130="Working",MIN(MAX(D1130-E1130-F1130-G1130-H1130,0),'Tax Assumptions'!$B$20),0)</f>
        <v>0</v>
      </c>
      <c r="J1130" s="171">
        <f t="shared" si="565"/>
        <v>0</v>
      </c>
      <c r="K1130" s="174">
        <f t="shared" si="566"/>
        <v>446699.05537318939</v>
      </c>
      <c r="L1130" s="174">
        <f t="shared" si="567"/>
        <v>0</v>
      </c>
      <c r="M1130" s="174">
        <f t="shared" si="573"/>
        <v>0</v>
      </c>
      <c r="N1130" s="174">
        <f t="shared" si="574"/>
        <v>0</v>
      </c>
      <c r="O1130" s="174">
        <f t="shared" si="575"/>
        <v>0</v>
      </c>
      <c r="P1130" s="174">
        <f t="shared" si="576"/>
        <v>0</v>
      </c>
      <c r="Q1130" s="171">
        <f t="shared" si="577"/>
        <v>0</v>
      </c>
      <c r="R1130" s="171">
        <f t="shared" si="578"/>
        <v>0</v>
      </c>
      <c r="S1130" s="171">
        <f t="shared" si="579"/>
        <v>0</v>
      </c>
      <c r="T1130" s="171">
        <f t="shared" si="580"/>
        <v>0</v>
      </c>
      <c r="U1130" s="171">
        <f t="shared" si="568"/>
        <v>0</v>
      </c>
      <c r="V1130" s="171">
        <f t="shared" si="581"/>
        <v>446699.05537318939</v>
      </c>
      <c r="W1130" s="171">
        <f>IF(OR(A1130&gt;=$C$13,B1130="Retired"),IF(V1130&gt;0,-V1130,U1130-'Model Inputs'!$B$18),"")</f>
        <v>-446699.05537318939</v>
      </c>
      <c r="X1130" s="171">
        <f t="shared" si="569"/>
        <v>4640410.2857139688</v>
      </c>
      <c r="Y1130" s="171">
        <f t="shared" si="570"/>
        <v>81704.849467127584</v>
      </c>
      <c r="Z1130" s="171">
        <f t="shared" si="571"/>
        <v>4558705.4362468412</v>
      </c>
      <c r="AA1130" s="175">
        <f t="shared" si="572"/>
        <v>4558705.4362468412</v>
      </c>
      <c r="AB1130" s="5"/>
      <c r="AC1130" s="5"/>
      <c r="AD1130" s="5"/>
      <c r="AE1130" s="5"/>
      <c r="AF1130" s="5"/>
      <c r="AG1130" s="5"/>
    </row>
    <row r="1131" spans="1:33" x14ac:dyDescent="0.2">
      <c r="A1131" s="169">
        <v>39</v>
      </c>
      <c r="B1131" s="100" t="str">
        <f t="shared" si="558"/>
        <v>Retired</v>
      </c>
      <c r="C1131" s="170">
        <f t="shared" si="559"/>
        <v>0</v>
      </c>
      <c r="D1131" s="170">
        <f t="shared" si="560"/>
        <v>0</v>
      </c>
      <c r="E1131" s="170">
        <f t="shared" si="561"/>
        <v>0</v>
      </c>
      <c r="F1131" s="170">
        <f t="shared" si="562"/>
        <v>0</v>
      </c>
      <c r="G1131" s="171">
        <f t="shared" si="563"/>
        <v>0</v>
      </c>
      <c r="H1131" s="171">
        <f t="shared" si="564"/>
        <v>189761.72616176057</v>
      </c>
      <c r="I1131" s="171">
        <f>IF(B1131="Working",MIN(MAX(D1131-E1131-F1131-G1131-H1131,0),'Tax Assumptions'!$B$20),0)</f>
        <v>0</v>
      </c>
      <c r="J1131" s="171">
        <f t="shared" si="565"/>
        <v>0</v>
      </c>
      <c r="K1131" s="170">
        <f t="shared" si="566"/>
        <v>449761.72616176057</v>
      </c>
      <c r="L1131" s="170">
        <f t="shared" si="567"/>
        <v>0</v>
      </c>
      <c r="M1131" s="170">
        <f t="shared" si="573"/>
        <v>0</v>
      </c>
      <c r="N1131" s="170">
        <f t="shared" si="574"/>
        <v>0</v>
      </c>
      <c r="O1131" s="170">
        <f t="shared" si="575"/>
        <v>0</v>
      </c>
      <c r="P1131" s="170">
        <f t="shared" si="576"/>
        <v>0</v>
      </c>
      <c r="Q1131" s="171">
        <f t="shared" si="577"/>
        <v>0</v>
      </c>
      <c r="R1131" s="171">
        <f t="shared" si="578"/>
        <v>0</v>
      </c>
      <c r="S1131" s="171">
        <f t="shared" si="579"/>
        <v>0</v>
      </c>
      <c r="T1131" s="171">
        <f t="shared" si="580"/>
        <v>0</v>
      </c>
      <c r="U1131" s="171">
        <f t="shared" si="568"/>
        <v>0</v>
      </c>
      <c r="V1131" s="171">
        <f t="shared" si="581"/>
        <v>449761.72616176057</v>
      </c>
      <c r="W1131" s="171">
        <f>IF(OR(A1131&gt;=$C$13,B1131="Retired"),IF(V1131&gt;0,-V1131,U1131-'Model Inputs'!$B$18),"")</f>
        <v>-449761.72616176057</v>
      </c>
      <c r="X1131" s="171">
        <f t="shared" si="569"/>
        <v>4779622.5942853875</v>
      </c>
      <c r="Y1131" s="171">
        <f t="shared" si="570"/>
        <v>0</v>
      </c>
      <c r="Z1131" s="171">
        <f t="shared" si="571"/>
        <v>4779622.5942853875</v>
      </c>
      <c r="AA1131" s="172">
        <f t="shared" si="572"/>
        <v>4779622.5942853875</v>
      </c>
      <c r="AB1131" s="5"/>
      <c r="AC1131" s="5"/>
      <c r="AD1131" s="5"/>
      <c r="AE1131" s="5"/>
      <c r="AF1131" s="5"/>
      <c r="AG1131" s="5"/>
    </row>
    <row r="1132" spans="1:33" x14ac:dyDescent="0.2">
      <c r="A1132" s="173">
        <v>40</v>
      </c>
      <c r="B1132" s="65" t="str">
        <f t="shared" si="558"/>
        <v>Retired</v>
      </c>
      <c r="C1132" s="174">
        <f t="shared" si="559"/>
        <v>0</v>
      </c>
      <c r="D1132" s="174">
        <f t="shared" si="560"/>
        <v>0</v>
      </c>
      <c r="E1132" s="174">
        <f t="shared" si="561"/>
        <v>0</v>
      </c>
      <c r="F1132" s="174">
        <f t="shared" si="562"/>
        <v>0</v>
      </c>
      <c r="G1132" s="171">
        <f t="shared" si="563"/>
        <v>0</v>
      </c>
      <c r="H1132" s="171">
        <f t="shared" si="564"/>
        <v>108306.24798650687</v>
      </c>
      <c r="I1132" s="171">
        <f>IF(B1132="Working",MIN(MAX(D1132-E1132-F1132-G1132-H1132,0),'Tax Assumptions'!$B$20),0)</f>
        <v>0</v>
      </c>
      <c r="J1132" s="171">
        <f t="shared" si="565"/>
        <v>0</v>
      </c>
      <c r="K1132" s="174">
        <f t="shared" si="566"/>
        <v>368306.2479865069</v>
      </c>
      <c r="L1132" s="174">
        <f t="shared" si="567"/>
        <v>0</v>
      </c>
      <c r="M1132" s="174">
        <f t="shared" si="573"/>
        <v>0</v>
      </c>
      <c r="N1132" s="174">
        <f t="shared" si="574"/>
        <v>0</v>
      </c>
      <c r="O1132" s="174">
        <f t="shared" si="575"/>
        <v>0</v>
      </c>
      <c r="P1132" s="174">
        <f t="shared" si="576"/>
        <v>0</v>
      </c>
      <c r="Q1132" s="171">
        <f t="shared" si="577"/>
        <v>0</v>
      </c>
      <c r="R1132" s="171">
        <f t="shared" si="578"/>
        <v>0</v>
      </c>
      <c r="S1132" s="171">
        <f t="shared" si="579"/>
        <v>0</v>
      </c>
      <c r="T1132" s="171">
        <f t="shared" si="580"/>
        <v>0</v>
      </c>
      <c r="U1132" s="171">
        <f t="shared" si="568"/>
        <v>0</v>
      </c>
      <c r="V1132" s="171">
        <f t="shared" si="581"/>
        <v>368306.2479865069</v>
      </c>
      <c r="W1132" s="171">
        <f>IF(OR(A1132&gt;=$C$13,B1132="Retired"),IF(V1132&gt;0,-V1132,U1132-'Model Inputs'!$B$18),"")</f>
        <v>-368306.2479865069</v>
      </c>
      <c r="X1132" s="171">
        <f t="shared" si="569"/>
        <v>4923011.2721139491</v>
      </c>
      <c r="Y1132" s="171">
        <f t="shared" si="570"/>
        <v>0</v>
      </c>
      <c r="Z1132" s="171">
        <f t="shared" si="571"/>
        <v>4923011.2721139491</v>
      </c>
      <c r="AA1132" s="175">
        <f t="shared" si="572"/>
        <v>4923011.2721139491</v>
      </c>
      <c r="AB1132" s="5"/>
      <c r="AC1132" s="5"/>
      <c r="AD1132" s="5"/>
      <c r="AE1132" s="5"/>
      <c r="AF1132" s="5"/>
      <c r="AG1132" s="5"/>
    </row>
    <row r="1133" spans="1:33" x14ac:dyDescent="0.2">
      <c r="A1133" s="176" t="s">
        <v>369</v>
      </c>
      <c r="B1133" s="177"/>
      <c r="C1133" s="177"/>
      <c r="D1133" s="177"/>
      <c r="E1133" s="177"/>
      <c r="F1133" s="177"/>
      <c r="G1133" s="178">
        <f t="shared" ref="G1133:P1133" si="582">SUM(G1093:G1132)</f>
        <v>963402.34400279156</v>
      </c>
      <c r="H1133" s="178">
        <f t="shared" si="582"/>
        <v>4769457.3820516244</v>
      </c>
      <c r="I1133" s="178">
        <f t="shared" si="582"/>
        <v>75000</v>
      </c>
      <c r="J1133" s="178">
        <f t="shared" si="582"/>
        <v>-7221885.5684248284</v>
      </c>
      <c r="K1133" s="178">
        <f t="shared" si="582"/>
        <v>12440226.612820854</v>
      </c>
      <c r="L1133" s="178">
        <f t="shared" si="582"/>
        <v>10976844.695231788</v>
      </c>
      <c r="M1133" s="178">
        <f t="shared" si="582"/>
        <v>9171241.8368696254</v>
      </c>
      <c r="N1133" s="178">
        <f t="shared" si="582"/>
        <v>1341995.0381512868</v>
      </c>
      <c r="O1133" s="178">
        <f t="shared" si="582"/>
        <v>463607.82021087699</v>
      </c>
      <c r="P1133" s="178">
        <f t="shared" si="582"/>
        <v>0</v>
      </c>
      <c r="Q1133" s="178">
        <f>Q1132</f>
        <v>0</v>
      </c>
      <c r="R1133" s="178">
        <f>R1132</f>
        <v>0</v>
      </c>
      <c r="S1133" s="178">
        <f>S1132</f>
        <v>0</v>
      </c>
      <c r="T1133" s="178">
        <f>T1132</f>
        <v>0</v>
      </c>
      <c r="U1133" s="178">
        <f>U1132</f>
        <v>0</v>
      </c>
      <c r="V1133" s="178">
        <f>SUM(V1093:V1132)</f>
        <v>1463381.9175890656</v>
      </c>
      <c r="W1133" s="178">
        <f>MIN(W1093:W1132)</f>
        <v>-768763.4900749434</v>
      </c>
      <c r="X1133" s="178">
        <f>X1132</f>
        <v>4923011.2721139491</v>
      </c>
      <c r="Y1133" s="178">
        <f>Y1132</f>
        <v>0</v>
      </c>
      <c r="Z1133" s="178">
        <f>Z1132</f>
        <v>4923011.2721139491</v>
      </c>
      <c r="AA1133" s="179">
        <f>AA1132</f>
        <v>4923011.2721139491</v>
      </c>
      <c r="AB1133" s="5"/>
      <c r="AC1133" s="5"/>
      <c r="AD1133" s="5"/>
      <c r="AE1133" s="5"/>
      <c r="AF1133" s="5"/>
      <c r="AG1133" s="5"/>
    </row>
    <row r="1134" spans="1:33" x14ac:dyDescent="0.2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</row>
    <row r="1135" spans="1:33" x14ac:dyDescent="0.2">
      <c r="A1135" s="319" t="str">
        <f>J247&amp;" | House "&amp;TEXT($L$247,"$#,##0")&amp;" | Spend "&amp;TEXT($N$247,"$#,##0")</f>
        <v>Case 21 | House $2,366,251 | Spend $140,000</v>
      </c>
      <c r="B1135" s="288"/>
      <c r="C1135" s="288"/>
      <c r="D1135" s="288"/>
      <c r="E1135" s="288"/>
      <c r="F1135" s="288"/>
      <c r="G1135" s="288"/>
      <c r="H1135" s="288"/>
      <c r="I1135" s="288"/>
      <c r="J1135" s="288"/>
      <c r="K1135" s="288"/>
      <c r="L1135" s="288"/>
      <c r="M1135" s="288"/>
      <c r="N1135" s="288"/>
      <c r="O1135" s="288"/>
      <c r="P1135" s="288"/>
      <c r="Q1135" s="288"/>
      <c r="R1135" s="288"/>
      <c r="S1135" s="288"/>
      <c r="T1135" s="288"/>
      <c r="U1135" s="288"/>
      <c r="V1135" s="288"/>
      <c r="W1135" s="288"/>
      <c r="X1135" s="288"/>
      <c r="Y1135" s="288"/>
      <c r="Z1135" s="288"/>
      <c r="AA1135" s="289"/>
      <c r="AB1135" s="5"/>
      <c r="AC1135" s="5"/>
      <c r="AD1135" s="5"/>
      <c r="AE1135" s="5"/>
      <c r="AF1135" s="5"/>
      <c r="AG1135" s="5"/>
    </row>
    <row r="1136" spans="1:33" ht="34" customHeight="1" x14ac:dyDescent="0.2">
      <c r="A1136" s="167" t="s">
        <v>224</v>
      </c>
      <c r="B1136" s="112" t="s">
        <v>106</v>
      </c>
      <c r="C1136" s="112" t="s">
        <v>357</v>
      </c>
      <c r="D1136" s="112" t="s">
        <v>66</v>
      </c>
      <c r="E1136" s="112" t="s">
        <v>300</v>
      </c>
      <c r="F1136" s="112" t="s">
        <v>301</v>
      </c>
      <c r="G1136" s="112" t="s">
        <v>358</v>
      </c>
      <c r="H1136" s="112" t="s">
        <v>359</v>
      </c>
      <c r="I1136" s="112" t="s">
        <v>69</v>
      </c>
      <c r="J1136" s="112" t="s">
        <v>360</v>
      </c>
      <c r="K1136" s="112" t="s">
        <v>361</v>
      </c>
      <c r="L1136" s="112" t="s">
        <v>362</v>
      </c>
      <c r="M1136" s="112" t="s">
        <v>304</v>
      </c>
      <c r="N1136" s="112" t="s">
        <v>305</v>
      </c>
      <c r="O1136" s="112" t="s">
        <v>306</v>
      </c>
      <c r="P1136" s="112" t="s">
        <v>307</v>
      </c>
      <c r="Q1136" s="112" t="s">
        <v>363</v>
      </c>
      <c r="R1136" s="112" t="s">
        <v>364</v>
      </c>
      <c r="S1136" s="112" t="s">
        <v>365</v>
      </c>
      <c r="T1136" s="112" t="s">
        <v>366</v>
      </c>
      <c r="U1136" s="112" t="s">
        <v>308</v>
      </c>
      <c r="V1136" s="112" t="s">
        <v>309</v>
      </c>
      <c r="W1136" s="112" t="s">
        <v>367</v>
      </c>
      <c r="X1136" s="112" t="s">
        <v>311</v>
      </c>
      <c r="Y1136" s="112" t="s">
        <v>312</v>
      </c>
      <c r="Z1136" s="112" t="s">
        <v>313</v>
      </c>
      <c r="AA1136" s="168" t="s">
        <v>368</v>
      </c>
      <c r="AB1136" s="5"/>
      <c r="AC1136" s="5"/>
      <c r="AD1136" s="5"/>
      <c r="AE1136" s="5"/>
      <c r="AF1136" s="5"/>
      <c r="AG1136" s="5"/>
    </row>
    <row r="1137" spans="1:33" x14ac:dyDescent="0.2">
      <c r="A1137" s="169">
        <v>1</v>
      </c>
      <c r="B1137" s="100" t="str">
        <f t="shared" ref="B1137:B1176" si="583">B80</f>
        <v>Working</v>
      </c>
      <c r="C1137" s="170">
        <f t="shared" ref="C1137:C1176" si="584">D80</f>
        <v>550000</v>
      </c>
      <c r="D1137" s="170">
        <f t="shared" ref="D1137:D1176" si="585">I80</f>
        <v>302665.46999999997</v>
      </c>
      <c r="E1137" s="170">
        <f t="shared" ref="E1137:E1176" si="586">J80</f>
        <v>78000</v>
      </c>
      <c r="F1137" s="170">
        <f t="shared" ref="F1137:F1176" si="587">K80</f>
        <v>40000</v>
      </c>
      <c r="G1137" s="171">
        <f t="shared" ref="G1137:G1176" si="588">IF(AND($L$247&gt;0,A1137=$C$13),$L$247*($C$15+$C$18),0)+IF(AND($L$247&gt;0,A1137=$C$13),$C$24,0)</f>
        <v>0</v>
      </c>
      <c r="H1137" s="171">
        <f t="shared" ref="H1137:H1176" si="589">IF(OR($L$247&lt;=0,A1137&lt;$C$13),0,IF(AND($L$247&gt;0,$C$17&gt;0,A1137&gt;=$C$13,A1137&lt;($C$13+$C$17)),IF($C$17&lt;=0,0,IF($C$16=0,MAX($L$247*(1-$C$15),0)/$C$17,-PMT($C$16/12,$C$17*12,MAX($L$247*(1-$C$15),0))*12)),0)+X1137*($C$19+$C$20+$C$21)+$C$22+$C$23)</f>
        <v>0</v>
      </c>
      <c r="I1137" s="171">
        <f>IF(B1137="Working",MIN(MAX(D1137-E1137-F1137-G1137-H1137,0),'Tax Assumptions'!$B$20),0)</f>
        <v>7500</v>
      </c>
      <c r="J1137" s="171">
        <f t="shared" ref="J1137:J1176" si="590">IF(B1137="Working",D1137-E1137-F1137-I1137-G1137-H1137,-L1137)</f>
        <v>177165.46999999997</v>
      </c>
      <c r="K1137" s="170">
        <f t="shared" ref="K1137:K1176" si="591">IF(B1137="Retired",$N$247+G1137+H1137,0)</f>
        <v>0</v>
      </c>
      <c r="L1137" s="170">
        <f t="shared" ref="L1137:L1176" si="592">M1137+N1137+O1137+P1137</f>
        <v>0</v>
      </c>
      <c r="M1137" s="170">
        <f>IF(B1137="Retired",MIN((('Savings Projection'!$B$7)*(1+$C$10)+IF(B1137="Working",J1137,0)),K1137),0)</f>
        <v>0</v>
      </c>
      <c r="N1137" s="170">
        <f>IF(B1137="Retired",MIN(MAX(K1137-M1137,0),(('Savings Projection'!$B$8)*(1+$C$10)+IF(B1137="Working",E80,0))),0)</f>
        <v>0</v>
      </c>
      <c r="O1137" s="170">
        <f>IF(B1137="Retired",MIN(MAX(K1137-M1137-N1137,0),(('Savings Projection'!$B$9)*(1+$C$10)+IF(B1137="Working",I1137,0))),0)</f>
        <v>0</v>
      </c>
      <c r="P1137" s="170">
        <f>IF(B1137="Retired",MIN(MAX(K1137-M1137-N1137-O1137,0),(('Savings Projection'!$B$10)*(1+$C$10)+IF(B1137="Working",F80,0))),0)</f>
        <v>0</v>
      </c>
      <c r="Q1137" s="171">
        <f>MAX((('Savings Projection'!$B$7)*(1+$C$10)+IF(B1137="Working",J1137,0))-M1137,0)</f>
        <v>336165.47</v>
      </c>
      <c r="R1137" s="171">
        <f>MAX((('Savings Projection'!$B$8)*(1+$C$10)+IF(B1137="Working",E80,0))-N1137,0)</f>
        <v>24500</v>
      </c>
      <c r="S1137" s="171">
        <f>MAX((('Savings Projection'!$B$9)*(1+$C$10)+IF(B1137="Working",I1137,0))-O1137,0)</f>
        <v>7500</v>
      </c>
      <c r="T1137" s="171">
        <f>MAX((('Savings Projection'!$B$10)*(1+$C$10)+IF(B1137="Working",F80,0))-P1137,0)</f>
        <v>0</v>
      </c>
      <c r="U1137" s="171">
        <f t="shared" ref="U1137:U1176" si="593">Q1137+R1137+S1137+T1137</f>
        <v>368165.47</v>
      </c>
      <c r="V1137" s="171">
        <f>IF(B1137="Working",MAX(-((('Savings Projection'!$B$7)*(1+$C$10)+IF(B1137="Working",J1137,0))),0),MAX(K1137-L1137,0))</f>
        <v>0</v>
      </c>
      <c r="W1137" s="171" t="str">
        <f>IF(OR(A1137&gt;=$C$13,B1137="Retired"),IF(V1137&gt;0,-V1137,U1137-'Model Inputs'!$B$18),"")</f>
        <v/>
      </c>
      <c r="X1137" s="171">
        <f t="shared" ref="X1137:X1176" si="594">IF(AND($L$247&gt;0,A1137&gt;=$C$13),$L$247*(1+$C$25)^(A1137-$C$13),0)</f>
        <v>0</v>
      </c>
      <c r="Y1137" s="171">
        <f t="shared" ref="Y1137:Y1176" si="595">IF(OR($L$247&lt;=0,$C$17&lt;=0,A1137&lt;$C$13,MIN(MAX((A1137-$C$13+1)*12,0),$C$17*12)&gt;=$C$17*12),0,IF($C$16=0,MAX(MAX($L$247*(1-$C$15),0)-(IF($C$17&lt;=0,0,IF($C$16=0,MAX($L$247*(1-$C$15),0)/$C$17,-PMT($C$16/12,$C$17*12,MAX($L$247*(1-$C$15),0))*12))/12)*MIN(MAX((A1137-$C$13+1)*12,0),$C$17*12),0),MAX(MAX($L$247*(1-$C$15),0)*(1+$C$16/12)^MIN(MAX((A1137-$C$13+1)*12,0),$C$17*12)-(IF($C$17&lt;=0,0,IF($C$16=0,MAX($L$247*(1-$C$15),0)/$C$17,-PMT($C$16/12,$C$17*12,MAX($L$247*(1-$C$15),0))*12))/12)*(((1+$C$16/12)^MIN(MAX((A1137-$C$13+1)*12,0),$C$17*12)-1)/($C$16/12)),0)))</f>
        <v>0</v>
      </c>
      <c r="Z1137" s="171">
        <f t="shared" ref="Z1137:Z1176" si="596">MAX(X1137-Y1137,0)</f>
        <v>0</v>
      </c>
      <c r="AA1137" s="172">
        <f t="shared" ref="AA1137:AA1176" si="597">U1137+Z1137</f>
        <v>368165.47</v>
      </c>
      <c r="AB1137" s="5"/>
      <c r="AC1137" s="5"/>
      <c r="AD1137" s="5"/>
      <c r="AE1137" s="5"/>
      <c r="AF1137" s="5"/>
      <c r="AG1137" s="5"/>
    </row>
    <row r="1138" spans="1:33" x14ac:dyDescent="0.2">
      <c r="A1138" s="173">
        <v>2</v>
      </c>
      <c r="B1138" s="65" t="str">
        <f t="shared" si="583"/>
        <v>Working</v>
      </c>
      <c r="C1138" s="174">
        <f t="shared" si="584"/>
        <v>412500</v>
      </c>
      <c r="D1138" s="174">
        <f t="shared" si="585"/>
        <v>231269.97</v>
      </c>
      <c r="E1138" s="174">
        <f t="shared" si="586"/>
        <v>80340</v>
      </c>
      <c r="F1138" s="174">
        <f t="shared" si="587"/>
        <v>41200</v>
      </c>
      <c r="G1138" s="171">
        <f t="shared" si="588"/>
        <v>0</v>
      </c>
      <c r="H1138" s="171">
        <f t="shared" si="589"/>
        <v>0</v>
      </c>
      <c r="I1138" s="171">
        <f>IF(B1138="Working",MIN(MAX(D1138-E1138-F1138-G1138-H1138,0),'Tax Assumptions'!$B$20),0)</f>
        <v>7500</v>
      </c>
      <c r="J1138" s="171">
        <f t="shared" si="590"/>
        <v>102229.97</v>
      </c>
      <c r="K1138" s="174">
        <f t="shared" si="591"/>
        <v>0</v>
      </c>
      <c r="L1138" s="174">
        <f t="shared" si="592"/>
        <v>0</v>
      </c>
      <c r="M1138" s="174">
        <f t="shared" ref="M1138:M1176" si="598">IF(B1138="Retired",MIN(((Q1137)*(1+$C$10)+IF(B1138="Working",J1138,0)),K1138),0)</f>
        <v>0</v>
      </c>
      <c r="N1138" s="174">
        <f t="shared" ref="N1138:N1176" si="599">IF(B1138="Retired",MIN(MAX(K1138-M1138,0),((R1137)*(1+$C$10)+IF(B1138="Working",E81,0))),0)</f>
        <v>0</v>
      </c>
      <c r="O1138" s="174">
        <f t="shared" ref="O1138:O1176" si="600">IF(B1138="Retired",MIN(MAX(K1138-M1138-N1138,0),((S1137)*(1+$C$10)+IF(B1138="Working",I1138,0))),0)</f>
        <v>0</v>
      </c>
      <c r="P1138" s="174">
        <f t="shared" ref="P1138:P1176" si="601">IF(B1138="Retired",MIN(MAX(K1138-M1138-N1138-O1138,0),((T1137)*(1+$C$10)+IF(B1138="Working",F81,0))),0)</f>
        <v>0</v>
      </c>
      <c r="Q1138" s="171">
        <f t="shared" ref="Q1138:Q1176" si="602">MAX(((Q1137)*(1+$C$10)+IF(B1138="Working",J1138,0))-M1138,0)</f>
        <v>458565.36820000003</v>
      </c>
      <c r="R1138" s="171">
        <f t="shared" ref="R1138:R1176" si="603">MAX(((R1137)*(1+$C$10)+IF(B1138="Working",E81,0))-N1138,0)</f>
        <v>50470</v>
      </c>
      <c r="S1138" s="171">
        <f t="shared" ref="S1138:S1176" si="604">MAX(((S1137)*(1+$C$10)+IF(B1138="Working",I1138,0))-O1138,0)</f>
        <v>15450</v>
      </c>
      <c r="T1138" s="171">
        <f t="shared" ref="T1138:T1176" si="605">MAX(((T1137)*(1+$C$10)+IF(B1138="Working",F81,0))-P1138,0)</f>
        <v>0</v>
      </c>
      <c r="U1138" s="171">
        <f t="shared" si="593"/>
        <v>524485.36820000003</v>
      </c>
      <c r="V1138" s="171">
        <f t="shared" ref="V1138:V1176" si="606">IF(B1138="Working",MAX(-(((Q1137)*(1+$C$10)+IF(B1138="Working",J1138,0))),0),MAX(K1138-L1138,0))</f>
        <v>0</v>
      </c>
      <c r="W1138" s="171" t="str">
        <f>IF(OR(A1138&gt;=$C$13,B1138="Retired"),IF(V1138&gt;0,-V1138,U1138-'Model Inputs'!$B$18),"")</f>
        <v/>
      </c>
      <c r="X1138" s="171">
        <f t="shared" si="594"/>
        <v>0</v>
      </c>
      <c r="Y1138" s="171">
        <f t="shared" si="595"/>
        <v>0</v>
      </c>
      <c r="Z1138" s="171">
        <f t="shared" si="596"/>
        <v>0</v>
      </c>
      <c r="AA1138" s="175">
        <f t="shared" si="597"/>
        <v>524485.36820000003</v>
      </c>
      <c r="AB1138" s="5"/>
      <c r="AC1138" s="5"/>
      <c r="AD1138" s="5"/>
      <c r="AE1138" s="5"/>
      <c r="AF1138" s="5"/>
      <c r="AG1138" s="5"/>
    </row>
    <row r="1139" spans="1:33" x14ac:dyDescent="0.2">
      <c r="A1139" s="169">
        <v>3</v>
      </c>
      <c r="B1139" s="100" t="str">
        <f t="shared" si="583"/>
        <v>Working</v>
      </c>
      <c r="C1139" s="170">
        <f t="shared" si="584"/>
        <v>675000</v>
      </c>
      <c r="D1139" s="170">
        <f t="shared" si="585"/>
        <v>367570.47</v>
      </c>
      <c r="E1139" s="170">
        <f t="shared" si="586"/>
        <v>82750.2</v>
      </c>
      <c r="F1139" s="170">
        <f t="shared" si="587"/>
        <v>53045</v>
      </c>
      <c r="G1139" s="171">
        <f t="shared" si="588"/>
        <v>0</v>
      </c>
      <c r="H1139" s="171">
        <f t="shared" si="589"/>
        <v>0</v>
      </c>
      <c r="I1139" s="171">
        <f>IF(B1139="Working",MIN(MAX(D1139-E1139-F1139-G1139-H1139,0),'Tax Assumptions'!$B$20),0)</f>
        <v>7500</v>
      </c>
      <c r="J1139" s="171">
        <f t="shared" si="590"/>
        <v>224275.26999999996</v>
      </c>
      <c r="K1139" s="170">
        <f t="shared" si="591"/>
        <v>0</v>
      </c>
      <c r="L1139" s="170">
        <f t="shared" si="592"/>
        <v>0</v>
      </c>
      <c r="M1139" s="170">
        <f t="shared" si="598"/>
        <v>0</v>
      </c>
      <c r="N1139" s="170">
        <f t="shared" si="599"/>
        <v>0</v>
      </c>
      <c r="O1139" s="170">
        <f t="shared" si="600"/>
        <v>0</v>
      </c>
      <c r="P1139" s="170">
        <f t="shared" si="601"/>
        <v>0</v>
      </c>
      <c r="Q1139" s="171">
        <f t="shared" si="602"/>
        <v>710354.56029199995</v>
      </c>
      <c r="R1139" s="171">
        <f t="shared" si="603"/>
        <v>77998.200000000012</v>
      </c>
      <c r="S1139" s="171">
        <f t="shared" si="604"/>
        <v>23877</v>
      </c>
      <c r="T1139" s="171">
        <f t="shared" si="605"/>
        <v>0</v>
      </c>
      <c r="U1139" s="171">
        <f t="shared" si="593"/>
        <v>812229.7602919999</v>
      </c>
      <c r="V1139" s="171">
        <f t="shared" si="606"/>
        <v>0</v>
      </c>
      <c r="W1139" s="171" t="str">
        <f>IF(OR(A1139&gt;=$C$13,B1139="Retired"),IF(V1139&gt;0,-V1139,U1139-'Model Inputs'!$B$18),"")</f>
        <v/>
      </c>
      <c r="X1139" s="171">
        <f t="shared" si="594"/>
        <v>0</v>
      </c>
      <c r="Y1139" s="171">
        <f t="shared" si="595"/>
        <v>0</v>
      </c>
      <c r="Z1139" s="171">
        <f t="shared" si="596"/>
        <v>0</v>
      </c>
      <c r="AA1139" s="172">
        <f t="shared" si="597"/>
        <v>812229.7602919999</v>
      </c>
      <c r="AB1139" s="5"/>
      <c r="AC1139" s="5"/>
      <c r="AD1139" s="5"/>
      <c r="AE1139" s="5"/>
      <c r="AF1139" s="5"/>
      <c r="AG1139" s="5"/>
    </row>
    <row r="1140" spans="1:33" x14ac:dyDescent="0.2">
      <c r="A1140" s="173">
        <v>4</v>
      </c>
      <c r="B1140" s="65" t="str">
        <f t="shared" si="583"/>
        <v>Working</v>
      </c>
      <c r="C1140" s="174">
        <f t="shared" si="584"/>
        <v>750000</v>
      </c>
      <c r="D1140" s="174">
        <f t="shared" si="585"/>
        <v>405137.47</v>
      </c>
      <c r="E1140" s="174">
        <f t="shared" si="586"/>
        <v>85232.706000000006</v>
      </c>
      <c r="F1140" s="174">
        <f t="shared" si="587"/>
        <v>54636.35</v>
      </c>
      <c r="G1140" s="171">
        <f t="shared" si="588"/>
        <v>0</v>
      </c>
      <c r="H1140" s="171">
        <f t="shared" si="589"/>
        <v>0</v>
      </c>
      <c r="I1140" s="171">
        <f>IF(B1140="Working",MIN(MAX(D1140-E1140-F1140-G1140-H1140,0),'Tax Assumptions'!$B$20),0)</f>
        <v>7500</v>
      </c>
      <c r="J1140" s="171">
        <f t="shared" si="590"/>
        <v>257768.41399999999</v>
      </c>
      <c r="K1140" s="174">
        <f t="shared" si="591"/>
        <v>0</v>
      </c>
      <c r="L1140" s="174">
        <f t="shared" si="592"/>
        <v>0</v>
      </c>
      <c r="M1140" s="174">
        <f t="shared" si="598"/>
        <v>0</v>
      </c>
      <c r="N1140" s="174">
        <f t="shared" si="599"/>
        <v>0</v>
      </c>
      <c r="O1140" s="174">
        <f t="shared" si="600"/>
        <v>0</v>
      </c>
      <c r="P1140" s="174">
        <f t="shared" si="601"/>
        <v>0</v>
      </c>
      <c r="Q1140" s="171">
        <f t="shared" si="602"/>
        <v>1010744.2479095199</v>
      </c>
      <c r="R1140" s="171">
        <f t="shared" si="603"/>
        <v>107178.09200000002</v>
      </c>
      <c r="S1140" s="171">
        <f t="shared" si="604"/>
        <v>32809.620000000003</v>
      </c>
      <c r="T1140" s="171">
        <f t="shared" si="605"/>
        <v>0</v>
      </c>
      <c r="U1140" s="171">
        <f t="shared" si="593"/>
        <v>1150731.9599095201</v>
      </c>
      <c r="V1140" s="171">
        <f t="shared" si="606"/>
        <v>0</v>
      </c>
      <c r="W1140" s="171" t="str">
        <f>IF(OR(A1140&gt;=$C$13,B1140="Retired"),IF(V1140&gt;0,-V1140,U1140-'Model Inputs'!$B$18),"")</f>
        <v/>
      </c>
      <c r="X1140" s="171">
        <f t="shared" si="594"/>
        <v>0</v>
      </c>
      <c r="Y1140" s="171">
        <f t="shared" si="595"/>
        <v>0</v>
      </c>
      <c r="Z1140" s="171">
        <f t="shared" si="596"/>
        <v>0</v>
      </c>
      <c r="AA1140" s="175">
        <f t="shared" si="597"/>
        <v>1150731.9599095201</v>
      </c>
      <c r="AB1140" s="5"/>
      <c r="AC1140" s="5"/>
      <c r="AD1140" s="5"/>
      <c r="AE1140" s="5"/>
      <c r="AF1140" s="5"/>
      <c r="AG1140" s="5"/>
    </row>
    <row r="1141" spans="1:33" x14ac:dyDescent="0.2">
      <c r="A1141" s="169">
        <v>5</v>
      </c>
      <c r="B1141" s="100" t="str">
        <f t="shared" si="583"/>
        <v>Working</v>
      </c>
      <c r="C1141" s="170">
        <f t="shared" si="584"/>
        <v>953837.51358640334</v>
      </c>
      <c r="D1141" s="170">
        <f t="shared" si="585"/>
        <v>506901.31028287602</v>
      </c>
      <c r="E1141" s="170">
        <f t="shared" si="586"/>
        <v>87789.687179999994</v>
      </c>
      <c r="F1141" s="170">
        <f t="shared" si="587"/>
        <v>56275.440499999997</v>
      </c>
      <c r="G1141" s="171">
        <f t="shared" si="588"/>
        <v>0</v>
      </c>
      <c r="H1141" s="171">
        <f t="shared" si="589"/>
        <v>0</v>
      </c>
      <c r="I1141" s="171">
        <f>IF(B1141="Working",MIN(MAX(D1141-E1141-F1141-G1141-H1141,0),'Tax Assumptions'!$B$20),0)</f>
        <v>7500</v>
      </c>
      <c r="J1141" s="171">
        <f t="shared" si="590"/>
        <v>355336.18260287598</v>
      </c>
      <c r="K1141" s="170">
        <f t="shared" si="591"/>
        <v>0</v>
      </c>
      <c r="L1141" s="170">
        <f t="shared" si="592"/>
        <v>0</v>
      </c>
      <c r="M1141" s="170">
        <f t="shared" si="598"/>
        <v>0</v>
      </c>
      <c r="N1141" s="170">
        <f t="shared" si="599"/>
        <v>0</v>
      </c>
      <c r="O1141" s="170">
        <f t="shared" si="600"/>
        <v>0</v>
      </c>
      <c r="P1141" s="170">
        <f t="shared" si="601"/>
        <v>0</v>
      </c>
      <c r="Q1141" s="171">
        <f t="shared" si="602"/>
        <v>1426725.0853869673</v>
      </c>
      <c r="R1141" s="171">
        <f t="shared" si="603"/>
        <v>138108.77752000003</v>
      </c>
      <c r="S1141" s="171">
        <f t="shared" si="604"/>
        <v>42278.197200000002</v>
      </c>
      <c r="T1141" s="171">
        <f t="shared" si="605"/>
        <v>0</v>
      </c>
      <c r="U1141" s="171">
        <f t="shared" si="593"/>
        <v>1607112.0601069673</v>
      </c>
      <c r="V1141" s="171">
        <f t="shared" si="606"/>
        <v>0</v>
      </c>
      <c r="W1141" s="171" t="str">
        <f>IF(OR(A1141&gt;=$C$13,B1141="Retired"),IF(V1141&gt;0,-V1141,U1141-'Model Inputs'!$B$18),"")</f>
        <v/>
      </c>
      <c r="X1141" s="171">
        <f t="shared" si="594"/>
        <v>0</v>
      </c>
      <c r="Y1141" s="171">
        <f t="shared" si="595"/>
        <v>0</v>
      </c>
      <c r="Z1141" s="171">
        <f t="shared" si="596"/>
        <v>0</v>
      </c>
      <c r="AA1141" s="172">
        <f t="shared" si="597"/>
        <v>1607112.0601069673</v>
      </c>
      <c r="AB1141" s="5"/>
      <c r="AC1141" s="5"/>
      <c r="AD1141" s="5"/>
      <c r="AE1141" s="5"/>
      <c r="AF1141" s="5"/>
      <c r="AG1141" s="5"/>
    </row>
    <row r="1142" spans="1:33" x14ac:dyDescent="0.2">
      <c r="A1142" s="173">
        <v>6</v>
      </c>
      <c r="B1142" s="65" t="str">
        <f t="shared" si="583"/>
        <v>Working</v>
      </c>
      <c r="C1142" s="174">
        <f t="shared" si="584"/>
        <v>1118900.665838565</v>
      </c>
      <c r="D1142" s="174">
        <f t="shared" si="585"/>
        <v>589060.11476976541</v>
      </c>
      <c r="E1142" s="174">
        <f t="shared" si="586"/>
        <v>92741.925943999988</v>
      </c>
      <c r="F1142" s="174">
        <f t="shared" si="587"/>
        <v>57963.703714999989</v>
      </c>
      <c r="G1142" s="171">
        <f t="shared" si="588"/>
        <v>0</v>
      </c>
      <c r="H1142" s="171">
        <f t="shared" si="589"/>
        <v>0</v>
      </c>
      <c r="I1142" s="171">
        <f>IF(B1142="Working",MIN(MAX(D1142-E1142-F1142-G1142-H1142,0),'Tax Assumptions'!$B$20),0)</f>
        <v>7500</v>
      </c>
      <c r="J1142" s="171">
        <f t="shared" si="590"/>
        <v>430854.48511076538</v>
      </c>
      <c r="K1142" s="174">
        <f t="shared" si="591"/>
        <v>0</v>
      </c>
      <c r="L1142" s="174">
        <f t="shared" si="592"/>
        <v>0</v>
      </c>
      <c r="M1142" s="174">
        <f t="shared" si="598"/>
        <v>0</v>
      </c>
      <c r="N1142" s="174">
        <f t="shared" si="599"/>
        <v>0</v>
      </c>
      <c r="O1142" s="174">
        <f t="shared" si="600"/>
        <v>0</v>
      </c>
      <c r="P1142" s="174">
        <f t="shared" si="601"/>
        <v>0</v>
      </c>
      <c r="Q1142" s="171">
        <f t="shared" si="602"/>
        <v>1943183.0756209507</v>
      </c>
      <c r="R1142" s="171">
        <f t="shared" si="603"/>
        <v>170895.30417120006</v>
      </c>
      <c r="S1142" s="171">
        <f t="shared" si="604"/>
        <v>52314.889032000006</v>
      </c>
      <c r="T1142" s="171">
        <f t="shared" si="605"/>
        <v>0</v>
      </c>
      <c r="U1142" s="171">
        <f t="shared" si="593"/>
        <v>2166393.2688241508</v>
      </c>
      <c r="V1142" s="171">
        <f t="shared" si="606"/>
        <v>0</v>
      </c>
      <c r="W1142" s="171" t="str">
        <f>IF(OR(A1142&gt;=$C$13,B1142="Retired"),IF(V1142&gt;0,-V1142,U1142-'Model Inputs'!$B$18),"")</f>
        <v/>
      </c>
      <c r="X1142" s="171">
        <f t="shared" si="594"/>
        <v>0</v>
      </c>
      <c r="Y1142" s="171">
        <f t="shared" si="595"/>
        <v>0</v>
      </c>
      <c r="Z1142" s="171">
        <f t="shared" si="596"/>
        <v>0</v>
      </c>
      <c r="AA1142" s="175">
        <f t="shared" si="597"/>
        <v>2166393.2688241508</v>
      </c>
      <c r="AB1142" s="5"/>
      <c r="AC1142" s="5"/>
      <c r="AD1142" s="5"/>
      <c r="AE1142" s="5"/>
      <c r="AF1142" s="5"/>
      <c r="AG1142" s="5"/>
    </row>
    <row r="1143" spans="1:33" x14ac:dyDescent="0.2">
      <c r="A1143" s="169">
        <v>7</v>
      </c>
      <c r="B1143" s="100" t="str">
        <f t="shared" si="583"/>
        <v>Working</v>
      </c>
      <c r="C1143" s="170">
        <f t="shared" si="584"/>
        <v>1418318.448466131</v>
      </c>
      <c r="D1143" s="170">
        <f t="shared" si="585"/>
        <v>730157.75065517949</v>
      </c>
      <c r="E1143" s="170">
        <f t="shared" si="586"/>
        <v>95524.183722319998</v>
      </c>
      <c r="F1143" s="170">
        <f t="shared" si="587"/>
        <v>59702.614826449993</v>
      </c>
      <c r="G1143" s="171">
        <f t="shared" si="588"/>
        <v>0</v>
      </c>
      <c r="H1143" s="171">
        <f t="shared" si="589"/>
        <v>0</v>
      </c>
      <c r="I1143" s="171">
        <f>IF(B1143="Working",MIN(MAX(D1143-E1143-F1143-G1143-H1143,0),'Tax Assumptions'!$B$20),0)</f>
        <v>7500</v>
      </c>
      <c r="J1143" s="171">
        <f t="shared" si="590"/>
        <v>567430.95210640947</v>
      </c>
      <c r="K1143" s="170">
        <f t="shared" si="591"/>
        <v>0</v>
      </c>
      <c r="L1143" s="170">
        <f t="shared" si="592"/>
        <v>0</v>
      </c>
      <c r="M1143" s="170">
        <f t="shared" si="598"/>
        <v>0</v>
      </c>
      <c r="N1143" s="170">
        <f t="shared" si="599"/>
        <v>0</v>
      </c>
      <c r="O1143" s="170">
        <f t="shared" si="600"/>
        <v>0</v>
      </c>
      <c r="P1143" s="170">
        <f t="shared" si="601"/>
        <v>0</v>
      </c>
      <c r="Q1143" s="171">
        <f t="shared" si="602"/>
        <v>2627205.0122646173</v>
      </c>
      <c r="R1143" s="171">
        <f t="shared" si="603"/>
        <v>205649.02242147207</v>
      </c>
      <c r="S1143" s="171">
        <f t="shared" si="604"/>
        <v>62953.78237392001</v>
      </c>
      <c r="T1143" s="171">
        <f t="shared" si="605"/>
        <v>0</v>
      </c>
      <c r="U1143" s="171">
        <f t="shared" si="593"/>
        <v>2895807.8170600096</v>
      </c>
      <c r="V1143" s="171">
        <f t="shared" si="606"/>
        <v>0</v>
      </c>
      <c r="W1143" s="171" t="str">
        <f>IF(OR(A1143&gt;=$C$13,B1143="Retired"),IF(V1143&gt;0,-V1143,U1143-'Model Inputs'!$B$18),"")</f>
        <v/>
      </c>
      <c r="X1143" s="171">
        <f t="shared" si="594"/>
        <v>0</v>
      </c>
      <c r="Y1143" s="171">
        <f t="shared" si="595"/>
        <v>0</v>
      </c>
      <c r="Z1143" s="171">
        <f t="shared" si="596"/>
        <v>0</v>
      </c>
      <c r="AA1143" s="172">
        <f t="shared" si="597"/>
        <v>2895807.8170600096</v>
      </c>
      <c r="AB1143" s="5"/>
      <c r="AC1143" s="5"/>
      <c r="AD1143" s="5"/>
      <c r="AE1143" s="5"/>
      <c r="AF1143" s="5"/>
      <c r="AG1143" s="5"/>
    </row>
    <row r="1144" spans="1:33" x14ac:dyDescent="0.2">
      <c r="A1144" s="173">
        <v>8</v>
      </c>
      <c r="B1144" s="65" t="str">
        <f t="shared" si="583"/>
        <v>Working</v>
      </c>
      <c r="C1144" s="174">
        <f t="shared" si="584"/>
        <v>1872205.6657868917</v>
      </c>
      <c r="D1144" s="174">
        <f t="shared" si="585"/>
        <v>944047.5629454148</v>
      </c>
      <c r="E1144" s="174">
        <f t="shared" si="586"/>
        <v>98389.909233989601</v>
      </c>
      <c r="F1144" s="174">
        <f t="shared" si="587"/>
        <v>61493.693271243501</v>
      </c>
      <c r="G1144" s="171">
        <f t="shared" si="588"/>
        <v>0</v>
      </c>
      <c r="H1144" s="171">
        <f t="shared" si="589"/>
        <v>0</v>
      </c>
      <c r="I1144" s="171">
        <f>IF(B1144="Working",MIN(MAX(D1144-E1144-F1144-G1144-H1144,0),'Tax Assumptions'!$B$20),0)</f>
        <v>7500</v>
      </c>
      <c r="J1144" s="171">
        <f t="shared" si="590"/>
        <v>776663.96044018166</v>
      </c>
      <c r="K1144" s="174">
        <f t="shared" si="591"/>
        <v>0</v>
      </c>
      <c r="L1144" s="174">
        <f t="shared" si="592"/>
        <v>0</v>
      </c>
      <c r="M1144" s="174">
        <f t="shared" si="598"/>
        <v>0</v>
      </c>
      <c r="N1144" s="174">
        <f t="shared" si="599"/>
        <v>0</v>
      </c>
      <c r="O1144" s="174">
        <f t="shared" si="600"/>
        <v>0</v>
      </c>
      <c r="P1144" s="174">
        <f t="shared" si="601"/>
        <v>0</v>
      </c>
      <c r="Q1144" s="171">
        <f t="shared" si="602"/>
        <v>3561501.2734406763</v>
      </c>
      <c r="R1144" s="171">
        <f t="shared" si="603"/>
        <v>242487.9637667604</v>
      </c>
      <c r="S1144" s="171">
        <f t="shared" si="604"/>
        <v>74231.009316355208</v>
      </c>
      <c r="T1144" s="171">
        <f t="shared" si="605"/>
        <v>0</v>
      </c>
      <c r="U1144" s="171">
        <f t="shared" si="593"/>
        <v>3878220.2465237915</v>
      </c>
      <c r="V1144" s="171">
        <f t="shared" si="606"/>
        <v>0</v>
      </c>
      <c r="W1144" s="171" t="str">
        <f>IF(OR(A1144&gt;=$C$13,B1144="Retired"),IF(V1144&gt;0,-V1144,U1144-'Model Inputs'!$B$18),"")</f>
        <v/>
      </c>
      <c r="X1144" s="171">
        <f t="shared" si="594"/>
        <v>0</v>
      </c>
      <c r="Y1144" s="171">
        <f t="shared" si="595"/>
        <v>0</v>
      </c>
      <c r="Z1144" s="171">
        <f t="shared" si="596"/>
        <v>0</v>
      </c>
      <c r="AA1144" s="175">
        <f t="shared" si="597"/>
        <v>3878220.2465237915</v>
      </c>
      <c r="AB1144" s="5"/>
      <c r="AC1144" s="5"/>
      <c r="AD1144" s="5"/>
      <c r="AE1144" s="5"/>
      <c r="AF1144" s="5"/>
      <c r="AG1144" s="5"/>
    </row>
    <row r="1145" spans="1:33" x14ac:dyDescent="0.2">
      <c r="A1145" s="169">
        <v>9</v>
      </c>
      <c r="B1145" s="100" t="str">
        <f t="shared" si="583"/>
        <v>Working</v>
      </c>
      <c r="C1145" s="170">
        <f t="shared" si="584"/>
        <v>2033969.9666232408</v>
      </c>
      <c r="D1145" s="170">
        <f t="shared" si="585"/>
        <v>1020277.372071536</v>
      </c>
      <c r="E1145" s="170">
        <f t="shared" si="586"/>
        <v>101341.60651100927</v>
      </c>
      <c r="F1145" s="170">
        <f t="shared" si="587"/>
        <v>63338.504069380797</v>
      </c>
      <c r="G1145" s="171">
        <f t="shared" si="588"/>
        <v>0</v>
      </c>
      <c r="H1145" s="171">
        <f t="shared" si="589"/>
        <v>0</v>
      </c>
      <c r="I1145" s="171">
        <f>IF(B1145="Working",MIN(MAX(D1145-E1145-F1145-G1145-H1145,0),'Tax Assumptions'!$B$20),0)</f>
        <v>7500</v>
      </c>
      <c r="J1145" s="171">
        <f t="shared" si="590"/>
        <v>848097.26149114594</v>
      </c>
      <c r="K1145" s="170">
        <f t="shared" si="591"/>
        <v>0</v>
      </c>
      <c r="L1145" s="170">
        <f t="shared" si="592"/>
        <v>0</v>
      </c>
      <c r="M1145" s="170">
        <f t="shared" si="598"/>
        <v>0</v>
      </c>
      <c r="N1145" s="170">
        <f t="shared" si="599"/>
        <v>0</v>
      </c>
      <c r="O1145" s="170">
        <f t="shared" si="600"/>
        <v>0</v>
      </c>
      <c r="P1145" s="170">
        <f t="shared" si="601"/>
        <v>0</v>
      </c>
      <c r="Q1145" s="171">
        <f t="shared" si="602"/>
        <v>4623288.6113382634</v>
      </c>
      <c r="R1145" s="171">
        <f t="shared" si="603"/>
        <v>281537.24159276602</v>
      </c>
      <c r="S1145" s="171">
        <f t="shared" si="604"/>
        <v>86184.869875336532</v>
      </c>
      <c r="T1145" s="171">
        <f t="shared" si="605"/>
        <v>0</v>
      </c>
      <c r="U1145" s="171">
        <f t="shared" si="593"/>
        <v>4991010.7228063662</v>
      </c>
      <c r="V1145" s="171">
        <f t="shared" si="606"/>
        <v>0</v>
      </c>
      <c r="W1145" s="171" t="str">
        <f>IF(OR(A1145&gt;=$C$13,B1145="Retired"),IF(V1145&gt;0,-V1145,U1145-'Model Inputs'!$B$18),"")</f>
        <v/>
      </c>
      <c r="X1145" s="171">
        <f t="shared" si="594"/>
        <v>0</v>
      </c>
      <c r="Y1145" s="171">
        <f t="shared" si="595"/>
        <v>0</v>
      </c>
      <c r="Z1145" s="171">
        <f t="shared" si="596"/>
        <v>0</v>
      </c>
      <c r="AA1145" s="172">
        <f t="shared" si="597"/>
        <v>4991010.7228063662</v>
      </c>
      <c r="AB1145" s="5"/>
      <c r="AC1145" s="5"/>
      <c r="AD1145" s="5"/>
      <c r="AE1145" s="5"/>
      <c r="AF1145" s="5"/>
      <c r="AG1145" s="5"/>
    </row>
    <row r="1146" spans="1:33" x14ac:dyDescent="0.2">
      <c r="A1146" s="173">
        <v>10</v>
      </c>
      <c r="B1146" s="65" t="str">
        <f t="shared" si="583"/>
        <v>Working</v>
      </c>
      <c r="C1146" s="174">
        <f t="shared" si="584"/>
        <v>2595495.7626410057</v>
      </c>
      <c r="D1146" s="174">
        <f t="shared" si="585"/>
        <v>1284890.7881869476</v>
      </c>
      <c r="E1146" s="174">
        <f t="shared" si="586"/>
        <v>104381.85470633955</v>
      </c>
      <c r="F1146" s="174">
        <f t="shared" si="587"/>
        <v>65238.659191462226</v>
      </c>
      <c r="G1146" s="171">
        <f t="shared" si="588"/>
        <v>1123969.4013365901</v>
      </c>
      <c r="H1146" s="171">
        <f t="shared" si="589"/>
        <v>150769.23076923075</v>
      </c>
      <c r="I1146" s="171">
        <f>IF(B1146="Working",MIN(MAX(D1146-E1146-F1146-G1146-H1146,0),'Tax Assumptions'!$B$20),0)</f>
        <v>0</v>
      </c>
      <c r="J1146" s="171">
        <f t="shared" si="590"/>
        <v>-159468.35781667498</v>
      </c>
      <c r="K1146" s="174">
        <f t="shared" si="591"/>
        <v>0</v>
      </c>
      <c r="L1146" s="174">
        <f t="shared" si="592"/>
        <v>0</v>
      </c>
      <c r="M1146" s="174">
        <f t="shared" si="598"/>
        <v>0</v>
      </c>
      <c r="N1146" s="174">
        <f t="shared" si="599"/>
        <v>0</v>
      </c>
      <c r="O1146" s="174">
        <f t="shared" si="600"/>
        <v>0</v>
      </c>
      <c r="P1146" s="174">
        <f t="shared" si="601"/>
        <v>0</v>
      </c>
      <c r="Q1146" s="171">
        <f t="shared" si="602"/>
        <v>4741217.570201885</v>
      </c>
      <c r="R1146" s="171">
        <f t="shared" si="603"/>
        <v>322929.47608833201</v>
      </c>
      <c r="S1146" s="171">
        <f t="shared" si="604"/>
        <v>91355.96206785673</v>
      </c>
      <c r="T1146" s="171">
        <f t="shared" si="605"/>
        <v>0</v>
      </c>
      <c r="U1146" s="171">
        <f t="shared" si="593"/>
        <v>5155503.0083580734</v>
      </c>
      <c r="V1146" s="171">
        <f t="shared" si="606"/>
        <v>0</v>
      </c>
      <c r="W1146" s="171">
        <f>IF(OR(A1146&gt;=$C$13,B1146="Retired"),IF(V1146&gt;0,-V1146,U1146-'Model Inputs'!$B$18),"")</f>
        <v>4155503.0083580734</v>
      </c>
      <c r="X1146" s="171">
        <f t="shared" si="594"/>
        <v>2366251.3712349264</v>
      </c>
      <c r="Y1146" s="171">
        <f t="shared" si="595"/>
        <v>1286891.7473494606</v>
      </c>
      <c r="Z1146" s="171">
        <f t="shared" si="596"/>
        <v>1079359.6238854658</v>
      </c>
      <c r="AA1146" s="175">
        <f t="shared" si="597"/>
        <v>6234862.6322435392</v>
      </c>
      <c r="AB1146" s="5"/>
      <c r="AC1146" s="5"/>
      <c r="AD1146" s="5"/>
      <c r="AE1146" s="5"/>
      <c r="AF1146" s="5"/>
      <c r="AG1146" s="5"/>
    </row>
    <row r="1147" spans="1:33" x14ac:dyDescent="0.2">
      <c r="A1147" s="169">
        <v>11</v>
      </c>
      <c r="B1147" s="100" t="str">
        <f t="shared" si="583"/>
        <v>Retired</v>
      </c>
      <c r="C1147" s="170">
        <f t="shared" si="584"/>
        <v>0</v>
      </c>
      <c r="D1147" s="170">
        <f t="shared" si="585"/>
        <v>0</v>
      </c>
      <c r="E1147" s="170">
        <f t="shared" si="586"/>
        <v>0</v>
      </c>
      <c r="F1147" s="170">
        <f t="shared" si="587"/>
        <v>0</v>
      </c>
      <c r="G1147" s="171">
        <f t="shared" si="588"/>
        <v>0</v>
      </c>
      <c r="H1147" s="171">
        <f t="shared" si="589"/>
        <v>152330.9566742458</v>
      </c>
      <c r="I1147" s="171">
        <f>IF(B1147="Working",MIN(MAX(D1147-E1147-F1147-G1147-H1147,0),'Tax Assumptions'!$B$20),0)</f>
        <v>0</v>
      </c>
      <c r="J1147" s="171">
        <f t="shared" si="590"/>
        <v>-292330.95667424577</v>
      </c>
      <c r="K1147" s="170">
        <f t="shared" si="591"/>
        <v>292330.95667424577</v>
      </c>
      <c r="L1147" s="170">
        <f t="shared" si="592"/>
        <v>292330.95667424577</v>
      </c>
      <c r="M1147" s="170">
        <f t="shared" si="598"/>
        <v>292330.95667424577</v>
      </c>
      <c r="N1147" s="170">
        <f t="shared" si="599"/>
        <v>0</v>
      </c>
      <c r="O1147" s="170">
        <f t="shared" si="600"/>
        <v>0</v>
      </c>
      <c r="P1147" s="170">
        <f t="shared" si="601"/>
        <v>0</v>
      </c>
      <c r="Q1147" s="171">
        <f t="shared" si="602"/>
        <v>4733359.6677397517</v>
      </c>
      <c r="R1147" s="171">
        <f t="shared" si="603"/>
        <v>342305.24465363193</v>
      </c>
      <c r="S1147" s="171">
        <f t="shared" si="604"/>
        <v>96837.319791928137</v>
      </c>
      <c r="T1147" s="171">
        <f t="shared" si="605"/>
        <v>0</v>
      </c>
      <c r="U1147" s="171">
        <f t="shared" si="593"/>
        <v>5172502.2321853116</v>
      </c>
      <c r="V1147" s="171">
        <f t="shared" si="606"/>
        <v>0</v>
      </c>
      <c r="W1147" s="171">
        <f>IF(OR(A1147&gt;=$C$13,B1147="Retired"),IF(V1147&gt;0,-V1147,U1147-'Model Inputs'!$B$18),"")</f>
        <v>4172502.2321853116</v>
      </c>
      <c r="X1147" s="171">
        <f t="shared" si="594"/>
        <v>2437238.9123719744</v>
      </c>
      <c r="Y1147" s="171">
        <f t="shared" si="595"/>
        <v>1271371.0340171556</v>
      </c>
      <c r="Z1147" s="171">
        <f t="shared" si="596"/>
        <v>1165867.8783548188</v>
      </c>
      <c r="AA1147" s="172">
        <f t="shared" si="597"/>
        <v>6338370.1105401302</v>
      </c>
      <c r="AB1147" s="5"/>
      <c r="AC1147" s="5"/>
      <c r="AD1147" s="5"/>
      <c r="AE1147" s="5"/>
      <c r="AF1147" s="5"/>
      <c r="AG1147" s="5"/>
    </row>
    <row r="1148" spans="1:33" x14ac:dyDescent="0.2">
      <c r="A1148" s="173">
        <v>12</v>
      </c>
      <c r="B1148" s="65" t="str">
        <f t="shared" si="583"/>
        <v>Retired</v>
      </c>
      <c r="C1148" s="174">
        <f t="shared" si="584"/>
        <v>0</v>
      </c>
      <c r="D1148" s="174">
        <f t="shared" si="585"/>
        <v>0</v>
      </c>
      <c r="E1148" s="174">
        <f t="shared" si="586"/>
        <v>0</v>
      </c>
      <c r="F1148" s="174">
        <f t="shared" si="587"/>
        <v>0</v>
      </c>
      <c r="G1148" s="171">
        <f t="shared" si="588"/>
        <v>0</v>
      </c>
      <c r="H1148" s="171">
        <f t="shared" si="589"/>
        <v>153939.53435641131</v>
      </c>
      <c r="I1148" s="171">
        <f>IF(B1148="Working",MIN(MAX(D1148-E1148-F1148-G1148-H1148,0),'Tax Assumptions'!$B$20),0)</f>
        <v>0</v>
      </c>
      <c r="J1148" s="171">
        <f t="shared" si="590"/>
        <v>-293939.53435641131</v>
      </c>
      <c r="K1148" s="174">
        <f t="shared" si="591"/>
        <v>293939.53435641131</v>
      </c>
      <c r="L1148" s="174">
        <f t="shared" si="592"/>
        <v>293939.53435641131</v>
      </c>
      <c r="M1148" s="174">
        <f t="shared" si="598"/>
        <v>293939.53435641131</v>
      </c>
      <c r="N1148" s="174">
        <f t="shared" si="599"/>
        <v>0</v>
      </c>
      <c r="O1148" s="174">
        <f t="shared" si="600"/>
        <v>0</v>
      </c>
      <c r="P1148" s="174">
        <f t="shared" si="601"/>
        <v>0</v>
      </c>
      <c r="Q1148" s="171">
        <f t="shared" si="602"/>
        <v>4723421.7134477254</v>
      </c>
      <c r="R1148" s="171">
        <f t="shared" si="603"/>
        <v>362843.55933284987</v>
      </c>
      <c r="S1148" s="171">
        <f t="shared" si="604"/>
        <v>102647.55897944383</v>
      </c>
      <c r="T1148" s="171">
        <f t="shared" si="605"/>
        <v>0</v>
      </c>
      <c r="U1148" s="171">
        <f t="shared" si="593"/>
        <v>5188912.8317600191</v>
      </c>
      <c r="V1148" s="171">
        <f t="shared" si="606"/>
        <v>0</v>
      </c>
      <c r="W1148" s="171">
        <f>IF(OR(A1148&gt;=$C$13,B1148="Retired"),IF(V1148&gt;0,-V1148,U1148-'Model Inputs'!$B$18),"")</f>
        <v>4188912.8317600191</v>
      </c>
      <c r="X1148" s="171">
        <f t="shared" si="594"/>
        <v>2510356.0797431334</v>
      </c>
      <c r="Y1148" s="171">
        <f t="shared" si="595"/>
        <v>1254810.8697685855</v>
      </c>
      <c r="Z1148" s="171">
        <f t="shared" si="596"/>
        <v>1255545.2099745478</v>
      </c>
      <c r="AA1148" s="175">
        <f t="shared" si="597"/>
        <v>6444458.0417345669</v>
      </c>
      <c r="AB1148" s="5"/>
      <c r="AC1148" s="5"/>
      <c r="AD1148" s="5"/>
      <c r="AE1148" s="5"/>
      <c r="AF1148" s="5"/>
      <c r="AG1148" s="5"/>
    </row>
    <row r="1149" spans="1:33" x14ac:dyDescent="0.2">
      <c r="A1149" s="169">
        <v>13</v>
      </c>
      <c r="B1149" s="100" t="str">
        <f t="shared" si="583"/>
        <v>Retired</v>
      </c>
      <c r="C1149" s="170">
        <f t="shared" si="584"/>
        <v>0</v>
      </c>
      <c r="D1149" s="170">
        <f t="shared" si="585"/>
        <v>0</v>
      </c>
      <c r="E1149" s="170">
        <f t="shared" si="586"/>
        <v>0</v>
      </c>
      <c r="F1149" s="170">
        <f t="shared" si="587"/>
        <v>0</v>
      </c>
      <c r="G1149" s="171">
        <f t="shared" si="588"/>
        <v>0</v>
      </c>
      <c r="H1149" s="171">
        <f t="shared" si="589"/>
        <v>155596.36936904176</v>
      </c>
      <c r="I1149" s="171">
        <f>IF(B1149="Working",MIN(MAX(D1149-E1149-F1149-G1149-H1149,0),'Tax Assumptions'!$B$20),0)</f>
        <v>0</v>
      </c>
      <c r="J1149" s="171">
        <f t="shared" si="590"/>
        <v>-295596.36936904176</v>
      </c>
      <c r="K1149" s="170">
        <f t="shared" si="591"/>
        <v>295596.36936904176</v>
      </c>
      <c r="L1149" s="170">
        <f t="shared" si="592"/>
        <v>295596.36936904176</v>
      </c>
      <c r="M1149" s="170">
        <f t="shared" si="598"/>
        <v>295596.36936904176</v>
      </c>
      <c r="N1149" s="170">
        <f t="shared" si="599"/>
        <v>0</v>
      </c>
      <c r="O1149" s="170">
        <f t="shared" si="600"/>
        <v>0</v>
      </c>
      <c r="P1149" s="170">
        <f t="shared" si="601"/>
        <v>0</v>
      </c>
      <c r="Q1149" s="171">
        <f t="shared" si="602"/>
        <v>4711230.6468855469</v>
      </c>
      <c r="R1149" s="171">
        <f t="shared" si="603"/>
        <v>384614.1728928209</v>
      </c>
      <c r="S1149" s="171">
        <f t="shared" si="604"/>
        <v>108806.41251821046</v>
      </c>
      <c r="T1149" s="171">
        <f t="shared" si="605"/>
        <v>0</v>
      </c>
      <c r="U1149" s="171">
        <f t="shared" si="593"/>
        <v>5204651.2322965786</v>
      </c>
      <c r="V1149" s="171">
        <f t="shared" si="606"/>
        <v>0</v>
      </c>
      <c r="W1149" s="171">
        <f>IF(OR(A1149&gt;=$C$13,B1149="Retired"),IF(V1149&gt;0,-V1149,U1149-'Model Inputs'!$B$18),"")</f>
        <v>4204651.2322965786</v>
      </c>
      <c r="X1149" s="171">
        <f t="shared" si="594"/>
        <v>2585666.7621354274</v>
      </c>
      <c r="Y1149" s="171">
        <f t="shared" si="595"/>
        <v>1237141.6406508228</v>
      </c>
      <c r="Z1149" s="171">
        <f t="shared" si="596"/>
        <v>1348525.1214846047</v>
      </c>
      <c r="AA1149" s="172">
        <f t="shared" si="597"/>
        <v>6553176.3537811833</v>
      </c>
      <c r="AB1149" s="5"/>
      <c r="AC1149" s="5"/>
      <c r="AD1149" s="5"/>
      <c r="AE1149" s="5"/>
      <c r="AF1149" s="5"/>
      <c r="AG1149" s="5"/>
    </row>
    <row r="1150" spans="1:33" x14ac:dyDescent="0.2">
      <c r="A1150" s="173">
        <v>14</v>
      </c>
      <c r="B1150" s="65" t="str">
        <f t="shared" si="583"/>
        <v>Retired</v>
      </c>
      <c r="C1150" s="174">
        <f t="shared" si="584"/>
        <v>0</v>
      </c>
      <c r="D1150" s="174">
        <f t="shared" si="585"/>
        <v>0</v>
      </c>
      <c r="E1150" s="174">
        <f t="shared" si="586"/>
        <v>0</v>
      </c>
      <c r="F1150" s="174">
        <f t="shared" si="587"/>
        <v>0</v>
      </c>
      <c r="G1150" s="171">
        <f t="shared" si="588"/>
        <v>0</v>
      </c>
      <c r="H1150" s="171">
        <f t="shared" si="589"/>
        <v>157302.90943205115</v>
      </c>
      <c r="I1150" s="171">
        <f>IF(B1150="Working",MIN(MAX(D1150-E1150-F1150-G1150-H1150,0),'Tax Assumptions'!$B$20),0)</f>
        <v>0</v>
      </c>
      <c r="J1150" s="171">
        <f t="shared" si="590"/>
        <v>-297302.90943205112</v>
      </c>
      <c r="K1150" s="174">
        <f t="shared" si="591"/>
        <v>297302.90943205112</v>
      </c>
      <c r="L1150" s="174">
        <f t="shared" si="592"/>
        <v>297302.90943205112</v>
      </c>
      <c r="M1150" s="174">
        <f t="shared" si="598"/>
        <v>297302.90943205112</v>
      </c>
      <c r="N1150" s="174">
        <f t="shared" si="599"/>
        <v>0</v>
      </c>
      <c r="O1150" s="174">
        <f t="shared" si="600"/>
        <v>0</v>
      </c>
      <c r="P1150" s="174">
        <f t="shared" si="601"/>
        <v>0</v>
      </c>
      <c r="Q1150" s="171">
        <f t="shared" si="602"/>
        <v>4696601.5762666287</v>
      </c>
      <c r="R1150" s="171">
        <f t="shared" si="603"/>
        <v>407691.0232663902</v>
      </c>
      <c r="S1150" s="171">
        <f t="shared" si="604"/>
        <v>115334.79726930309</v>
      </c>
      <c r="T1150" s="171">
        <f t="shared" si="605"/>
        <v>0</v>
      </c>
      <c r="U1150" s="171">
        <f t="shared" si="593"/>
        <v>5219627.396802322</v>
      </c>
      <c r="V1150" s="171">
        <f t="shared" si="606"/>
        <v>0</v>
      </c>
      <c r="W1150" s="171">
        <f>IF(OR(A1150&gt;=$C$13,B1150="Retired"),IF(V1150&gt;0,-V1150,U1150-'Model Inputs'!$B$18),"")</f>
        <v>4219627.396802322</v>
      </c>
      <c r="X1150" s="171">
        <f t="shared" si="594"/>
        <v>2663236.7649994902</v>
      </c>
      <c r="Y1150" s="171">
        <f t="shared" si="595"/>
        <v>1218289.0705355857</v>
      </c>
      <c r="Z1150" s="171">
        <f t="shared" si="596"/>
        <v>1444947.6944639045</v>
      </c>
      <c r="AA1150" s="175">
        <f t="shared" si="597"/>
        <v>6664575.091266226</v>
      </c>
      <c r="AB1150" s="5"/>
      <c r="AC1150" s="5"/>
      <c r="AD1150" s="5"/>
      <c r="AE1150" s="5"/>
      <c r="AF1150" s="5"/>
      <c r="AG1150" s="5"/>
    </row>
    <row r="1151" spans="1:33" x14ac:dyDescent="0.2">
      <c r="A1151" s="169">
        <v>15</v>
      </c>
      <c r="B1151" s="100" t="str">
        <f t="shared" si="583"/>
        <v>Retired</v>
      </c>
      <c r="C1151" s="170">
        <f t="shared" si="584"/>
        <v>0</v>
      </c>
      <c r="D1151" s="170">
        <f t="shared" si="585"/>
        <v>0</v>
      </c>
      <c r="E1151" s="170">
        <f t="shared" si="586"/>
        <v>0</v>
      </c>
      <c r="F1151" s="170">
        <f t="shared" si="587"/>
        <v>0</v>
      </c>
      <c r="G1151" s="171">
        <f t="shared" si="588"/>
        <v>0</v>
      </c>
      <c r="H1151" s="171">
        <f t="shared" si="589"/>
        <v>159060.64569695081</v>
      </c>
      <c r="I1151" s="171">
        <f>IF(B1151="Working",MIN(MAX(D1151-E1151-F1151-G1151-H1151,0),'Tax Assumptions'!$B$20),0)</f>
        <v>0</v>
      </c>
      <c r="J1151" s="171">
        <f t="shared" si="590"/>
        <v>-299060.64569695084</v>
      </c>
      <c r="K1151" s="170">
        <f t="shared" si="591"/>
        <v>299060.64569695084</v>
      </c>
      <c r="L1151" s="170">
        <f t="shared" si="592"/>
        <v>299060.64569695084</v>
      </c>
      <c r="M1151" s="170">
        <f t="shared" si="598"/>
        <v>299060.64569695084</v>
      </c>
      <c r="N1151" s="170">
        <f t="shared" si="599"/>
        <v>0</v>
      </c>
      <c r="O1151" s="170">
        <f t="shared" si="600"/>
        <v>0</v>
      </c>
      <c r="P1151" s="170">
        <f t="shared" si="601"/>
        <v>0</v>
      </c>
      <c r="Q1151" s="171">
        <f t="shared" si="602"/>
        <v>4679337.025145676</v>
      </c>
      <c r="R1151" s="171">
        <f t="shared" si="603"/>
        <v>432152.48466237361</v>
      </c>
      <c r="S1151" s="171">
        <f t="shared" si="604"/>
        <v>122254.88510546128</v>
      </c>
      <c r="T1151" s="171">
        <f t="shared" si="605"/>
        <v>0</v>
      </c>
      <c r="U1151" s="171">
        <f t="shared" si="593"/>
        <v>5233744.3949135104</v>
      </c>
      <c r="V1151" s="171">
        <f t="shared" si="606"/>
        <v>0</v>
      </c>
      <c r="W1151" s="171">
        <f>IF(OR(A1151&gt;=$C$13,B1151="Retired"),IF(V1151&gt;0,-V1151,U1151-'Model Inputs'!$B$18),"")</f>
        <v>4233744.3949135104</v>
      </c>
      <c r="X1151" s="171">
        <f t="shared" si="594"/>
        <v>2743133.8679494746</v>
      </c>
      <c r="Y1151" s="171">
        <f t="shared" si="595"/>
        <v>1198173.9088847237</v>
      </c>
      <c r="Z1151" s="171">
        <f t="shared" si="596"/>
        <v>1544959.9590647509</v>
      </c>
      <c r="AA1151" s="172">
        <f t="shared" si="597"/>
        <v>6778704.3539782614</v>
      </c>
      <c r="AB1151" s="5"/>
      <c r="AC1151" s="5"/>
      <c r="AD1151" s="5"/>
      <c r="AE1151" s="5"/>
      <c r="AF1151" s="5"/>
      <c r="AG1151" s="5"/>
    </row>
    <row r="1152" spans="1:33" x14ac:dyDescent="0.2">
      <c r="A1152" s="173">
        <v>16</v>
      </c>
      <c r="B1152" s="65" t="str">
        <f t="shared" si="583"/>
        <v>Retired</v>
      </c>
      <c r="C1152" s="174">
        <f t="shared" si="584"/>
        <v>0</v>
      </c>
      <c r="D1152" s="174">
        <f t="shared" si="585"/>
        <v>0</v>
      </c>
      <c r="E1152" s="174">
        <f t="shared" si="586"/>
        <v>0</v>
      </c>
      <c r="F1152" s="174">
        <f t="shared" si="587"/>
        <v>0</v>
      </c>
      <c r="G1152" s="171">
        <f t="shared" si="588"/>
        <v>0</v>
      </c>
      <c r="H1152" s="171">
        <f t="shared" si="589"/>
        <v>160871.11404979747</v>
      </c>
      <c r="I1152" s="171">
        <f>IF(B1152="Working",MIN(MAX(D1152-E1152-F1152-G1152-H1152,0),'Tax Assumptions'!$B$20),0)</f>
        <v>0</v>
      </c>
      <c r="J1152" s="171">
        <f t="shared" si="590"/>
        <v>-300871.11404979747</v>
      </c>
      <c r="K1152" s="174">
        <f t="shared" si="591"/>
        <v>300871.11404979747</v>
      </c>
      <c r="L1152" s="174">
        <f t="shared" si="592"/>
        <v>300871.11404979747</v>
      </c>
      <c r="M1152" s="174">
        <f t="shared" si="598"/>
        <v>300871.11404979747</v>
      </c>
      <c r="N1152" s="174">
        <f t="shared" si="599"/>
        <v>0</v>
      </c>
      <c r="O1152" s="174">
        <f t="shared" si="600"/>
        <v>0</v>
      </c>
      <c r="P1152" s="174">
        <f t="shared" si="601"/>
        <v>0</v>
      </c>
      <c r="Q1152" s="171">
        <f t="shared" si="602"/>
        <v>4659226.1326046186</v>
      </c>
      <c r="R1152" s="171">
        <f t="shared" si="603"/>
        <v>458081.63374211604</v>
      </c>
      <c r="S1152" s="171">
        <f t="shared" si="604"/>
        <v>129590.17821178895</v>
      </c>
      <c r="T1152" s="171">
        <f t="shared" si="605"/>
        <v>0</v>
      </c>
      <c r="U1152" s="171">
        <f t="shared" si="593"/>
        <v>5246897.9445585236</v>
      </c>
      <c r="V1152" s="171">
        <f t="shared" si="606"/>
        <v>0</v>
      </c>
      <c r="W1152" s="171">
        <f>IF(OR(A1152&gt;=$C$13,B1152="Retired"),IF(V1152&gt;0,-V1152,U1152-'Model Inputs'!$B$18),"")</f>
        <v>4246897.9445585236</v>
      </c>
      <c r="X1152" s="171">
        <f t="shared" si="594"/>
        <v>2825427.883987959</v>
      </c>
      <c r="Y1152" s="171">
        <f t="shared" si="595"/>
        <v>1176711.5976047725</v>
      </c>
      <c r="Z1152" s="171">
        <f t="shared" si="596"/>
        <v>1648716.2863831865</v>
      </c>
      <c r="AA1152" s="175">
        <f t="shared" si="597"/>
        <v>6895614.2309417101</v>
      </c>
      <c r="AB1152" s="5"/>
      <c r="AC1152" s="5"/>
      <c r="AD1152" s="5"/>
      <c r="AE1152" s="5"/>
      <c r="AF1152" s="5"/>
      <c r="AG1152" s="5"/>
    </row>
    <row r="1153" spans="1:33" x14ac:dyDescent="0.2">
      <c r="A1153" s="169">
        <v>17</v>
      </c>
      <c r="B1153" s="100" t="str">
        <f t="shared" si="583"/>
        <v>Retired</v>
      </c>
      <c r="C1153" s="170">
        <f t="shared" si="584"/>
        <v>0</v>
      </c>
      <c r="D1153" s="170">
        <f t="shared" si="585"/>
        <v>0</v>
      </c>
      <c r="E1153" s="170">
        <f t="shared" si="586"/>
        <v>0</v>
      </c>
      <c r="F1153" s="170">
        <f t="shared" si="587"/>
        <v>0</v>
      </c>
      <c r="G1153" s="171">
        <f t="shared" si="588"/>
        <v>0</v>
      </c>
      <c r="H1153" s="171">
        <f t="shared" si="589"/>
        <v>162735.89645322954</v>
      </c>
      <c r="I1153" s="171">
        <f>IF(B1153="Working",MIN(MAX(D1153-E1153-F1153-G1153-H1153,0),'Tax Assumptions'!$B$20),0)</f>
        <v>0</v>
      </c>
      <c r="J1153" s="171">
        <f t="shared" si="590"/>
        <v>-302735.89645322954</v>
      </c>
      <c r="K1153" s="170">
        <f t="shared" si="591"/>
        <v>302735.89645322954</v>
      </c>
      <c r="L1153" s="170">
        <f t="shared" si="592"/>
        <v>302735.89645322954</v>
      </c>
      <c r="M1153" s="170">
        <f t="shared" si="598"/>
        <v>302735.89645322954</v>
      </c>
      <c r="N1153" s="170">
        <f t="shared" si="599"/>
        <v>0</v>
      </c>
      <c r="O1153" s="170">
        <f t="shared" si="600"/>
        <v>0</v>
      </c>
      <c r="P1153" s="170">
        <f t="shared" si="601"/>
        <v>0</v>
      </c>
      <c r="Q1153" s="171">
        <f t="shared" si="602"/>
        <v>4636043.804107666</v>
      </c>
      <c r="R1153" s="171">
        <f t="shared" si="603"/>
        <v>485566.53176664305</v>
      </c>
      <c r="S1153" s="171">
        <f t="shared" si="604"/>
        <v>137365.58890449628</v>
      </c>
      <c r="T1153" s="171">
        <f t="shared" si="605"/>
        <v>0</v>
      </c>
      <c r="U1153" s="171">
        <f t="shared" si="593"/>
        <v>5258975.9247788051</v>
      </c>
      <c r="V1153" s="171">
        <f t="shared" si="606"/>
        <v>0</v>
      </c>
      <c r="W1153" s="171">
        <f>IF(OR(A1153&gt;=$C$13,B1153="Retired"),IF(V1153&gt;0,-V1153,U1153-'Model Inputs'!$B$18),"")</f>
        <v>4258975.9247788051</v>
      </c>
      <c r="X1153" s="171">
        <f t="shared" si="594"/>
        <v>2910190.720507598</v>
      </c>
      <c r="Y1153" s="171">
        <f t="shared" si="595"/>
        <v>1153811.9155901484</v>
      </c>
      <c r="Z1153" s="171">
        <f t="shared" si="596"/>
        <v>1756378.8049174496</v>
      </c>
      <c r="AA1153" s="172">
        <f t="shared" si="597"/>
        <v>7015354.7296962552</v>
      </c>
      <c r="AB1153" s="5"/>
      <c r="AC1153" s="5"/>
      <c r="AD1153" s="5"/>
      <c r="AE1153" s="5"/>
      <c r="AF1153" s="5"/>
      <c r="AG1153" s="5"/>
    </row>
    <row r="1154" spans="1:33" x14ac:dyDescent="0.2">
      <c r="A1154" s="173">
        <v>18</v>
      </c>
      <c r="B1154" s="65" t="str">
        <f t="shared" si="583"/>
        <v>Retired</v>
      </c>
      <c r="C1154" s="174">
        <f t="shared" si="584"/>
        <v>0</v>
      </c>
      <c r="D1154" s="174">
        <f t="shared" si="585"/>
        <v>0</v>
      </c>
      <c r="E1154" s="174">
        <f t="shared" si="586"/>
        <v>0</v>
      </c>
      <c r="F1154" s="174">
        <f t="shared" si="587"/>
        <v>0</v>
      </c>
      <c r="G1154" s="171">
        <f t="shared" si="588"/>
        <v>0</v>
      </c>
      <c r="H1154" s="171">
        <f t="shared" si="589"/>
        <v>164656.62232876453</v>
      </c>
      <c r="I1154" s="171">
        <f>IF(B1154="Working",MIN(MAX(D1154-E1154-F1154-G1154-H1154,0),'Tax Assumptions'!$B$20),0)</f>
        <v>0</v>
      </c>
      <c r="J1154" s="171">
        <f t="shared" si="590"/>
        <v>-304656.62232876453</v>
      </c>
      <c r="K1154" s="174">
        <f t="shared" si="591"/>
        <v>304656.62232876453</v>
      </c>
      <c r="L1154" s="174">
        <f t="shared" si="592"/>
        <v>304656.62232876453</v>
      </c>
      <c r="M1154" s="174">
        <f t="shared" si="598"/>
        <v>304656.62232876453</v>
      </c>
      <c r="N1154" s="174">
        <f t="shared" si="599"/>
        <v>0</v>
      </c>
      <c r="O1154" s="174">
        <f t="shared" si="600"/>
        <v>0</v>
      </c>
      <c r="P1154" s="174">
        <f t="shared" si="601"/>
        <v>0</v>
      </c>
      <c r="Q1154" s="171">
        <f t="shared" si="602"/>
        <v>4609549.8100253614</v>
      </c>
      <c r="R1154" s="171">
        <f t="shared" si="603"/>
        <v>514700.52367264166</v>
      </c>
      <c r="S1154" s="171">
        <f t="shared" si="604"/>
        <v>145607.52423876605</v>
      </c>
      <c r="T1154" s="171">
        <f t="shared" si="605"/>
        <v>0</v>
      </c>
      <c r="U1154" s="171">
        <f t="shared" si="593"/>
        <v>5269857.8579367688</v>
      </c>
      <c r="V1154" s="171">
        <f t="shared" si="606"/>
        <v>0</v>
      </c>
      <c r="W1154" s="171">
        <f>IF(OR(A1154&gt;=$C$13,B1154="Retired"),IF(V1154&gt;0,-V1154,U1154-'Model Inputs'!$B$18),"")</f>
        <v>4269857.8579367688</v>
      </c>
      <c r="X1154" s="171">
        <f t="shared" si="594"/>
        <v>2997496.4421228254</v>
      </c>
      <c r="Y1154" s="171">
        <f t="shared" si="595"/>
        <v>1129378.5994607357</v>
      </c>
      <c r="Z1154" s="171">
        <f t="shared" si="596"/>
        <v>1868117.8426620897</v>
      </c>
      <c r="AA1154" s="175">
        <f t="shared" si="597"/>
        <v>7137975.7005988583</v>
      </c>
      <c r="AB1154" s="5"/>
      <c r="AC1154" s="5"/>
      <c r="AD1154" s="5"/>
      <c r="AE1154" s="5"/>
      <c r="AF1154" s="5"/>
      <c r="AG1154" s="5"/>
    </row>
    <row r="1155" spans="1:33" x14ac:dyDescent="0.2">
      <c r="A1155" s="169">
        <v>19</v>
      </c>
      <c r="B1155" s="100" t="str">
        <f t="shared" si="583"/>
        <v>Retired</v>
      </c>
      <c r="C1155" s="170">
        <f t="shared" si="584"/>
        <v>0</v>
      </c>
      <c r="D1155" s="170">
        <f t="shared" si="585"/>
        <v>0</v>
      </c>
      <c r="E1155" s="170">
        <f t="shared" si="586"/>
        <v>0</v>
      </c>
      <c r="F1155" s="170">
        <f t="shared" si="587"/>
        <v>0</v>
      </c>
      <c r="G1155" s="171">
        <f t="shared" si="588"/>
        <v>0</v>
      </c>
      <c r="H1155" s="171">
        <f t="shared" si="589"/>
        <v>166634.9699805656</v>
      </c>
      <c r="I1155" s="171">
        <f>IF(B1155="Working",MIN(MAX(D1155-E1155-F1155-G1155-H1155,0),'Tax Assumptions'!$B$20),0)</f>
        <v>0</v>
      </c>
      <c r="J1155" s="171">
        <f t="shared" si="590"/>
        <v>-306634.9699805656</v>
      </c>
      <c r="K1155" s="170">
        <f t="shared" si="591"/>
        <v>306634.9699805656</v>
      </c>
      <c r="L1155" s="170">
        <f t="shared" si="592"/>
        <v>306634.9699805656</v>
      </c>
      <c r="M1155" s="170">
        <f t="shared" si="598"/>
        <v>306634.9699805656</v>
      </c>
      <c r="N1155" s="170">
        <f t="shared" si="599"/>
        <v>0</v>
      </c>
      <c r="O1155" s="170">
        <f t="shared" si="600"/>
        <v>0</v>
      </c>
      <c r="P1155" s="170">
        <f t="shared" si="601"/>
        <v>0</v>
      </c>
      <c r="Q1155" s="171">
        <f t="shared" si="602"/>
        <v>4579487.8286463171</v>
      </c>
      <c r="R1155" s="171">
        <f t="shared" si="603"/>
        <v>545582.55509300018</v>
      </c>
      <c r="S1155" s="171">
        <f t="shared" si="604"/>
        <v>154343.97569309201</v>
      </c>
      <c r="T1155" s="171">
        <f t="shared" si="605"/>
        <v>0</v>
      </c>
      <c r="U1155" s="171">
        <f t="shared" si="593"/>
        <v>5279414.3594324086</v>
      </c>
      <c r="V1155" s="171">
        <f t="shared" si="606"/>
        <v>0</v>
      </c>
      <c r="W1155" s="171">
        <f>IF(OR(A1155&gt;=$C$13,B1155="Retired"),IF(V1155&gt;0,-V1155,U1155-'Model Inputs'!$B$18),"")</f>
        <v>4279414.3594324086</v>
      </c>
      <c r="X1155" s="171">
        <f t="shared" si="594"/>
        <v>3087421.3353865105</v>
      </c>
      <c r="Y1155" s="171">
        <f t="shared" si="595"/>
        <v>1103308.9388995722</v>
      </c>
      <c r="Z1155" s="171">
        <f t="shared" si="596"/>
        <v>1984112.3964869382</v>
      </c>
      <c r="AA1155" s="172">
        <f t="shared" si="597"/>
        <v>7263526.7559193466</v>
      </c>
      <c r="AB1155" s="5"/>
      <c r="AC1155" s="5"/>
      <c r="AD1155" s="5"/>
      <c r="AE1155" s="5"/>
      <c r="AF1155" s="5"/>
      <c r="AG1155" s="5"/>
    </row>
    <row r="1156" spans="1:33" x14ac:dyDescent="0.2">
      <c r="A1156" s="173">
        <v>20</v>
      </c>
      <c r="B1156" s="65" t="str">
        <f t="shared" si="583"/>
        <v>Retired</v>
      </c>
      <c r="C1156" s="174">
        <f t="shared" si="584"/>
        <v>0</v>
      </c>
      <c r="D1156" s="174">
        <f t="shared" si="585"/>
        <v>0</v>
      </c>
      <c r="E1156" s="174">
        <f t="shared" si="586"/>
        <v>0</v>
      </c>
      <c r="F1156" s="174">
        <f t="shared" si="587"/>
        <v>0</v>
      </c>
      <c r="G1156" s="171">
        <f t="shared" si="588"/>
        <v>0</v>
      </c>
      <c r="H1156" s="171">
        <f t="shared" si="589"/>
        <v>168672.66806192067</v>
      </c>
      <c r="I1156" s="171">
        <f>IF(B1156="Working",MIN(MAX(D1156-E1156-F1156-G1156-H1156,0),'Tax Assumptions'!$B$20),0)</f>
        <v>0</v>
      </c>
      <c r="J1156" s="171">
        <f t="shared" si="590"/>
        <v>-308672.66806192067</v>
      </c>
      <c r="K1156" s="174">
        <f t="shared" si="591"/>
        <v>308672.66806192067</v>
      </c>
      <c r="L1156" s="174">
        <f t="shared" si="592"/>
        <v>308672.66806192067</v>
      </c>
      <c r="M1156" s="174">
        <f t="shared" si="598"/>
        <v>308672.66806192067</v>
      </c>
      <c r="N1156" s="174">
        <f t="shared" si="599"/>
        <v>0</v>
      </c>
      <c r="O1156" s="174">
        <f t="shared" si="600"/>
        <v>0</v>
      </c>
      <c r="P1156" s="174">
        <f t="shared" si="601"/>
        <v>0</v>
      </c>
      <c r="Q1156" s="171">
        <f t="shared" si="602"/>
        <v>4545584.4303031759</v>
      </c>
      <c r="R1156" s="171">
        <f t="shared" si="603"/>
        <v>578317.50839858025</v>
      </c>
      <c r="S1156" s="171">
        <f t="shared" si="604"/>
        <v>163604.61423467755</v>
      </c>
      <c r="T1156" s="171">
        <f t="shared" si="605"/>
        <v>0</v>
      </c>
      <c r="U1156" s="171">
        <f t="shared" si="593"/>
        <v>5287506.5529364338</v>
      </c>
      <c r="V1156" s="171">
        <f t="shared" si="606"/>
        <v>0</v>
      </c>
      <c r="W1156" s="171">
        <f>IF(OR(A1156&gt;=$C$13,B1156="Retired"),IF(V1156&gt;0,-V1156,U1156-'Model Inputs'!$B$18),"")</f>
        <v>4287506.5529364338</v>
      </c>
      <c r="X1156" s="171">
        <f t="shared" si="594"/>
        <v>3180043.9754481055</v>
      </c>
      <c r="Y1156" s="171">
        <f t="shared" si="595"/>
        <v>1075493.3448895502</v>
      </c>
      <c r="Z1156" s="171">
        <f t="shared" si="596"/>
        <v>2104550.630558555</v>
      </c>
      <c r="AA1156" s="175">
        <f t="shared" si="597"/>
        <v>7392057.1834949888</v>
      </c>
      <c r="AB1156" s="5"/>
      <c r="AC1156" s="5"/>
      <c r="AD1156" s="5"/>
      <c r="AE1156" s="5"/>
      <c r="AF1156" s="5"/>
      <c r="AG1156" s="5"/>
    </row>
    <row r="1157" spans="1:33" x14ac:dyDescent="0.2">
      <c r="A1157" s="169">
        <v>21</v>
      </c>
      <c r="B1157" s="100" t="str">
        <f t="shared" si="583"/>
        <v>Retired</v>
      </c>
      <c r="C1157" s="170">
        <f t="shared" si="584"/>
        <v>0</v>
      </c>
      <c r="D1157" s="170">
        <f t="shared" si="585"/>
        <v>0</v>
      </c>
      <c r="E1157" s="170">
        <f t="shared" si="586"/>
        <v>0</v>
      </c>
      <c r="F1157" s="170">
        <f t="shared" si="587"/>
        <v>0</v>
      </c>
      <c r="G1157" s="171">
        <f t="shared" si="588"/>
        <v>0</v>
      </c>
      <c r="H1157" s="171">
        <f t="shared" si="589"/>
        <v>170771.49708571643</v>
      </c>
      <c r="I1157" s="171">
        <f>IF(B1157="Working",MIN(MAX(D1157-E1157-F1157-G1157-H1157,0),'Tax Assumptions'!$B$20),0)</f>
        <v>0</v>
      </c>
      <c r="J1157" s="171">
        <f t="shared" si="590"/>
        <v>-310771.49708571646</v>
      </c>
      <c r="K1157" s="170">
        <f t="shared" si="591"/>
        <v>310771.49708571646</v>
      </c>
      <c r="L1157" s="170">
        <f t="shared" si="592"/>
        <v>310771.49708571646</v>
      </c>
      <c r="M1157" s="170">
        <f t="shared" si="598"/>
        <v>310771.49708571646</v>
      </c>
      <c r="N1157" s="170">
        <f t="shared" si="599"/>
        <v>0</v>
      </c>
      <c r="O1157" s="170">
        <f t="shared" si="600"/>
        <v>0</v>
      </c>
      <c r="P1157" s="170">
        <f t="shared" si="601"/>
        <v>0</v>
      </c>
      <c r="Q1157" s="171">
        <f t="shared" si="602"/>
        <v>4507547.9990356499</v>
      </c>
      <c r="R1157" s="171">
        <f t="shared" si="603"/>
        <v>613016.55890249508</v>
      </c>
      <c r="S1157" s="171">
        <f t="shared" si="604"/>
        <v>173420.89108875822</v>
      </c>
      <c r="T1157" s="171">
        <f t="shared" si="605"/>
        <v>0</v>
      </c>
      <c r="U1157" s="171">
        <f t="shared" si="593"/>
        <v>5293985.4490269041</v>
      </c>
      <c r="V1157" s="171">
        <f t="shared" si="606"/>
        <v>0</v>
      </c>
      <c r="W1157" s="171">
        <f>IF(OR(A1157&gt;=$C$13,B1157="Retired"),IF(V1157&gt;0,-V1157,U1157-'Model Inputs'!$B$18),"")</f>
        <v>4293985.4490269041</v>
      </c>
      <c r="X1157" s="171">
        <f t="shared" si="594"/>
        <v>3275445.2947115488</v>
      </c>
      <c r="Y1157" s="171">
        <f t="shared" si="595"/>
        <v>1045814.889034126</v>
      </c>
      <c r="Z1157" s="171">
        <f t="shared" si="596"/>
        <v>2229630.4056774229</v>
      </c>
      <c r="AA1157" s="172">
        <f t="shared" si="597"/>
        <v>7523615.854704327</v>
      </c>
      <c r="AB1157" s="5"/>
      <c r="AC1157" s="5"/>
      <c r="AD1157" s="5"/>
      <c r="AE1157" s="5"/>
      <c r="AF1157" s="5"/>
      <c r="AG1157" s="5"/>
    </row>
    <row r="1158" spans="1:33" x14ac:dyDescent="0.2">
      <c r="A1158" s="173">
        <v>22</v>
      </c>
      <c r="B1158" s="65" t="str">
        <f t="shared" si="583"/>
        <v>Retired</v>
      </c>
      <c r="C1158" s="174">
        <f t="shared" si="584"/>
        <v>0</v>
      </c>
      <c r="D1158" s="174">
        <f t="shared" si="585"/>
        <v>0</v>
      </c>
      <c r="E1158" s="174">
        <f t="shared" si="586"/>
        <v>0</v>
      </c>
      <c r="F1158" s="174">
        <f t="shared" si="587"/>
        <v>0</v>
      </c>
      <c r="G1158" s="171">
        <f t="shared" si="588"/>
        <v>0</v>
      </c>
      <c r="H1158" s="171">
        <f t="shared" si="589"/>
        <v>172933.29098022607</v>
      </c>
      <c r="I1158" s="171">
        <f>IF(B1158="Working",MIN(MAX(D1158-E1158-F1158-G1158-H1158,0),'Tax Assumptions'!$B$20),0)</f>
        <v>0</v>
      </c>
      <c r="J1158" s="171">
        <f t="shared" si="590"/>
        <v>-312933.29098022607</v>
      </c>
      <c r="K1158" s="174">
        <f t="shared" si="591"/>
        <v>312933.29098022607</v>
      </c>
      <c r="L1158" s="174">
        <f t="shared" si="592"/>
        <v>312933.29098022607</v>
      </c>
      <c r="M1158" s="174">
        <f t="shared" si="598"/>
        <v>312933.29098022607</v>
      </c>
      <c r="N1158" s="174">
        <f t="shared" si="599"/>
        <v>0</v>
      </c>
      <c r="O1158" s="174">
        <f t="shared" si="600"/>
        <v>0</v>
      </c>
      <c r="P1158" s="174">
        <f t="shared" si="601"/>
        <v>0</v>
      </c>
      <c r="Q1158" s="171">
        <f t="shared" si="602"/>
        <v>4465067.5879975632</v>
      </c>
      <c r="R1158" s="171">
        <f t="shared" si="603"/>
        <v>649797.55243664479</v>
      </c>
      <c r="S1158" s="171">
        <f t="shared" si="604"/>
        <v>183826.14455408373</v>
      </c>
      <c r="T1158" s="171">
        <f t="shared" si="605"/>
        <v>0</v>
      </c>
      <c r="U1158" s="171">
        <f t="shared" si="593"/>
        <v>5298691.2849882925</v>
      </c>
      <c r="V1158" s="171">
        <f t="shared" si="606"/>
        <v>0</v>
      </c>
      <c r="W1158" s="171">
        <f>IF(OR(A1158&gt;=$C$13,B1158="Retired"),IF(V1158&gt;0,-V1158,U1158-'Model Inputs'!$B$18),"")</f>
        <v>4298691.2849882925</v>
      </c>
      <c r="X1158" s="171">
        <f t="shared" si="594"/>
        <v>3373708.6535528949</v>
      </c>
      <c r="Y1158" s="171">
        <f t="shared" si="595"/>
        <v>1014148.8120254884</v>
      </c>
      <c r="Z1158" s="171">
        <f t="shared" si="596"/>
        <v>2359559.8415274066</v>
      </c>
      <c r="AA1158" s="175">
        <f t="shared" si="597"/>
        <v>7658251.1265156996</v>
      </c>
      <c r="AB1158" s="5"/>
      <c r="AC1158" s="5"/>
      <c r="AD1158" s="5"/>
      <c r="AE1158" s="5"/>
      <c r="AF1158" s="5"/>
      <c r="AG1158" s="5"/>
    </row>
    <row r="1159" spans="1:33" x14ac:dyDescent="0.2">
      <c r="A1159" s="169">
        <v>23</v>
      </c>
      <c r="B1159" s="100" t="str">
        <f t="shared" si="583"/>
        <v>Retired</v>
      </c>
      <c r="C1159" s="170">
        <f t="shared" si="584"/>
        <v>0</v>
      </c>
      <c r="D1159" s="170">
        <f t="shared" si="585"/>
        <v>0</v>
      </c>
      <c r="E1159" s="170">
        <f t="shared" si="586"/>
        <v>0</v>
      </c>
      <c r="F1159" s="170">
        <f t="shared" si="587"/>
        <v>0</v>
      </c>
      <c r="G1159" s="171">
        <f t="shared" si="588"/>
        <v>0</v>
      </c>
      <c r="H1159" s="171">
        <f t="shared" si="589"/>
        <v>175159.93869157095</v>
      </c>
      <c r="I1159" s="171">
        <f>IF(B1159="Working",MIN(MAX(D1159-E1159-F1159-G1159-H1159,0),'Tax Assumptions'!$B$20),0)</f>
        <v>0</v>
      </c>
      <c r="J1159" s="171">
        <f t="shared" si="590"/>
        <v>-315159.93869157095</v>
      </c>
      <c r="K1159" s="170">
        <f t="shared" si="591"/>
        <v>315159.93869157095</v>
      </c>
      <c r="L1159" s="170">
        <f t="shared" si="592"/>
        <v>315159.93869157095</v>
      </c>
      <c r="M1159" s="170">
        <f t="shared" si="598"/>
        <v>315159.93869157095</v>
      </c>
      <c r="N1159" s="170">
        <f t="shared" si="599"/>
        <v>0</v>
      </c>
      <c r="O1159" s="170">
        <f t="shared" si="600"/>
        <v>0</v>
      </c>
      <c r="P1159" s="170">
        <f t="shared" si="601"/>
        <v>0</v>
      </c>
      <c r="Q1159" s="171">
        <f t="shared" si="602"/>
        <v>4417811.7045858456</v>
      </c>
      <c r="R1159" s="171">
        <f t="shared" si="603"/>
        <v>688785.40558284346</v>
      </c>
      <c r="S1159" s="171">
        <f t="shared" si="604"/>
        <v>194855.71322732876</v>
      </c>
      <c r="T1159" s="171">
        <f t="shared" si="605"/>
        <v>0</v>
      </c>
      <c r="U1159" s="171">
        <f t="shared" si="593"/>
        <v>5301452.8233960178</v>
      </c>
      <c r="V1159" s="171">
        <f t="shared" si="606"/>
        <v>0</v>
      </c>
      <c r="W1159" s="171">
        <f>IF(OR(A1159&gt;=$C$13,B1159="Retired"),IF(V1159&gt;0,-V1159,U1159-'Model Inputs'!$B$18),"")</f>
        <v>4301452.8233960178</v>
      </c>
      <c r="X1159" s="171">
        <f t="shared" si="594"/>
        <v>3474919.9131594817</v>
      </c>
      <c r="Y1159" s="171">
        <f t="shared" si="595"/>
        <v>980361.99919392681</v>
      </c>
      <c r="Z1159" s="171">
        <f t="shared" si="596"/>
        <v>2494557.9139655549</v>
      </c>
      <c r="AA1159" s="172">
        <f t="shared" si="597"/>
        <v>7796010.7373615727</v>
      </c>
      <c r="AB1159" s="5"/>
      <c r="AC1159" s="5"/>
      <c r="AD1159" s="5"/>
      <c r="AE1159" s="5"/>
      <c r="AF1159" s="5"/>
      <c r="AG1159" s="5"/>
    </row>
    <row r="1160" spans="1:33" x14ac:dyDescent="0.2">
      <c r="A1160" s="173">
        <v>24</v>
      </c>
      <c r="B1160" s="65" t="str">
        <f t="shared" si="583"/>
        <v>Retired</v>
      </c>
      <c r="C1160" s="174">
        <f t="shared" si="584"/>
        <v>0</v>
      </c>
      <c r="D1160" s="174">
        <f t="shared" si="585"/>
        <v>0</v>
      </c>
      <c r="E1160" s="174">
        <f t="shared" si="586"/>
        <v>0</v>
      </c>
      <c r="F1160" s="174">
        <f t="shared" si="587"/>
        <v>0</v>
      </c>
      <c r="G1160" s="171">
        <f t="shared" si="588"/>
        <v>0</v>
      </c>
      <c r="H1160" s="171">
        <f t="shared" si="589"/>
        <v>177453.38583425625</v>
      </c>
      <c r="I1160" s="171">
        <f>IF(B1160="Working",MIN(MAX(D1160-E1160-F1160-G1160-H1160,0),'Tax Assumptions'!$B$20),0)</f>
        <v>0</v>
      </c>
      <c r="J1160" s="171">
        <f t="shared" si="590"/>
        <v>-317453.38583425625</v>
      </c>
      <c r="K1160" s="174">
        <f t="shared" si="591"/>
        <v>317453.38583425625</v>
      </c>
      <c r="L1160" s="174">
        <f t="shared" si="592"/>
        <v>317453.38583425625</v>
      </c>
      <c r="M1160" s="174">
        <f t="shared" si="598"/>
        <v>317453.38583425625</v>
      </c>
      <c r="N1160" s="174">
        <f t="shared" si="599"/>
        <v>0</v>
      </c>
      <c r="O1160" s="174">
        <f t="shared" si="600"/>
        <v>0</v>
      </c>
      <c r="P1160" s="174">
        <f t="shared" si="601"/>
        <v>0</v>
      </c>
      <c r="Q1160" s="171">
        <f t="shared" si="602"/>
        <v>4365427.0210267408</v>
      </c>
      <c r="R1160" s="171">
        <f t="shared" si="603"/>
        <v>730112.52991781407</v>
      </c>
      <c r="S1160" s="171">
        <f t="shared" si="604"/>
        <v>206547.05602096851</v>
      </c>
      <c r="T1160" s="171">
        <f t="shared" si="605"/>
        <v>0</v>
      </c>
      <c r="U1160" s="171">
        <f t="shared" si="593"/>
        <v>5302086.6069655232</v>
      </c>
      <c r="V1160" s="171">
        <f t="shared" si="606"/>
        <v>0</v>
      </c>
      <c r="W1160" s="171">
        <f>IF(OR(A1160&gt;=$C$13,B1160="Retired"),IF(V1160&gt;0,-V1160,U1160-'Model Inputs'!$B$18),"")</f>
        <v>4302086.6069655232</v>
      </c>
      <c r="X1160" s="171">
        <f t="shared" si="594"/>
        <v>3579167.5105542666</v>
      </c>
      <c r="Y1160" s="171">
        <f t="shared" si="595"/>
        <v>944312.42093377281</v>
      </c>
      <c r="Z1160" s="171">
        <f t="shared" si="596"/>
        <v>2634855.0896204938</v>
      </c>
      <c r="AA1160" s="175">
        <f t="shared" si="597"/>
        <v>7936941.6965860166</v>
      </c>
      <c r="AB1160" s="5"/>
      <c r="AC1160" s="5"/>
      <c r="AD1160" s="5"/>
      <c r="AE1160" s="5"/>
      <c r="AF1160" s="5"/>
      <c r="AG1160" s="5"/>
    </row>
    <row r="1161" spans="1:33" x14ac:dyDescent="0.2">
      <c r="A1161" s="169">
        <v>25</v>
      </c>
      <c r="B1161" s="100" t="str">
        <f t="shared" si="583"/>
        <v>Retired</v>
      </c>
      <c r="C1161" s="170">
        <f t="shared" si="584"/>
        <v>0</v>
      </c>
      <c r="D1161" s="170">
        <f t="shared" si="585"/>
        <v>0</v>
      </c>
      <c r="E1161" s="170">
        <f t="shared" si="586"/>
        <v>0</v>
      </c>
      <c r="F1161" s="170">
        <f t="shared" si="587"/>
        <v>0</v>
      </c>
      <c r="G1161" s="171">
        <f t="shared" si="588"/>
        <v>0</v>
      </c>
      <c r="H1161" s="171">
        <f t="shared" si="589"/>
        <v>179815.63639122204</v>
      </c>
      <c r="I1161" s="171">
        <f>IF(B1161="Working",MIN(MAX(D1161-E1161-F1161-G1161-H1161,0),'Tax Assumptions'!$B$20),0)</f>
        <v>0</v>
      </c>
      <c r="J1161" s="171">
        <f t="shared" si="590"/>
        <v>-319815.63639122201</v>
      </c>
      <c r="K1161" s="170">
        <f t="shared" si="591"/>
        <v>319815.63639122201</v>
      </c>
      <c r="L1161" s="170">
        <f t="shared" si="592"/>
        <v>319815.63639122201</v>
      </c>
      <c r="M1161" s="170">
        <f t="shared" si="598"/>
        <v>319815.63639122201</v>
      </c>
      <c r="N1161" s="170">
        <f t="shared" si="599"/>
        <v>0</v>
      </c>
      <c r="O1161" s="170">
        <f t="shared" si="600"/>
        <v>0</v>
      </c>
      <c r="P1161" s="170">
        <f t="shared" si="601"/>
        <v>0</v>
      </c>
      <c r="Q1161" s="171">
        <f t="shared" si="602"/>
        <v>4307537.0058971234</v>
      </c>
      <c r="R1161" s="171">
        <f t="shared" si="603"/>
        <v>773919.28171288292</v>
      </c>
      <c r="S1161" s="171">
        <f t="shared" si="604"/>
        <v>218939.87938222662</v>
      </c>
      <c r="T1161" s="171">
        <f t="shared" si="605"/>
        <v>0</v>
      </c>
      <c r="U1161" s="171">
        <f t="shared" si="593"/>
        <v>5300396.1669922331</v>
      </c>
      <c r="V1161" s="171">
        <f t="shared" si="606"/>
        <v>0</v>
      </c>
      <c r="W1161" s="171">
        <f>IF(OR(A1161&gt;=$C$13,B1161="Retired"),IF(V1161&gt;0,-V1161,U1161-'Model Inputs'!$B$18),"")</f>
        <v>4300396.1669922331</v>
      </c>
      <c r="X1161" s="171">
        <f t="shared" si="594"/>
        <v>3686542.5358708948</v>
      </c>
      <c r="Y1161" s="171">
        <f t="shared" si="595"/>
        <v>905848.53565362561</v>
      </c>
      <c r="Z1161" s="171">
        <f t="shared" si="596"/>
        <v>2780694.0002172692</v>
      </c>
      <c r="AA1161" s="172">
        <f t="shared" si="597"/>
        <v>8081090.1672095023</v>
      </c>
      <c r="AB1161" s="5"/>
      <c r="AC1161" s="5"/>
      <c r="AD1161" s="5"/>
      <c r="AE1161" s="5"/>
      <c r="AF1161" s="5"/>
      <c r="AG1161" s="5"/>
    </row>
    <row r="1162" spans="1:33" x14ac:dyDescent="0.2">
      <c r="A1162" s="173">
        <v>26</v>
      </c>
      <c r="B1162" s="65" t="str">
        <f t="shared" si="583"/>
        <v>Retired</v>
      </c>
      <c r="C1162" s="174">
        <f t="shared" si="584"/>
        <v>0</v>
      </c>
      <c r="D1162" s="174">
        <f t="shared" si="585"/>
        <v>0</v>
      </c>
      <c r="E1162" s="174">
        <f t="shared" si="586"/>
        <v>0</v>
      </c>
      <c r="F1162" s="174">
        <f t="shared" si="587"/>
        <v>0</v>
      </c>
      <c r="G1162" s="171">
        <f t="shared" si="588"/>
        <v>0</v>
      </c>
      <c r="H1162" s="171">
        <f t="shared" si="589"/>
        <v>182248.7544648968</v>
      </c>
      <c r="I1162" s="171">
        <f>IF(B1162="Working",MIN(MAX(D1162-E1162-F1162-G1162-H1162,0),'Tax Assumptions'!$B$20),0)</f>
        <v>0</v>
      </c>
      <c r="J1162" s="171">
        <f t="shared" si="590"/>
        <v>-322248.7544648968</v>
      </c>
      <c r="K1162" s="174">
        <f t="shared" si="591"/>
        <v>322248.7544648968</v>
      </c>
      <c r="L1162" s="174">
        <f t="shared" si="592"/>
        <v>322248.7544648968</v>
      </c>
      <c r="M1162" s="174">
        <f t="shared" si="598"/>
        <v>322248.7544648968</v>
      </c>
      <c r="N1162" s="174">
        <f t="shared" si="599"/>
        <v>0</v>
      </c>
      <c r="O1162" s="174">
        <f t="shared" si="600"/>
        <v>0</v>
      </c>
      <c r="P1162" s="174">
        <f t="shared" si="601"/>
        <v>0</v>
      </c>
      <c r="Q1162" s="171">
        <f t="shared" si="602"/>
        <v>4243740.4717860548</v>
      </c>
      <c r="R1162" s="171">
        <f t="shared" si="603"/>
        <v>820354.43861565599</v>
      </c>
      <c r="S1162" s="171">
        <f t="shared" si="604"/>
        <v>232076.27214516021</v>
      </c>
      <c r="T1162" s="171">
        <f t="shared" si="605"/>
        <v>0</v>
      </c>
      <c r="U1162" s="171">
        <f t="shared" si="593"/>
        <v>5296171.1825468717</v>
      </c>
      <c r="V1162" s="171">
        <f t="shared" si="606"/>
        <v>0</v>
      </c>
      <c r="W1162" s="171">
        <f>IF(OR(A1162&gt;=$C$13,B1162="Retired"),IF(V1162&gt;0,-V1162,U1162-'Model Inputs'!$B$18),"")</f>
        <v>4296171.1825468717</v>
      </c>
      <c r="X1162" s="171">
        <f t="shared" si="594"/>
        <v>3797138.8119470207</v>
      </c>
      <c r="Y1162" s="171">
        <f t="shared" si="595"/>
        <v>864808.65274105361</v>
      </c>
      <c r="Z1162" s="171">
        <f t="shared" si="596"/>
        <v>2932330.1592059671</v>
      </c>
      <c r="AA1162" s="175">
        <f t="shared" si="597"/>
        <v>8228501.3417528383</v>
      </c>
      <c r="AB1162" s="5"/>
      <c r="AC1162" s="5"/>
      <c r="AD1162" s="5"/>
      <c r="AE1162" s="5"/>
      <c r="AF1162" s="5"/>
      <c r="AG1162" s="5"/>
    </row>
    <row r="1163" spans="1:33" x14ac:dyDescent="0.2">
      <c r="A1163" s="169">
        <v>27</v>
      </c>
      <c r="B1163" s="100" t="str">
        <f t="shared" si="583"/>
        <v>Retired</v>
      </c>
      <c r="C1163" s="170">
        <f t="shared" si="584"/>
        <v>0</v>
      </c>
      <c r="D1163" s="170">
        <f t="shared" si="585"/>
        <v>0</v>
      </c>
      <c r="E1163" s="170">
        <f t="shared" si="586"/>
        <v>0</v>
      </c>
      <c r="F1163" s="170">
        <f t="shared" si="587"/>
        <v>0</v>
      </c>
      <c r="G1163" s="171">
        <f t="shared" si="588"/>
        <v>0</v>
      </c>
      <c r="H1163" s="171">
        <f t="shared" si="589"/>
        <v>184754.86608078185</v>
      </c>
      <c r="I1163" s="171">
        <f>IF(B1163="Working",MIN(MAX(D1163-E1163-F1163-G1163-H1163,0),'Tax Assumptions'!$B$20),0)</f>
        <v>0</v>
      </c>
      <c r="J1163" s="171">
        <f t="shared" si="590"/>
        <v>-324754.86608078185</v>
      </c>
      <c r="K1163" s="170">
        <f t="shared" si="591"/>
        <v>324754.86608078185</v>
      </c>
      <c r="L1163" s="170">
        <f t="shared" si="592"/>
        <v>324754.86608078185</v>
      </c>
      <c r="M1163" s="170">
        <f t="shared" si="598"/>
        <v>324754.86608078185</v>
      </c>
      <c r="N1163" s="170">
        <f t="shared" si="599"/>
        <v>0</v>
      </c>
      <c r="O1163" s="170">
        <f t="shared" si="600"/>
        <v>0</v>
      </c>
      <c r="P1163" s="170">
        <f t="shared" si="601"/>
        <v>0</v>
      </c>
      <c r="Q1163" s="171">
        <f t="shared" si="602"/>
        <v>4173610.0340124364</v>
      </c>
      <c r="R1163" s="171">
        <f t="shared" si="603"/>
        <v>869575.70493259537</v>
      </c>
      <c r="S1163" s="171">
        <f t="shared" si="604"/>
        <v>246000.84847386985</v>
      </c>
      <c r="T1163" s="171">
        <f t="shared" si="605"/>
        <v>0</v>
      </c>
      <c r="U1163" s="171">
        <f t="shared" si="593"/>
        <v>5289186.5874189017</v>
      </c>
      <c r="V1163" s="171">
        <f t="shared" si="606"/>
        <v>0</v>
      </c>
      <c r="W1163" s="171">
        <f>IF(OR(A1163&gt;=$C$13,B1163="Retired"),IF(V1163&gt;0,-V1163,U1163-'Model Inputs'!$B$18),"")</f>
        <v>4289186.5874189017</v>
      </c>
      <c r="X1163" s="171">
        <f t="shared" si="594"/>
        <v>3911052.9763054312</v>
      </c>
      <c r="Y1163" s="171">
        <f t="shared" si="595"/>
        <v>821020.25286385883</v>
      </c>
      <c r="Z1163" s="171">
        <f t="shared" si="596"/>
        <v>3090032.7234415724</v>
      </c>
      <c r="AA1163" s="172">
        <f t="shared" si="597"/>
        <v>8379219.3108604737</v>
      </c>
      <c r="AB1163" s="5"/>
      <c r="AC1163" s="5"/>
      <c r="AD1163" s="5"/>
      <c r="AE1163" s="5"/>
      <c r="AF1163" s="5"/>
      <c r="AG1163" s="5"/>
    </row>
    <row r="1164" spans="1:33" x14ac:dyDescent="0.2">
      <c r="A1164" s="173">
        <v>28</v>
      </c>
      <c r="B1164" s="65" t="str">
        <f t="shared" si="583"/>
        <v>Retired</v>
      </c>
      <c r="C1164" s="174">
        <f t="shared" si="584"/>
        <v>0</v>
      </c>
      <c r="D1164" s="174">
        <f t="shared" si="585"/>
        <v>0</v>
      </c>
      <c r="E1164" s="174">
        <f t="shared" si="586"/>
        <v>0</v>
      </c>
      <c r="F1164" s="174">
        <f t="shared" si="587"/>
        <v>0</v>
      </c>
      <c r="G1164" s="171">
        <f t="shared" si="588"/>
        <v>0</v>
      </c>
      <c r="H1164" s="171">
        <f t="shared" si="589"/>
        <v>187336.16104514344</v>
      </c>
      <c r="I1164" s="171">
        <f>IF(B1164="Working",MIN(MAX(D1164-E1164-F1164-G1164-H1164,0),'Tax Assumptions'!$B$20),0)</f>
        <v>0</v>
      </c>
      <c r="J1164" s="171">
        <f t="shared" si="590"/>
        <v>-327336.16104514344</v>
      </c>
      <c r="K1164" s="174">
        <f t="shared" si="591"/>
        <v>327336.16104514344</v>
      </c>
      <c r="L1164" s="174">
        <f t="shared" si="592"/>
        <v>327336.16104514344</v>
      </c>
      <c r="M1164" s="174">
        <f t="shared" si="598"/>
        <v>327336.16104514344</v>
      </c>
      <c r="N1164" s="174">
        <f t="shared" si="599"/>
        <v>0</v>
      </c>
      <c r="O1164" s="174">
        <f t="shared" si="600"/>
        <v>0</v>
      </c>
      <c r="P1164" s="174">
        <f t="shared" si="601"/>
        <v>0</v>
      </c>
      <c r="Q1164" s="171">
        <f t="shared" si="602"/>
        <v>4096690.4750080397</v>
      </c>
      <c r="R1164" s="171">
        <f t="shared" si="603"/>
        <v>921750.24722855119</v>
      </c>
      <c r="S1164" s="171">
        <f t="shared" si="604"/>
        <v>260760.89938230204</v>
      </c>
      <c r="T1164" s="171">
        <f t="shared" si="605"/>
        <v>0</v>
      </c>
      <c r="U1164" s="171">
        <f t="shared" si="593"/>
        <v>5279201.6216188921</v>
      </c>
      <c r="V1164" s="171">
        <f t="shared" si="606"/>
        <v>0</v>
      </c>
      <c r="W1164" s="171">
        <f>IF(OR(A1164&gt;=$C$13,B1164="Retired"),IF(V1164&gt;0,-V1164,U1164-'Model Inputs'!$B$18),"")</f>
        <v>4279201.6216188921</v>
      </c>
      <c r="X1164" s="171">
        <f t="shared" si="594"/>
        <v>4028384.5655945945</v>
      </c>
      <c r="Y1164" s="171">
        <f t="shared" si="595"/>
        <v>774299.26275066007</v>
      </c>
      <c r="Z1164" s="171">
        <f t="shared" si="596"/>
        <v>3254085.3028439344</v>
      </c>
      <c r="AA1164" s="175">
        <f t="shared" si="597"/>
        <v>8533286.9244628269</v>
      </c>
      <c r="AB1164" s="5"/>
      <c r="AC1164" s="5"/>
      <c r="AD1164" s="5"/>
      <c r="AE1164" s="5"/>
      <c r="AF1164" s="5"/>
      <c r="AG1164" s="5"/>
    </row>
    <row r="1165" spans="1:33" x14ac:dyDescent="0.2">
      <c r="A1165" s="169">
        <v>29</v>
      </c>
      <c r="B1165" s="100" t="str">
        <f t="shared" si="583"/>
        <v>Retired</v>
      </c>
      <c r="C1165" s="170">
        <f t="shared" si="584"/>
        <v>0</v>
      </c>
      <c r="D1165" s="170">
        <f t="shared" si="585"/>
        <v>0</v>
      </c>
      <c r="E1165" s="170">
        <f t="shared" si="586"/>
        <v>0</v>
      </c>
      <c r="F1165" s="170">
        <f t="shared" si="587"/>
        <v>0</v>
      </c>
      <c r="G1165" s="171">
        <f t="shared" si="588"/>
        <v>0</v>
      </c>
      <c r="H1165" s="171">
        <f t="shared" si="589"/>
        <v>189994.89485843587</v>
      </c>
      <c r="I1165" s="171">
        <f>IF(B1165="Working",MIN(MAX(D1165-E1165-F1165-G1165-H1165,0),'Tax Assumptions'!$B$20),0)</f>
        <v>0</v>
      </c>
      <c r="J1165" s="171">
        <f t="shared" si="590"/>
        <v>-329994.89485843584</v>
      </c>
      <c r="K1165" s="170">
        <f t="shared" si="591"/>
        <v>329994.89485843584</v>
      </c>
      <c r="L1165" s="170">
        <f t="shared" si="592"/>
        <v>329994.89485843584</v>
      </c>
      <c r="M1165" s="170">
        <f t="shared" si="598"/>
        <v>329994.89485843584</v>
      </c>
      <c r="N1165" s="170">
        <f t="shared" si="599"/>
        <v>0</v>
      </c>
      <c r="O1165" s="170">
        <f t="shared" si="600"/>
        <v>0</v>
      </c>
      <c r="P1165" s="170">
        <f t="shared" si="601"/>
        <v>0</v>
      </c>
      <c r="Q1165" s="171">
        <f t="shared" si="602"/>
        <v>4012497.0086500868</v>
      </c>
      <c r="R1165" s="171">
        <f t="shared" si="603"/>
        <v>977055.26206226426</v>
      </c>
      <c r="S1165" s="171">
        <f t="shared" si="604"/>
        <v>276406.55334524019</v>
      </c>
      <c r="T1165" s="171">
        <f t="shared" si="605"/>
        <v>0</v>
      </c>
      <c r="U1165" s="171">
        <f t="shared" si="593"/>
        <v>5265958.8240575921</v>
      </c>
      <c r="V1165" s="171">
        <f t="shared" si="606"/>
        <v>0</v>
      </c>
      <c r="W1165" s="171">
        <f>IF(OR(A1165&gt;=$C$13,B1165="Retired"),IF(V1165&gt;0,-V1165,U1165-'Model Inputs'!$B$18),"")</f>
        <v>4265958.8240575921</v>
      </c>
      <c r="X1165" s="171">
        <f t="shared" si="594"/>
        <v>4149236.1025624322</v>
      </c>
      <c r="Y1165" s="171">
        <f t="shared" si="595"/>
        <v>724449.28140218835</v>
      </c>
      <c r="Z1165" s="171">
        <f t="shared" si="596"/>
        <v>3424786.8211602438</v>
      </c>
      <c r="AA1165" s="172">
        <f t="shared" si="597"/>
        <v>8690745.6452178359</v>
      </c>
      <c r="AB1165" s="5"/>
      <c r="AC1165" s="5"/>
      <c r="AD1165" s="5"/>
      <c r="AE1165" s="5"/>
      <c r="AF1165" s="5"/>
      <c r="AG1165" s="5"/>
    </row>
    <row r="1166" spans="1:33" x14ac:dyDescent="0.2">
      <c r="A1166" s="173">
        <v>30</v>
      </c>
      <c r="B1166" s="65" t="str">
        <f t="shared" si="583"/>
        <v>Retired</v>
      </c>
      <c r="C1166" s="174">
        <f t="shared" si="584"/>
        <v>0</v>
      </c>
      <c r="D1166" s="174">
        <f t="shared" si="585"/>
        <v>0</v>
      </c>
      <c r="E1166" s="174">
        <f t="shared" si="586"/>
        <v>0</v>
      </c>
      <c r="F1166" s="174">
        <f t="shared" si="587"/>
        <v>0</v>
      </c>
      <c r="G1166" s="171">
        <f t="shared" si="588"/>
        <v>0</v>
      </c>
      <c r="H1166" s="171">
        <f t="shared" si="589"/>
        <v>192733.39068612707</v>
      </c>
      <c r="I1166" s="171">
        <f>IF(B1166="Working",MIN(MAX(D1166-E1166-F1166-G1166-H1166,0),'Tax Assumptions'!$B$20),0)</f>
        <v>0</v>
      </c>
      <c r="J1166" s="171">
        <f t="shared" si="590"/>
        <v>-332733.39068612707</v>
      </c>
      <c r="K1166" s="174">
        <f t="shared" si="591"/>
        <v>332733.39068612707</v>
      </c>
      <c r="L1166" s="174">
        <f t="shared" si="592"/>
        <v>332733.39068612707</v>
      </c>
      <c r="M1166" s="174">
        <f t="shared" si="598"/>
        <v>332733.39068612707</v>
      </c>
      <c r="N1166" s="174">
        <f t="shared" si="599"/>
        <v>0</v>
      </c>
      <c r="O1166" s="174">
        <f t="shared" si="600"/>
        <v>0</v>
      </c>
      <c r="P1166" s="174">
        <f t="shared" si="601"/>
        <v>0</v>
      </c>
      <c r="Q1166" s="171">
        <f t="shared" si="602"/>
        <v>3920513.4384829658</v>
      </c>
      <c r="R1166" s="171">
        <f t="shared" si="603"/>
        <v>1035678.5777860002</v>
      </c>
      <c r="S1166" s="171">
        <f t="shared" si="604"/>
        <v>292990.94654595462</v>
      </c>
      <c r="T1166" s="171">
        <f t="shared" si="605"/>
        <v>0</v>
      </c>
      <c r="U1166" s="171">
        <f t="shared" si="593"/>
        <v>5249182.9628149206</v>
      </c>
      <c r="V1166" s="171">
        <f t="shared" si="606"/>
        <v>0</v>
      </c>
      <c r="W1166" s="171">
        <f>IF(OR(A1166&gt;=$C$13,B1166="Retired"),IF(V1166&gt;0,-V1166,U1166-'Model Inputs'!$B$18),"")</f>
        <v>4249182.9628149206</v>
      </c>
      <c r="X1166" s="171">
        <f t="shared" si="594"/>
        <v>4273713.185639305</v>
      </c>
      <c r="Y1166" s="171">
        <f t="shared" si="595"/>
        <v>671260.75448051747</v>
      </c>
      <c r="Z1166" s="171">
        <f t="shared" si="596"/>
        <v>3602452.4311587876</v>
      </c>
      <c r="AA1166" s="175">
        <f t="shared" si="597"/>
        <v>8851635.3939737082</v>
      </c>
      <c r="AB1166" s="5"/>
      <c r="AC1166" s="5"/>
      <c r="AD1166" s="5"/>
      <c r="AE1166" s="5"/>
      <c r="AF1166" s="5"/>
      <c r="AG1166" s="5"/>
    </row>
    <row r="1167" spans="1:33" x14ac:dyDescent="0.2">
      <c r="A1167" s="169">
        <v>31</v>
      </c>
      <c r="B1167" s="100" t="str">
        <f t="shared" si="583"/>
        <v>Retired</v>
      </c>
      <c r="C1167" s="170">
        <f t="shared" si="584"/>
        <v>0</v>
      </c>
      <c r="D1167" s="170">
        <f t="shared" si="585"/>
        <v>0</v>
      </c>
      <c r="E1167" s="170">
        <f t="shared" si="586"/>
        <v>0</v>
      </c>
      <c r="F1167" s="170">
        <f t="shared" si="587"/>
        <v>0</v>
      </c>
      <c r="G1167" s="171">
        <f t="shared" si="588"/>
        <v>0</v>
      </c>
      <c r="H1167" s="171">
        <f t="shared" si="589"/>
        <v>195554.041388649</v>
      </c>
      <c r="I1167" s="171">
        <f>IF(B1167="Working",MIN(MAX(D1167-E1167-F1167-G1167-H1167,0),'Tax Assumptions'!$B$20),0)</f>
        <v>0</v>
      </c>
      <c r="J1167" s="171">
        <f t="shared" si="590"/>
        <v>-335554.04138864903</v>
      </c>
      <c r="K1167" s="170">
        <f t="shared" si="591"/>
        <v>335554.04138864903</v>
      </c>
      <c r="L1167" s="170">
        <f t="shared" si="592"/>
        <v>335554.04138864903</v>
      </c>
      <c r="M1167" s="170">
        <f t="shared" si="598"/>
        <v>335554.04138864903</v>
      </c>
      <c r="N1167" s="170">
        <f t="shared" si="599"/>
        <v>0</v>
      </c>
      <c r="O1167" s="170">
        <f t="shared" si="600"/>
        <v>0</v>
      </c>
      <c r="P1167" s="170">
        <f t="shared" si="601"/>
        <v>0</v>
      </c>
      <c r="Q1167" s="171">
        <f t="shared" si="602"/>
        <v>3820190.203403295</v>
      </c>
      <c r="R1167" s="171">
        <f t="shared" si="603"/>
        <v>1097819.2924531603</v>
      </c>
      <c r="S1167" s="171">
        <f t="shared" si="604"/>
        <v>310570.40333871188</v>
      </c>
      <c r="T1167" s="171">
        <f t="shared" si="605"/>
        <v>0</v>
      </c>
      <c r="U1167" s="171">
        <f t="shared" si="593"/>
        <v>5228579.8991951672</v>
      </c>
      <c r="V1167" s="171">
        <f t="shared" si="606"/>
        <v>0</v>
      </c>
      <c r="W1167" s="171">
        <f>IF(OR(A1167&gt;=$C$13,B1167="Retired"),IF(V1167&gt;0,-V1167,U1167-'Model Inputs'!$B$18),"")</f>
        <v>4228579.8991951672</v>
      </c>
      <c r="X1167" s="171">
        <f t="shared" si="594"/>
        <v>4401924.5812084833</v>
      </c>
      <c r="Y1167" s="171">
        <f t="shared" si="595"/>
        <v>614510.09340561554</v>
      </c>
      <c r="Z1167" s="171">
        <f t="shared" si="596"/>
        <v>3787414.4878028678</v>
      </c>
      <c r="AA1167" s="172">
        <f t="shared" si="597"/>
        <v>9015994.386998035</v>
      </c>
      <c r="AB1167" s="5"/>
      <c r="AC1167" s="5"/>
      <c r="AD1167" s="5"/>
      <c r="AE1167" s="5"/>
      <c r="AF1167" s="5"/>
      <c r="AG1167" s="5"/>
    </row>
    <row r="1168" spans="1:33" x14ac:dyDescent="0.2">
      <c r="A1168" s="173">
        <v>32</v>
      </c>
      <c r="B1168" s="65" t="str">
        <f t="shared" si="583"/>
        <v>Retired</v>
      </c>
      <c r="C1168" s="174">
        <f t="shared" si="584"/>
        <v>0</v>
      </c>
      <c r="D1168" s="174">
        <f t="shared" si="585"/>
        <v>0</v>
      </c>
      <c r="E1168" s="174">
        <f t="shared" si="586"/>
        <v>0</v>
      </c>
      <c r="F1168" s="174">
        <f t="shared" si="587"/>
        <v>0</v>
      </c>
      <c r="G1168" s="171">
        <f t="shared" si="588"/>
        <v>0</v>
      </c>
      <c r="H1168" s="171">
        <f t="shared" si="589"/>
        <v>198459.31161224662</v>
      </c>
      <c r="I1168" s="171">
        <f>IF(B1168="Working",MIN(MAX(D1168-E1168-F1168-G1168-H1168,0),'Tax Assumptions'!$B$20),0)</f>
        <v>0</v>
      </c>
      <c r="J1168" s="171">
        <f t="shared" si="590"/>
        <v>-338459.31161224662</v>
      </c>
      <c r="K1168" s="174">
        <f t="shared" si="591"/>
        <v>338459.31161224662</v>
      </c>
      <c r="L1168" s="174">
        <f t="shared" si="592"/>
        <v>338459.31161224662</v>
      </c>
      <c r="M1168" s="174">
        <f t="shared" si="598"/>
        <v>338459.31161224662</v>
      </c>
      <c r="N1168" s="174">
        <f t="shared" si="599"/>
        <v>0</v>
      </c>
      <c r="O1168" s="174">
        <f t="shared" si="600"/>
        <v>0</v>
      </c>
      <c r="P1168" s="174">
        <f t="shared" si="601"/>
        <v>0</v>
      </c>
      <c r="Q1168" s="171">
        <f t="shared" si="602"/>
        <v>3710942.3039952465</v>
      </c>
      <c r="R1168" s="171">
        <f t="shared" si="603"/>
        <v>1163688.4500003499</v>
      </c>
      <c r="S1168" s="171">
        <f t="shared" si="604"/>
        <v>329204.62753903464</v>
      </c>
      <c r="T1168" s="171">
        <f t="shared" si="605"/>
        <v>0</v>
      </c>
      <c r="U1168" s="171">
        <f t="shared" si="593"/>
        <v>5203835.3815346314</v>
      </c>
      <c r="V1168" s="171">
        <f t="shared" si="606"/>
        <v>0</v>
      </c>
      <c r="W1168" s="171">
        <f>IF(OR(A1168&gt;=$C$13,B1168="Retired"),IF(V1168&gt;0,-V1168,U1168-'Model Inputs'!$B$18),"")</f>
        <v>4203835.3815346314</v>
      </c>
      <c r="X1168" s="171">
        <f t="shared" si="594"/>
        <v>4533982.3186447388</v>
      </c>
      <c r="Y1168" s="171">
        <f t="shared" si="595"/>
        <v>553958.73545615748</v>
      </c>
      <c r="Z1168" s="171">
        <f t="shared" si="596"/>
        <v>3980023.5831885813</v>
      </c>
      <c r="AA1168" s="175">
        <f t="shared" si="597"/>
        <v>9183858.9647232126</v>
      </c>
      <c r="AB1168" s="5"/>
      <c r="AC1168" s="5"/>
      <c r="AD1168" s="5"/>
      <c r="AE1168" s="5"/>
      <c r="AF1168" s="5"/>
      <c r="AG1168" s="5"/>
    </row>
    <row r="1169" spans="1:33" x14ac:dyDescent="0.2">
      <c r="A1169" s="169">
        <v>33</v>
      </c>
      <c r="B1169" s="100" t="str">
        <f t="shared" si="583"/>
        <v>Retired</v>
      </c>
      <c r="C1169" s="170">
        <f t="shared" si="584"/>
        <v>0</v>
      </c>
      <c r="D1169" s="170">
        <f t="shared" si="585"/>
        <v>0</v>
      </c>
      <c r="E1169" s="170">
        <f t="shared" si="586"/>
        <v>0</v>
      </c>
      <c r="F1169" s="170">
        <f t="shared" si="587"/>
        <v>0</v>
      </c>
      <c r="G1169" s="171">
        <f t="shared" si="588"/>
        <v>0</v>
      </c>
      <c r="H1169" s="171">
        <f t="shared" si="589"/>
        <v>201451.73994255214</v>
      </c>
      <c r="I1169" s="171">
        <f>IF(B1169="Working",MIN(MAX(D1169-E1169-F1169-G1169-H1169,0),'Tax Assumptions'!$B$20),0)</f>
        <v>0</v>
      </c>
      <c r="J1169" s="171">
        <f t="shared" si="590"/>
        <v>-341451.73994255217</v>
      </c>
      <c r="K1169" s="170">
        <f t="shared" si="591"/>
        <v>341451.73994255217</v>
      </c>
      <c r="L1169" s="170">
        <f t="shared" si="592"/>
        <v>341451.73994255217</v>
      </c>
      <c r="M1169" s="170">
        <f t="shared" si="598"/>
        <v>341451.73994255217</v>
      </c>
      <c r="N1169" s="170">
        <f t="shared" si="599"/>
        <v>0</v>
      </c>
      <c r="O1169" s="170">
        <f t="shared" si="600"/>
        <v>0</v>
      </c>
      <c r="P1169" s="170">
        <f t="shared" si="601"/>
        <v>0</v>
      </c>
      <c r="Q1169" s="171">
        <f t="shared" si="602"/>
        <v>3592147.1022924096</v>
      </c>
      <c r="R1169" s="171">
        <f t="shared" si="603"/>
        <v>1233509.7570003709</v>
      </c>
      <c r="S1169" s="171">
        <f t="shared" si="604"/>
        <v>348956.90519137675</v>
      </c>
      <c r="T1169" s="171">
        <f t="shared" si="605"/>
        <v>0</v>
      </c>
      <c r="U1169" s="171">
        <f t="shared" si="593"/>
        <v>5174613.7644841578</v>
      </c>
      <c r="V1169" s="171">
        <f t="shared" si="606"/>
        <v>0</v>
      </c>
      <c r="W1169" s="171">
        <f>IF(OR(A1169&gt;=$C$13,B1169="Retired"),IF(V1169&gt;0,-V1169,U1169-'Model Inputs'!$B$18),"")</f>
        <v>4174613.7644841578</v>
      </c>
      <c r="X1169" s="171">
        <f t="shared" si="594"/>
        <v>4670001.7882040814</v>
      </c>
      <c r="Y1169" s="171">
        <f t="shared" si="595"/>
        <v>489352.14092355594</v>
      </c>
      <c r="Z1169" s="171">
        <f t="shared" si="596"/>
        <v>4180649.6472805254</v>
      </c>
      <c r="AA1169" s="172">
        <f t="shared" si="597"/>
        <v>9355263.4117646832</v>
      </c>
      <c r="AB1169" s="5"/>
      <c r="AC1169" s="5"/>
      <c r="AD1169" s="5"/>
      <c r="AE1169" s="5"/>
      <c r="AF1169" s="5"/>
      <c r="AG1169" s="5"/>
    </row>
    <row r="1170" spans="1:33" x14ac:dyDescent="0.2">
      <c r="A1170" s="173">
        <v>34</v>
      </c>
      <c r="B1170" s="65" t="str">
        <f t="shared" si="583"/>
        <v>Retired</v>
      </c>
      <c r="C1170" s="174">
        <f t="shared" si="584"/>
        <v>0</v>
      </c>
      <c r="D1170" s="174">
        <f t="shared" si="585"/>
        <v>0</v>
      </c>
      <c r="E1170" s="174">
        <f t="shared" si="586"/>
        <v>0</v>
      </c>
      <c r="F1170" s="174">
        <f t="shared" si="587"/>
        <v>0</v>
      </c>
      <c r="G1170" s="171">
        <f t="shared" si="588"/>
        <v>0</v>
      </c>
      <c r="H1170" s="171">
        <f t="shared" si="589"/>
        <v>204533.94112276682</v>
      </c>
      <c r="I1170" s="171">
        <f>IF(B1170="Working",MIN(MAX(D1170-E1170-F1170-G1170-H1170,0),'Tax Assumptions'!$B$20),0)</f>
        <v>0</v>
      </c>
      <c r="J1170" s="171">
        <f t="shared" si="590"/>
        <v>-344533.94112276682</v>
      </c>
      <c r="K1170" s="174">
        <f t="shared" si="591"/>
        <v>344533.94112276682</v>
      </c>
      <c r="L1170" s="174">
        <f t="shared" si="592"/>
        <v>344533.94112276682</v>
      </c>
      <c r="M1170" s="174">
        <f t="shared" si="598"/>
        <v>344533.94112276682</v>
      </c>
      <c r="N1170" s="174">
        <f t="shared" si="599"/>
        <v>0</v>
      </c>
      <c r="O1170" s="174">
        <f t="shared" si="600"/>
        <v>0</v>
      </c>
      <c r="P1170" s="174">
        <f t="shared" si="601"/>
        <v>0</v>
      </c>
      <c r="Q1170" s="171">
        <f t="shared" si="602"/>
        <v>3463141.9873071872</v>
      </c>
      <c r="R1170" s="171">
        <f t="shared" si="603"/>
        <v>1307520.3424203931</v>
      </c>
      <c r="S1170" s="171">
        <f t="shared" si="604"/>
        <v>369894.31950285938</v>
      </c>
      <c r="T1170" s="171">
        <f t="shared" si="605"/>
        <v>0</v>
      </c>
      <c r="U1170" s="171">
        <f t="shared" si="593"/>
        <v>5140556.6492304401</v>
      </c>
      <c r="V1170" s="171">
        <f t="shared" si="606"/>
        <v>0</v>
      </c>
      <c r="W1170" s="171">
        <f>IF(OR(A1170&gt;=$C$13,B1170="Retired"),IF(V1170&gt;0,-V1170,U1170-'Model Inputs'!$B$18),"")</f>
        <v>4140556.6492304401</v>
      </c>
      <c r="X1170" s="171">
        <f t="shared" si="594"/>
        <v>4810101.8418502025</v>
      </c>
      <c r="Y1170" s="171">
        <f t="shared" si="595"/>
        <v>420418.72310352977</v>
      </c>
      <c r="Z1170" s="171">
        <f t="shared" si="596"/>
        <v>4389683.1187466728</v>
      </c>
      <c r="AA1170" s="175">
        <f t="shared" si="597"/>
        <v>9530239.7679771129</v>
      </c>
      <c r="AB1170" s="5"/>
      <c r="AC1170" s="5"/>
      <c r="AD1170" s="5"/>
      <c r="AE1170" s="5"/>
      <c r="AF1170" s="5"/>
      <c r="AG1170" s="5"/>
    </row>
    <row r="1171" spans="1:33" x14ac:dyDescent="0.2">
      <c r="A1171" s="169">
        <v>35</v>
      </c>
      <c r="B1171" s="100" t="str">
        <f t="shared" si="583"/>
        <v>Retired</v>
      </c>
      <c r="C1171" s="170">
        <f t="shared" si="584"/>
        <v>0</v>
      </c>
      <c r="D1171" s="170">
        <f t="shared" si="585"/>
        <v>0</v>
      </c>
      <c r="E1171" s="170">
        <f t="shared" si="586"/>
        <v>0</v>
      </c>
      <c r="F1171" s="170">
        <f t="shared" si="587"/>
        <v>0</v>
      </c>
      <c r="G1171" s="171">
        <f t="shared" si="588"/>
        <v>0</v>
      </c>
      <c r="H1171" s="171">
        <f t="shared" si="589"/>
        <v>207708.60833838794</v>
      </c>
      <c r="I1171" s="171">
        <f>IF(B1171="Working",MIN(MAX(D1171-E1171-F1171-G1171-H1171,0),'Tax Assumptions'!$B$20),0)</f>
        <v>0</v>
      </c>
      <c r="J1171" s="171">
        <f t="shared" si="590"/>
        <v>-347708.60833838792</v>
      </c>
      <c r="K1171" s="170">
        <f t="shared" si="591"/>
        <v>347708.60833838792</v>
      </c>
      <c r="L1171" s="170">
        <f t="shared" si="592"/>
        <v>347708.60833838792</v>
      </c>
      <c r="M1171" s="170">
        <f t="shared" si="598"/>
        <v>347708.60833838792</v>
      </c>
      <c r="N1171" s="170">
        <f t="shared" si="599"/>
        <v>0</v>
      </c>
      <c r="O1171" s="170">
        <f t="shared" si="600"/>
        <v>0</v>
      </c>
      <c r="P1171" s="170">
        <f t="shared" si="601"/>
        <v>0</v>
      </c>
      <c r="Q1171" s="171">
        <f t="shared" si="602"/>
        <v>3323221.8982072305</v>
      </c>
      <c r="R1171" s="171">
        <f t="shared" si="603"/>
        <v>1385971.5629656168</v>
      </c>
      <c r="S1171" s="171">
        <f t="shared" si="604"/>
        <v>392087.97867303097</v>
      </c>
      <c r="T1171" s="171">
        <f t="shared" si="605"/>
        <v>0</v>
      </c>
      <c r="U1171" s="171">
        <f t="shared" si="593"/>
        <v>5101281.4398458777</v>
      </c>
      <c r="V1171" s="171">
        <f t="shared" si="606"/>
        <v>0</v>
      </c>
      <c r="W1171" s="171">
        <f>IF(OR(A1171&gt;=$C$13,B1171="Retired"),IF(V1171&gt;0,-V1171,U1171-'Model Inputs'!$B$18),"")</f>
        <v>4101281.4398458777</v>
      </c>
      <c r="X1171" s="171">
        <f t="shared" si="594"/>
        <v>4954404.8971057087</v>
      </c>
      <c r="Y1171" s="171">
        <f t="shared" si="595"/>
        <v>346868.70662722923</v>
      </c>
      <c r="Z1171" s="171">
        <f t="shared" si="596"/>
        <v>4607536.1904784795</v>
      </c>
      <c r="AA1171" s="172">
        <f t="shared" si="597"/>
        <v>9708817.6303243563</v>
      </c>
      <c r="AB1171" s="5"/>
      <c r="AC1171" s="5"/>
      <c r="AD1171" s="5"/>
      <c r="AE1171" s="5"/>
      <c r="AF1171" s="5"/>
      <c r="AG1171" s="5"/>
    </row>
    <row r="1172" spans="1:33" x14ac:dyDescent="0.2">
      <c r="A1172" s="173">
        <v>36</v>
      </c>
      <c r="B1172" s="65" t="str">
        <f t="shared" si="583"/>
        <v>Retired</v>
      </c>
      <c r="C1172" s="174">
        <f t="shared" si="584"/>
        <v>0</v>
      </c>
      <c r="D1172" s="174">
        <f t="shared" si="585"/>
        <v>0</v>
      </c>
      <c r="E1172" s="174">
        <f t="shared" si="586"/>
        <v>0</v>
      </c>
      <c r="F1172" s="174">
        <f t="shared" si="587"/>
        <v>0</v>
      </c>
      <c r="G1172" s="171">
        <f t="shared" si="588"/>
        <v>0</v>
      </c>
      <c r="H1172" s="171">
        <f t="shared" si="589"/>
        <v>210978.51557047773</v>
      </c>
      <c r="I1172" s="171">
        <f>IF(B1172="Working",MIN(MAX(D1172-E1172-F1172-G1172-H1172,0),'Tax Assumptions'!$B$20),0)</f>
        <v>0</v>
      </c>
      <c r="J1172" s="171">
        <f t="shared" si="590"/>
        <v>-350978.5155704777</v>
      </c>
      <c r="K1172" s="174">
        <f t="shared" si="591"/>
        <v>350978.5155704777</v>
      </c>
      <c r="L1172" s="174">
        <f t="shared" si="592"/>
        <v>350978.5155704777</v>
      </c>
      <c r="M1172" s="174">
        <f t="shared" si="598"/>
        <v>350978.5155704777</v>
      </c>
      <c r="N1172" s="174">
        <f t="shared" si="599"/>
        <v>0</v>
      </c>
      <c r="O1172" s="174">
        <f t="shared" si="600"/>
        <v>0</v>
      </c>
      <c r="P1172" s="174">
        <f t="shared" si="601"/>
        <v>0</v>
      </c>
      <c r="Q1172" s="171">
        <f t="shared" si="602"/>
        <v>3171636.6965291868</v>
      </c>
      <c r="R1172" s="171">
        <f t="shared" si="603"/>
        <v>1469129.8567435539</v>
      </c>
      <c r="S1172" s="171">
        <f t="shared" si="604"/>
        <v>415613.25739341287</v>
      </c>
      <c r="T1172" s="171">
        <f t="shared" si="605"/>
        <v>0</v>
      </c>
      <c r="U1172" s="171">
        <f t="shared" si="593"/>
        <v>5056379.8106661541</v>
      </c>
      <c r="V1172" s="171">
        <f t="shared" si="606"/>
        <v>0</v>
      </c>
      <c r="W1172" s="171">
        <f>IF(OR(A1172&gt;=$C$13,B1172="Retired"),IF(V1172&gt;0,-V1172,U1172-'Model Inputs'!$B$18),"")</f>
        <v>4056379.8106661541</v>
      </c>
      <c r="X1172" s="171">
        <f t="shared" si="594"/>
        <v>5103037.0440188805</v>
      </c>
      <c r="Y1172" s="171">
        <f t="shared" si="595"/>
        <v>268392.90933269542</v>
      </c>
      <c r="Z1172" s="171">
        <f t="shared" si="596"/>
        <v>4834644.134686185</v>
      </c>
      <c r="AA1172" s="175">
        <f t="shared" si="597"/>
        <v>9891023.9453523383</v>
      </c>
      <c r="AB1172" s="5"/>
      <c r="AC1172" s="5"/>
      <c r="AD1172" s="5"/>
      <c r="AE1172" s="5"/>
      <c r="AF1172" s="5"/>
      <c r="AG1172" s="5"/>
    </row>
    <row r="1173" spans="1:33" x14ac:dyDescent="0.2">
      <c r="A1173" s="169">
        <v>37</v>
      </c>
      <c r="B1173" s="100" t="str">
        <f t="shared" si="583"/>
        <v>Retired</v>
      </c>
      <c r="C1173" s="170">
        <f t="shared" si="584"/>
        <v>0</v>
      </c>
      <c r="D1173" s="170">
        <f t="shared" si="585"/>
        <v>0</v>
      </c>
      <c r="E1173" s="170">
        <f t="shared" si="586"/>
        <v>0</v>
      </c>
      <c r="F1173" s="170">
        <f t="shared" si="587"/>
        <v>0</v>
      </c>
      <c r="G1173" s="171">
        <f t="shared" si="588"/>
        <v>0</v>
      </c>
      <c r="H1173" s="171">
        <f t="shared" si="589"/>
        <v>214346.5200195302</v>
      </c>
      <c r="I1173" s="171">
        <f>IF(B1173="Working",MIN(MAX(D1173-E1173-F1173-G1173-H1173,0),'Tax Assumptions'!$B$20),0)</f>
        <v>0</v>
      </c>
      <c r="J1173" s="171">
        <f t="shared" si="590"/>
        <v>-354346.5200195302</v>
      </c>
      <c r="K1173" s="170">
        <f t="shared" si="591"/>
        <v>354346.5200195302</v>
      </c>
      <c r="L1173" s="170">
        <f t="shared" si="592"/>
        <v>354346.5200195302</v>
      </c>
      <c r="M1173" s="170">
        <f t="shared" si="598"/>
        <v>354346.5200195302</v>
      </c>
      <c r="N1173" s="170">
        <f t="shared" si="599"/>
        <v>0</v>
      </c>
      <c r="O1173" s="170">
        <f t="shared" si="600"/>
        <v>0</v>
      </c>
      <c r="P1173" s="170">
        <f t="shared" si="601"/>
        <v>0</v>
      </c>
      <c r="Q1173" s="171">
        <f t="shared" si="602"/>
        <v>3007588.3783014077</v>
      </c>
      <c r="R1173" s="171">
        <f t="shared" si="603"/>
        <v>1557277.6481481672</v>
      </c>
      <c r="S1173" s="171">
        <f t="shared" si="604"/>
        <v>440550.05283701769</v>
      </c>
      <c r="T1173" s="171">
        <f t="shared" si="605"/>
        <v>0</v>
      </c>
      <c r="U1173" s="171">
        <f t="shared" si="593"/>
        <v>5005416.079286593</v>
      </c>
      <c r="V1173" s="171">
        <f t="shared" si="606"/>
        <v>0</v>
      </c>
      <c r="W1173" s="171">
        <f>IF(OR(A1173&gt;=$C$13,B1173="Retired"),IF(V1173&gt;0,-V1173,U1173-'Model Inputs'!$B$18),"")</f>
        <v>4005416.079286593</v>
      </c>
      <c r="X1173" s="171">
        <f t="shared" si="594"/>
        <v>5256128.1553394469</v>
      </c>
      <c r="Y1173" s="171">
        <f t="shared" si="595"/>
        <v>184661.44255596958</v>
      </c>
      <c r="Z1173" s="171">
        <f t="shared" si="596"/>
        <v>5071466.7127834773</v>
      </c>
      <c r="AA1173" s="172">
        <f t="shared" si="597"/>
        <v>10076882.79207007</v>
      </c>
      <c r="AB1173" s="5"/>
      <c r="AC1173" s="5"/>
      <c r="AD1173" s="5"/>
      <c r="AE1173" s="5"/>
      <c r="AF1173" s="5"/>
      <c r="AG1173" s="5"/>
    </row>
    <row r="1174" spans="1:33" x14ac:dyDescent="0.2">
      <c r="A1174" s="173">
        <v>38</v>
      </c>
      <c r="B1174" s="65" t="str">
        <f t="shared" si="583"/>
        <v>Retired</v>
      </c>
      <c r="C1174" s="174">
        <f t="shared" si="584"/>
        <v>0</v>
      </c>
      <c r="D1174" s="174">
        <f t="shared" si="585"/>
        <v>0</v>
      </c>
      <c r="E1174" s="174">
        <f t="shared" si="586"/>
        <v>0</v>
      </c>
      <c r="F1174" s="174">
        <f t="shared" si="587"/>
        <v>0</v>
      </c>
      <c r="G1174" s="171">
        <f t="shared" si="588"/>
        <v>0</v>
      </c>
      <c r="H1174" s="171">
        <f t="shared" si="589"/>
        <v>217815.56460205422</v>
      </c>
      <c r="I1174" s="171">
        <f>IF(B1174="Working",MIN(MAX(D1174-E1174-F1174-G1174-H1174,0),'Tax Assumptions'!$B$20),0)</f>
        <v>0</v>
      </c>
      <c r="J1174" s="171">
        <f t="shared" si="590"/>
        <v>-357815.56460205419</v>
      </c>
      <c r="K1174" s="174">
        <f t="shared" si="591"/>
        <v>357815.56460205419</v>
      </c>
      <c r="L1174" s="174">
        <f t="shared" si="592"/>
        <v>357815.56460205419</v>
      </c>
      <c r="M1174" s="174">
        <f t="shared" si="598"/>
        <v>357815.56460205419</v>
      </c>
      <c r="N1174" s="174">
        <f t="shared" si="599"/>
        <v>0</v>
      </c>
      <c r="O1174" s="174">
        <f t="shared" si="600"/>
        <v>0</v>
      </c>
      <c r="P1174" s="174">
        <f t="shared" si="601"/>
        <v>0</v>
      </c>
      <c r="Q1174" s="171">
        <f t="shared" si="602"/>
        <v>2830228.1163974381</v>
      </c>
      <c r="R1174" s="171">
        <f t="shared" si="603"/>
        <v>1650714.3070370574</v>
      </c>
      <c r="S1174" s="171">
        <f t="shared" si="604"/>
        <v>466983.0560072388</v>
      </c>
      <c r="T1174" s="171">
        <f t="shared" si="605"/>
        <v>0</v>
      </c>
      <c r="U1174" s="171">
        <f t="shared" si="593"/>
        <v>4947925.479441735</v>
      </c>
      <c r="V1174" s="171">
        <f t="shared" si="606"/>
        <v>0</v>
      </c>
      <c r="W1174" s="171">
        <f>IF(OR(A1174&gt;=$C$13,B1174="Retired"),IF(V1174&gt;0,-V1174,U1174-'Model Inputs'!$B$18),"")</f>
        <v>3947925.479441735</v>
      </c>
      <c r="X1174" s="171">
        <f t="shared" si="594"/>
        <v>5413811.9999996303</v>
      </c>
      <c r="Y1174" s="171">
        <f t="shared" si="595"/>
        <v>95322.324378317222</v>
      </c>
      <c r="Z1174" s="171">
        <f t="shared" si="596"/>
        <v>5318489.675621313</v>
      </c>
      <c r="AA1174" s="175">
        <f t="shared" si="597"/>
        <v>10266415.155063048</v>
      </c>
      <c r="AB1174" s="5"/>
      <c r="AC1174" s="5"/>
      <c r="AD1174" s="5"/>
      <c r="AE1174" s="5"/>
      <c r="AF1174" s="5"/>
      <c r="AG1174" s="5"/>
    </row>
    <row r="1175" spans="1:33" x14ac:dyDescent="0.2">
      <c r="A1175" s="169">
        <v>39</v>
      </c>
      <c r="B1175" s="100" t="str">
        <f t="shared" si="583"/>
        <v>Retired</v>
      </c>
      <c r="C1175" s="170">
        <f t="shared" si="584"/>
        <v>0</v>
      </c>
      <c r="D1175" s="170">
        <f t="shared" si="585"/>
        <v>0</v>
      </c>
      <c r="E1175" s="170">
        <f t="shared" si="586"/>
        <v>0</v>
      </c>
      <c r="F1175" s="170">
        <f t="shared" si="587"/>
        <v>0</v>
      </c>
      <c r="G1175" s="171">
        <f t="shared" si="588"/>
        <v>0</v>
      </c>
      <c r="H1175" s="171">
        <f t="shared" si="589"/>
        <v>221388.68052205397</v>
      </c>
      <c r="I1175" s="171">
        <f>IF(B1175="Working",MIN(MAX(D1175-E1175-F1175-G1175-H1175,0),'Tax Assumptions'!$B$20),0)</f>
        <v>0</v>
      </c>
      <c r="J1175" s="171">
        <f t="shared" si="590"/>
        <v>-361388.68052205397</v>
      </c>
      <c r="K1175" s="170">
        <f t="shared" si="591"/>
        <v>361388.68052205397</v>
      </c>
      <c r="L1175" s="170">
        <f t="shared" si="592"/>
        <v>361388.68052205397</v>
      </c>
      <c r="M1175" s="170">
        <f t="shared" si="598"/>
        <v>361388.68052205397</v>
      </c>
      <c r="N1175" s="170">
        <f t="shared" si="599"/>
        <v>0</v>
      </c>
      <c r="O1175" s="170">
        <f t="shared" si="600"/>
        <v>0</v>
      </c>
      <c r="P1175" s="170">
        <f t="shared" si="601"/>
        <v>0</v>
      </c>
      <c r="Q1175" s="171">
        <f t="shared" si="602"/>
        <v>2638653.1228592307</v>
      </c>
      <c r="R1175" s="171">
        <f t="shared" si="603"/>
        <v>1749757.1654592808</v>
      </c>
      <c r="S1175" s="171">
        <f t="shared" si="604"/>
        <v>495002.03936767316</v>
      </c>
      <c r="T1175" s="171">
        <f t="shared" si="605"/>
        <v>0</v>
      </c>
      <c r="U1175" s="171">
        <f t="shared" si="593"/>
        <v>4883412.3276861841</v>
      </c>
      <c r="V1175" s="171">
        <f t="shared" si="606"/>
        <v>0</v>
      </c>
      <c r="W1175" s="171">
        <f>IF(OR(A1175&gt;=$C$13,B1175="Retired"),IF(V1175&gt;0,-V1175,U1175-'Model Inputs'!$B$18),"")</f>
        <v>3883412.3276861841</v>
      </c>
      <c r="X1175" s="171">
        <f t="shared" si="594"/>
        <v>5576226.3599996185</v>
      </c>
      <c r="Y1175" s="171">
        <f t="shared" si="595"/>
        <v>0</v>
      </c>
      <c r="Z1175" s="171">
        <f t="shared" si="596"/>
        <v>5576226.3599996185</v>
      </c>
      <c r="AA1175" s="172">
        <f t="shared" si="597"/>
        <v>10459638.687685803</v>
      </c>
      <c r="AB1175" s="5"/>
      <c r="AC1175" s="5"/>
      <c r="AD1175" s="5"/>
      <c r="AE1175" s="5"/>
      <c r="AF1175" s="5"/>
      <c r="AG1175" s="5"/>
    </row>
    <row r="1176" spans="1:33" x14ac:dyDescent="0.2">
      <c r="A1176" s="173">
        <v>40</v>
      </c>
      <c r="B1176" s="65" t="str">
        <f t="shared" si="583"/>
        <v>Retired</v>
      </c>
      <c r="C1176" s="174">
        <f t="shared" si="584"/>
        <v>0</v>
      </c>
      <c r="D1176" s="174">
        <f t="shared" si="585"/>
        <v>0</v>
      </c>
      <c r="E1176" s="174">
        <f t="shared" si="586"/>
        <v>0</v>
      </c>
      <c r="F1176" s="174">
        <f t="shared" si="587"/>
        <v>0</v>
      </c>
      <c r="G1176" s="171">
        <f t="shared" si="588"/>
        <v>0</v>
      </c>
      <c r="H1176" s="171">
        <f t="shared" si="589"/>
        <v>126357.28931759135</v>
      </c>
      <c r="I1176" s="171">
        <f>IF(B1176="Working",MIN(MAX(D1176-E1176-F1176-G1176-H1176,0),'Tax Assumptions'!$B$20),0)</f>
        <v>0</v>
      </c>
      <c r="J1176" s="171">
        <f t="shared" si="590"/>
        <v>-266357.28931759135</v>
      </c>
      <c r="K1176" s="174">
        <f t="shared" si="591"/>
        <v>266357.28931759135</v>
      </c>
      <c r="L1176" s="174">
        <f t="shared" si="592"/>
        <v>266357.28931759135</v>
      </c>
      <c r="M1176" s="174">
        <f t="shared" si="598"/>
        <v>266357.28931759135</v>
      </c>
      <c r="N1176" s="174">
        <f t="shared" si="599"/>
        <v>0</v>
      </c>
      <c r="O1176" s="174">
        <f t="shared" si="600"/>
        <v>0</v>
      </c>
      <c r="P1176" s="174">
        <f t="shared" si="601"/>
        <v>0</v>
      </c>
      <c r="Q1176" s="171">
        <f t="shared" si="602"/>
        <v>2530615.020913193</v>
      </c>
      <c r="R1176" s="171">
        <f t="shared" si="603"/>
        <v>1854742.5953868378</v>
      </c>
      <c r="S1176" s="171">
        <f t="shared" si="604"/>
        <v>524702.16172973358</v>
      </c>
      <c r="T1176" s="171">
        <f t="shared" si="605"/>
        <v>0</v>
      </c>
      <c r="U1176" s="171">
        <f t="shared" si="593"/>
        <v>4910059.7780297641</v>
      </c>
      <c r="V1176" s="171">
        <f t="shared" si="606"/>
        <v>0</v>
      </c>
      <c r="W1176" s="171">
        <f>IF(OR(A1176&gt;=$C$13,B1176="Retired"),IF(V1176&gt;0,-V1176,U1176-'Model Inputs'!$B$18),"")</f>
        <v>3910059.7780297641</v>
      </c>
      <c r="X1176" s="171">
        <f t="shared" si="594"/>
        <v>5743513.1507996069</v>
      </c>
      <c r="Y1176" s="171">
        <f t="shared" si="595"/>
        <v>0</v>
      </c>
      <c r="Z1176" s="171">
        <f t="shared" si="596"/>
        <v>5743513.1507996069</v>
      </c>
      <c r="AA1176" s="175">
        <f t="shared" si="597"/>
        <v>10653572.928829372</v>
      </c>
      <c r="AB1176" s="5"/>
      <c r="AC1176" s="5"/>
      <c r="AD1176" s="5"/>
      <c r="AE1176" s="5"/>
      <c r="AF1176" s="5"/>
      <c r="AG1176" s="5"/>
    </row>
    <row r="1177" spans="1:33" x14ac:dyDescent="0.2">
      <c r="A1177" s="176" t="s">
        <v>369</v>
      </c>
      <c r="B1177" s="177"/>
      <c r="C1177" s="177"/>
      <c r="D1177" s="177"/>
      <c r="E1177" s="177"/>
      <c r="F1177" s="177"/>
      <c r="G1177" s="178">
        <f t="shared" ref="G1177:P1177" si="607">SUM(G1137:G1176)</f>
        <v>1123969.4013365901</v>
      </c>
      <c r="H1177" s="178">
        <f t="shared" si="607"/>
        <v>5564366.9457268957</v>
      </c>
      <c r="I1177" s="178">
        <f t="shared" si="607"/>
        <v>67500</v>
      </c>
      <c r="J1177" s="178">
        <f t="shared" si="607"/>
        <v>-6033244.1070229616</v>
      </c>
      <c r="K1177" s="178">
        <f t="shared" si="607"/>
        <v>9613597.7149576657</v>
      </c>
      <c r="L1177" s="178">
        <f t="shared" si="607"/>
        <v>9613597.7149576657</v>
      </c>
      <c r="M1177" s="178">
        <f t="shared" si="607"/>
        <v>9613597.7149576657</v>
      </c>
      <c r="N1177" s="178">
        <f t="shared" si="607"/>
        <v>0</v>
      </c>
      <c r="O1177" s="178">
        <f t="shared" si="607"/>
        <v>0</v>
      </c>
      <c r="P1177" s="178">
        <f t="shared" si="607"/>
        <v>0</v>
      </c>
      <c r="Q1177" s="178">
        <f>Q1176</f>
        <v>2530615.020913193</v>
      </c>
      <c r="R1177" s="178">
        <f>R1176</f>
        <v>1854742.5953868378</v>
      </c>
      <c r="S1177" s="178">
        <f>S1176</f>
        <v>524702.16172973358</v>
      </c>
      <c r="T1177" s="178">
        <f>T1176</f>
        <v>0</v>
      </c>
      <c r="U1177" s="178">
        <f>U1176</f>
        <v>4910059.7780297641</v>
      </c>
      <c r="V1177" s="178">
        <f>SUM(V1137:V1176)</f>
        <v>0</v>
      </c>
      <c r="W1177" s="178">
        <f>MIN(W1137:W1176)</f>
        <v>3883412.3276861841</v>
      </c>
      <c r="X1177" s="178">
        <f>X1176</f>
        <v>5743513.1507996069</v>
      </c>
      <c r="Y1177" s="178">
        <f>Y1176</f>
        <v>0</v>
      </c>
      <c r="Z1177" s="178">
        <f>Z1176</f>
        <v>5743513.1507996069</v>
      </c>
      <c r="AA1177" s="179">
        <f>AA1176</f>
        <v>10653572.928829372</v>
      </c>
      <c r="AB1177" s="5"/>
      <c r="AC1177" s="5"/>
      <c r="AD1177" s="5"/>
      <c r="AE1177" s="5"/>
      <c r="AF1177" s="5"/>
      <c r="AG1177" s="5"/>
    </row>
    <row r="1178" spans="1:33" x14ac:dyDescent="0.2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</row>
    <row r="1179" spans="1:33" x14ac:dyDescent="0.2">
      <c r="A1179" s="319" t="str">
        <f>J248&amp;" | House "&amp;TEXT($L$248,"$#,##0")&amp;" | Spend "&amp;TEXT($N$248,"$#,##0")</f>
        <v>Case 22 | House $2,366,251 | Spend $170,000</v>
      </c>
      <c r="B1179" s="288"/>
      <c r="C1179" s="288"/>
      <c r="D1179" s="288"/>
      <c r="E1179" s="288"/>
      <c r="F1179" s="288"/>
      <c r="G1179" s="288"/>
      <c r="H1179" s="288"/>
      <c r="I1179" s="288"/>
      <c r="J1179" s="288"/>
      <c r="K1179" s="288"/>
      <c r="L1179" s="288"/>
      <c r="M1179" s="288"/>
      <c r="N1179" s="288"/>
      <c r="O1179" s="288"/>
      <c r="P1179" s="288"/>
      <c r="Q1179" s="288"/>
      <c r="R1179" s="288"/>
      <c r="S1179" s="288"/>
      <c r="T1179" s="288"/>
      <c r="U1179" s="288"/>
      <c r="V1179" s="288"/>
      <c r="W1179" s="288"/>
      <c r="X1179" s="288"/>
      <c r="Y1179" s="288"/>
      <c r="Z1179" s="288"/>
      <c r="AA1179" s="289"/>
      <c r="AB1179" s="5"/>
      <c r="AC1179" s="5"/>
      <c r="AD1179" s="5"/>
      <c r="AE1179" s="5"/>
      <c r="AF1179" s="5"/>
      <c r="AG1179" s="5"/>
    </row>
    <row r="1180" spans="1:33" ht="34" customHeight="1" x14ac:dyDescent="0.2">
      <c r="A1180" s="167" t="s">
        <v>224</v>
      </c>
      <c r="B1180" s="112" t="s">
        <v>106</v>
      </c>
      <c r="C1180" s="112" t="s">
        <v>357</v>
      </c>
      <c r="D1180" s="112" t="s">
        <v>66</v>
      </c>
      <c r="E1180" s="112" t="s">
        <v>300</v>
      </c>
      <c r="F1180" s="112" t="s">
        <v>301</v>
      </c>
      <c r="G1180" s="112" t="s">
        <v>358</v>
      </c>
      <c r="H1180" s="112" t="s">
        <v>359</v>
      </c>
      <c r="I1180" s="112" t="s">
        <v>69</v>
      </c>
      <c r="J1180" s="112" t="s">
        <v>360</v>
      </c>
      <c r="K1180" s="112" t="s">
        <v>361</v>
      </c>
      <c r="L1180" s="112" t="s">
        <v>362</v>
      </c>
      <c r="M1180" s="112" t="s">
        <v>304</v>
      </c>
      <c r="N1180" s="112" t="s">
        <v>305</v>
      </c>
      <c r="O1180" s="112" t="s">
        <v>306</v>
      </c>
      <c r="P1180" s="112" t="s">
        <v>307</v>
      </c>
      <c r="Q1180" s="112" t="s">
        <v>363</v>
      </c>
      <c r="R1180" s="112" t="s">
        <v>364</v>
      </c>
      <c r="S1180" s="112" t="s">
        <v>365</v>
      </c>
      <c r="T1180" s="112" t="s">
        <v>366</v>
      </c>
      <c r="U1180" s="112" t="s">
        <v>308</v>
      </c>
      <c r="V1180" s="112" t="s">
        <v>309</v>
      </c>
      <c r="W1180" s="112" t="s">
        <v>367</v>
      </c>
      <c r="X1180" s="112" t="s">
        <v>311</v>
      </c>
      <c r="Y1180" s="112" t="s">
        <v>312</v>
      </c>
      <c r="Z1180" s="112" t="s">
        <v>313</v>
      </c>
      <c r="AA1180" s="168" t="s">
        <v>368</v>
      </c>
      <c r="AB1180" s="5"/>
      <c r="AC1180" s="5"/>
      <c r="AD1180" s="5"/>
      <c r="AE1180" s="5"/>
      <c r="AF1180" s="5"/>
      <c r="AG1180" s="5"/>
    </row>
    <row r="1181" spans="1:33" x14ac:dyDescent="0.2">
      <c r="A1181" s="169">
        <v>1</v>
      </c>
      <c r="B1181" s="100" t="str">
        <f t="shared" ref="B1181:B1220" si="608">B80</f>
        <v>Working</v>
      </c>
      <c r="C1181" s="170">
        <f t="shared" ref="C1181:C1220" si="609">D80</f>
        <v>550000</v>
      </c>
      <c r="D1181" s="170">
        <f t="shared" ref="D1181:D1220" si="610">I80</f>
        <v>302665.46999999997</v>
      </c>
      <c r="E1181" s="170">
        <f t="shared" ref="E1181:E1220" si="611">J80</f>
        <v>78000</v>
      </c>
      <c r="F1181" s="170">
        <f t="shared" ref="F1181:F1220" si="612">K80</f>
        <v>40000</v>
      </c>
      <c r="G1181" s="171">
        <f t="shared" ref="G1181:G1220" si="613">IF(AND($L$248&gt;0,A1181=$C$13),$L$248*($C$15+$C$18),0)+IF(AND($L$248&gt;0,A1181=$C$13),$C$24,0)</f>
        <v>0</v>
      </c>
      <c r="H1181" s="171">
        <f t="shared" ref="H1181:H1220" si="614">IF(OR($L$248&lt;=0,A1181&lt;$C$13),0,IF(AND($L$248&gt;0,$C$17&gt;0,A1181&gt;=$C$13,A1181&lt;($C$13+$C$17)),IF($C$17&lt;=0,0,IF($C$16=0,MAX($L$248*(1-$C$15),0)/$C$17,-PMT($C$16/12,$C$17*12,MAX($L$248*(1-$C$15),0))*12)),0)+X1181*($C$19+$C$20+$C$21)+$C$22+$C$23)</f>
        <v>0</v>
      </c>
      <c r="I1181" s="171">
        <f>IF(B1181="Working",MIN(MAX(D1181-E1181-F1181-G1181-H1181,0),'Tax Assumptions'!$B$20),0)</f>
        <v>7500</v>
      </c>
      <c r="J1181" s="171">
        <f t="shared" ref="J1181:J1220" si="615">IF(B1181="Working",D1181-E1181-F1181-I1181-G1181-H1181,-L1181)</f>
        <v>177165.46999999997</v>
      </c>
      <c r="K1181" s="170">
        <f t="shared" ref="K1181:K1220" si="616">IF(B1181="Retired",$N$248+G1181+H1181,0)</f>
        <v>0</v>
      </c>
      <c r="L1181" s="170">
        <f t="shared" ref="L1181:L1220" si="617">M1181+N1181+O1181+P1181</f>
        <v>0</v>
      </c>
      <c r="M1181" s="170">
        <f>IF(B1181="Retired",MIN((('Savings Projection'!$B$7)*(1+$C$10)+IF(B1181="Working",J1181,0)),K1181),0)</f>
        <v>0</v>
      </c>
      <c r="N1181" s="170">
        <f>IF(B1181="Retired",MIN(MAX(K1181-M1181,0),(('Savings Projection'!$B$8)*(1+$C$10)+IF(B1181="Working",E80,0))),0)</f>
        <v>0</v>
      </c>
      <c r="O1181" s="170">
        <f>IF(B1181="Retired",MIN(MAX(K1181-M1181-N1181,0),(('Savings Projection'!$B$9)*(1+$C$10)+IF(B1181="Working",I1181,0))),0)</f>
        <v>0</v>
      </c>
      <c r="P1181" s="170">
        <f>IF(B1181="Retired",MIN(MAX(K1181-M1181-N1181-O1181,0),(('Savings Projection'!$B$10)*(1+$C$10)+IF(B1181="Working",F80,0))),0)</f>
        <v>0</v>
      </c>
      <c r="Q1181" s="171">
        <f>MAX((('Savings Projection'!$B$7)*(1+$C$10)+IF(B1181="Working",J1181,0))-M1181,0)</f>
        <v>336165.47</v>
      </c>
      <c r="R1181" s="171">
        <f>MAX((('Savings Projection'!$B$8)*(1+$C$10)+IF(B1181="Working",E80,0))-N1181,0)</f>
        <v>24500</v>
      </c>
      <c r="S1181" s="171">
        <f>MAX((('Savings Projection'!$B$9)*(1+$C$10)+IF(B1181="Working",I1181,0))-O1181,0)</f>
        <v>7500</v>
      </c>
      <c r="T1181" s="171">
        <f>MAX((('Savings Projection'!$B$10)*(1+$C$10)+IF(B1181="Working",F80,0))-P1181,0)</f>
        <v>0</v>
      </c>
      <c r="U1181" s="171">
        <f t="shared" ref="U1181:U1220" si="618">Q1181+R1181+S1181+T1181</f>
        <v>368165.47</v>
      </c>
      <c r="V1181" s="171">
        <f>IF(B1181="Working",MAX(-((('Savings Projection'!$B$7)*(1+$C$10)+IF(B1181="Working",J1181,0))),0),MAX(K1181-L1181,0))</f>
        <v>0</v>
      </c>
      <c r="W1181" s="171" t="str">
        <f>IF(OR(A1181&gt;=$C$13,B1181="Retired"),IF(V1181&gt;0,-V1181,U1181-'Model Inputs'!$B$18),"")</f>
        <v/>
      </c>
      <c r="X1181" s="171">
        <f t="shared" ref="X1181:X1220" si="619">IF(AND($L$248&gt;0,A1181&gt;=$C$13),$L$248*(1+$C$25)^(A1181-$C$13),0)</f>
        <v>0</v>
      </c>
      <c r="Y1181" s="171">
        <f t="shared" ref="Y1181:Y1220" si="620">IF(OR($L$248&lt;=0,$C$17&lt;=0,A1181&lt;$C$13,MIN(MAX((A1181-$C$13+1)*12,0),$C$17*12)&gt;=$C$17*12),0,IF($C$16=0,MAX(MAX($L$248*(1-$C$15),0)-(IF($C$17&lt;=0,0,IF($C$16=0,MAX($L$248*(1-$C$15),0)/$C$17,-PMT($C$16/12,$C$17*12,MAX($L$248*(1-$C$15),0))*12))/12)*MIN(MAX((A1181-$C$13+1)*12,0),$C$17*12),0),MAX(MAX($L$248*(1-$C$15),0)*(1+$C$16/12)^MIN(MAX((A1181-$C$13+1)*12,0),$C$17*12)-(IF($C$17&lt;=0,0,IF($C$16=0,MAX($L$248*(1-$C$15),0)/$C$17,-PMT($C$16/12,$C$17*12,MAX($L$248*(1-$C$15),0))*12))/12)*(((1+$C$16/12)^MIN(MAX((A1181-$C$13+1)*12,0),$C$17*12)-1)/($C$16/12)),0)))</f>
        <v>0</v>
      </c>
      <c r="Z1181" s="171">
        <f t="shared" ref="Z1181:Z1220" si="621">MAX(X1181-Y1181,0)</f>
        <v>0</v>
      </c>
      <c r="AA1181" s="172">
        <f t="shared" ref="AA1181:AA1220" si="622">U1181+Z1181</f>
        <v>368165.47</v>
      </c>
      <c r="AB1181" s="5"/>
      <c r="AC1181" s="5"/>
      <c r="AD1181" s="5"/>
      <c r="AE1181" s="5"/>
      <c r="AF1181" s="5"/>
      <c r="AG1181" s="5"/>
    </row>
    <row r="1182" spans="1:33" x14ac:dyDescent="0.2">
      <c r="A1182" s="173">
        <v>2</v>
      </c>
      <c r="B1182" s="65" t="str">
        <f t="shared" si="608"/>
        <v>Working</v>
      </c>
      <c r="C1182" s="174">
        <f t="shared" si="609"/>
        <v>412500</v>
      </c>
      <c r="D1182" s="174">
        <f t="shared" si="610"/>
        <v>231269.97</v>
      </c>
      <c r="E1182" s="174">
        <f t="shared" si="611"/>
        <v>80340</v>
      </c>
      <c r="F1182" s="174">
        <f t="shared" si="612"/>
        <v>41200</v>
      </c>
      <c r="G1182" s="171">
        <f t="shared" si="613"/>
        <v>0</v>
      </c>
      <c r="H1182" s="171">
        <f t="shared" si="614"/>
        <v>0</v>
      </c>
      <c r="I1182" s="171">
        <f>IF(B1182="Working",MIN(MAX(D1182-E1182-F1182-G1182-H1182,0),'Tax Assumptions'!$B$20),0)</f>
        <v>7500</v>
      </c>
      <c r="J1182" s="171">
        <f t="shared" si="615"/>
        <v>102229.97</v>
      </c>
      <c r="K1182" s="174">
        <f t="shared" si="616"/>
        <v>0</v>
      </c>
      <c r="L1182" s="174">
        <f t="shared" si="617"/>
        <v>0</v>
      </c>
      <c r="M1182" s="174">
        <f t="shared" ref="M1182:M1220" si="623">IF(B1182="Retired",MIN(((Q1181)*(1+$C$10)+IF(B1182="Working",J1182,0)),K1182),0)</f>
        <v>0</v>
      </c>
      <c r="N1182" s="174">
        <f t="shared" ref="N1182:N1220" si="624">IF(B1182="Retired",MIN(MAX(K1182-M1182,0),((R1181)*(1+$C$10)+IF(B1182="Working",E81,0))),0)</f>
        <v>0</v>
      </c>
      <c r="O1182" s="174">
        <f t="shared" ref="O1182:O1220" si="625">IF(B1182="Retired",MIN(MAX(K1182-M1182-N1182,0),((S1181)*(1+$C$10)+IF(B1182="Working",I1182,0))),0)</f>
        <v>0</v>
      </c>
      <c r="P1182" s="174">
        <f t="shared" ref="P1182:P1220" si="626">IF(B1182="Retired",MIN(MAX(K1182-M1182-N1182-O1182,0),((T1181)*(1+$C$10)+IF(B1182="Working",F81,0))),0)</f>
        <v>0</v>
      </c>
      <c r="Q1182" s="171">
        <f t="shared" ref="Q1182:Q1220" si="627">MAX(((Q1181)*(1+$C$10)+IF(B1182="Working",J1182,0))-M1182,0)</f>
        <v>458565.36820000003</v>
      </c>
      <c r="R1182" s="171">
        <f t="shared" ref="R1182:R1220" si="628">MAX(((R1181)*(1+$C$10)+IF(B1182="Working",E81,0))-N1182,0)</f>
        <v>50470</v>
      </c>
      <c r="S1182" s="171">
        <f t="shared" ref="S1182:S1220" si="629">MAX(((S1181)*(1+$C$10)+IF(B1182="Working",I1182,0))-O1182,0)</f>
        <v>15450</v>
      </c>
      <c r="T1182" s="171">
        <f t="shared" ref="T1182:T1220" si="630">MAX(((T1181)*(1+$C$10)+IF(B1182="Working",F81,0))-P1182,0)</f>
        <v>0</v>
      </c>
      <c r="U1182" s="171">
        <f t="shared" si="618"/>
        <v>524485.36820000003</v>
      </c>
      <c r="V1182" s="171">
        <f t="shared" ref="V1182:V1220" si="631">IF(B1182="Working",MAX(-(((Q1181)*(1+$C$10)+IF(B1182="Working",J1182,0))),0),MAX(K1182-L1182,0))</f>
        <v>0</v>
      </c>
      <c r="W1182" s="171" t="str">
        <f>IF(OR(A1182&gt;=$C$13,B1182="Retired"),IF(V1182&gt;0,-V1182,U1182-'Model Inputs'!$B$18),"")</f>
        <v/>
      </c>
      <c r="X1182" s="171">
        <f t="shared" si="619"/>
        <v>0</v>
      </c>
      <c r="Y1182" s="171">
        <f t="shared" si="620"/>
        <v>0</v>
      </c>
      <c r="Z1182" s="171">
        <f t="shared" si="621"/>
        <v>0</v>
      </c>
      <c r="AA1182" s="175">
        <f t="shared" si="622"/>
        <v>524485.36820000003</v>
      </c>
      <c r="AB1182" s="5"/>
      <c r="AC1182" s="5"/>
      <c r="AD1182" s="5"/>
      <c r="AE1182" s="5"/>
      <c r="AF1182" s="5"/>
      <c r="AG1182" s="5"/>
    </row>
    <row r="1183" spans="1:33" x14ac:dyDescent="0.2">
      <c r="A1183" s="169">
        <v>3</v>
      </c>
      <c r="B1183" s="100" t="str">
        <f t="shared" si="608"/>
        <v>Working</v>
      </c>
      <c r="C1183" s="170">
        <f t="shared" si="609"/>
        <v>675000</v>
      </c>
      <c r="D1183" s="170">
        <f t="shared" si="610"/>
        <v>367570.47</v>
      </c>
      <c r="E1183" s="170">
        <f t="shared" si="611"/>
        <v>82750.2</v>
      </c>
      <c r="F1183" s="170">
        <f t="shared" si="612"/>
        <v>53045</v>
      </c>
      <c r="G1183" s="171">
        <f t="shared" si="613"/>
        <v>0</v>
      </c>
      <c r="H1183" s="171">
        <f t="shared" si="614"/>
        <v>0</v>
      </c>
      <c r="I1183" s="171">
        <f>IF(B1183="Working",MIN(MAX(D1183-E1183-F1183-G1183-H1183,0),'Tax Assumptions'!$B$20),0)</f>
        <v>7500</v>
      </c>
      <c r="J1183" s="171">
        <f t="shared" si="615"/>
        <v>224275.26999999996</v>
      </c>
      <c r="K1183" s="170">
        <f t="shared" si="616"/>
        <v>0</v>
      </c>
      <c r="L1183" s="170">
        <f t="shared" si="617"/>
        <v>0</v>
      </c>
      <c r="M1183" s="170">
        <f t="shared" si="623"/>
        <v>0</v>
      </c>
      <c r="N1183" s="170">
        <f t="shared" si="624"/>
        <v>0</v>
      </c>
      <c r="O1183" s="170">
        <f t="shared" si="625"/>
        <v>0</v>
      </c>
      <c r="P1183" s="170">
        <f t="shared" si="626"/>
        <v>0</v>
      </c>
      <c r="Q1183" s="171">
        <f t="shared" si="627"/>
        <v>710354.56029199995</v>
      </c>
      <c r="R1183" s="171">
        <f t="shared" si="628"/>
        <v>77998.200000000012</v>
      </c>
      <c r="S1183" s="171">
        <f t="shared" si="629"/>
        <v>23877</v>
      </c>
      <c r="T1183" s="171">
        <f t="shared" si="630"/>
        <v>0</v>
      </c>
      <c r="U1183" s="171">
        <f t="shared" si="618"/>
        <v>812229.7602919999</v>
      </c>
      <c r="V1183" s="171">
        <f t="shared" si="631"/>
        <v>0</v>
      </c>
      <c r="W1183" s="171" t="str">
        <f>IF(OR(A1183&gt;=$C$13,B1183="Retired"),IF(V1183&gt;0,-V1183,U1183-'Model Inputs'!$B$18),"")</f>
        <v/>
      </c>
      <c r="X1183" s="171">
        <f t="shared" si="619"/>
        <v>0</v>
      </c>
      <c r="Y1183" s="171">
        <f t="shared" si="620"/>
        <v>0</v>
      </c>
      <c r="Z1183" s="171">
        <f t="shared" si="621"/>
        <v>0</v>
      </c>
      <c r="AA1183" s="172">
        <f t="shared" si="622"/>
        <v>812229.7602919999</v>
      </c>
      <c r="AB1183" s="5"/>
      <c r="AC1183" s="5"/>
      <c r="AD1183" s="5"/>
      <c r="AE1183" s="5"/>
      <c r="AF1183" s="5"/>
      <c r="AG1183" s="5"/>
    </row>
    <row r="1184" spans="1:33" x14ac:dyDescent="0.2">
      <c r="A1184" s="173">
        <v>4</v>
      </c>
      <c r="B1184" s="65" t="str">
        <f t="shared" si="608"/>
        <v>Working</v>
      </c>
      <c r="C1184" s="174">
        <f t="shared" si="609"/>
        <v>750000</v>
      </c>
      <c r="D1184" s="174">
        <f t="shared" si="610"/>
        <v>405137.47</v>
      </c>
      <c r="E1184" s="174">
        <f t="shared" si="611"/>
        <v>85232.706000000006</v>
      </c>
      <c r="F1184" s="174">
        <f t="shared" si="612"/>
        <v>54636.35</v>
      </c>
      <c r="G1184" s="171">
        <f t="shared" si="613"/>
        <v>0</v>
      </c>
      <c r="H1184" s="171">
        <f t="shared" si="614"/>
        <v>0</v>
      </c>
      <c r="I1184" s="171">
        <f>IF(B1184="Working",MIN(MAX(D1184-E1184-F1184-G1184-H1184,0),'Tax Assumptions'!$B$20),0)</f>
        <v>7500</v>
      </c>
      <c r="J1184" s="171">
        <f t="shared" si="615"/>
        <v>257768.41399999999</v>
      </c>
      <c r="K1184" s="174">
        <f t="shared" si="616"/>
        <v>0</v>
      </c>
      <c r="L1184" s="174">
        <f t="shared" si="617"/>
        <v>0</v>
      </c>
      <c r="M1184" s="174">
        <f t="shared" si="623"/>
        <v>0</v>
      </c>
      <c r="N1184" s="174">
        <f t="shared" si="624"/>
        <v>0</v>
      </c>
      <c r="O1184" s="174">
        <f t="shared" si="625"/>
        <v>0</v>
      </c>
      <c r="P1184" s="174">
        <f t="shared" si="626"/>
        <v>0</v>
      </c>
      <c r="Q1184" s="171">
        <f t="shared" si="627"/>
        <v>1010744.2479095199</v>
      </c>
      <c r="R1184" s="171">
        <f t="shared" si="628"/>
        <v>107178.09200000002</v>
      </c>
      <c r="S1184" s="171">
        <f t="shared" si="629"/>
        <v>32809.620000000003</v>
      </c>
      <c r="T1184" s="171">
        <f t="shared" si="630"/>
        <v>0</v>
      </c>
      <c r="U1184" s="171">
        <f t="shared" si="618"/>
        <v>1150731.9599095201</v>
      </c>
      <c r="V1184" s="171">
        <f t="shared" si="631"/>
        <v>0</v>
      </c>
      <c r="W1184" s="171" t="str">
        <f>IF(OR(A1184&gt;=$C$13,B1184="Retired"),IF(V1184&gt;0,-V1184,U1184-'Model Inputs'!$B$18),"")</f>
        <v/>
      </c>
      <c r="X1184" s="171">
        <f t="shared" si="619"/>
        <v>0</v>
      </c>
      <c r="Y1184" s="171">
        <f t="shared" si="620"/>
        <v>0</v>
      </c>
      <c r="Z1184" s="171">
        <f t="shared" si="621"/>
        <v>0</v>
      </c>
      <c r="AA1184" s="175">
        <f t="shared" si="622"/>
        <v>1150731.9599095201</v>
      </c>
      <c r="AB1184" s="5"/>
      <c r="AC1184" s="5"/>
      <c r="AD1184" s="5"/>
      <c r="AE1184" s="5"/>
      <c r="AF1184" s="5"/>
      <c r="AG1184" s="5"/>
    </row>
    <row r="1185" spans="1:33" x14ac:dyDescent="0.2">
      <c r="A1185" s="169">
        <v>5</v>
      </c>
      <c r="B1185" s="100" t="str">
        <f t="shared" si="608"/>
        <v>Working</v>
      </c>
      <c r="C1185" s="170">
        <f t="shared" si="609"/>
        <v>953837.51358640334</v>
      </c>
      <c r="D1185" s="170">
        <f t="shared" si="610"/>
        <v>506901.31028287602</v>
      </c>
      <c r="E1185" s="170">
        <f t="shared" si="611"/>
        <v>87789.687179999994</v>
      </c>
      <c r="F1185" s="170">
        <f t="shared" si="612"/>
        <v>56275.440499999997</v>
      </c>
      <c r="G1185" s="171">
        <f t="shared" si="613"/>
        <v>0</v>
      </c>
      <c r="H1185" s="171">
        <f t="shared" si="614"/>
        <v>0</v>
      </c>
      <c r="I1185" s="171">
        <f>IF(B1185="Working",MIN(MAX(D1185-E1185-F1185-G1185-H1185,0),'Tax Assumptions'!$B$20),0)</f>
        <v>7500</v>
      </c>
      <c r="J1185" s="171">
        <f t="shared" si="615"/>
        <v>355336.18260287598</v>
      </c>
      <c r="K1185" s="170">
        <f t="shared" si="616"/>
        <v>0</v>
      </c>
      <c r="L1185" s="170">
        <f t="shared" si="617"/>
        <v>0</v>
      </c>
      <c r="M1185" s="170">
        <f t="shared" si="623"/>
        <v>0</v>
      </c>
      <c r="N1185" s="170">
        <f t="shared" si="624"/>
        <v>0</v>
      </c>
      <c r="O1185" s="170">
        <f t="shared" si="625"/>
        <v>0</v>
      </c>
      <c r="P1185" s="170">
        <f t="shared" si="626"/>
        <v>0</v>
      </c>
      <c r="Q1185" s="171">
        <f t="shared" si="627"/>
        <v>1426725.0853869673</v>
      </c>
      <c r="R1185" s="171">
        <f t="shared" si="628"/>
        <v>138108.77752000003</v>
      </c>
      <c r="S1185" s="171">
        <f t="shared" si="629"/>
        <v>42278.197200000002</v>
      </c>
      <c r="T1185" s="171">
        <f t="shared" si="630"/>
        <v>0</v>
      </c>
      <c r="U1185" s="171">
        <f t="shared" si="618"/>
        <v>1607112.0601069673</v>
      </c>
      <c r="V1185" s="171">
        <f t="shared" si="631"/>
        <v>0</v>
      </c>
      <c r="W1185" s="171" t="str">
        <f>IF(OR(A1185&gt;=$C$13,B1185="Retired"),IF(V1185&gt;0,-V1185,U1185-'Model Inputs'!$B$18),"")</f>
        <v/>
      </c>
      <c r="X1185" s="171">
        <f t="shared" si="619"/>
        <v>0</v>
      </c>
      <c r="Y1185" s="171">
        <f t="shared" si="620"/>
        <v>0</v>
      </c>
      <c r="Z1185" s="171">
        <f t="shared" si="621"/>
        <v>0</v>
      </c>
      <c r="AA1185" s="172">
        <f t="shared" si="622"/>
        <v>1607112.0601069673</v>
      </c>
      <c r="AB1185" s="5"/>
      <c r="AC1185" s="5"/>
      <c r="AD1185" s="5"/>
      <c r="AE1185" s="5"/>
      <c r="AF1185" s="5"/>
      <c r="AG1185" s="5"/>
    </row>
    <row r="1186" spans="1:33" x14ac:dyDescent="0.2">
      <c r="A1186" s="173">
        <v>6</v>
      </c>
      <c r="B1186" s="65" t="str">
        <f t="shared" si="608"/>
        <v>Working</v>
      </c>
      <c r="C1186" s="174">
        <f t="shared" si="609"/>
        <v>1118900.665838565</v>
      </c>
      <c r="D1186" s="174">
        <f t="shared" si="610"/>
        <v>589060.11476976541</v>
      </c>
      <c r="E1186" s="174">
        <f t="shared" si="611"/>
        <v>92741.925943999988</v>
      </c>
      <c r="F1186" s="174">
        <f t="shared" si="612"/>
        <v>57963.703714999989</v>
      </c>
      <c r="G1186" s="171">
        <f t="shared" si="613"/>
        <v>0</v>
      </c>
      <c r="H1186" s="171">
        <f t="shared" si="614"/>
        <v>0</v>
      </c>
      <c r="I1186" s="171">
        <f>IF(B1186="Working",MIN(MAX(D1186-E1186-F1186-G1186-H1186,0),'Tax Assumptions'!$B$20),0)</f>
        <v>7500</v>
      </c>
      <c r="J1186" s="171">
        <f t="shared" si="615"/>
        <v>430854.48511076538</v>
      </c>
      <c r="K1186" s="174">
        <f t="shared" si="616"/>
        <v>0</v>
      </c>
      <c r="L1186" s="174">
        <f t="shared" si="617"/>
        <v>0</v>
      </c>
      <c r="M1186" s="174">
        <f t="shared" si="623"/>
        <v>0</v>
      </c>
      <c r="N1186" s="174">
        <f t="shared" si="624"/>
        <v>0</v>
      </c>
      <c r="O1186" s="174">
        <f t="shared" si="625"/>
        <v>0</v>
      </c>
      <c r="P1186" s="174">
        <f t="shared" si="626"/>
        <v>0</v>
      </c>
      <c r="Q1186" s="171">
        <f t="shared" si="627"/>
        <v>1943183.0756209507</v>
      </c>
      <c r="R1186" s="171">
        <f t="shared" si="628"/>
        <v>170895.30417120006</v>
      </c>
      <c r="S1186" s="171">
        <f t="shared" si="629"/>
        <v>52314.889032000006</v>
      </c>
      <c r="T1186" s="171">
        <f t="shared" si="630"/>
        <v>0</v>
      </c>
      <c r="U1186" s="171">
        <f t="shared" si="618"/>
        <v>2166393.2688241508</v>
      </c>
      <c r="V1186" s="171">
        <f t="shared" si="631"/>
        <v>0</v>
      </c>
      <c r="W1186" s="171" t="str">
        <f>IF(OR(A1186&gt;=$C$13,B1186="Retired"),IF(V1186&gt;0,-V1186,U1186-'Model Inputs'!$B$18),"")</f>
        <v/>
      </c>
      <c r="X1186" s="171">
        <f t="shared" si="619"/>
        <v>0</v>
      </c>
      <c r="Y1186" s="171">
        <f t="shared" si="620"/>
        <v>0</v>
      </c>
      <c r="Z1186" s="171">
        <f t="shared" si="621"/>
        <v>0</v>
      </c>
      <c r="AA1186" s="175">
        <f t="shared" si="622"/>
        <v>2166393.2688241508</v>
      </c>
      <c r="AB1186" s="5"/>
      <c r="AC1186" s="5"/>
      <c r="AD1186" s="5"/>
      <c r="AE1186" s="5"/>
      <c r="AF1186" s="5"/>
      <c r="AG1186" s="5"/>
    </row>
    <row r="1187" spans="1:33" x14ac:dyDescent="0.2">
      <c r="A1187" s="169">
        <v>7</v>
      </c>
      <c r="B1187" s="100" t="str">
        <f t="shared" si="608"/>
        <v>Working</v>
      </c>
      <c r="C1187" s="170">
        <f t="shared" si="609"/>
        <v>1418318.448466131</v>
      </c>
      <c r="D1187" s="170">
        <f t="shared" si="610"/>
        <v>730157.75065517949</v>
      </c>
      <c r="E1187" s="170">
        <f t="shared" si="611"/>
        <v>95524.183722319998</v>
      </c>
      <c r="F1187" s="170">
        <f t="shared" si="612"/>
        <v>59702.614826449993</v>
      </c>
      <c r="G1187" s="171">
        <f t="shared" si="613"/>
        <v>0</v>
      </c>
      <c r="H1187" s="171">
        <f t="shared" si="614"/>
        <v>0</v>
      </c>
      <c r="I1187" s="171">
        <f>IF(B1187="Working",MIN(MAX(D1187-E1187-F1187-G1187-H1187,0),'Tax Assumptions'!$B$20),0)</f>
        <v>7500</v>
      </c>
      <c r="J1187" s="171">
        <f t="shared" si="615"/>
        <v>567430.95210640947</v>
      </c>
      <c r="K1187" s="170">
        <f t="shared" si="616"/>
        <v>0</v>
      </c>
      <c r="L1187" s="170">
        <f t="shared" si="617"/>
        <v>0</v>
      </c>
      <c r="M1187" s="170">
        <f t="shared" si="623"/>
        <v>0</v>
      </c>
      <c r="N1187" s="170">
        <f t="shared" si="624"/>
        <v>0</v>
      </c>
      <c r="O1187" s="170">
        <f t="shared" si="625"/>
        <v>0</v>
      </c>
      <c r="P1187" s="170">
        <f t="shared" si="626"/>
        <v>0</v>
      </c>
      <c r="Q1187" s="171">
        <f t="shared" si="627"/>
        <v>2627205.0122646173</v>
      </c>
      <c r="R1187" s="171">
        <f t="shared" si="628"/>
        <v>205649.02242147207</v>
      </c>
      <c r="S1187" s="171">
        <f t="shared" si="629"/>
        <v>62953.78237392001</v>
      </c>
      <c r="T1187" s="171">
        <f t="shared" si="630"/>
        <v>0</v>
      </c>
      <c r="U1187" s="171">
        <f t="shared" si="618"/>
        <v>2895807.8170600096</v>
      </c>
      <c r="V1187" s="171">
        <f t="shared" si="631"/>
        <v>0</v>
      </c>
      <c r="W1187" s="171" t="str">
        <f>IF(OR(A1187&gt;=$C$13,B1187="Retired"),IF(V1187&gt;0,-V1187,U1187-'Model Inputs'!$B$18),"")</f>
        <v/>
      </c>
      <c r="X1187" s="171">
        <f t="shared" si="619"/>
        <v>0</v>
      </c>
      <c r="Y1187" s="171">
        <f t="shared" si="620"/>
        <v>0</v>
      </c>
      <c r="Z1187" s="171">
        <f t="shared" si="621"/>
        <v>0</v>
      </c>
      <c r="AA1187" s="172">
        <f t="shared" si="622"/>
        <v>2895807.8170600096</v>
      </c>
      <c r="AB1187" s="5"/>
      <c r="AC1187" s="5"/>
      <c r="AD1187" s="5"/>
      <c r="AE1187" s="5"/>
      <c r="AF1187" s="5"/>
      <c r="AG1187" s="5"/>
    </row>
    <row r="1188" spans="1:33" x14ac:dyDescent="0.2">
      <c r="A1188" s="173">
        <v>8</v>
      </c>
      <c r="B1188" s="65" t="str">
        <f t="shared" si="608"/>
        <v>Working</v>
      </c>
      <c r="C1188" s="174">
        <f t="shared" si="609"/>
        <v>1872205.6657868917</v>
      </c>
      <c r="D1188" s="174">
        <f t="shared" si="610"/>
        <v>944047.5629454148</v>
      </c>
      <c r="E1188" s="174">
        <f t="shared" si="611"/>
        <v>98389.909233989601</v>
      </c>
      <c r="F1188" s="174">
        <f t="shared" si="612"/>
        <v>61493.693271243501</v>
      </c>
      <c r="G1188" s="171">
        <f t="shared" si="613"/>
        <v>0</v>
      </c>
      <c r="H1188" s="171">
        <f t="shared" si="614"/>
        <v>0</v>
      </c>
      <c r="I1188" s="171">
        <f>IF(B1188="Working",MIN(MAX(D1188-E1188-F1188-G1188-H1188,0),'Tax Assumptions'!$B$20),0)</f>
        <v>7500</v>
      </c>
      <c r="J1188" s="171">
        <f t="shared" si="615"/>
        <v>776663.96044018166</v>
      </c>
      <c r="K1188" s="174">
        <f t="shared" si="616"/>
        <v>0</v>
      </c>
      <c r="L1188" s="174">
        <f t="shared" si="617"/>
        <v>0</v>
      </c>
      <c r="M1188" s="174">
        <f t="shared" si="623"/>
        <v>0</v>
      </c>
      <c r="N1188" s="174">
        <f t="shared" si="624"/>
        <v>0</v>
      </c>
      <c r="O1188" s="174">
        <f t="shared" si="625"/>
        <v>0</v>
      </c>
      <c r="P1188" s="174">
        <f t="shared" si="626"/>
        <v>0</v>
      </c>
      <c r="Q1188" s="171">
        <f t="shared" si="627"/>
        <v>3561501.2734406763</v>
      </c>
      <c r="R1188" s="171">
        <f t="shared" si="628"/>
        <v>242487.9637667604</v>
      </c>
      <c r="S1188" s="171">
        <f t="shared" si="629"/>
        <v>74231.009316355208</v>
      </c>
      <c r="T1188" s="171">
        <f t="shared" si="630"/>
        <v>0</v>
      </c>
      <c r="U1188" s="171">
        <f t="shared" si="618"/>
        <v>3878220.2465237915</v>
      </c>
      <c r="V1188" s="171">
        <f t="shared" si="631"/>
        <v>0</v>
      </c>
      <c r="W1188" s="171" t="str">
        <f>IF(OR(A1188&gt;=$C$13,B1188="Retired"),IF(V1188&gt;0,-V1188,U1188-'Model Inputs'!$B$18),"")</f>
        <v/>
      </c>
      <c r="X1188" s="171">
        <f t="shared" si="619"/>
        <v>0</v>
      </c>
      <c r="Y1188" s="171">
        <f t="shared" si="620"/>
        <v>0</v>
      </c>
      <c r="Z1188" s="171">
        <f t="shared" si="621"/>
        <v>0</v>
      </c>
      <c r="AA1188" s="175">
        <f t="shared" si="622"/>
        <v>3878220.2465237915</v>
      </c>
      <c r="AB1188" s="5"/>
      <c r="AC1188" s="5"/>
      <c r="AD1188" s="5"/>
      <c r="AE1188" s="5"/>
      <c r="AF1188" s="5"/>
      <c r="AG1188" s="5"/>
    </row>
    <row r="1189" spans="1:33" x14ac:dyDescent="0.2">
      <c r="A1189" s="169">
        <v>9</v>
      </c>
      <c r="B1189" s="100" t="str">
        <f t="shared" si="608"/>
        <v>Working</v>
      </c>
      <c r="C1189" s="170">
        <f t="shared" si="609"/>
        <v>2033969.9666232408</v>
      </c>
      <c r="D1189" s="170">
        <f t="shared" si="610"/>
        <v>1020277.372071536</v>
      </c>
      <c r="E1189" s="170">
        <f t="shared" si="611"/>
        <v>101341.60651100927</v>
      </c>
      <c r="F1189" s="170">
        <f t="shared" si="612"/>
        <v>63338.504069380797</v>
      </c>
      <c r="G1189" s="171">
        <f t="shared" si="613"/>
        <v>0</v>
      </c>
      <c r="H1189" s="171">
        <f t="shared" si="614"/>
        <v>0</v>
      </c>
      <c r="I1189" s="171">
        <f>IF(B1189="Working",MIN(MAX(D1189-E1189-F1189-G1189-H1189,0),'Tax Assumptions'!$B$20),0)</f>
        <v>7500</v>
      </c>
      <c r="J1189" s="171">
        <f t="shared" si="615"/>
        <v>848097.26149114594</v>
      </c>
      <c r="K1189" s="170">
        <f t="shared" si="616"/>
        <v>0</v>
      </c>
      <c r="L1189" s="170">
        <f t="shared" si="617"/>
        <v>0</v>
      </c>
      <c r="M1189" s="170">
        <f t="shared" si="623"/>
        <v>0</v>
      </c>
      <c r="N1189" s="170">
        <f t="shared" si="624"/>
        <v>0</v>
      </c>
      <c r="O1189" s="170">
        <f t="shared" si="625"/>
        <v>0</v>
      </c>
      <c r="P1189" s="170">
        <f t="shared" si="626"/>
        <v>0</v>
      </c>
      <c r="Q1189" s="171">
        <f t="shared" si="627"/>
        <v>4623288.6113382634</v>
      </c>
      <c r="R1189" s="171">
        <f t="shared" si="628"/>
        <v>281537.24159276602</v>
      </c>
      <c r="S1189" s="171">
        <f t="shared" si="629"/>
        <v>86184.869875336532</v>
      </c>
      <c r="T1189" s="171">
        <f t="shared" si="630"/>
        <v>0</v>
      </c>
      <c r="U1189" s="171">
        <f t="shared" si="618"/>
        <v>4991010.7228063662</v>
      </c>
      <c r="V1189" s="171">
        <f t="shared" si="631"/>
        <v>0</v>
      </c>
      <c r="W1189" s="171" t="str">
        <f>IF(OR(A1189&gt;=$C$13,B1189="Retired"),IF(V1189&gt;0,-V1189,U1189-'Model Inputs'!$B$18),"")</f>
        <v/>
      </c>
      <c r="X1189" s="171">
        <f t="shared" si="619"/>
        <v>0</v>
      </c>
      <c r="Y1189" s="171">
        <f t="shared" si="620"/>
        <v>0</v>
      </c>
      <c r="Z1189" s="171">
        <f t="shared" si="621"/>
        <v>0</v>
      </c>
      <c r="AA1189" s="172">
        <f t="shared" si="622"/>
        <v>4991010.7228063662</v>
      </c>
      <c r="AB1189" s="5"/>
      <c r="AC1189" s="5"/>
      <c r="AD1189" s="5"/>
      <c r="AE1189" s="5"/>
      <c r="AF1189" s="5"/>
      <c r="AG1189" s="5"/>
    </row>
    <row r="1190" spans="1:33" x14ac:dyDescent="0.2">
      <c r="A1190" s="173">
        <v>10</v>
      </c>
      <c r="B1190" s="65" t="str">
        <f t="shared" si="608"/>
        <v>Working</v>
      </c>
      <c r="C1190" s="174">
        <f t="shared" si="609"/>
        <v>2595495.7626410057</v>
      </c>
      <c r="D1190" s="174">
        <f t="shared" si="610"/>
        <v>1284890.7881869476</v>
      </c>
      <c r="E1190" s="174">
        <f t="shared" si="611"/>
        <v>104381.85470633955</v>
      </c>
      <c r="F1190" s="174">
        <f t="shared" si="612"/>
        <v>65238.659191462226</v>
      </c>
      <c r="G1190" s="171">
        <f t="shared" si="613"/>
        <v>1123969.4013365901</v>
      </c>
      <c r="H1190" s="171">
        <f t="shared" si="614"/>
        <v>150769.23076923075</v>
      </c>
      <c r="I1190" s="171">
        <f>IF(B1190="Working",MIN(MAX(D1190-E1190-F1190-G1190-H1190,0),'Tax Assumptions'!$B$20),0)</f>
        <v>0</v>
      </c>
      <c r="J1190" s="171">
        <f t="shared" si="615"/>
        <v>-159468.35781667498</v>
      </c>
      <c r="K1190" s="174">
        <f t="shared" si="616"/>
        <v>0</v>
      </c>
      <c r="L1190" s="174">
        <f t="shared" si="617"/>
        <v>0</v>
      </c>
      <c r="M1190" s="174">
        <f t="shared" si="623"/>
        <v>0</v>
      </c>
      <c r="N1190" s="174">
        <f t="shared" si="624"/>
        <v>0</v>
      </c>
      <c r="O1190" s="174">
        <f t="shared" si="625"/>
        <v>0</v>
      </c>
      <c r="P1190" s="174">
        <f t="shared" si="626"/>
        <v>0</v>
      </c>
      <c r="Q1190" s="171">
        <f t="shared" si="627"/>
        <v>4741217.570201885</v>
      </c>
      <c r="R1190" s="171">
        <f t="shared" si="628"/>
        <v>322929.47608833201</v>
      </c>
      <c r="S1190" s="171">
        <f t="shared" si="629"/>
        <v>91355.96206785673</v>
      </c>
      <c r="T1190" s="171">
        <f t="shared" si="630"/>
        <v>0</v>
      </c>
      <c r="U1190" s="171">
        <f t="shared" si="618"/>
        <v>5155503.0083580734</v>
      </c>
      <c r="V1190" s="171">
        <f t="shared" si="631"/>
        <v>0</v>
      </c>
      <c r="W1190" s="171">
        <f>IF(OR(A1190&gt;=$C$13,B1190="Retired"),IF(V1190&gt;0,-V1190,U1190-'Model Inputs'!$B$18),"")</f>
        <v>4155503.0083580734</v>
      </c>
      <c r="X1190" s="171">
        <f t="shared" si="619"/>
        <v>2366251.3712349264</v>
      </c>
      <c r="Y1190" s="171">
        <f t="shared" si="620"/>
        <v>1286891.7473494606</v>
      </c>
      <c r="Z1190" s="171">
        <f t="shared" si="621"/>
        <v>1079359.6238854658</v>
      </c>
      <c r="AA1190" s="175">
        <f t="shared" si="622"/>
        <v>6234862.6322435392</v>
      </c>
      <c r="AB1190" s="5"/>
      <c r="AC1190" s="5"/>
      <c r="AD1190" s="5"/>
      <c r="AE1190" s="5"/>
      <c r="AF1190" s="5"/>
      <c r="AG1190" s="5"/>
    </row>
    <row r="1191" spans="1:33" x14ac:dyDescent="0.2">
      <c r="A1191" s="169">
        <v>11</v>
      </c>
      <c r="B1191" s="100" t="str">
        <f t="shared" si="608"/>
        <v>Retired</v>
      </c>
      <c r="C1191" s="170">
        <f t="shared" si="609"/>
        <v>0</v>
      </c>
      <c r="D1191" s="170">
        <f t="shared" si="610"/>
        <v>0</v>
      </c>
      <c r="E1191" s="170">
        <f t="shared" si="611"/>
        <v>0</v>
      </c>
      <c r="F1191" s="170">
        <f t="shared" si="612"/>
        <v>0</v>
      </c>
      <c r="G1191" s="171">
        <f t="shared" si="613"/>
        <v>0</v>
      </c>
      <c r="H1191" s="171">
        <f t="shared" si="614"/>
        <v>152330.9566742458</v>
      </c>
      <c r="I1191" s="171">
        <f>IF(B1191="Working",MIN(MAX(D1191-E1191-F1191-G1191-H1191,0),'Tax Assumptions'!$B$20),0)</f>
        <v>0</v>
      </c>
      <c r="J1191" s="171">
        <f t="shared" si="615"/>
        <v>-322330.95667424577</v>
      </c>
      <c r="K1191" s="170">
        <f t="shared" si="616"/>
        <v>322330.95667424577</v>
      </c>
      <c r="L1191" s="170">
        <f t="shared" si="617"/>
        <v>322330.95667424577</v>
      </c>
      <c r="M1191" s="170">
        <f t="shared" si="623"/>
        <v>322330.95667424577</v>
      </c>
      <c r="N1191" s="170">
        <f t="shared" si="624"/>
        <v>0</v>
      </c>
      <c r="O1191" s="170">
        <f t="shared" si="625"/>
        <v>0</v>
      </c>
      <c r="P1191" s="170">
        <f t="shared" si="626"/>
        <v>0</v>
      </c>
      <c r="Q1191" s="171">
        <f t="shared" si="627"/>
        <v>4703359.6677397517</v>
      </c>
      <c r="R1191" s="171">
        <f t="shared" si="628"/>
        <v>342305.24465363193</v>
      </c>
      <c r="S1191" s="171">
        <f t="shared" si="629"/>
        <v>96837.319791928137</v>
      </c>
      <c r="T1191" s="171">
        <f t="shared" si="630"/>
        <v>0</v>
      </c>
      <c r="U1191" s="171">
        <f t="shared" si="618"/>
        <v>5142502.2321853116</v>
      </c>
      <c r="V1191" s="171">
        <f t="shared" si="631"/>
        <v>0</v>
      </c>
      <c r="W1191" s="171">
        <f>IF(OR(A1191&gt;=$C$13,B1191="Retired"),IF(V1191&gt;0,-V1191,U1191-'Model Inputs'!$B$18),"")</f>
        <v>4142502.2321853116</v>
      </c>
      <c r="X1191" s="171">
        <f t="shared" si="619"/>
        <v>2437238.9123719744</v>
      </c>
      <c r="Y1191" s="171">
        <f t="shared" si="620"/>
        <v>1271371.0340171556</v>
      </c>
      <c r="Z1191" s="171">
        <f t="shared" si="621"/>
        <v>1165867.8783548188</v>
      </c>
      <c r="AA1191" s="172">
        <f t="shared" si="622"/>
        <v>6308370.1105401302</v>
      </c>
      <c r="AB1191" s="5"/>
      <c r="AC1191" s="5"/>
      <c r="AD1191" s="5"/>
      <c r="AE1191" s="5"/>
      <c r="AF1191" s="5"/>
      <c r="AG1191" s="5"/>
    </row>
    <row r="1192" spans="1:33" x14ac:dyDescent="0.2">
      <c r="A1192" s="173">
        <v>12</v>
      </c>
      <c r="B1192" s="65" t="str">
        <f t="shared" si="608"/>
        <v>Retired</v>
      </c>
      <c r="C1192" s="174">
        <f t="shared" si="609"/>
        <v>0</v>
      </c>
      <c r="D1192" s="174">
        <f t="shared" si="610"/>
        <v>0</v>
      </c>
      <c r="E1192" s="174">
        <f t="shared" si="611"/>
        <v>0</v>
      </c>
      <c r="F1192" s="174">
        <f t="shared" si="612"/>
        <v>0</v>
      </c>
      <c r="G1192" s="171">
        <f t="shared" si="613"/>
        <v>0</v>
      </c>
      <c r="H1192" s="171">
        <f t="shared" si="614"/>
        <v>153939.53435641131</v>
      </c>
      <c r="I1192" s="171">
        <f>IF(B1192="Working",MIN(MAX(D1192-E1192-F1192-G1192-H1192,0),'Tax Assumptions'!$B$20),0)</f>
        <v>0</v>
      </c>
      <c r="J1192" s="171">
        <f t="shared" si="615"/>
        <v>-323939.53435641131</v>
      </c>
      <c r="K1192" s="174">
        <f t="shared" si="616"/>
        <v>323939.53435641131</v>
      </c>
      <c r="L1192" s="174">
        <f t="shared" si="617"/>
        <v>323939.53435641131</v>
      </c>
      <c r="M1192" s="174">
        <f t="shared" si="623"/>
        <v>323939.53435641131</v>
      </c>
      <c r="N1192" s="174">
        <f t="shared" si="624"/>
        <v>0</v>
      </c>
      <c r="O1192" s="174">
        <f t="shared" si="625"/>
        <v>0</v>
      </c>
      <c r="P1192" s="174">
        <f t="shared" si="626"/>
        <v>0</v>
      </c>
      <c r="Q1192" s="171">
        <f t="shared" si="627"/>
        <v>4661621.7134477254</v>
      </c>
      <c r="R1192" s="171">
        <f t="shared" si="628"/>
        <v>362843.55933284987</v>
      </c>
      <c r="S1192" s="171">
        <f t="shared" si="629"/>
        <v>102647.55897944383</v>
      </c>
      <c r="T1192" s="171">
        <f t="shared" si="630"/>
        <v>0</v>
      </c>
      <c r="U1192" s="171">
        <f t="shared" si="618"/>
        <v>5127112.8317600191</v>
      </c>
      <c r="V1192" s="171">
        <f t="shared" si="631"/>
        <v>0</v>
      </c>
      <c r="W1192" s="171">
        <f>IF(OR(A1192&gt;=$C$13,B1192="Retired"),IF(V1192&gt;0,-V1192,U1192-'Model Inputs'!$B$18),"")</f>
        <v>4127112.8317600191</v>
      </c>
      <c r="X1192" s="171">
        <f t="shared" si="619"/>
        <v>2510356.0797431334</v>
      </c>
      <c r="Y1192" s="171">
        <f t="shared" si="620"/>
        <v>1254810.8697685855</v>
      </c>
      <c r="Z1192" s="171">
        <f t="shared" si="621"/>
        <v>1255545.2099745478</v>
      </c>
      <c r="AA1192" s="175">
        <f t="shared" si="622"/>
        <v>6382658.0417345669</v>
      </c>
      <c r="AB1192" s="5"/>
      <c r="AC1192" s="5"/>
      <c r="AD1192" s="5"/>
      <c r="AE1192" s="5"/>
      <c r="AF1192" s="5"/>
      <c r="AG1192" s="5"/>
    </row>
    <row r="1193" spans="1:33" x14ac:dyDescent="0.2">
      <c r="A1193" s="169">
        <v>13</v>
      </c>
      <c r="B1193" s="100" t="str">
        <f t="shared" si="608"/>
        <v>Retired</v>
      </c>
      <c r="C1193" s="170">
        <f t="shared" si="609"/>
        <v>0</v>
      </c>
      <c r="D1193" s="170">
        <f t="shared" si="610"/>
        <v>0</v>
      </c>
      <c r="E1193" s="170">
        <f t="shared" si="611"/>
        <v>0</v>
      </c>
      <c r="F1193" s="170">
        <f t="shared" si="612"/>
        <v>0</v>
      </c>
      <c r="G1193" s="171">
        <f t="shared" si="613"/>
        <v>0</v>
      </c>
      <c r="H1193" s="171">
        <f t="shared" si="614"/>
        <v>155596.36936904176</v>
      </c>
      <c r="I1193" s="171">
        <f>IF(B1193="Working",MIN(MAX(D1193-E1193-F1193-G1193-H1193,0),'Tax Assumptions'!$B$20),0)</f>
        <v>0</v>
      </c>
      <c r="J1193" s="171">
        <f t="shared" si="615"/>
        <v>-325596.36936904176</v>
      </c>
      <c r="K1193" s="170">
        <f t="shared" si="616"/>
        <v>325596.36936904176</v>
      </c>
      <c r="L1193" s="170">
        <f t="shared" si="617"/>
        <v>325596.36936904176</v>
      </c>
      <c r="M1193" s="170">
        <f t="shared" si="623"/>
        <v>325596.36936904176</v>
      </c>
      <c r="N1193" s="170">
        <f t="shared" si="624"/>
        <v>0</v>
      </c>
      <c r="O1193" s="170">
        <f t="shared" si="625"/>
        <v>0</v>
      </c>
      <c r="P1193" s="170">
        <f t="shared" si="626"/>
        <v>0</v>
      </c>
      <c r="Q1193" s="171">
        <f t="shared" si="627"/>
        <v>4615722.6468855469</v>
      </c>
      <c r="R1193" s="171">
        <f t="shared" si="628"/>
        <v>384614.1728928209</v>
      </c>
      <c r="S1193" s="171">
        <f t="shared" si="629"/>
        <v>108806.41251821046</v>
      </c>
      <c r="T1193" s="171">
        <f t="shared" si="630"/>
        <v>0</v>
      </c>
      <c r="U1193" s="171">
        <f t="shared" si="618"/>
        <v>5109143.2322965786</v>
      </c>
      <c r="V1193" s="171">
        <f t="shared" si="631"/>
        <v>0</v>
      </c>
      <c r="W1193" s="171">
        <f>IF(OR(A1193&gt;=$C$13,B1193="Retired"),IF(V1193&gt;0,-V1193,U1193-'Model Inputs'!$B$18),"")</f>
        <v>4109143.2322965786</v>
      </c>
      <c r="X1193" s="171">
        <f t="shared" si="619"/>
        <v>2585666.7621354274</v>
      </c>
      <c r="Y1193" s="171">
        <f t="shared" si="620"/>
        <v>1237141.6406508228</v>
      </c>
      <c r="Z1193" s="171">
        <f t="shared" si="621"/>
        <v>1348525.1214846047</v>
      </c>
      <c r="AA1193" s="172">
        <f t="shared" si="622"/>
        <v>6457668.3537811833</v>
      </c>
      <c r="AB1193" s="5"/>
      <c r="AC1193" s="5"/>
      <c r="AD1193" s="5"/>
      <c r="AE1193" s="5"/>
      <c r="AF1193" s="5"/>
      <c r="AG1193" s="5"/>
    </row>
    <row r="1194" spans="1:33" x14ac:dyDescent="0.2">
      <c r="A1194" s="173">
        <v>14</v>
      </c>
      <c r="B1194" s="65" t="str">
        <f t="shared" si="608"/>
        <v>Retired</v>
      </c>
      <c r="C1194" s="174">
        <f t="shared" si="609"/>
        <v>0</v>
      </c>
      <c r="D1194" s="174">
        <f t="shared" si="610"/>
        <v>0</v>
      </c>
      <c r="E1194" s="174">
        <f t="shared" si="611"/>
        <v>0</v>
      </c>
      <c r="F1194" s="174">
        <f t="shared" si="612"/>
        <v>0</v>
      </c>
      <c r="G1194" s="171">
        <f t="shared" si="613"/>
        <v>0</v>
      </c>
      <c r="H1194" s="171">
        <f t="shared" si="614"/>
        <v>157302.90943205115</v>
      </c>
      <c r="I1194" s="171">
        <f>IF(B1194="Working",MIN(MAX(D1194-E1194-F1194-G1194-H1194,0),'Tax Assumptions'!$B$20),0)</f>
        <v>0</v>
      </c>
      <c r="J1194" s="171">
        <f t="shared" si="615"/>
        <v>-327302.90943205112</v>
      </c>
      <c r="K1194" s="174">
        <f t="shared" si="616"/>
        <v>327302.90943205112</v>
      </c>
      <c r="L1194" s="174">
        <f t="shared" si="617"/>
        <v>327302.90943205112</v>
      </c>
      <c r="M1194" s="174">
        <f t="shared" si="623"/>
        <v>327302.90943205112</v>
      </c>
      <c r="N1194" s="174">
        <f t="shared" si="624"/>
        <v>0</v>
      </c>
      <c r="O1194" s="174">
        <f t="shared" si="625"/>
        <v>0</v>
      </c>
      <c r="P1194" s="174">
        <f t="shared" si="626"/>
        <v>0</v>
      </c>
      <c r="Q1194" s="171">
        <f t="shared" si="627"/>
        <v>4565363.0962666292</v>
      </c>
      <c r="R1194" s="171">
        <f t="shared" si="628"/>
        <v>407691.0232663902</v>
      </c>
      <c r="S1194" s="171">
        <f t="shared" si="629"/>
        <v>115334.79726930309</v>
      </c>
      <c r="T1194" s="171">
        <f t="shared" si="630"/>
        <v>0</v>
      </c>
      <c r="U1194" s="171">
        <f t="shared" si="618"/>
        <v>5088388.9168023225</v>
      </c>
      <c r="V1194" s="171">
        <f t="shared" si="631"/>
        <v>0</v>
      </c>
      <c r="W1194" s="171">
        <f>IF(OR(A1194&gt;=$C$13,B1194="Retired"),IF(V1194&gt;0,-V1194,U1194-'Model Inputs'!$B$18),"")</f>
        <v>4088388.9168023225</v>
      </c>
      <c r="X1194" s="171">
        <f t="shared" si="619"/>
        <v>2663236.7649994902</v>
      </c>
      <c r="Y1194" s="171">
        <f t="shared" si="620"/>
        <v>1218289.0705355857</v>
      </c>
      <c r="Z1194" s="171">
        <f t="shared" si="621"/>
        <v>1444947.6944639045</v>
      </c>
      <c r="AA1194" s="175">
        <f t="shared" si="622"/>
        <v>6533336.6112662274</v>
      </c>
      <c r="AB1194" s="5"/>
      <c r="AC1194" s="5"/>
      <c r="AD1194" s="5"/>
      <c r="AE1194" s="5"/>
      <c r="AF1194" s="5"/>
      <c r="AG1194" s="5"/>
    </row>
    <row r="1195" spans="1:33" x14ac:dyDescent="0.2">
      <c r="A1195" s="169">
        <v>15</v>
      </c>
      <c r="B1195" s="100" t="str">
        <f t="shared" si="608"/>
        <v>Retired</v>
      </c>
      <c r="C1195" s="170">
        <f t="shared" si="609"/>
        <v>0</v>
      </c>
      <c r="D1195" s="170">
        <f t="shared" si="610"/>
        <v>0</v>
      </c>
      <c r="E1195" s="170">
        <f t="shared" si="611"/>
        <v>0</v>
      </c>
      <c r="F1195" s="170">
        <f t="shared" si="612"/>
        <v>0</v>
      </c>
      <c r="G1195" s="171">
        <f t="shared" si="613"/>
        <v>0</v>
      </c>
      <c r="H1195" s="171">
        <f t="shared" si="614"/>
        <v>159060.64569695081</v>
      </c>
      <c r="I1195" s="171">
        <f>IF(B1195="Working",MIN(MAX(D1195-E1195-F1195-G1195-H1195,0),'Tax Assumptions'!$B$20),0)</f>
        <v>0</v>
      </c>
      <c r="J1195" s="171">
        <f t="shared" si="615"/>
        <v>-329060.64569695084</v>
      </c>
      <c r="K1195" s="170">
        <f t="shared" si="616"/>
        <v>329060.64569695084</v>
      </c>
      <c r="L1195" s="170">
        <f t="shared" si="617"/>
        <v>329060.64569695084</v>
      </c>
      <c r="M1195" s="170">
        <f t="shared" si="623"/>
        <v>329060.64569695084</v>
      </c>
      <c r="N1195" s="170">
        <f t="shared" si="624"/>
        <v>0</v>
      </c>
      <c r="O1195" s="170">
        <f t="shared" si="625"/>
        <v>0</v>
      </c>
      <c r="P1195" s="170">
        <f t="shared" si="626"/>
        <v>0</v>
      </c>
      <c r="Q1195" s="171">
        <f t="shared" si="627"/>
        <v>4510224.2363456758</v>
      </c>
      <c r="R1195" s="171">
        <f t="shared" si="628"/>
        <v>432152.48466237361</v>
      </c>
      <c r="S1195" s="171">
        <f t="shared" si="629"/>
        <v>122254.88510546128</v>
      </c>
      <c r="T1195" s="171">
        <f t="shared" si="630"/>
        <v>0</v>
      </c>
      <c r="U1195" s="171">
        <f t="shared" si="618"/>
        <v>5064631.6061135102</v>
      </c>
      <c r="V1195" s="171">
        <f t="shared" si="631"/>
        <v>0</v>
      </c>
      <c r="W1195" s="171">
        <f>IF(OR(A1195&gt;=$C$13,B1195="Retired"),IF(V1195&gt;0,-V1195,U1195-'Model Inputs'!$B$18),"")</f>
        <v>4064631.6061135102</v>
      </c>
      <c r="X1195" s="171">
        <f t="shared" si="619"/>
        <v>2743133.8679494746</v>
      </c>
      <c r="Y1195" s="171">
        <f t="shared" si="620"/>
        <v>1198173.9088847237</v>
      </c>
      <c r="Z1195" s="171">
        <f t="shared" si="621"/>
        <v>1544959.9590647509</v>
      </c>
      <c r="AA1195" s="172">
        <f t="shared" si="622"/>
        <v>6609591.5651782611</v>
      </c>
      <c r="AB1195" s="5"/>
      <c r="AC1195" s="5"/>
      <c r="AD1195" s="5"/>
      <c r="AE1195" s="5"/>
      <c r="AF1195" s="5"/>
      <c r="AG1195" s="5"/>
    </row>
    <row r="1196" spans="1:33" x14ac:dyDescent="0.2">
      <c r="A1196" s="173">
        <v>16</v>
      </c>
      <c r="B1196" s="65" t="str">
        <f t="shared" si="608"/>
        <v>Retired</v>
      </c>
      <c r="C1196" s="174">
        <f t="shared" si="609"/>
        <v>0</v>
      </c>
      <c r="D1196" s="174">
        <f t="shared" si="610"/>
        <v>0</v>
      </c>
      <c r="E1196" s="174">
        <f t="shared" si="611"/>
        <v>0</v>
      </c>
      <c r="F1196" s="174">
        <f t="shared" si="612"/>
        <v>0</v>
      </c>
      <c r="G1196" s="171">
        <f t="shared" si="613"/>
        <v>0</v>
      </c>
      <c r="H1196" s="171">
        <f t="shared" si="614"/>
        <v>160871.11404979747</v>
      </c>
      <c r="I1196" s="171">
        <f>IF(B1196="Working",MIN(MAX(D1196-E1196-F1196-G1196-H1196,0),'Tax Assumptions'!$B$20),0)</f>
        <v>0</v>
      </c>
      <c r="J1196" s="171">
        <f t="shared" si="615"/>
        <v>-330871.11404979747</v>
      </c>
      <c r="K1196" s="174">
        <f t="shared" si="616"/>
        <v>330871.11404979747</v>
      </c>
      <c r="L1196" s="174">
        <f t="shared" si="617"/>
        <v>330871.11404979747</v>
      </c>
      <c r="M1196" s="174">
        <f t="shared" si="623"/>
        <v>330871.11404979747</v>
      </c>
      <c r="N1196" s="174">
        <f t="shared" si="624"/>
        <v>0</v>
      </c>
      <c r="O1196" s="174">
        <f t="shared" si="625"/>
        <v>0</v>
      </c>
      <c r="P1196" s="174">
        <f t="shared" si="626"/>
        <v>0</v>
      </c>
      <c r="Q1196" s="171">
        <f t="shared" si="627"/>
        <v>4449966.5764766186</v>
      </c>
      <c r="R1196" s="171">
        <f t="shared" si="628"/>
        <v>458081.63374211604</v>
      </c>
      <c r="S1196" s="171">
        <f t="shared" si="629"/>
        <v>129590.17821178895</v>
      </c>
      <c r="T1196" s="171">
        <f t="shared" si="630"/>
        <v>0</v>
      </c>
      <c r="U1196" s="171">
        <f t="shared" si="618"/>
        <v>5037638.3884305237</v>
      </c>
      <c r="V1196" s="171">
        <f t="shared" si="631"/>
        <v>0</v>
      </c>
      <c r="W1196" s="171">
        <f>IF(OR(A1196&gt;=$C$13,B1196="Retired"),IF(V1196&gt;0,-V1196,U1196-'Model Inputs'!$B$18),"")</f>
        <v>4037638.3884305237</v>
      </c>
      <c r="X1196" s="171">
        <f t="shared" si="619"/>
        <v>2825427.883987959</v>
      </c>
      <c r="Y1196" s="171">
        <f t="shared" si="620"/>
        <v>1176711.5976047725</v>
      </c>
      <c r="Z1196" s="171">
        <f t="shared" si="621"/>
        <v>1648716.2863831865</v>
      </c>
      <c r="AA1196" s="175">
        <f t="shared" si="622"/>
        <v>6686354.6748137102</v>
      </c>
      <c r="AB1196" s="5"/>
      <c r="AC1196" s="5"/>
      <c r="AD1196" s="5"/>
      <c r="AE1196" s="5"/>
      <c r="AF1196" s="5"/>
      <c r="AG1196" s="5"/>
    </row>
    <row r="1197" spans="1:33" x14ac:dyDescent="0.2">
      <c r="A1197" s="169">
        <v>17</v>
      </c>
      <c r="B1197" s="100" t="str">
        <f t="shared" si="608"/>
        <v>Retired</v>
      </c>
      <c r="C1197" s="170">
        <f t="shared" si="609"/>
        <v>0</v>
      </c>
      <c r="D1197" s="170">
        <f t="shared" si="610"/>
        <v>0</v>
      </c>
      <c r="E1197" s="170">
        <f t="shared" si="611"/>
        <v>0</v>
      </c>
      <c r="F1197" s="170">
        <f t="shared" si="612"/>
        <v>0</v>
      </c>
      <c r="G1197" s="171">
        <f t="shared" si="613"/>
        <v>0</v>
      </c>
      <c r="H1197" s="171">
        <f t="shared" si="614"/>
        <v>162735.89645322954</v>
      </c>
      <c r="I1197" s="171">
        <f>IF(B1197="Working",MIN(MAX(D1197-E1197-F1197-G1197-H1197,0),'Tax Assumptions'!$B$20),0)</f>
        <v>0</v>
      </c>
      <c r="J1197" s="171">
        <f t="shared" si="615"/>
        <v>-332735.89645322954</v>
      </c>
      <c r="K1197" s="170">
        <f t="shared" si="616"/>
        <v>332735.89645322954</v>
      </c>
      <c r="L1197" s="170">
        <f t="shared" si="617"/>
        <v>332735.89645322954</v>
      </c>
      <c r="M1197" s="170">
        <f t="shared" si="623"/>
        <v>332735.89645322954</v>
      </c>
      <c r="N1197" s="170">
        <f t="shared" si="624"/>
        <v>0</v>
      </c>
      <c r="O1197" s="170">
        <f t="shared" si="625"/>
        <v>0</v>
      </c>
      <c r="P1197" s="170">
        <f t="shared" si="626"/>
        <v>0</v>
      </c>
      <c r="Q1197" s="171">
        <f t="shared" si="627"/>
        <v>4384228.6746119866</v>
      </c>
      <c r="R1197" s="171">
        <f t="shared" si="628"/>
        <v>485566.53176664305</v>
      </c>
      <c r="S1197" s="171">
        <f t="shared" si="629"/>
        <v>137365.58890449628</v>
      </c>
      <c r="T1197" s="171">
        <f t="shared" si="630"/>
        <v>0</v>
      </c>
      <c r="U1197" s="171">
        <f t="shared" si="618"/>
        <v>5007160.7952831257</v>
      </c>
      <c r="V1197" s="171">
        <f t="shared" si="631"/>
        <v>0</v>
      </c>
      <c r="W1197" s="171">
        <f>IF(OR(A1197&gt;=$C$13,B1197="Retired"),IF(V1197&gt;0,-V1197,U1197-'Model Inputs'!$B$18),"")</f>
        <v>4007160.7952831257</v>
      </c>
      <c r="X1197" s="171">
        <f t="shared" si="619"/>
        <v>2910190.720507598</v>
      </c>
      <c r="Y1197" s="171">
        <f t="shared" si="620"/>
        <v>1153811.9155901484</v>
      </c>
      <c r="Z1197" s="171">
        <f t="shared" si="621"/>
        <v>1756378.8049174496</v>
      </c>
      <c r="AA1197" s="172">
        <f t="shared" si="622"/>
        <v>6763539.6002005748</v>
      </c>
      <c r="AB1197" s="5"/>
      <c r="AC1197" s="5"/>
      <c r="AD1197" s="5"/>
      <c r="AE1197" s="5"/>
      <c r="AF1197" s="5"/>
      <c r="AG1197" s="5"/>
    </row>
    <row r="1198" spans="1:33" x14ac:dyDescent="0.2">
      <c r="A1198" s="173">
        <v>18</v>
      </c>
      <c r="B1198" s="65" t="str">
        <f t="shared" si="608"/>
        <v>Retired</v>
      </c>
      <c r="C1198" s="174">
        <f t="shared" si="609"/>
        <v>0</v>
      </c>
      <c r="D1198" s="174">
        <f t="shared" si="610"/>
        <v>0</v>
      </c>
      <c r="E1198" s="174">
        <f t="shared" si="611"/>
        <v>0</v>
      </c>
      <c r="F1198" s="174">
        <f t="shared" si="612"/>
        <v>0</v>
      </c>
      <c r="G1198" s="171">
        <f t="shared" si="613"/>
        <v>0</v>
      </c>
      <c r="H1198" s="171">
        <f t="shared" si="614"/>
        <v>164656.62232876453</v>
      </c>
      <c r="I1198" s="171">
        <f>IF(B1198="Working",MIN(MAX(D1198-E1198-F1198-G1198-H1198,0),'Tax Assumptions'!$B$20),0)</f>
        <v>0</v>
      </c>
      <c r="J1198" s="171">
        <f t="shared" si="615"/>
        <v>-334656.62232876453</v>
      </c>
      <c r="K1198" s="174">
        <f t="shared" si="616"/>
        <v>334656.62232876453</v>
      </c>
      <c r="L1198" s="174">
        <f t="shared" si="617"/>
        <v>334656.62232876453</v>
      </c>
      <c r="M1198" s="174">
        <f t="shared" si="623"/>
        <v>334656.62232876453</v>
      </c>
      <c r="N1198" s="174">
        <f t="shared" si="624"/>
        <v>0</v>
      </c>
      <c r="O1198" s="174">
        <f t="shared" si="625"/>
        <v>0</v>
      </c>
      <c r="P1198" s="174">
        <f t="shared" si="626"/>
        <v>0</v>
      </c>
      <c r="Q1198" s="171">
        <f t="shared" si="627"/>
        <v>4312625.7727599414</v>
      </c>
      <c r="R1198" s="171">
        <f t="shared" si="628"/>
        <v>514700.52367264166</v>
      </c>
      <c r="S1198" s="171">
        <f t="shared" si="629"/>
        <v>145607.52423876605</v>
      </c>
      <c r="T1198" s="171">
        <f t="shared" si="630"/>
        <v>0</v>
      </c>
      <c r="U1198" s="171">
        <f t="shared" si="618"/>
        <v>4972933.8206713488</v>
      </c>
      <c r="V1198" s="171">
        <f t="shared" si="631"/>
        <v>0</v>
      </c>
      <c r="W1198" s="171">
        <f>IF(OR(A1198&gt;=$C$13,B1198="Retired"),IF(V1198&gt;0,-V1198,U1198-'Model Inputs'!$B$18),"")</f>
        <v>3972933.8206713488</v>
      </c>
      <c r="X1198" s="171">
        <f t="shared" si="619"/>
        <v>2997496.4421228254</v>
      </c>
      <c r="Y1198" s="171">
        <f t="shared" si="620"/>
        <v>1129378.5994607357</v>
      </c>
      <c r="Z1198" s="171">
        <f t="shared" si="621"/>
        <v>1868117.8426620897</v>
      </c>
      <c r="AA1198" s="175">
        <f t="shared" si="622"/>
        <v>6841051.6633334383</v>
      </c>
      <c r="AB1198" s="5"/>
      <c r="AC1198" s="5"/>
      <c r="AD1198" s="5"/>
      <c r="AE1198" s="5"/>
      <c r="AF1198" s="5"/>
      <c r="AG1198" s="5"/>
    </row>
    <row r="1199" spans="1:33" x14ac:dyDescent="0.2">
      <c r="A1199" s="169">
        <v>19</v>
      </c>
      <c r="B1199" s="100" t="str">
        <f t="shared" si="608"/>
        <v>Retired</v>
      </c>
      <c r="C1199" s="170">
        <f t="shared" si="609"/>
        <v>0</v>
      </c>
      <c r="D1199" s="170">
        <f t="shared" si="610"/>
        <v>0</v>
      </c>
      <c r="E1199" s="170">
        <f t="shared" si="611"/>
        <v>0</v>
      </c>
      <c r="F1199" s="170">
        <f t="shared" si="612"/>
        <v>0</v>
      </c>
      <c r="G1199" s="171">
        <f t="shared" si="613"/>
        <v>0</v>
      </c>
      <c r="H1199" s="171">
        <f t="shared" si="614"/>
        <v>166634.9699805656</v>
      </c>
      <c r="I1199" s="171">
        <f>IF(B1199="Working",MIN(MAX(D1199-E1199-F1199-G1199-H1199,0),'Tax Assumptions'!$B$20),0)</f>
        <v>0</v>
      </c>
      <c r="J1199" s="171">
        <f t="shared" si="615"/>
        <v>-336634.9699805656</v>
      </c>
      <c r="K1199" s="170">
        <f t="shared" si="616"/>
        <v>336634.9699805656</v>
      </c>
      <c r="L1199" s="170">
        <f t="shared" si="617"/>
        <v>336634.9699805656</v>
      </c>
      <c r="M1199" s="170">
        <f t="shared" si="623"/>
        <v>336634.9699805656</v>
      </c>
      <c r="N1199" s="170">
        <f t="shared" si="624"/>
        <v>0</v>
      </c>
      <c r="O1199" s="170">
        <f t="shared" si="625"/>
        <v>0</v>
      </c>
      <c r="P1199" s="170">
        <f t="shared" si="626"/>
        <v>0</v>
      </c>
      <c r="Q1199" s="171">
        <f t="shared" si="627"/>
        <v>4234748.3491449719</v>
      </c>
      <c r="R1199" s="171">
        <f t="shared" si="628"/>
        <v>545582.55509300018</v>
      </c>
      <c r="S1199" s="171">
        <f t="shared" si="629"/>
        <v>154343.97569309201</v>
      </c>
      <c r="T1199" s="171">
        <f t="shared" si="630"/>
        <v>0</v>
      </c>
      <c r="U1199" s="171">
        <f t="shared" si="618"/>
        <v>4934674.8799310643</v>
      </c>
      <c r="V1199" s="171">
        <f t="shared" si="631"/>
        <v>0</v>
      </c>
      <c r="W1199" s="171">
        <f>IF(OR(A1199&gt;=$C$13,B1199="Retired"),IF(V1199&gt;0,-V1199,U1199-'Model Inputs'!$B$18),"")</f>
        <v>3934674.8799310643</v>
      </c>
      <c r="X1199" s="171">
        <f t="shared" si="619"/>
        <v>3087421.3353865105</v>
      </c>
      <c r="Y1199" s="171">
        <f t="shared" si="620"/>
        <v>1103308.9388995722</v>
      </c>
      <c r="Z1199" s="171">
        <f t="shared" si="621"/>
        <v>1984112.3964869382</v>
      </c>
      <c r="AA1199" s="172">
        <f t="shared" si="622"/>
        <v>6918787.2764180023</v>
      </c>
      <c r="AB1199" s="5"/>
      <c r="AC1199" s="5"/>
      <c r="AD1199" s="5"/>
      <c r="AE1199" s="5"/>
      <c r="AF1199" s="5"/>
      <c r="AG1199" s="5"/>
    </row>
    <row r="1200" spans="1:33" x14ac:dyDescent="0.2">
      <c r="A1200" s="173">
        <v>20</v>
      </c>
      <c r="B1200" s="65" t="str">
        <f t="shared" si="608"/>
        <v>Retired</v>
      </c>
      <c r="C1200" s="174">
        <f t="shared" si="609"/>
        <v>0</v>
      </c>
      <c r="D1200" s="174">
        <f t="shared" si="610"/>
        <v>0</v>
      </c>
      <c r="E1200" s="174">
        <f t="shared" si="611"/>
        <v>0</v>
      </c>
      <c r="F1200" s="174">
        <f t="shared" si="612"/>
        <v>0</v>
      </c>
      <c r="G1200" s="171">
        <f t="shared" si="613"/>
        <v>0</v>
      </c>
      <c r="H1200" s="171">
        <f t="shared" si="614"/>
        <v>168672.66806192067</v>
      </c>
      <c r="I1200" s="171">
        <f>IF(B1200="Working",MIN(MAX(D1200-E1200-F1200-G1200-H1200,0),'Tax Assumptions'!$B$20),0)</f>
        <v>0</v>
      </c>
      <c r="J1200" s="171">
        <f t="shared" si="615"/>
        <v>-338672.66806192067</v>
      </c>
      <c r="K1200" s="174">
        <f t="shared" si="616"/>
        <v>338672.66806192067</v>
      </c>
      <c r="L1200" s="174">
        <f t="shared" si="617"/>
        <v>338672.66806192067</v>
      </c>
      <c r="M1200" s="174">
        <f t="shared" si="623"/>
        <v>338672.66806192067</v>
      </c>
      <c r="N1200" s="174">
        <f t="shared" si="624"/>
        <v>0</v>
      </c>
      <c r="O1200" s="174">
        <f t="shared" si="625"/>
        <v>0</v>
      </c>
      <c r="P1200" s="174">
        <f t="shared" si="626"/>
        <v>0</v>
      </c>
      <c r="Q1200" s="171">
        <f t="shared" si="627"/>
        <v>4150160.5820317501</v>
      </c>
      <c r="R1200" s="171">
        <f t="shared" si="628"/>
        <v>578317.50839858025</v>
      </c>
      <c r="S1200" s="171">
        <f t="shared" si="629"/>
        <v>163604.61423467755</v>
      </c>
      <c r="T1200" s="171">
        <f t="shared" si="630"/>
        <v>0</v>
      </c>
      <c r="U1200" s="171">
        <f t="shared" si="618"/>
        <v>4892082.704665008</v>
      </c>
      <c r="V1200" s="171">
        <f t="shared" si="631"/>
        <v>0</v>
      </c>
      <c r="W1200" s="171">
        <f>IF(OR(A1200&gt;=$C$13,B1200="Retired"),IF(V1200&gt;0,-V1200,U1200-'Model Inputs'!$B$18),"")</f>
        <v>3892082.704665008</v>
      </c>
      <c r="X1200" s="171">
        <f t="shared" si="619"/>
        <v>3180043.9754481055</v>
      </c>
      <c r="Y1200" s="171">
        <f t="shared" si="620"/>
        <v>1075493.3448895502</v>
      </c>
      <c r="Z1200" s="171">
        <f t="shared" si="621"/>
        <v>2104550.630558555</v>
      </c>
      <c r="AA1200" s="175">
        <f t="shared" si="622"/>
        <v>6996633.335223563</v>
      </c>
      <c r="AB1200" s="5"/>
      <c r="AC1200" s="5"/>
      <c r="AD1200" s="5"/>
      <c r="AE1200" s="5"/>
      <c r="AF1200" s="5"/>
      <c r="AG1200" s="5"/>
    </row>
    <row r="1201" spans="1:33" x14ac:dyDescent="0.2">
      <c r="A1201" s="169">
        <v>21</v>
      </c>
      <c r="B1201" s="100" t="str">
        <f t="shared" si="608"/>
        <v>Retired</v>
      </c>
      <c r="C1201" s="170">
        <f t="shared" si="609"/>
        <v>0</v>
      </c>
      <c r="D1201" s="170">
        <f t="shared" si="610"/>
        <v>0</v>
      </c>
      <c r="E1201" s="170">
        <f t="shared" si="611"/>
        <v>0</v>
      </c>
      <c r="F1201" s="170">
        <f t="shared" si="612"/>
        <v>0</v>
      </c>
      <c r="G1201" s="171">
        <f t="shared" si="613"/>
        <v>0</v>
      </c>
      <c r="H1201" s="171">
        <f t="shared" si="614"/>
        <v>170771.49708571643</v>
      </c>
      <c r="I1201" s="171">
        <f>IF(B1201="Working",MIN(MAX(D1201-E1201-F1201-G1201-H1201,0),'Tax Assumptions'!$B$20),0)</f>
        <v>0</v>
      </c>
      <c r="J1201" s="171">
        <f t="shared" si="615"/>
        <v>-340771.49708571646</v>
      </c>
      <c r="K1201" s="170">
        <f t="shared" si="616"/>
        <v>340771.49708571646</v>
      </c>
      <c r="L1201" s="170">
        <f t="shared" si="617"/>
        <v>340771.49708571646</v>
      </c>
      <c r="M1201" s="170">
        <f t="shared" si="623"/>
        <v>340771.49708571646</v>
      </c>
      <c r="N1201" s="170">
        <f t="shared" si="624"/>
        <v>0</v>
      </c>
      <c r="O1201" s="170">
        <f t="shared" si="625"/>
        <v>0</v>
      </c>
      <c r="P1201" s="170">
        <f t="shared" si="626"/>
        <v>0</v>
      </c>
      <c r="Q1201" s="171">
        <f t="shared" si="627"/>
        <v>4058398.7198679391</v>
      </c>
      <c r="R1201" s="171">
        <f t="shared" si="628"/>
        <v>613016.55890249508</v>
      </c>
      <c r="S1201" s="171">
        <f t="shared" si="629"/>
        <v>173420.89108875822</v>
      </c>
      <c r="T1201" s="171">
        <f t="shared" si="630"/>
        <v>0</v>
      </c>
      <c r="U1201" s="171">
        <f t="shared" si="618"/>
        <v>4844836.1698591923</v>
      </c>
      <c r="V1201" s="171">
        <f t="shared" si="631"/>
        <v>0</v>
      </c>
      <c r="W1201" s="171">
        <f>IF(OR(A1201&gt;=$C$13,B1201="Retired"),IF(V1201&gt;0,-V1201,U1201-'Model Inputs'!$B$18),"")</f>
        <v>3844836.1698591923</v>
      </c>
      <c r="X1201" s="171">
        <f t="shared" si="619"/>
        <v>3275445.2947115488</v>
      </c>
      <c r="Y1201" s="171">
        <f t="shared" si="620"/>
        <v>1045814.889034126</v>
      </c>
      <c r="Z1201" s="171">
        <f t="shared" si="621"/>
        <v>2229630.4056774229</v>
      </c>
      <c r="AA1201" s="172">
        <f t="shared" si="622"/>
        <v>7074466.5755366152</v>
      </c>
      <c r="AB1201" s="5"/>
      <c r="AC1201" s="5"/>
      <c r="AD1201" s="5"/>
      <c r="AE1201" s="5"/>
      <c r="AF1201" s="5"/>
      <c r="AG1201" s="5"/>
    </row>
    <row r="1202" spans="1:33" x14ac:dyDescent="0.2">
      <c r="A1202" s="173">
        <v>22</v>
      </c>
      <c r="B1202" s="65" t="str">
        <f t="shared" si="608"/>
        <v>Retired</v>
      </c>
      <c r="C1202" s="174">
        <f t="shared" si="609"/>
        <v>0</v>
      </c>
      <c r="D1202" s="174">
        <f t="shared" si="610"/>
        <v>0</v>
      </c>
      <c r="E1202" s="174">
        <f t="shared" si="611"/>
        <v>0</v>
      </c>
      <c r="F1202" s="174">
        <f t="shared" si="612"/>
        <v>0</v>
      </c>
      <c r="G1202" s="171">
        <f t="shared" si="613"/>
        <v>0</v>
      </c>
      <c r="H1202" s="171">
        <f t="shared" si="614"/>
        <v>172933.29098022607</v>
      </c>
      <c r="I1202" s="171">
        <f>IF(B1202="Working",MIN(MAX(D1202-E1202-F1202-G1202-H1202,0),'Tax Assumptions'!$B$20),0)</f>
        <v>0</v>
      </c>
      <c r="J1202" s="171">
        <f t="shared" si="615"/>
        <v>-342933.29098022607</v>
      </c>
      <c r="K1202" s="174">
        <f t="shared" si="616"/>
        <v>342933.29098022607</v>
      </c>
      <c r="L1202" s="174">
        <f t="shared" si="617"/>
        <v>342933.29098022607</v>
      </c>
      <c r="M1202" s="174">
        <f t="shared" si="623"/>
        <v>342933.29098022607</v>
      </c>
      <c r="N1202" s="174">
        <f t="shared" si="624"/>
        <v>0</v>
      </c>
      <c r="O1202" s="174">
        <f t="shared" si="625"/>
        <v>0</v>
      </c>
      <c r="P1202" s="174">
        <f t="shared" si="626"/>
        <v>0</v>
      </c>
      <c r="Q1202" s="171">
        <f t="shared" si="627"/>
        <v>3958969.3520797896</v>
      </c>
      <c r="R1202" s="171">
        <f t="shared" si="628"/>
        <v>649797.55243664479</v>
      </c>
      <c r="S1202" s="171">
        <f t="shared" si="629"/>
        <v>183826.14455408373</v>
      </c>
      <c r="T1202" s="171">
        <f t="shared" si="630"/>
        <v>0</v>
      </c>
      <c r="U1202" s="171">
        <f t="shared" si="618"/>
        <v>4792593.0490705185</v>
      </c>
      <c r="V1202" s="171">
        <f t="shared" si="631"/>
        <v>0</v>
      </c>
      <c r="W1202" s="171">
        <f>IF(OR(A1202&gt;=$C$13,B1202="Retired"),IF(V1202&gt;0,-V1202,U1202-'Model Inputs'!$B$18),"")</f>
        <v>3792593.0490705185</v>
      </c>
      <c r="X1202" s="171">
        <f t="shared" si="619"/>
        <v>3373708.6535528949</v>
      </c>
      <c r="Y1202" s="171">
        <f t="shared" si="620"/>
        <v>1014148.8120254884</v>
      </c>
      <c r="Z1202" s="171">
        <f t="shared" si="621"/>
        <v>2359559.8415274066</v>
      </c>
      <c r="AA1202" s="175">
        <f t="shared" si="622"/>
        <v>7152152.8905979246</v>
      </c>
      <c r="AB1202" s="5"/>
      <c r="AC1202" s="5"/>
      <c r="AD1202" s="5"/>
      <c r="AE1202" s="5"/>
      <c r="AF1202" s="5"/>
      <c r="AG1202" s="5"/>
    </row>
    <row r="1203" spans="1:33" x14ac:dyDescent="0.2">
      <c r="A1203" s="169">
        <v>23</v>
      </c>
      <c r="B1203" s="100" t="str">
        <f t="shared" si="608"/>
        <v>Retired</v>
      </c>
      <c r="C1203" s="170">
        <f t="shared" si="609"/>
        <v>0</v>
      </c>
      <c r="D1203" s="170">
        <f t="shared" si="610"/>
        <v>0</v>
      </c>
      <c r="E1203" s="170">
        <f t="shared" si="611"/>
        <v>0</v>
      </c>
      <c r="F1203" s="170">
        <f t="shared" si="612"/>
        <v>0</v>
      </c>
      <c r="G1203" s="171">
        <f t="shared" si="613"/>
        <v>0</v>
      </c>
      <c r="H1203" s="171">
        <f t="shared" si="614"/>
        <v>175159.93869157095</v>
      </c>
      <c r="I1203" s="171">
        <f>IF(B1203="Working",MIN(MAX(D1203-E1203-F1203-G1203-H1203,0),'Tax Assumptions'!$B$20),0)</f>
        <v>0</v>
      </c>
      <c r="J1203" s="171">
        <f t="shared" si="615"/>
        <v>-345159.93869157095</v>
      </c>
      <c r="K1203" s="170">
        <f t="shared" si="616"/>
        <v>345159.93869157095</v>
      </c>
      <c r="L1203" s="170">
        <f t="shared" si="617"/>
        <v>345159.93869157095</v>
      </c>
      <c r="M1203" s="170">
        <f t="shared" si="623"/>
        <v>345159.93869157095</v>
      </c>
      <c r="N1203" s="170">
        <f t="shared" si="624"/>
        <v>0</v>
      </c>
      <c r="O1203" s="170">
        <f t="shared" si="625"/>
        <v>0</v>
      </c>
      <c r="P1203" s="170">
        <f t="shared" si="626"/>
        <v>0</v>
      </c>
      <c r="Q1203" s="171">
        <f t="shared" si="627"/>
        <v>3851347.5745130065</v>
      </c>
      <c r="R1203" s="171">
        <f t="shared" si="628"/>
        <v>688785.40558284346</v>
      </c>
      <c r="S1203" s="171">
        <f t="shared" si="629"/>
        <v>194855.71322732876</v>
      </c>
      <c r="T1203" s="171">
        <f t="shared" si="630"/>
        <v>0</v>
      </c>
      <c r="U1203" s="171">
        <f t="shared" si="618"/>
        <v>4734988.6933231791</v>
      </c>
      <c r="V1203" s="171">
        <f t="shared" si="631"/>
        <v>0</v>
      </c>
      <c r="W1203" s="171">
        <f>IF(OR(A1203&gt;=$C$13,B1203="Retired"),IF(V1203&gt;0,-V1203,U1203-'Model Inputs'!$B$18),"")</f>
        <v>3734988.6933231791</v>
      </c>
      <c r="X1203" s="171">
        <f t="shared" si="619"/>
        <v>3474919.9131594817</v>
      </c>
      <c r="Y1203" s="171">
        <f t="shared" si="620"/>
        <v>980361.99919392681</v>
      </c>
      <c r="Z1203" s="171">
        <f t="shared" si="621"/>
        <v>2494557.9139655549</v>
      </c>
      <c r="AA1203" s="172">
        <f t="shared" si="622"/>
        <v>7229546.6072887341</v>
      </c>
      <c r="AB1203" s="5"/>
      <c r="AC1203" s="5"/>
      <c r="AD1203" s="5"/>
      <c r="AE1203" s="5"/>
      <c r="AF1203" s="5"/>
      <c r="AG1203" s="5"/>
    </row>
    <row r="1204" spans="1:33" x14ac:dyDescent="0.2">
      <c r="A1204" s="173">
        <v>24</v>
      </c>
      <c r="B1204" s="65" t="str">
        <f t="shared" si="608"/>
        <v>Retired</v>
      </c>
      <c r="C1204" s="174">
        <f t="shared" si="609"/>
        <v>0</v>
      </c>
      <c r="D1204" s="174">
        <f t="shared" si="610"/>
        <v>0</v>
      </c>
      <c r="E1204" s="174">
        <f t="shared" si="611"/>
        <v>0</v>
      </c>
      <c r="F1204" s="174">
        <f t="shared" si="612"/>
        <v>0</v>
      </c>
      <c r="G1204" s="171">
        <f t="shared" si="613"/>
        <v>0</v>
      </c>
      <c r="H1204" s="171">
        <f t="shared" si="614"/>
        <v>177453.38583425625</v>
      </c>
      <c r="I1204" s="171">
        <f>IF(B1204="Working",MIN(MAX(D1204-E1204-F1204-G1204-H1204,0),'Tax Assumptions'!$B$20),0)</f>
        <v>0</v>
      </c>
      <c r="J1204" s="171">
        <f t="shared" si="615"/>
        <v>-347453.38583425625</v>
      </c>
      <c r="K1204" s="174">
        <f t="shared" si="616"/>
        <v>347453.38583425625</v>
      </c>
      <c r="L1204" s="174">
        <f t="shared" si="617"/>
        <v>347453.38583425625</v>
      </c>
      <c r="M1204" s="174">
        <f t="shared" si="623"/>
        <v>347453.38583425625</v>
      </c>
      <c r="N1204" s="174">
        <f t="shared" si="624"/>
        <v>0</v>
      </c>
      <c r="O1204" s="174">
        <f t="shared" si="625"/>
        <v>0</v>
      </c>
      <c r="P1204" s="174">
        <f t="shared" si="626"/>
        <v>0</v>
      </c>
      <c r="Q1204" s="171">
        <f t="shared" si="627"/>
        <v>3734975.0431495309</v>
      </c>
      <c r="R1204" s="171">
        <f t="shared" si="628"/>
        <v>730112.52991781407</v>
      </c>
      <c r="S1204" s="171">
        <f t="shared" si="629"/>
        <v>206547.05602096851</v>
      </c>
      <c r="T1204" s="171">
        <f t="shared" si="630"/>
        <v>0</v>
      </c>
      <c r="U1204" s="171">
        <f t="shared" si="618"/>
        <v>4671634.6290883133</v>
      </c>
      <c r="V1204" s="171">
        <f t="shared" si="631"/>
        <v>0</v>
      </c>
      <c r="W1204" s="171">
        <f>IF(OR(A1204&gt;=$C$13,B1204="Retired"),IF(V1204&gt;0,-V1204,U1204-'Model Inputs'!$B$18),"")</f>
        <v>3671634.6290883133</v>
      </c>
      <c r="X1204" s="171">
        <f t="shared" si="619"/>
        <v>3579167.5105542666</v>
      </c>
      <c r="Y1204" s="171">
        <f t="shared" si="620"/>
        <v>944312.42093377281</v>
      </c>
      <c r="Z1204" s="171">
        <f t="shared" si="621"/>
        <v>2634855.0896204938</v>
      </c>
      <c r="AA1204" s="175">
        <f t="shared" si="622"/>
        <v>7306489.7187088076</v>
      </c>
      <c r="AB1204" s="5"/>
      <c r="AC1204" s="5"/>
      <c r="AD1204" s="5"/>
      <c r="AE1204" s="5"/>
      <c r="AF1204" s="5"/>
      <c r="AG1204" s="5"/>
    </row>
    <row r="1205" spans="1:33" x14ac:dyDescent="0.2">
      <c r="A1205" s="169">
        <v>25</v>
      </c>
      <c r="B1205" s="100" t="str">
        <f t="shared" si="608"/>
        <v>Retired</v>
      </c>
      <c r="C1205" s="170">
        <f t="shared" si="609"/>
        <v>0</v>
      </c>
      <c r="D1205" s="170">
        <f t="shared" si="610"/>
        <v>0</v>
      </c>
      <c r="E1205" s="170">
        <f t="shared" si="611"/>
        <v>0</v>
      </c>
      <c r="F1205" s="170">
        <f t="shared" si="612"/>
        <v>0</v>
      </c>
      <c r="G1205" s="171">
        <f t="shared" si="613"/>
        <v>0</v>
      </c>
      <c r="H1205" s="171">
        <f t="shared" si="614"/>
        <v>179815.63639122204</v>
      </c>
      <c r="I1205" s="171">
        <f>IF(B1205="Working",MIN(MAX(D1205-E1205-F1205-G1205-H1205,0),'Tax Assumptions'!$B$20),0)</f>
        <v>0</v>
      </c>
      <c r="J1205" s="171">
        <f t="shared" si="615"/>
        <v>-349815.63639122201</v>
      </c>
      <c r="K1205" s="170">
        <f t="shared" si="616"/>
        <v>349815.63639122201</v>
      </c>
      <c r="L1205" s="170">
        <f t="shared" si="617"/>
        <v>349815.63639122201</v>
      </c>
      <c r="M1205" s="170">
        <f t="shared" si="623"/>
        <v>349815.63639122201</v>
      </c>
      <c r="N1205" s="170">
        <f t="shared" si="624"/>
        <v>0</v>
      </c>
      <c r="O1205" s="170">
        <f t="shared" si="625"/>
        <v>0</v>
      </c>
      <c r="P1205" s="170">
        <f t="shared" si="626"/>
        <v>0</v>
      </c>
      <c r="Q1205" s="171">
        <f t="shared" si="627"/>
        <v>3609257.9093472809</v>
      </c>
      <c r="R1205" s="171">
        <f t="shared" si="628"/>
        <v>773919.28171288292</v>
      </c>
      <c r="S1205" s="171">
        <f t="shared" si="629"/>
        <v>218939.87938222662</v>
      </c>
      <c r="T1205" s="171">
        <f t="shared" si="630"/>
        <v>0</v>
      </c>
      <c r="U1205" s="171">
        <f t="shared" si="618"/>
        <v>4602117.0704423906</v>
      </c>
      <c r="V1205" s="171">
        <f t="shared" si="631"/>
        <v>0</v>
      </c>
      <c r="W1205" s="171">
        <f>IF(OR(A1205&gt;=$C$13,B1205="Retired"),IF(V1205&gt;0,-V1205,U1205-'Model Inputs'!$B$18),"")</f>
        <v>3602117.0704423906</v>
      </c>
      <c r="X1205" s="171">
        <f t="shared" si="619"/>
        <v>3686542.5358708948</v>
      </c>
      <c r="Y1205" s="171">
        <f t="shared" si="620"/>
        <v>905848.53565362561</v>
      </c>
      <c r="Z1205" s="171">
        <f t="shared" si="621"/>
        <v>2780694.0002172692</v>
      </c>
      <c r="AA1205" s="172">
        <f t="shared" si="622"/>
        <v>7382811.0706596598</v>
      </c>
      <c r="AB1205" s="5"/>
      <c r="AC1205" s="5"/>
      <c r="AD1205" s="5"/>
      <c r="AE1205" s="5"/>
      <c r="AF1205" s="5"/>
      <c r="AG1205" s="5"/>
    </row>
    <row r="1206" spans="1:33" x14ac:dyDescent="0.2">
      <c r="A1206" s="173">
        <v>26</v>
      </c>
      <c r="B1206" s="65" t="str">
        <f t="shared" si="608"/>
        <v>Retired</v>
      </c>
      <c r="C1206" s="174">
        <f t="shared" si="609"/>
        <v>0</v>
      </c>
      <c r="D1206" s="174">
        <f t="shared" si="610"/>
        <v>0</v>
      </c>
      <c r="E1206" s="174">
        <f t="shared" si="611"/>
        <v>0</v>
      </c>
      <c r="F1206" s="174">
        <f t="shared" si="612"/>
        <v>0</v>
      </c>
      <c r="G1206" s="171">
        <f t="shared" si="613"/>
        <v>0</v>
      </c>
      <c r="H1206" s="171">
        <f t="shared" si="614"/>
        <v>182248.7544648968</v>
      </c>
      <c r="I1206" s="171">
        <f>IF(B1206="Working",MIN(MAX(D1206-E1206-F1206-G1206-H1206,0),'Tax Assumptions'!$B$20),0)</f>
        <v>0</v>
      </c>
      <c r="J1206" s="171">
        <f t="shared" si="615"/>
        <v>-352248.7544648968</v>
      </c>
      <c r="K1206" s="174">
        <f t="shared" si="616"/>
        <v>352248.7544648968</v>
      </c>
      <c r="L1206" s="174">
        <f t="shared" si="617"/>
        <v>352248.7544648968</v>
      </c>
      <c r="M1206" s="174">
        <f t="shared" si="623"/>
        <v>352248.7544648968</v>
      </c>
      <c r="N1206" s="174">
        <f t="shared" si="624"/>
        <v>0</v>
      </c>
      <c r="O1206" s="174">
        <f t="shared" si="625"/>
        <v>0</v>
      </c>
      <c r="P1206" s="174">
        <f t="shared" si="626"/>
        <v>0</v>
      </c>
      <c r="Q1206" s="171">
        <f t="shared" si="627"/>
        <v>3473564.6294432213</v>
      </c>
      <c r="R1206" s="171">
        <f t="shared" si="628"/>
        <v>820354.43861565599</v>
      </c>
      <c r="S1206" s="171">
        <f t="shared" si="629"/>
        <v>232076.27214516021</v>
      </c>
      <c r="T1206" s="171">
        <f t="shared" si="630"/>
        <v>0</v>
      </c>
      <c r="U1206" s="171">
        <f t="shared" si="618"/>
        <v>4525995.3402040377</v>
      </c>
      <c r="V1206" s="171">
        <f t="shared" si="631"/>
        <v>0</v>
      </c>
      <c r="W1206" s="171">
        <f>IF(OR(A1206&gt;=$C$13,B1206="Retired"),IF(V1206&gt;0,-V1206,U1206-'Model Inputs'!$B$18),"")</f>
        <v>3525995.3402040377</v>
      </c>
      <c r="X1206" s="171">
        <f t="shared" si="619"/>
        <v>3797138.8119470207</v>
      </c>
      <c r="Y1206" s="171">
        <f t="shared" si="620"/>
        <v>864808.65274105361</v>
      </c>
      <c r="Z1206" s="171">
        <f t="shared" si="621"/>
        <v>2932330.1592059671</v>
      </c>
      <c r="AA1206" s="175">
        <f t="shared" si="622"/>
        <v>7458325.4994100053</v>
      </c>
      <c r="AB1206" s="5"/>
      <c r="AC1206" s="5"/>
      <c r="AD1206" s="5"/>
      <c r="AE1206" s="5"/>
      <c r="AF1206" s="5"/>
      <c r="AG1206" s="5"/>
    </row>
    <row r="1207" spans="1:33" x14ac:dyDescent="0.2">
      <c r="A1207" s="169">
        <v>27</v>
      </c>
      <c r="B1207" s="100" t="str">
        <f t="shared" si="608"/>
        <v>Retired</v>
      </c>
      <c r="C1207" s="170">
        <f t="shared" si="609"/>
        <v>0</v>
      </c>
      <c r="D1207" s="170">
        <f t="shared" si="610"/>
        <v>0</v>
      </c>
      <c r="E1207" s="170">
        <f t="shared" si="611"/>
        <v>0</v>
      </c>
      <c r="F1207" s="170">
        <f t="shared" si="612"/>
        <v>0</v>
      </c>
      <c r="G1207" s="171">
        <f t="shared" si="613"/>
        <v>0</v>
      </c>
      <c r="H1207" s="171">
        <f t="shared" si="614"/>
        <v>184754.86608078185</v>
      </c>
      <c r="I1207" s="171">
        <f>IF(B1207="Working",MIN(MAX(D1207-E1207-F1207-G1207-H1207,0),'Tax Assumptions'!$B$20),0)</f>
        <v>0</v>
      </c>
      <c r="J1207" s="171">
        <f t="shared" si="615"/>
        <v>-354754.86608078185</v>
      </c>
      <c r="K1207" s="170">
        <f t="shared" si="616"/>
        <v>354754.86608078185</v>
      </c>
      <c r="L1207" s="170">
        <f t="shared" si="617"/>
        <v>354754.86608078185</v>
      </c>
      <c r="M1207" s="170">
        <f t="shared" si="623"/>
        <v>354754.86608078185</v>
      </c>
      <c r="N1207" s="170">
        <f t="shared" si="624"/>
        <v>0</v>
      </c>
      <c r="O1207" s="170">
        <f t="shared" si="625"/>
        <v>0</v>
      </c>
      <c r="P1207" s="170">
        <f t="shared" si="626"/>
        <v>0</v>
      </c>
      <c r="Q1207" s="171">
        <f t="shared" si="627"/>
        <v>3327223.6411290327</v>
      </c>
      <c r="R1207" s="171">
        <f t="shared" si="628"/>
        <v>869575.70493259537</v>
      </c>
      <c r="S1207" s="171">
        <f t="shared" si="629"/>
        <v>246000.84847386985</v>
      </c>
      <c r="T1207" s="171">
        <f t="shared" si="630"/>
        <v>0</v>
      </c>
      <c r="U1207" s="171">
        <f t="shared" si="618"/>
        <v>4442800.1945354985</v>
      </c>
      <c r="V1207" s="171">
        <f t="shared" si="631"/>
        <v>0</v>
      </c>
      <c r="W1207" s="171">
        <f>IF(OR(A1207&gt;=$C$13,B1207="Retired"),IF(V1207&gt;0,-V1207,U1207-'Model Inputs'!$B$18),"")</f>
        <v>3442800.1945354985</v>
      </c>
      <c r="X1207" s="171">
        <f t="shared" si="619"/>
        <v>3911052.9763054312</v>
      </c>
      <c r="Y1207" s="171">
        <f t="shared" si="620"/>
        <v>821020.25286385883</v>
      </c>
      <c r="Z1207" s="171">
        <f t="shared" si="621"/>
        <v>3090032.7234415724</v>
      </c>
      <c r="AA1207" s="172">
        <f t="shared" si="622"/>
        <v>7532832.9179770704</v>
      </c>
      <c r="AB1207" s="5"/>
      <c r="AC1207" s="5"/>
      <c r="AD1207" s="5"/>
      <c r="AE1207" s="5"/>
      <c r="AF1207" s="5"/>
      <c r="AG1207" s="5"/>
    </row>
    <row r="1208" spans="1:33" x14ac:dyDescent="0.2">
      <c r="A1208" s="173">
        <v>28</v>
      </c>
      <c r="B1208" s="65" t="str">
        <f t="shared" si="608"/>
        <v>Retired</v>
      </c>
      <c r="C1208" s="174">
        <f t="shared" si="609"/>
        <v>0</v>
      </c>
      <c r="D1208" s="174">
        <f t="shared" si="610"/>
        <v>0</v>
      </c>
      <c r="E1208" s="174">
        <f t="shared" si="611"/>
        <v>0</v>
      </c>
      <c r="F1208" s="174">
        <f t="shared" si="612"/>
        <v>0</v>
      </c>
      <c r="G1208" s="171">
        <f t="shared" si="613"/>
        <v>0</v>
      </c>
      <c r="H1208" s="171">
        <f t="shared" si="614"/>
        <v>187336.16104514344</v>
      </c>
      <c r="I1208" s="171">
        <f>IF(B1208="Working",MIN(MAX(D1208-E1208-F1208-G1208-H1208,0),'Tax Assumptions'!$B$20),0)</f>
        <v>0</v>
      </c>
      <c r="J1208" s="171">
        <f t="shared" si="615"/>
        <v>-357336.16104514344</v>
      </c>
      <c r="K1208" s="174">
        <f t="shared" si="616"/>
        <v>357336.16104514344</v>
      </c>
      <c r="L1208" s="174">
        <f t="shared" si="617"/>
        <v>357336.16104514344</v>
      </c>
      <c r="M1208" s="174">
        <f t="shared" si="623"/>
        <v>357336.16104514344</v>
      </c>
      <c r="N1208" s="174">
        <f t="shared" si="624"/>
        <v>0</v>
      </c>
      <c r="O1208" s="174">
        <f t="shared" si="625"/>
        <v>0</v>
      </c>
      <c r="P1208" s="174">
        <f t="shared" si="626"/>
        <v>0</v>
      </c>
      <c r="Q1208" s="171">
        <f t="shared" si="627"/>
        <v>3169520.8985516313</v>
      </c>
      <c r="R1208" s="171">
        <f t="shared" si="628"/>
        <v>921750.24722855119</v>
      </c>
      <c r="S1208" s="171">
        <f t="shared" si="629"/>
        <v>260760.89938230204</v>
      </c>
      <c r="T1208" s="171">
        <f t="shared" si="630"/>
        <v>0</v>
      </c>
      <c r="U1208" s="171">
        <f t="shared" si="618"/>
        <v>4352032.045162484</v>
      </c>
      <c r="V1208" s="171">
        <f t="shared" si="631"/>
        <v>0</v>
      </c>
      <c r="W1208" s="171">
        <f>IF(OR(A1208&gt;=$C$13,B1208="Retired"),IF(V1208&gt;0,-V1208,U1208-'Model Inputs'!$B$18),"")</f>
        <v>3352032.045162484</v>
      </c>
      <c r="X1208" s="171">
        <f t="shared" si="619"/>
        <v>4028384.5655945945</v>
      </c>
      <c r="Y1208" s="171">
        <f t="shared" si="620"/>
        <v>774299.26275066007</v>
      </c>
      <c r="Z1208" s="171">
        <f t="shared" si="621"/>
        <v>3254085.3028439344</v>
      </c>
      <c r="AA1208" s="175">
        <f t="shared" si="622"/>
        <v>7606117.348006418</v>
      </c>
      <c r="AB1208" s="5"/>
      <c r="AC1208" s="5"/>
      <c r="AD1208" s="5"/>
      <c r="AE1208" s="5"/>
      <c r="AF1208" s="5"/>
      <c r="AG1208" s="5"/>
    </row>
    <row r="1209" spans="1:33" x14ac:dyDescent="0.2">
      <c r="A1209" s="169">
        <v>29</v>
      </c>
      <c r="B1209" s="100" t="str">
        <f t="shared" si="608"/>
        <v>Retired</v>
      </c>
      <c r="C1209" s="170">
        <f t="shared" si="609"/>
        <v>0</v>
      </c>
      <c r="D1209" s="170">
        <f t="shared" si="610"/>
        <v>0</v>
      </c>
      <c r="E1209" s="170">
        <f t="shared" si="611"/>
        <v>0</v>
      </c>
      <c r="F1209" s="170">
        <f t="shared" si="612"/>
        <v>0</v>
      </c>
      <c r="G1209" s="171">
        <f t="shared" si="613"/>
        <v>0</v>
      </c>
      <c r="H1209" s="171">
        <f t="shared" si="614"/>
        <v>189994.89485843587</v>
      </c>
      <c r="I1209" s="171">
        <f>IF(B1209="Working",MIN(MAX(D1209-E1209-F1209-G1209-H1209,0),'Tax Assumptions'!$B$20),0)</f>
        <v>0</v>
      </c>
      <c r="J1209" s="171">
        <f t="shared" si="615"/>
        <v>-359994.89485843584</v>
      </c>
      <c r="K1209" s="170">
        <f t="shared" si="616"/>
        <v>359994.89485843584</v>
      </c>
      <c r="L1209" s="170">
        <f t="shared" si="617"/>
        <v>359994.89485843584</v>
      </c>
      <c r="M1209" s="170">
        <f t="shared" si="623"/>
        <v>359994.89485843584</v>
      </c>
      <c r="N1209" s="170">
        <f t="shared" si="624"/>
        <v>0</v>
      </c>
      <c r="O1209" s="170">
        <f t="shared" si="625"/>
        <v>0</v>
      </c>
      <c r="P1209" s="170">
        <f t="shared" si="626"/>
        <v>0</v>
      </c>
      <c r="Q1209" s="171">
        <f t="shared" si="627"/>
        <v>2999697.2576062935</v>
      </c>
      <c r="R1209" s="171">
        <f t="shared" si="628"/>
        <v>977055.26206226426</v>
      </c>
      <c r="S1209" s="171">
        <f t="shared" si="629"/>
        <v>276406.55334524019</v>
      </c>
      <c r="T1209" s="171">
        <f t="shared" si="630"/>
        <v>0</v>
      </c>
      <c r="U1209" s="171">
        <f t="shared" si="618"/>
        <v>4253159.0730137974</v>
      </c>
      <c r="V1209" s="171">
        <f t="shared" si="631"/>
        <v>0</v>
      </c>
      <c r="W1209" s="171">
        <f>IF(OR(A1209&gt;=$C$13,B1209="Retired"),IF(V1209&gt;0,-V1209,U1209-'Model Inputs'!$B$18),"")</f>
        <v>3253159.0730137974</v>
      </c>
      <c r="X1209" s="171">
        <f t="shared" si="619"/>
        <v>4149236.1025624322</v>
      </c>
      <c r="Y1209" s="171">
        <f t="shared" si="620"/>
        <v>724449.28140218835</v>
      </c>
      <c r="Z1209" s="171">
        <f t="shared" si="621"/>
        <v>3424786.8211602438</v>
      </c>
      <c r="AA1209" s="172">
        <f t="shared" si="622"/>
        <v>7677945.8941740412</v>
      </c>
      <c r="AB1209" s="5"/>
      <c r="AC1209" s="5"/>
      <c r="AD1209" s="5"/>
      <c r="AE1209" s="5"/>
      <c r="AF1209" s="5"/>
      <c r="AG1209" s="5"/>
    </row>
    <row r="1210" spans="1:33" x14ac:dyDescent="0.2">
      <c r="A1210" s="173">
        <v>30</v>
      </c>
      <c r="B1210" s="65" t="str">
        <f t="shared" si="608"/>
        <v>Retired</v>
      </c>
      <c r="C1210" s="174">
        <f t="shared" si="609"/>
        <v>0</v>
      </c>
      <c r="D1210" s="174">
        <f t="shared" si="610"/>
        <v>0</v>
      </c>
      <c r="E1210" s="174">
        <f t="shared" si="611"/>
        <v>0</v>
      </c>
      <c r="F1210" s="174">
        <f t="shared" si="612"/>
        <v>0</v>
      </c>
      <c r="G1210" s="171">
        <f t="shared" si="613"/>
        <v>0</v>
      </c>
      <c r="H1210" s="171">
        <f t="shared" si="614"/>
        <v>192733.39068612707</v>
      </c>
      <c r="I1210" s="171">
        <f>IF(B1210="Working",MIN(MAX(D1210-E1210-F1210-G1210-H1210,0),'Tax Assumptions'!$B$20),0)</f>
        <v>0</v>
      </c>
      <c r="J1210" s="171">
        <f t="shared" si="615"/>
        <v>-362733.39068612707</v>
      </c>
      <c r="K1210" s="174">
        <f t="shared" si="616"/>
        <v>362733.39068612707</v>
      </c>
      <c r="L1210" s="174">
        <f t="shared" si="617"/>
        <v>362733.39068612707</v>
      </c>
      <c r="M1210" s="174">
        <f t="shared" si="623"/>
        <v>362733.39068612707</v>
      </c>
      <c r="N1210" s="174">
        <f t="shared" si="624"/>
        <v>0</v>
      </c>
      <c r="O1210" s="174">
        <f t="shared" si="625"/>
        <v>0</v>
      </c>
      <c r="P1210" s="174">
        <f t="shared" si="626"/>
        <v>0</v>
      </c>
      <c r="Q1210" s="171">
        <f t="shared" si="627"/>
        <v>2816945.7023765445</v>
      </c>
      <c r="R1210" s="171">
        <f t="shared" si="628"/>
        <v>1035678.5777860002</v>
      </c>
      <c r="S1210" s="171">
        <f t="shared" si="629"/>
        <v>292990.94654595462</v>
      </c>
      <c r="T1210" s="171">
        <f t="shared" si="630"/>
        <v>0</v>
      </c>
      <c r="U1210" s="171">
        <f t="shared" si="618"/>
        <v>4145615.2267084997</v>
      </c>
      <c r="V1210" s="171">
        <f t="shared" si="631"/>
        <v>0</v>
      </c>
      <c r="W1210" s="171">
        <f>IF(OR(A1210&gt;=$C$13,B1210="Retired"),IF(V1210&gt;0,-V1210,U1210-'Model Inputs'!$B$18),"")</f>
        <v>3145615.2267084997</v>
      </c>
      <c r="X1210" s="171">
        <f t="shared" si="619"/>
        <v>4273713.185639305</v>
      </c>
      <c r="Y1210" s="171">
        <f t="shared" si="620"/>
        <v>671260.75448051747</v>
      </c>
      <c r="Z1210" s="171">
        <f t="shared" si="621"/>
        <v>3602452.4311587876</v>
      </c>
      <c r="AA1210" s="175">
        <f t="shared" si="622"/>
        <v>7748067.6578672873</v>
      </c>
      <c r="AB1210" s="5"/>
      <c r="AC1210" s="5"/>
      <c r="AD1210" s="5"/>
      <c r="AE1210" s="5"/>
      <c r="AF1210" s="5"/>
      <c r="AG1210" s="5"/>
    </row>
    <row r="1211" spans="1:33" x14ac:dyDescent="0.2">
      <c r="A1211" s="169">
        <v>31</v>
      </c>
      <c r="B1211" s="100" t="str">
        <f t="shared" si="608"/>
        <v>Retired</v>
      </c>
      <c r="C1211" s="170">
        <f t="shared" si="609"/>
        <v>0</v>
      </c>
      <c r="D1211" s="170">
        <f t="shared" si="610"/>
        <v>0</v>
      </c>
      <c r="E1211" s="170">
        <f t="shared" si="611"/>
        <v>0</v>
      </c>
      <c r="F1211" s="170">
        <f t="shared" si="612"/>
        <v>0</v>
      </c>
      <c r="G1211" s="171">
        <f t="shared" si="613"/>
        <v>0</v>
      </c>
      <c r="H1211" s="171">
        <f t="shared" si="614"/>
        <v>195554.041388649</v>
      </c>
      <c r="I1211" s="171">
        <f>IF(B1211="Working",MIN(MAX(D1211-E1211-F1211-G1211-H1211,0),'Tax Assumptions'!$B$20),0)</f>
        <v>0</v>
      </c>
      <c r="J1211" s="171">
        <f t="shared" si="615"/>
        <v>-365554.04138864903</v>
      </c>
      <c r="K1211" s="170">
        <f t="shared" si="616"/>
        <v>365554.04138864903</v>
      </c>
      <c r="L1211" s="170">
        <f t="shared" si="617"/>
        <v>365554.04138864903</v>
      </c>
      <c r="M1211" s="170">
        <f t="shared" si="623"/>
        <v>365554.04138864903</v>
      </c>
      <c r="N1211" s="170">
        <f t="shared" si="624"/>
        <v>0</v>
      </c>
      <c r="O1211" s="170">
        <f t="shared" si="625"/>
        <v>0</v>
      </c>
      <c r="P1211" s="170">
        <f t="shared" si="626"/>
        <v>0</v>
      </c>
      <c r="Q1211" s="171">
        <f t="shared" si="627"/>
        <v>2620408.4031304885</v>
      </c>
      <c r="R1211" s="171">
        <f t="shared" si="628"/>
        <v>1097819.2924531603</v>
      </c>
      <c r="S1211" s="171">
        <f t="shared" si="629"/>
        <v>310570.40333871188</v>
      </c>
      <c r="T1211" s="171">
        <f t="shared" si="630"/>
        <v>0</v>
      </c>
      <c r="U1211" s="171">
        <f t="shared" si="618"/>
        <v>4028798.0989223607</v>
      </c>
      <c r="V1211" s="171">
        <f t="shared" si="631"/>
        <v>0</v>
      </c>
      <c r="W1211" s="171">
        <f>IF(OR(A1211&gt;=$C$13,B1211="Retired"),IF(V1211&gt;0,-V1211,U1211-'Model Inputs'!$B$18),"")</f>
        <v>3028798.0989223607</v>
      </c>
      <c r="X1211" s="171">
        <f t="shared" si="619"/>
        <v>4401924.5812084833</v>
      </c>
      <c r="Y1211" s="171">
        <f t="shared" si="620"/>
        <v>614510.09340561554</v>
      </c>
      <c r="Z1211" s="171">
        <f t="shared" si="621"/>
        <v>3787414.4878028678</v>
      </c>
      <c r="AA1211" s="172">
        <f t="shared" si="622"/>
        <v>7816212.5867252285</v>
      </c>
      <c r="AB1211" s="5"/>
      <c r="AC1211" s="5"/>
      <c r="AD1211" s="5"/>
      <c r="AE1211" s="5"/>
      <c r="AF1211" s="5"/>
      <c r="AG1211" s="5"/>
    </row>
    <row r="1212" spans="1:33" x14ac:dyDescent="0.2">
      <c r="A1212" s="173">
        <v>32</v>
      </c>
      <c r="B1212" s="65" t="str">
        <f t="shared" si="608"/>
        <v>Retired</v>
      </c>
      <c r="C1212" s="174">
        <f t="shared" si="609"/>
        <v>0</v>
      </c>
      <c r="D1212" s="174">
        <f t="shared" si="610"/>
        <v>0</v>
      </c>
      <c r="E1212" s="174">
        <f t="shared" si="611"/>
        <v>0</v>
      </c>
      <c r="F1212" s="174">
        <f t="shared" si="612"/>
        <v>0</v>
      </c>
      <c r="G1212" s="171">
        <f t="shared" si="613"/>
        <v>0</v>
      </c>
      <c r="H1212" s="171">
        <f t="shared" si="614"/>
        <v>198459.31161224662</v>
      </c>
      <c r="I1212" s="171">
        <f>IF(B1212="Working",MIN(MAX(D1212-E1212-F1212-G1212-H1212,0),'Tax Assumptions'!$B$20),0)</f>
        <v>0</v>
      </c>
      <c r="J1212" s="171">
        <f t="shared" si="615"/>
        <v>-368459.31161224662</v>
      </c>
      <c r="K1212" s="174">
        <f t="shared" si="616"/>
        <v>368459.31161224662</v>
      </c>
      <c r="L1212" s="174">
        <f t="shared" si="617"/>
        <v>368459.31161224662</v>
      </c>
      <c r="M1212" s="174">
        <f t="shared" si="623"/>
        <v>368459.31161224662</v>
      </c>
      <c r="N1212" s="174">
        <f t="shared" si="624"/>
        <v>0</v>
      </c>
      <c r="O1212" s="174">
        <f t="shared" si="625"/>
        <v>0</v>
      </c>
      <c r="P1212" s="174">
        <f t="shared" si="626"/>
        <v>0</v>
      </c>
      <c r="Q1212" s="171">
        <f t="shared" si="627"/>
        <v>2409173.5957060712</v>
      </c>
      <c r="R1212" s="171">
        <f t="shared" si="628"/>
        <v>1163688.4500003499</v>
      </c>
      <c r="S1212" s="171">
        <f t="shared" si="629"/>
        <v>329204.62753903464</v>
      </c>
      <c r="T1212" s="171">
        <f t="shared" si="630"/>
        <v>0</v>
      </c>
      <c r="U1212" s="171">
        <f t="shared" si="618"/>
        <v>3902066.6732454556</v>
      </c>
      <c r="V1212" s="171">
        <f t="shared" si="631"/>
        <v>0</v>
      </c>
      <c r="W1212" s="171">
        <f>IF(OR(A1212&gt;=$C$13,B1212="Retired"),IF(V1212&gt;0,-V1212,U1212-'Model Inputs'!$B$18),"")</f>
        <v>2902066.6732454556</v>
      </c>
      <c r="X1212" s="171">
        <f t="shared" si="619"/>
        <v>4533982.3186447388</v>
      </c>
      <c r="Y1212" s="171">
        <f t="shared" si="620"/>
        <v>553958.73545615748</v>
      </c>
      <c r="Z1212" s="171">
        <f t="shared" si="621"/>
        <v>3980023.5831885813</v>
      </c>
      <c r="AA1212" s="175">
        <f t="shared" si="622"/>
        <v>7882090.2564340364</v>
      </c>
      <c r="AB1212" s="5"/>
      <c r="AC1212" s="5"/>
      <c r="AD1212" s="5"/>
      <c r="AE1212" s="5"/>
      <c r="AF1212" s="5"/>
      <c r="AG1212" s="5"/>
    </row>
    <row r="1213" spans="1:33" x14ac:dyDescent="0.2">
      <c r="A1213" s="169">
        <v>33</v>
      </c>
      <c r="B1213" s="100" t="str">
        <f t="shared" si="608"/>
        <v>Retired</v>
      </c>
      <c r="C1213" s="170">
        <f t="shared" si="609"/>
        <v>0</v>
      </c>
      <c r="D1213" s="170">
        <f t="shared" si="610"/>
        <v>0</v>
      </c>
      <c r="E1213" s="170">
        <f t="shared" si="611"/>
        <v>0</v>
      </c>
      <c r="F1213" s="170">
        <f t="shared" si="612"/>
        <v>0</v>
      </c>
      <c r="G1213" s="171">
        <f t="shared" si="613"/>
        <v>0</v>
      </c>
      <c r="H1213" s="171">
        <f t="shared" si="614"/>
        <v>201451.73994255214</v>
      </c>
      <c r="I1213" s="171">
        <f>IF(B1213="Working",MIN(MAX(D1213-E1213-F1213-G1213-H1213,0),'Tax Assumptions'!$B$20),0)</f>
        <v>0</v>
      </c>
      <c r="J1213" s="171">
        <f t="shared" si="615"/>
        <v>-371451.73994255217</v>
      </c>
      <c r="K1213" s="170">
        <f t="shared" si="616"/>
        <v>371451.73994255217</v>
      </c>
      <c r="L1213" s="170">
        <f t="shared" si="617"/>
        <v>371451.73994255217</v>
      </c>
      <c r="M1213" s="170">
        <f t="shared" si="623"/>
        <v>371451.73994255217</v>
      </c>
      <c r="N1213" s="170">
        <f t="shared" si="624"/>
        <v>0</v>
      </c>
      <c r="O1213" s="170">
        <f t="shared" si="625"/>
        <v>0</v>
      </c>
      <c r="P1213" s="170">
        <f t="shared" si="626"/>
        <v>0</v>
      </c>
      <c r="Q1213" s="171">
        <f t="shared" si="627"/>
        <v>2182272.2715058834</v>
      </c>
      <c r="R1213" s="171">
        <f t="shared" si="628"/>
        <v>1233509.7570003709</v>
      </c>
      <c r="S1213" s="171">
        <f t="shared" si="629"/>
        <v>348956.90519137675</v>
      </c>
      <c r="T1213" s="171">
        <f t="shared" si="630"/>
        <v>0</v>
      </c>
      <c r="U1213" s="171">
        <f t="shared" si="618"/>
        <v>3764738.9336976311</v>
      </c>
      <c r="V1213" s="171">
        <f t="shared" si="631"/>
        <v>0</v>
      </c>
      <c r="W1213" s="171">
        <f>IF(OR(A1213&gt;=$C$13,B1213="Retired"),IF(V1213&gt;0,-V1213,U1213-'Model Inputs'!$B$18),"")</f>
        <v>2764738.9336976311</v>
      </c>
      <c r="X1213" s="171">
        <f t="shared" si="619"/>
        <v>4670001.7882040814</v>
      </c>
      <c r="Y1213" s="171">
        <f t="shared" si="620"/>
        <v>489352.14092355594</v>
      </c>
      <c r="Z1213" s="171">
        <f t="shared" si="621"/>
        <v>4180649.6472805254</v>
      </c>
      <c r="AA1213" s="172">
        <f t="shared" si="622"/>
        <v>7945388.580978157</v>
      </c>
      <c r="AB1213" s="5"/>
      <c r="AC1213" s="5"/>
      <c r="AD1213" s="5"/>
      <c r="AE1213" s="5"/>
      <c r="AF1213" s="5"/>
      <c r="AG1213" s="5"/>
    </row>
    <row r="1214" spans="1:33" x14ac:dyDescent="0.2">
      <c r="A1214" s="173">
        <v>34</v>
      </c>
      <c r="B1214" s="65" t="str">
        <f t="shared" si="608"/>
        <v>Retired</v>
      </c>
      <c r="C1214" s="174">
        <f t="shared" si="609"/>
        <v>0</v>
      </c>
      <c r="D1214" s="174">
        <f t="shared" si="610"/>
        <v>0</v>
      </c>
      <c r="E1214" s="174">
        <f t="shared" si="611"/>
        <v>0</v>
      </c>
      <c r="F1214" s="174">
        <f t="shared" si="612"/>
        <v>0</v>
      </c>
      <c r="G1214" s="171">
        <f t="shared" si="613"/>
        <v>0</v>
      </c>
      <c r="H1214" s="171">
        <f t="shared" si="614"/>
        <v>204533.94112276682</v>
      </c>
      <c r="I1214" s="171">
        <f>IF(B1214="Working",MIN(MAX(D1214-E1214-F1214-G1214-H1214,0),'Tax Assumptions'!$B$20),0)</f>
        <v>0</v>
      </c>
      <c r="J1214" s="171">
        <f t="shared" si="615"/>
        <v>-374533.94112276682</v>
      </c>
      <c r="K1214" s="174">
        <f t="shared" si="616"/>
        <v>374533.94112276682</v>
      </c>
      <c r="L1214" s="174">
        <f t="shared" si="617"/>
        <v>374533.94112276682</v>
      </c>
      <c r="M1214" s="174">
        <f t="shared" si="623"/>
        <v>374533.94112276682</v>
      </c>
      <c r="N1214" s="174">
        <f t="shared" si="624"/>
        <v>0</v>
      </c>
      <c r="O1214" s="174">
        <f t="shared" si="625"/>
        <v>0</v>
      </c>
      <c r="P1214" s="174">
        <f t="shared" si="626"/>
        <v>0</v>
      </c>
      <c r="Q1214" s="171">
        <f t="shared" si="627"/>
        <v>1938674.6666734696</v>
      </c>
      <c r="R1214" s="171">
        <f t="shared" si="628"/>
        <v>1307520.3424203931</v>
      </c>
      <c r="S1214" s="171">
        <f t="shared" si="629"/>
        <v>369894.31950285938</v>
      </c>
      <c r="T1214" s="171">
        <f t="shared" si="630"/>
        <v>0</v>
      </c>
      <c r="U1214" s="171">
        <f t="shared" si="618"/>
        <v>3616089.3285967223</v>
      </c>
      <c r="V1214" s="171">
        <f t="shared" si="631"/>
        <v>0</v>
      </c>
      <c r="W1214" s="171">
        <f>IF(OR(A1214&gt;=$C$13,B1214="Retired"),IF(V1214&gt;0,-V1214,U1214-'Model Inputs'!$B$18),"")</f>
        <v>2616089.3285967223</v>
      </c>
      <c r="X1214" s="171">
        <f t="shared" si="619"/>
        <v>4810101.8418502025</v>
      </c>
      <c r="Y1214" s="171">
        <f t="shared" si="620"/>
        <v>420418.72310352977</v>
      </c>
      <c r="Z1214" s="171">
        <f t="shared" si="621"/>
        <v>4389683.1187466728</v>
      </c>
      <c r="AA1214" s="175">
        <f t="shared" si="622"/>
        <v>8005772.4473433951</v>
      </c>
      <c r="AB1214" s="5"/>
      <c r="AC1214" s="5"/>
      <c r="AD1214" s="5"/>
      <c r="AE1214" s="5"/>
      <c r="AF1214" s="5"/>
      <c r="AG1214" s="5"/>
    </row>
    <row r="1215" spans="1:33" x14ac:dyDescent="0.2">
      <c r="A1215" s="169">
        <v>35</v>
      </c>
      <c r="B1215" s="100" t="str">
        <f t="shared" si="608"/>
        <v>Retired</v>
      </c>
      <c r="C1215" s="170">
        <f t="shared" si="609"/>
        <v>0</v>
      </c>
      <c r="D1215" s="170">
        <f t="shared" si="610"/>
        <v>0</v>
      </c>
      <c r="E1215" s="170">
        <f t="shared" si="611"/>
        <v>0</v>
      </c>
      <c r="F1215" s="170">
        <f t="shared" si="612"/>
        <v>0</v>
      </c>
      <c r="G1215" s="171">
        <f t="shared" si="613"/>
        <v>0</v>
      </c>
      <c r="H1215" s="171">
        <f t="shared" si="614"/>
        <v>207708.60833838794</v>
      </c>
      <c r="I1215" s="171">
        <f>IF(B1215="Working",MIN(MAX(D1215-E1215-F1215-G1215-H1215,0),'Tax Assumptions'!$B$20),0)</f>
        <v>0</v>
      </c>
      <c r="J1215" s="171">
        <f t="shared" si="615"/>
        <v>-377708.60833838792</v>
      </c>
      <c r="K1215" s="170">
        <f t="shared" si="616"/>
        <v>377708.60833838792</v>
      </c>
      <c r="L1215" s="170">
        <f t="shared" si="617"/>
        <v>377708.60833838792</v>
      </c>
      <c r="M1215" s="170">
        <f t="shared" si="623"/>
        <v>377708.60833838792</v>
      </c>
      <c r="N1215" s="170">
        <f t="shared" si="624"/>
        <v>0</v>
      </c>
      <c r="O1215" s="170">
        <f t="shared" si="625"/>
        <v>0</v>
      </c>
      <c r="P1215" s="170">
        <f t="shared" si="626"/>
        <v>0</v>
      </c>
      <c r="Q1215" s="171">
        <f t="shared" si="627"/>
        <v>1677286.53833549</v>
      </c>
      <c r="R1215" s="171">
        <f t="shared" si="628"/>
        <v>1385971.5629656168</v>
      </c>
      <c r="S1215" s="171">
        <f t="shared" si="629"/>
        <v>392087.97867303097</v>
      </c>
      <c r="T1215" s="171">
        <f t="shared" si="630"/>
        <v>0</v>
      </c>
      <c r="U1215" s="171">
        <f t="shared" si="618"/>
        <v>3455346.0799741377</v>
      </c>
      <c r="V1215" s="171">
        <f t="shared" si="631"/>
        <v>0</v>
      </c>
      <c r="W1215" s="171">
        <f>IF(OR(A1215&gt;=$C$13,B1215="Retired"),IF(V1215&gt;0,-V1215,U1215-'Model Inputs'!$B$18),"")</f>
        <v>2455346.0799741377</v>
      </c>
      <c r="X1215" s="171">
        <f t="shared" si="619"/>
        <v>4954404.8971057087</v>
      </c>
      <c r="Y1215" s="171">
        <f t="shared" si="620"/>
        <v>346868.70662722923</v>
      </c>
      <c r="Z1215" s="171">
        <f t="shared" si="621"/>
        <v>4607536.1904784795</v>
      </c>
      <c r="AA1215" s="172">
        <f t="shared" si="622"/>
        <v>8062882.2704526167</v>
      </c>
      <c r="AB1215" s="5"/>
      <c r="AC1215" s="5"/>
      <c r="AD1215" s="5"/>
      <c r="AE1215" s="5"/>
      <c r="AF1215" s="5"/>
      <c r="AG1215" s="5"/>
    </row>
    <row r="1216" spans="1:33" x14ac:dyDescent="0.2">
      <c r="A1216" s="173">
        <v>36</v>
      </c>
      <c r="B1216" s="65" t="str">
        <f t="shared" si="608"/>
        <v>Retired</v>
      </c>
      <c r="C1216" s="174">
        <f t="shared" si="609"/>
        <v>0</v>
      </c>
      <c r="D1216" s="174">
        <f t="shared" si="610"/>
        <v>0</v>
      </c>
      <c r="E1216" s="174">
        <f t="shared" si="611"/>
        <v>0</v>
      </c>
      <c r="F1216" s="174">
        <f t="shared" si="612"/>
        <v>0</v>
      </c>
      <c r="G1216" s="171">
        <f t="shared" si="613"/>
        <v>0</v>
      </c>
      <c r="H1216" s="171">
        <f t="shared" si="614"/>
        <v>210978.51557047773</v>
      </c>
      <c r="I1216" s="171">
        <f>IF(B1216="Working",MIN(MAX(D1216-E1216-F1216-G1216-H1216,0),'Tax Assumptions'!$B$20),0)</f>
        <v>0</v>
      </c>
      <c r="J1216" s="171">
        <f t="shared" si="615"/>
        <v>-380978.5155704777</v>
      </c>
      <c r="K1216" s="174">
        <f t="shared" si="616"/>
        <v>380978.5155704777</v>
      </c>
      <c r="L1216" s="174">
        <f t="shared" si="617"/>
        <v>380978.5155704777</v>
      </c>
      <c r="M1216" s="174">
        <f t="shared" si="623"/>
        <v>380978.5155704777</v>
      </c>
      <c r="N1216" s="174">
        <f t="shared" si="624"/>
        <v>0</v>
      </c>
      <c r="O1216" s="174">
        <f t="shared" si="625"/>
        <v>0</v>
      </c>
      <c r="P1216" s="174">
        <f t="shared" si="626"/>
        <v>0</v>
      </c>
      <c r="Q1216" s="171">
        <f t="shared" si="627"/>
        <v>1396945.2150651417</v>
      </c>
      <c r="R1216" s="171">
        <f t="shared" si="628"/>
        <v>1469129.8567435539</v>
      </c>
      <c r="S1216" s="171">
        <f t="shared" si="629"/>
        <v>415613.25739341287</v>
      </c>
      <c r="T1216" s="171">
        <f t="shared" si="630"/>
        <v>0</v>
      </c>
      <c r="U1216" s="171">
        <f t="shared" si="618"/>
        <v>3281688.3292021086</v>
      </c>
      <c r="V1216" s="171">
        <f t="shared" si="631"/>
        <v>0</v>
      </c>
      <c r="W1216" s="171">
        <f>IF(OR(A1216&gt;=$C$13,B1216="Retired"),IF(V1216&gt;0,-V1216,U1216-'Model Inputs'!$B$18),"")</f>
        <v>2281688.3292021086</v>
      </c>
      <c r="X1216" s="171">
        <f t="shared" si="619"/>
        <v>5103037.0440188805</v>
      </c>
      <c r="Y1216" s="171">
        <f t="shared" si="620"/>
        <v>268392.90933269542</v>
      </c>
      <c r="Z1216" s="171">
        <f t="shared" si="621"/>
        <v>4834644.134686185</v>
      </c>
      <c r="AA1216" s="175">
        <f t="shared" si="622"/>
        <v>8116332.4638882931</v>
      </c>
      <c r="AB1216" s="5"/>
      <c r="AC1216" s="5"/>
      <c r="AD1216" s="5"/>
      <c r="AE1216" s="5"/>
      <c r="AF1216" s="5"/>
      <c r="AG1216" s="5"/>
    </row>
    <row r="1217" spans="1:33" x14ac:dyDescent="0.2">
      <c r="A1217" s="169">
        <v>37</v>
      </c>
      <c r="B1217" s="100" t="str">
        <f t="shared" si="608"/>
        <v>Retired</v>
      </c>
      <c r="C1217" s="170">
        <f t="shared" si="609"/>
        <v>0</v>
      </c>
      <c r="D1217" s="170">
        <f t="shared" si="610"/>
        <v>0</v>
      </c>
      <c r="E1217" s="170">
        <f t="shared" si="611"/>
        <v>0</v>
      </c>
      <c r="F1217" s="170">
        <f t="shared" si="612"/>
        <v>0</v>
      </c>
      <c r="G1217" s="171">
        <f t="shared" si="613"/>
        <v>0</v>
      </c>
      <c r="H1217" s="171">
        <f t="shared" si="614"/>
        <v>214346.5200195302</v>
      </c>
      <c r="I1217" s="171">
        <f>IF(B1217="Working",MIN(MAX(D1217-E1217-F1217-G1217-H1217,0),'Tax Assumptions'!$B$20),0)</f>
        <v>0</v>
      </c>
      <c r="J1217" s="171">
        <f t="shared" si="615"/>
        <v>-384346.5200195302</v>
      </c>
      <c r="K1217" s="170">
        <f t="shared" si="616"/>
        <v>384346.5200195302</v>
      </c>
      <c r="L1217" s="170">
        <f t="shared" si="617"/>
        <v>384346.5200195302</v>
      </c>
      <c r="M1217" s="170">
        <f t="shared" si="623"/>
        <v>384346.5200195302</v>
      </c>
      <c r="N1217" s="170">
        <f t="shared" si="624"/>
        <v>0</v>
      </c>
      <c r="O1217" s="170">
        <f t="shared" si="625"/>
        <v>0</v>
      </c>
      <c r="P1217" s="170">
        <f t="shared" si="626"/>
        <v>0</v>
      </c>
      <c r="Q1217" s="171">
        <f t="shared" si="627"/>
        <v>1096415.4079495203</v>
      </c>
      <c r="R1217" s="171">
        <f t="shared" si="628"/>
        <v>1557277.6481481672</v>
      </c>
      <c r="S1217" s="171">
        <f t="shared" si="629"/>
        <v>440550.05283701769</v>
      </c>
      <c r="T1217" s="171">
        <f t="shared" si="630"/>
        <v>0</v>
      </c>
      <c r="U1217" s="171">
        <f t="shared" si="618"/>
        <v>3094243.1089347051</v>
      </c>
      <c r="V1217" s="171">
        <f t="shared" si="631"/>
        <v>0</v>
      </c>
      <c r="W1217" s="171">
        <f>IF(OR(A1217&gt;=$C$13,B1217="Retired"),IF(V1217&gt;0,-V1217,U1217-'Model Inputs'!$B$18),"")</f>
        <v>2094243.1089347051</v>
      </c>
      <c r="X1217" s="171">
        <f t="shared" si="619"/>
        <v>5256128.1553394469</v>
      </c>
      <c r="Y1217" s="171">
        <f t="shared" si="620"/>
        <v>184661.44255596958</v>
      </c>
      <c r="Z1217" s="171">
        <f t="shared" si="621"/>
        <v>5071466.7127834773</v>
      </c>
      <c r="AA1217" s="172">
        <f t="shared" si="622"/>
        <v>8165709.8217181824</v>
      </c>
      <c r="AB1217" s="5"/>
      <c r="AC1217" s="5"/>
      <c r="AD1217" s="5"/>
      <c r="AE1217" s="5"/>
      <c r="AF1217" s="5"/>
      <c r="AG1217" s="5"/>
    </row>
    <row r="1218" spans="1:33" x14ac:dyDescent="0.2">
      <c r="A1218" s="173">
        <v>38</v>
      </c>
      <c r="B1218" s="65" t="str">
        <f t="shared" si="608"/>
        <v>Retired</v>
      </c>
      <c r="C1218" s="174">
        <f t="shared" si="609"/>
        <v>0</v>
      </c>
      <c r="D1218" s="174">
        <f t="shared" si="610"/>
        <v>0</v>
      </c>
      <c r="E1218" s="174">
        <f t="shared" si="611"/>
        <v>0</v>
      </c>
      <c r="F1218" s="174">
        <f t="shared" si="612"/>
        <v>0</v>
      </c>
      <c r="G1218" s="171">
        <f t="shared" si="613"/>
        <v>0</v>
      </c>
      <c r="H1218" s="171">
        <f t="shared" si="614"/>
        <v>217815.56460205422</v>
      </c>
      <c r="I1218" s="171">
        <f>IF(B1218="Working",MIN(MAX(D1218-E1218-F1218-G1218-H1218,0),'Tax Assumptions'!$B$20),0)</f>
        <v>0</v>
      </c>
      <c r="J1218" s="171">
        <f t="shared" si="615"/>
        <v>-387815.56460205419</v>
      </c>
      <c r="K1218" s="174">
        <f t="shared" si="616"/>
        <v>387815.56460205419</v>
      </c>
      <c r="L1218" s="174">
        <f t="shared" si="617"/>
        <v>387815.56460205419</v>
      </c>
      <c r="M1218" s="174">
        <f t="shared" si="623"/>
        <v>387815.56460205419</v>
      </c>
      <c r="N1218" s="174">
        <f t="shared" si="624"/>
        <v>0</v>
      </c>
      <c r="O1218" s="174">
        <f t="shared" si="625"/>
        <v>0</v>
      </c>
      <c r="P1218" s="174">
        <f t="shared" si="626"/>
        <v>0</v>
      </c>
      <c r="Q1218" s="171">
        <f t="shared" si="627"/>
        <v>774384.76782443747</v>
      </c>
      <c r="R1218" s="171">
        <f t="shared" si="628"/>
        <v>1650714.3070370574</v>
      </c>
      <c r="S1218" s="171">
        <f t="shared" si="629"/>
        <v>466983.0560072388</v>
      </c>
      <c r="T1218" s="171">
        <f t="shared" si="630"/>
        <v>0</v>
      </c>
      <c r="U1218" s="171">
        <f t="shared" si="618"/>
        <v>2892082.1308687339</v>
      </c>
      <c r="V1218" s="171">
        <f t="shared" si="631"/>
        <v>0</v>
      </c>
      <c r="W1218" s="171">
        <f>IF(OR(A1218&gt;=$C$13,B1218="Retired"),IF(V1218&gt;0,-V1218,U1218-'Model Inputs'!$B$18),"")</f>
        <v>1892082.1308687339</v>
      </c>
      <c r="X1218" s="171">
        <f t="shared" si="619"/>
        <v>5413811.9999996303</v>
      </c>
      <c r="Y1218" s="171">
        <f t="shared" si="620"/>
        <v>95322.324378317222</v>
      </c>
      <c r="Z1218" s="171">
        <f t="shared" si="621"/>
        <v>5318489.675621313</v>
      </c>
      <c r="AA1218" s="175">
        <f t="shared" si="622"/>
        <v>8210571.8064900469</v>
      </c>
      <c r="AB1218" s="5"/>
      <c r="AC1218" s="5"/>
      <c r="AD1218" s="5"/>
      <c r="AE1218" s="5"/>
      <c r="AF1218" s="5"/>
      <c r="AG1218" s="5"/>
    </row>
    <row r="1219" spans="1:33" x14ac:dyDescent="0.2">
      <c r="A1219" s="169">
        <v>39</v>
      </c>
      <c r="B1219" s="100" t="str">
        <f t="shared" si="608"/>
        <v>Retired</v>
      </c>
      <c r="C1219" s="170">
        <f t="shared" si="609"/>
        <v>0</v>
      </c>
      <c r="D1219" s="170">
        <f t="shared" si="610"/>
        <v>0</v>
      </c>
      <c r="E1219" s="170">
        <f t="shared" si="611"/>
        <v>0</v>
      </c>
      <c r="F1219" s="170">
        <f t="shared" si="612"/>
        <v>0</v>
      </c>
      <c r="G1219" s="171">
        <f t="shared" si="613"/>
        <v>0</v>
      </c>
      <c r="H1219" s="171">
        <f t="shared" si="614"/>
        <v>221388.68052205397</v>
      </c>
      <c r="I1219" s="171">
        <f>IF(B1219="Working",MIN(MAX(D1219-E1219-F1219-G1219-H1219,0),'Tax Assumptions'!$B$20),0)</f>
        <v>0</v>
      </c>
      <c r="J1219" s="171">
        <f t="shared" si="615"/>
        <v>-391388.68052205397</v>
      </c>
      <c r="K1219" s="170">
        <f t="shared" si="616"/>
        <v>391388.68052205397</v>
      </c>
      <c r="L1219" s="170">
        <f t="shared" si="617"/>
        <v>391388.68052205397</v>
      </c>
      <c r="M1219" s="170">
        <f t="shared" si="623"/>
        <v>391388.68052205397</v>
      </c>
      <c r="N1219" s="170">
        <f t="shared" si="624"/>
        <v>0</v>
      </c>
      <c r="O1219" s="170">
        <f t="shared" si="625"/>
        <v>0</v>
      </c>
      <c r="P1219" s="170">
        <f t="shared" si="626"/>
        <v>0</v>
      </c>
      <c r="Q1219" s="171">
        <f t="shared" si="627"/>
        <v>429459.17337184981</v>
      </c>
      <c r="R1219" s="171">
        <f t="shared" si="628"/>
        <v>1749757.1654592808</v>
      </c>
      <c r="S1219" s="171">
        <f t="shared" si="629"/>
        <v>495002.03936767316</v>
      </c>
      <c r="T1219" s="171">
        <f t="shared" si="630"/>
        <v>0</v>
      </c>
      <c r="U1219" s="171">
        <f t="shared" si="618"/>
        <v>2674218.3781988034</v>
      </c>
      <c r="V1219" s="171">
        <f t="shared" si="631"/>
        <v>0</v>
      </c>
      <c r="W1219" s="171">
        <f>IF(OR(A1219&gt;=$C$13,B1219="Retired"),IF(V1219&gt;0,-V1219,U1219-'Model Inputs'!$B$18),"")</f>
        <v>1674218.3781988034</v>
      </c>
      <c r="X1219" s="171">
        <f t="shared" si="619"/>
        <v>5576226.3599996185</v>
      </c>
      <c r="Y1219" s="171">
        <f t="shared" si="620"/>
        <v>0</v>
      </c>
      <c r="Z1219" s="171">
        <f t="shared" si="621"/>
        <v>5576226.3599996185</v>
      </c>
      <c r="AA1219" s="172">
        <f t="shared" si="622"/>
        <v>8250444.7381984219</v>
      </c>
      <c r="AB1219" s="5"/>
      <c r="AC1219" s="5"/>
      <c r="AD1219" s="5"/>
      <c r="AE1219" s="5"/>
      <c r="AF1219" s="5"/>
      <c r="AG1219" s="5"/>
    </row>
    <row r="1220" spans="1:33" x14ac:dyDescent="0.2">
      <c r="A1220" s="173">
        <v>40</v>
      </c>
      <c r="B1220" s="65" t="str">
        <f t="shared" si="608"/>
        <v>Retired</v>
      </c>
      <c r="C1220" s="174">
        <f t="shared" si="609"/>
        <v>0</v>
      </c>
      <c r="D1220" s="174">
        <f t="shared" si="610"/>
        <v>0</v>
      </c>
      <c r="E1220" s="174">
        <f t="shared" si="611"/>
        <v>0</v>
      </c>
      <c r="F1220" s="174">
        <f t="shared" si="612"/>
        <v>0</v>
      </c>
      <c r="G1220" s="171">
        <f t="shared" si="613"/>
        <v>0</v>
      </c>
      <c r="H1220" s="171">
        <f t="shared" si="614"/>
        <v>126357.28931759135</v>
      </c>
      <c r="I1220" s="171">
        <f>IF(B1220="Working",MIN(MAX(D1220-E1220-F1220-G1220-H1220,0),'Tax Assumptions'!$B$20),0)</f>
        <v>0</v>
      </c>
      <c r="J1220" s="171">
        <f t="shared" si="615"/>
        <v>-296357.28931759135</v>
      </c>
      <c r="K1220" s="174">
        <f t="shared" si="616"/>
        <v>296357.28931759135</v>
      </c>
      <c r="L1220" s="174">
        <f t="shared" si="617"/>
        <v>296357.28931759135</v>
      </c>
      <c r="M1220" s="174">
        <f t="shared" si="623"/>
        <v>296357.28931759135</v>
      </c>
      <c r="N1220" s="174">
        <f t="shared" si="624"/>
        <v>0</v>
      </c>
      <c r="O1220" s="174">
        <f t="shared" si="625"/>
        <v>0</v>
      </c>
      <c r="P1220" s="174">
        <f t="shared" si="626"/>
        <v>0</v>
      </c>
      <c r="Q1220" s="171">
        <f t="shared" si="627"/>
        <v>158869.43445656949</v>
      </c>
      <c r="R1220" s="171">
        <f t="shared" si="628"/>
        <v>1854742.5953868378</v>
      </c>
      <c r="S1220" s="171">
        <f t="shared" si="629"/>
        <v>524702.16172973358</v>
      </c>
      <c r="T1220" s="171">
        <f t="shared" si="630"/>
        <v>0</v>
      </c>
      <c r="U1220" s="171">
        <f t="shared" si="618"/>
        <v>2538314.1915731407</v>
      </c>
      <c r="V1220" s="171">
        <f t="shared" si="631"/>
        <v>0</v>
      </c>
      <c r="W1220" s="171">
        <f>IF(OR(A1220&gt;=$C$13,B1220="Retired"),IF(V1220&gt;0,-V1220,U1220-'Model Inputs'!$B$18),"")</f>
        <v>1538314.1915731407</v>
      </c>
      <c r="X1220" s="171">
        <f t="shared" si="619"/>
        <v>5743513.1507996069</v>
      </c>
      <c r="Y1220" s="171">
        <f t="shared" si="620"/>
        <v>0</v>
      </c>
      <c r="Z1220" s="171">
        <f t="shared" si="621"/>
        <v>5743513.1507996069</v>
      </c>
      <c r="AA1220" s="175">
        <f t="shared" si="622"/>
        <v>8281827.3423727471</v>
      </c>
      <c r="AB1220" s="5"/>
      <c r="AC1220" s="5"/>
      <c r="AD1220" s="5"/>
      <c r="AE1220" s="5"/>
      <c r="AF1220" s="5"/>
      <c r="AG1220" s="5"/>
    </row>
    <row r="1221" spans="1:33" x14ac:dyDescent="0.2">
      <c r="A1221" s="176" t="s">
        <v>369</v>
      </c>
      <c r="B1221" s="177"/>
      <c r="C1221" s="177"/>
      <c r="D1221" s="177"/>
      <c r="E1221" s="177"/>
      <c r="F1221" s="177"/>
      <c r="G1221" s="178">
        <f t="shared" ref="G1221:P1221" si="632">SUM(G1181:G1220)</f>
        <v>1123969.4013365901</v>
      </c>
      <c r="H1221" s="178">
        <f t="shared" si="632"/>
        <v>5564366.9457268957</v>
      </c>
      <c r="I1221" s="178">
        <f t="shared" si="632"/>
        <v>67500</v>
      </c>
      <c r="J1221" s="178">
        <f t="shared" si="632"/>
        <v>-6933244.1070229616</v>
      </c>
      <c r="K1221" s="178">
        <f t="shared" si="632"/>
        <v>10513597.714957666</v>
      </c>
      <c r="L1221" s="178">
        <f t="shared" si="632"/>
        <v>10513597.714957666</v>
      </c>
      <c r="M1221" s="178">
        <f t="shared" si="632"/>
        <v>10513597.714957666</v>
      </c>
      <c r="N1221" s="178">
        <f t="shared" si="632"/>
        <v>0</v>
      </c>
      <c r="O1221" s="178">
        <f t="shared" si="632"/>
        <v>0</v>
      </c>
      <c r="P1221" s="178">
        <f t="shared" si="632"/>
        <v>0</v>
      </c>
      <c r="Q1221" s="178">
        <f>Q1220</f>
        <v>158869.43445656949</v>
      </c>
      <c r="R1221" s="178">
        <f>R1220</f>
        <v>1854742.5953868378</v>
      </c>
      <c r="S1221" s="178">
        <f>S1220</f>
        <v>524702.16172973358</v>
      </c>
      <c r="T1221" s="178">
        <f>T1220</f>
        <v>0</v>
      </c>
      <c r="U1221" s="178">
        <f>U1220</f>
        <v>2538314.1915731407</v>
      </c>
      <c r="V1221" s="178">
        <f>SUM(V1181:V1220)</f>
        <v>0</v>
      </c>
      <c r="W1221" s="178">
        <f>MIN(W1181:W1220)</f>
        <v>1538314.1915731407</v>
      </c>
      <c r="X1221" s="178">
        <f>X1220</f>
        <v>5743513.1507996069</v>
      </c>
      <c r="Y1221" s="178">
        <f>Y1220</f>
        <v>0</v>
      </c>
      <c r="Z1221" s="178">
        <f>Z1220</f>
        <v>5743513.1507996069</v>
      </c>
      <c r="AA1221" s="179">
        <f>AA1220</f>
        <v>8281827.3423727471</v>
      </c>
      <c r="AB1221" s="5"/>
      <c r="AC1221" s="5"/>
      <c r="AD1221" s="5"/>
      <c r="AE1221" s="5"/>
      <c r="AF1221" s="5"/>
      <c r="AG1221" s="5"/>
    </row>
    <row r="1222" spans="1:33" x14ac:dyDescent="0.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</row>
    <row r="1223" spans="1:33" x14ac:dyDescent="0.2">
      <c r="A1223" s="319" t="str">
        <f>J249&amp;" | House "&amp;TEXT($L$249,"$#,##0")&amp;" | Spend "&amp;TEXT($N$249,"$#,##0")</f>
        <v>Case 23 | House $2,366,251 | Spend $200,000</v>
      </c>
      <c r="B1223" s="288"/>
      <c r="C1223" s="288"/>
      <c r="D1223" s="288"/>
      <c r="E1223" s="288"/>
      <c r="F1223" s="288"/>
      <c r="G1223" s="288"/>
      <c r="H1223" s="288"/>
      <c r="I1223" s="288"/>
      <c r="J1223" s="288"/>
      <c r="K1223" s="288"/>
      <c r="L1223" s="288"/>
      <c r="M1223" s="288"/>
      <c r="N1223" s="288"/>
      <c r="O1223" s="288"/>
      <c r="P1223" s="288"/>
      <c r="Q1223" s="288"/>
      <c r="R1223" s="288"/>
      <c r="S1223" s="288"/>
      <c r="T1223" s="288"/>
      <c r="U1223" s="288"/>
      <c r="V1223" s="288"/>
      <c r="W1223" s="288"/>
      <c r="X1223" s="288"/>
      <c r="Y1223" s="288"/>
      <c r="Z1223" s="288"/>
      <c r="AA1223" s="289"/>
      <c r="AB1223" s="5"/>
      <c r="AC1223" s="5"/>
      <c r="AD1223" s="5"/>
      <c r="AE1223" s="5"/>
      <c r="AF1223" s="5"/>
      <c r="AG1223" s="5"/>
    </row>
    <row r="1224" spans="1:33" ht="34" customHeight="1" x14ac:dyDescent="0.2">
      <c r="A1224" s="167" t="s">
        <v>224</v>
      </c>
      <c r="B1224" s="112" t="s">
        <v>106</v>
      </c>
      <c r="C1224" s="112" t="s">
        <v>357</v>
      </c>
      <c r="D1224" s="112" t="s">
        <v>66</v>
      </c>
      <c r="E1224" s="112" t="s">
        <v>300</v>
      </c>
      <c r="F1224" s="112" t="s">
        <v>301</v>
      </c>
      <c r="G1224" s="112" t="s">
        <v>358</v>
      </c>
      <c r="H1224" s="112" t="s">
        <v>359</v>
      </c>
      <c r="I1224" s="112" t="s">
        <v>69</v>
      </c>
      <c r="J1224" s="112" t="s">
        <v>360</v>
      </c>
      <c r="K1224" s="112" t="s">
        <v>361</v>
      </c>
      <c r="L1224" s="112" t="s">
        <v>362</v>
      </c>
      <c r="M1224" s="112" t="s">
        <v>304</v>
      </c>
      <c r="N1224" s="112" t="s">
        <v>305</v>
      </c>
      <c r="O1224" s="112" t="s">
        <v>306</v>
      </c>
      <c r="P1224" s="112" t="s">
        <v>307</v>
      </c>
      <c r="Q1224" s="112" t="s">
        <v>363</v>
      </c>
      <c r="R1224" s="112" t="s">
        <v>364</v>
      </c>
      <c r="S1224" s="112" t="s">
        <v>365</v>
      </c>
      <c r="T1224" s="112" t="s">
        <v>366</v>
      </c>
      <c r="U1224" s="112" t="s">
        <v>308</v>
      </c>
      <c r="V1224" s="112" t="s">
        <v>309</v>
      </c>
      <c r="W1224" s="112" t="s">
        <v>367</v>
      </c>
      <c r="X1224" s="112" t="s">
        <v>311</v>
      </c>
      <c r="Y1224" s="112" t="s">
        <v>312</v>
      </c>
      <c r="Z1224" s="112" t="s">
        <v>313</v>
      </c>
      <c r="AA1224" s="168" t="s">
        <v>368</v>
      </c>
      <c r="AB1224" s="5"/>
      <c r="AC1224" s="5"/>
      <c r="AD1224" s="5"/>
      <c r="AE1224" s="5"/>
      <c r="AF1224" s="5"/>
      <c r="AG1224" s="5"/>
    </row>
    <row r="1225" spans="1:33" x14ac:dyDescent="0.2">
      <c r="A1225" s="169">
        <v>1</v>
      </c>
      <c r="B1225" s="100" t="str">
        <f t="shared" ref="B1225:B1264" si="633">B80</f>
        <v>Working</v>
      </c>
      <c r="C1225" s="170">
        <f t="shared" ref="C1225:C1264" si="634">D80</f>
        <v>550000</v>
      </c>
      <c r="D1225" s="170">
        <f t="shared" ref="D1225:D1264" si="635">I80</f>
        <v>302665.46999999997</v>
      </c>
      <c r="E1225" s="170">
        <f t="shared" ref="E1225:E1264" si="636">J80</f>
        <v>78000</v>
      </c>
      <c r="F1225" s="170">
        <f t="shared" ref="F1225:F1264" si="637">K80</f>
        <v>40000</v>
      </c>
      <c r="G1225" s="171">
        <f t="shared" ref="G1225:G1264" si="638">IF(AND($L$249&gt;0,A1225=$C$13),$L$249*($C$15+$C$18),0)+IF(AND($L$249&gt;0,A1225=$C$13),$C$24,0)</f>
        <v>0</v>
      </c>
      <c r="H1225" s="171">
        <f t="shared" ref="H1225:H1264" si="639">IF(OR($L$249&lt;=0,A1225&lt;$C$13),0,IF(AND($L$249&gt;0,$C$17&gt;0,A1225&gt;=$C$13,A1225&lt;($C$13+$C$17)),IF($C$17&lt;=0,0,IF($C$16=0,MAX($L$249*(1-$C$15),0)/$C$17,-PMT($C$16/12,$C$17*12,MAX($L$249*(1-$C$15),0))*12)),0)+X1225*($C$19+$C$20+$C$21)+$C$22+$C$23)</f>
        <v>0</v>
      </c>
      <c r="I1225" s="171">
        <f>IF(B1225="Working",MIN(MAX(D1225-E1225-F1225-G1225-H1225,0),'Tax Assumptions'!$B$20),0)</f>
        <v>7500</v>
      </c>
      <c r="J1225" s="171">
        <f t="shared" ref="J1225:J1264" si="640">IF(B1225="Working",D1225-E1225-F1225-I1225-G1225-H1225,-L1225)</f>
        <v>177165.46999999997</v>
      </c>
      <c r="K1225" s="170">
        <f t="shared" ref="K1225:K1264" si="641">IF(B1225="Retired",$N$249+G1225+H1225,0)</f>
        <v>0</v>
      </c>
      <c r="L1225" s="170">
        <f t="shared" ref="L1225:L1264" si="642">M1225+N1225+O1225+P1225</f>
        <v>0</v>
      </c>
      <c r="M1225" s="170">
        <f>IF(B1225="Retired",MIN((('Savings Projection'!$B$7)*(1+$C$10)+IF(B1225="Working",J1225,0)),K1225),0)</f>
        <v>0</v>
      </c>
      <c r="N1225" s="170">
        <f>IF(B1225="Retired",MIN(MAX(K1225-M1225,0),(('Savings Projection'!$B$8)*(1+$C$10)+IF(B1225="Working",E80,0))),0)</f>
        <v>0</v>
      </c>
      <c r="O1225" s="170">
        <f>IF(B1225="Retired",MIN(MAX(K1225-M1225-N1225,0),(('Savings Projection'!$B$9)*(1+$C$10)+IF(B1225="Working",I1225,0))),0)</f>
        <v>0</v>
      </c>
      <c r="P1225" s="170">
        <f>IF(B1225="Retired",MIN(MAX(K1225-M1225-N1225-O1225,0),(('Savings Projection'!$B$10)*(1+$C$10)+IF(B1225="Working",F80,0))),0)</f>
        <v>0</v>
      </c>
      <c r="Q1225" s="171">
        <f>MAX((('Savings Projection'!$B$7)*(1+$C$10)+IF(B1225="Working",J1225,0))-M1225,0)</f>
        <v>336165.47</v>
      </c>
      <c r="R1225" s="171">
        <f>MAX((('Savings Projection'!$B$8)*(1+$C$10)+IF(B1225="Working",E80,0))-N1225,0)</f>
        <v>24500</v>
      </c>
      <c r="S1225" s="171">
        <f>MAX((('Savings Projection'!$B$9)*(1+$C$10)+IF(B1225="Working",I1225,0))-O1225,0)</f>
        <v>7500</v>
      </c>
      <c r="T1225" s="171">
        <f>MAX((('Savings Projection'!$B$10)*(1+$C$10)+IF(B1225="Working",F80,0))-P1225,0)</f>
        <v>0</v>
      </c>
      <c r="U1225" s="171">
        <f t="shared" ref="U1225:U1264" si="643">Q1225+R1225+S1225+T1225</f>
        <v>368165.47</v>
      </c>
      <c r="V1225" s="171">
        <f>IF(B1225="Working",MAX(-((('Savings Projection'!$B$7)*(1+$C$10)+IF(B1225="Working",J1225,0))),0),MAX(K1225-L1225,0))</f>
        <v>0</v>
      </c>
      <c r="W1225" s="171" t="str">
        <f>IF(OR(A1225&gt;=$C$13,B1225="Retired"),IF(V1225&gt;0,-V1225,U1225-'Model Inputs'!$B$18),"")</f>
        <v/>
      </c>
      <c r="X1225" s="171">
        <f t="shared" ref="X1225:X1264" si="644">IF(AND($L$249&gt;0,A1225&gt;=$C$13),$L$249*(1+$C$25)^(A1225-$C$13),0)</f>
        <v>0</v>
      </c>
      <c r="Y1225" s="171">
        <f t="shared" ref="Y1225:Y1264" si="645">IF(OR($L$249&lt;=0,$C$17&lt;=0,A1225&lt;$C$13,MIN(MAX((A1225-$C$13+1)*12,0),$C$17*12)&gt;=$C$17*12),0,IF($C$16=0,MAX(MAX($L$249*(1-$C$15),0)-(IF($C$17&lt;=0,0,IF($C$16=0,MAX($L$249*(1-$C$15),0)/$C$17,-PMT($C$16/12,$C$17*12,MAX($L$249*(1-$C$15),0))*12))/12)*MIN(MAX((A1225-$C$13+1)*12,0),$C$17*12),0),MAX(MAX($L$249*(1-$C$15),0)*(1+$C$16/12)^MIN(MAX((A1225-$C$13+1)*12,0),$C$17*12)-(IF($C$17&lt;=0,0,IF($C$16=0,MAX($L$249*(1-$C$15),0)/$C$17,-PMT($C$16/12,$C$17*12,MAX($L$249*(1-$C$15),0))*12))/12)*(((1+$C$16/12)^MIN(MAX((A1225-$C$13+1)*12,0),$C$17*12)-1)/($C$16/12)),0)))</f>
        <v>0</v>
      </c>
      <c r="Z1225" s="171">
        <f t="shared" ref="Z1225:Z1264" si="646">MAX(X1225-Y1225,0)</f>
        <v>0</v>
      </c>
      <c r="AA1225" s="172">
        <f t="shared" ref="AA1225:AA1264" si="647">U1225+Z1225</f>
        <v>368165.47</v>
      </c>
      <c r="AB1225" s="5"/>
      <c r="AC1225" s="5"/>
      <c r="AD1225" s="5"/>
      <c r="AE1225" s="5"/>
      <c r="AF1225" s="5"/>
      <c r="AG1225" s="5"/>
    </row>
    <row r="1226" spans="1:33" x14ac:dyDescent="0.2">
      <c r="A1226" s="173">
        <v>2</v>
      </c>
      <c r="B1226" s="65" t="str">
        <f t="shared" si="633"/>
        <v>Working</v>
      </c>
      <c r="C1226" s="174">
        <f t="shared" si="634"/>
        <v>412500</v>
      </c>
      <c r="D1226" s="174">
        <f t="shared" si="635"/>
        <v>231269.97</v>
      </c>
      <c r="E1226" s="174">
        <f t="shared" si="636"/>
        <v>80340</v>
      </c>
      <c r="F1226" s="174">
        <f t="shared" si="637"/>
        <v>41200</v>
      </c>
      <c r="G1226" s="171">
        <f t="shared" si="638"/>
        <v>0</v>
      </c>
      <c r="H1226" s="171">
        <f t="shared" si="639"/>
        <v>0</v>
      </c>
      <c r="I1226" s="171">
        <f>IF(B1226="Working",MIN(MAX(D1226-E1226-F1226-G1226-H1226,0),'Tax Assumptions'!$B$20),0)</f>
        <v>7500</v>
      </c>
      <c r="J1226" s="171">
        <f t="shared" si="640"/>
        <v>102229.97</v>
      </c>
      <c r="K1226" s="174">
        <f t="shared" si="641"/>
        <v>0</v>
      </c>
      <c r="L1226" s="174">
        <f t="shared" si="642"/>
        <v>0</v>
      </c>
      <c r="M1226" s="174">
        <f t="shared" ref="M1226:M1264" si="648">IF(B1226="Retired",MIN(((Q1225)*(1+$C$10)+IF(B1226="Working",J1226,0)),K1226),0)</f>
        <v>0</v>
      </c>
      <c r="N1226" s="174">
        <f t="shared" ref="N1226:N1264" si="649">IF(B1226="Retired",MIN(MAX(K1226-M1226,0),((R1225)*(1+$C$10)+IF(B1226="Working",E81,0))),0)</f>
        <v>0</v>
      </c>
      <c r="O1226" s="174">
        <f t="shared" ref="O1226:O1264" si="650">IF(B1226="Retired",MIN(MAX(K1226-M1226-N1226,0),((S1225)*(1+$C$10)+IF(B1226="Working",I1226,0))),0)</f>
        <v>0</v>
      </c>
      <c r="P1226" s="174">
        <f t="shared" ref="P1226:P1264" si="651">IF(B1226="Retired",MIN(MAX(K1226-M1226-N1226-O1226,0),((T1225)*(1+$C$10)+IF(B1226="Working",F81,0))),0)</f>
        <v>0</v>
      </c>
      <c r="Q1226" s="171">
        <f t="shared" ref="Q1226:Q1264" si="652">MAX(((Q1225)*(1+$C$10)+IF(B1226="Working",J1226,0))-M1226,0)</f>
        <v>458565.36820000003</v>
      </c>
      <c r="R1226" s="171">
        <f t="shared" ref="R1226:R1264" si="653">MAX(((R1225)*(1+$C$10)+IF(B1226="Working",E81,0))-N1226,0)</f>
        <v>50470</v>
      </c>
      <c r="S1226" s="171">
        <f t="shared" ref="S1226:S1264" si="654">MAX(((S1225)*(1+$C$10)+IF(B1226="Working",I1226,0))-O1226,0)</f>
        <v>15450</v>
      </c>
      <c r="T1226" s="171">
        <f t="shared" ref="T1226:T1264" si="655">MAX(((T1225)*(1+$C$10)+IF(B1226="Working",F81,0))-P1226,0)</f>
        <v>0</v>
      </c>
      <c r="U1226" s="171">
        <f t="shared" si="643"/>
        <v>524485.36820000003</v>
      </c>
      <c r="V1226" s="171">
        <f t="shared" ref="V1226:V1264" si="656">IF(B1226="Working",MAX(-(((Q1225)*(1+$C$10)+IF(B1226="Working",J1226,0))),0),MAX(K1226-L1226,0))</f>
        <v>0</v>
      </c>
      <c r="W1226" s="171" t="str">
        <f>IF(OR(A1226&gt;=$C$13,B1226="Retired"),IF(V1226&gt;0,-V1226,U1226-'Model Inputs'!$B$18),"")</f>
        <v/>
      </c>
      <c r="X1226" s="171">
        <f t="shared" si="644"/>
        <v>0</v>
      </c>
      <c r="Y1226" s="171">
        <f t="shared" si="645"/>
        <v>0</v>
      </c>
      <c r="Z1226" s="171">
        <f t="shared" si="646"/>
        <v>0</v>
      </c>
      <c r="AA1226" s="175">
        <f t="shared" si="647"/>
        <v>524485.36820000003</v>
      </c>
      <c r="AB1226" s="5"/>
      <c r="AC1226" s="5"/>
      <c r="AD1226" s="5"/>
      <c r="AE1226" s="5"/>
      <c r="AF1226" s="5"/>
      <c r="AG1226" s="5"/>
    </row>
    <row r="1227" spans="1:33" x14ac:dyDescent="0.2">
      <c r="A1227" s="169">
        <v>3</v>
      </c>
      <c r="B1227" s="100" t="str">
        <f t="shared" si="633"/>
        <v>Working</v>
      </c>
      <c r="C1227" s="170">
        <f t="shared" si="634"/>
        <v>675000</v>
      </c>
      <c r="D1227" s="170">
        <f t="shared" si="635"/>
        <v>367570.47</v>
      </c>
      <c r="E1227" s="170">
        <f t="shared" si="636"/>
        <v>82750.2</v>
      </c>
      <c r="F1227" s="170">
        <f t="shared" si="637"/>
        <v>53045</v>
      </c>
      <c r="G1227" s="171">
        <f t="shared" si="638"/>
        <v>0</v>
      </c>
      <c r="H1227" s="171">
        <f t="shared" si="639"/>
        <v>0</v>
      </c>
      <c r="I1227" s="171">
        <f>IF(B1227="Working",MIN(MAX(D1227-E1227-F1227-G1227-H1227,0),'Tax Assumptions'!$B$20),0)</f>
        <v>7500</v>
      </c>
      <c r="J1227" s="171">
        <f t="shared" si="640"/>
        <v>224275.26999999996</v>
      </c>
      <c r="K1227" s="170">
        <f t="shared" si="641"/>
        <v>0</v>
      </c>
      <c r="L1227" s="170">
        <f t="shared" si="642"/>
        <v>0</v>
      </c>
      <c r="M1227" s="170">
        <f t="shared" si="648"/>
        <v>0</v>
      </c>
      <c r="N1227" s="170">
        <f t="shared" si="649"/>
        <v>0</v>
      </c>
      <c r="O1227" s="170">
        <f t="shared" si="650"/>
        <v>0</v>
      </c>
      <c r="P1227" s="170">
        <f t="shared" si="651"/>
        <v>0</v>
      </c>
      <c r="Q1227" s="171">
        <f t="shared" si="652"/>
        <v>710354.56029199995</v>
      </c>
      <c r="R1227" s="171">
        <f t="shared" si="653"/>
        <v>77998.200000000012</v>
      </c>
      <c r="S1227" s="171">
        <f t="shared" si="654"/>
        <v>23877</v>
      </c>
      <c r="T1227" s="171">
        <f t="shared" si="655"/>
        <v>0</v>
      </c>
      <c r="U1227" s="171">
        <f t="shared" si="643"/>
        <v>812229.7602919999</v>
      </c>
      <c r="V1227" s="171">
        <f t="shared" si="656"/>
        <v>0</v>
      </c>
      <c r="W1227" s="171" t="str">
        <f>IF(OR(A1227&gt;=$C$13,B1227="Retired"),IF(V1227&gt;0,-V1227,U1227-'Model Inputs'!$B$18),"")</f>
        <v/>
      </c>
      <c r="X1227" s="171">
        <f t="shared" si="644"/>
        <v>0</v>
      </c>
      <c r="Y1227" s="171">
        <f t="shared" si="645"/>
        <v>0</v>
      </c>
      <c r="Z1227" s="171">
        <f t="shared" si="646"/>
        <v>0</v>
      </c>
      <c r="AA1227" s="172">
        <f t="shared" si="647"/>
        <v>812229.7602919999</v>
      </c>
      <c r="AB1227" s="5"/>
      <c r="AC1227" s="5"/>
      <c r="AD1227" s="5"/>
      <c r="AE1227" s="5"/>
      <c r="AF1227" s="5"/>
      <c r="AG1227" s="5"/>
    </row>
    <row r="1228" spans="1:33" x14ac:dyDescent="0.2">
      <c r="A1228" s="173">
        <v>4</v>
      </c>
      <c r="B1228" s="65" t="str">
        <f t="shared" si="633"/>
        <v>Working</v>
      </c>
      <c r="C1228" s="174">
        <f t="shared" si="634"/>
        <v>750000</v>
      </c>
      <c r="D1228" s="174">
        <f t="shared" si="635"/>
        <v>405137.47</v>
      </c>
      <c r="E1228" s="174">
        <f t="shared" si="636"/>
        <v>85232.706000000006</v>
      </c>
      <c r="F1228" s="174">
        <f t="shared" si="637"/>
        <v>54636.35</v>
      </c>
      <c r="G1228" s="171">
        <f t="shared" si="638"/>
        <v>0</v>
      </c>
      <c r="H1228" s="171">
        <f t="shared" si="639"/>
        <v>0</v>
      </c>
      <c r="I1228" s="171">
        <f>IF(B1228="Working",MIN(MAX(D1228-E1228-F1228-G1228-H1228,0),'Tax Assumptions'!$B$20),0)</f>
        <v>7500</v>
      </c>
      <c r="J1228" s="171">
        <f t="shared" si="640"/>
        <v>257768.41399999999</v>
      </c>
      <c r="K1228" s="174">
        <f t="shared" si="641"/>
        <v>0</v>
      </c>
      <c r="L1228" s="174">
        <f t="shared" si="642"/>
        <v>0</v>
      </c>
      <c r="M1228" s="174">
        <f t="shared" si="648"/>
        <v>0</v>
      </c>
      <c r="N1228" s="174">
        <f t="shared" si="649"/>
        <v>0</v>
      </c>
      <c r="O1228" s="174">
        <f t="shared" si="650"/>
        <v>0</v>
      </c>
      <c r="P1228" s="174">
        <f t="shared" si="651"/>
        <v>0</v>
      </c>
      <c r="Q1228" s="171">
        <f t="shared" si="652"/>
        <v>1010744.2479095199</v>
      </c>
      <c r="R1228" s="171">
        <f t="shared" si="653"/>
        <v>107178.09200000002</v>
      </c>
      <c r="S1228" s="171">
        <f t="shared" si="654"/>
        <v>32809.620000000003</v>
      </c>
      <c r="T1228" s="171">
        <f t="shared" si="655"/>
        <v>0</v>
      </c>
      <c r="U1228" s="171">
        <f t="shared" si="643"/>
        <v>1150731.9599095201</v>
      </c>
      <c r="V1228" s="171">
        <f t="shared" si="656"/>
        <v>0</v>
      </c>
      <c r="W1228" s="171" t="str">
        <f>IF(OR(A1228&gt;=$C$13,B1228="Retired"),IF(V1228&gt;0,-V1228,U1228-'Model Inputs'!$B$18),"")</f>
        <v/>
      </c>
      <c r="X1228" s="171">
        <f t="shared" si="644"/>
        <v>0</v>
      </c>
      <c r="Y1228" s="171">
        <f t="shared" si="645"/>
        <v>0</v>
      </c>
      <c r="Z1228" s="171">
        <f t="shared" si="646"/>
        <v>0</v>
      </c>
      <c r="AA1228" s="175">
        <f t="shared" si="647"/>
        <v>1150731.9599095201</v>
      </c>
      <c r="AB1228" s="5"/>
      <c r="AC1228" s="5"/>
      <c r="AD1228" s="5"/>
      <c r="AE1228" s="5"/>
      <c r="AF1228" s="5"/>
      <c r="AG1228" s="5"/>
    </row>
    <row r="1229" spans="1:33" x14ac:dyDescent="0.2">
      <c r="A1229" s="169">
        <v>5</v>
      </c>
      <c r="B1229" s="100" t="str">
        <f t="shared" si="633"/>
        <v>Working</v>
      </c>
      <c r="C1229" s="170">
        <f t="shared" si="634"/>
        <v>953837.51358640334</v>
      </c>
      <c r="D1229" s="170">
        <f t="shared" si="635"/>
        <v>506901.31028287602</v>
      </c>
      <c r="E1229" s="170">
        <f t="shared" si="636"/>
        <v>87789.687179999994</v>
      </c>
      <c r="F1229" s="170">
        <f t="shared" si="637"/>
        <v>56275.440499999997</v>
      </c>
      <c r="G1229" s="171">
        <f t="shared" si="638"/>
        <v>0</v>
      </c>
      <c r="H1229" s="171">
        <f t="shared" si="639"/>
        <v>0</v>
      </c>
      <c r="I1229" s="171">
        <f>IF(B1229="Working",MIN(MAX(D1229-E1229-F1229-G1229-H1229,0),'Tax Assumptions'!$B$20),0)</f>
        <v>7500</v>
      </c>
      <c r="J1229" s="171">
        <f t="shared" si="640"/>
        <v>355336.18260287598</v>
      </c>
      <c r="K1229" s="170">
        <f t="shared" si="641"/>
        <v>0</v>
      </c>
      <c r="L1229" s="170">
        <f t="shared" si="642"/>
        <v>0</v>
      </c>
      <c r="M1229" s="170">
        <f t="shared" si="648"/>
        <v>0</v>
      </c>
      <c r="N1229" s="170">
        <f t="shared" si="649"/>
        <v>0</v>
      </c>
      <c r="O1229" s="170">
        <f t="shared" si="650"/>
        <v>0</v>
      </c>
      <c r="P1229" s="170">
        <f t="shared" si="651"/>
        <v>0</v>
      </c>
      <c r="Q1229" s="171">
        <f t="shared" si="652"/>
        <v>1426725.0853869673</v>
      </c>
      <c r="R1229" s="171">
        <f t="shared" si="653"/>
        <v>138108.77752000003</v>
      </c>
      <c r="S1229" s="171">
        <f t="shared" si="654"/>
        <v>42278.197200000002</v>
      </c>
      <c r="T1229" s="171">
        <f t="shared" si="655"/>
        <v>0</v>
      </c>
      <c r="U1229" s="171">
        <f t="shared" si="643"/>
        <v>1607112.0601069673</v>
      </c>
      <c r="V1229" s="171">
        <f t="shared" si="656"/>
        <v>0</v>
      </c>
      <c r="W1229" s="171" t="str">
        <f>IF(OR(A1229&gt;=$C$13,B1229="Retired"),IF(V1229&gt;0,-V1229,U1229-'Model Inputs'!$B$18),"")</f>
        <v/>
      </c>
      <c r="X1229" s="171">
        <f t="shared" si="644"/>
        <v>0</v>
      </c>
      <c r="Y1229" s="171">
        <f t="shared" si="645"/>
        <v>0</v>
      </c>
      <c r="Z1229" s="171">
        <f t="shared" si="646"/>
        <v>0</v>
      </c>
      <c r="AA1229" s="172">
        <f t="shared" si="647"/>
        <v>1607112.0601069673</v>
      </c>
      <c r="AB1229" s="5"/>
      <c r="AC1229" s="5"/>
      <c r="AD1229" s="5"/>
      <c r="AE1229" s="5"/>
      <c r="AF1229" s="5"/>
      <c r="AG1229" s="5"/>
    </row>
    <row r="1230" spans="1:33" x14ac:dyDescent="0.2">
      <c r="A1230" s="173">
        <v>6</v>
      </c>
      <c r="B1230" s="65" t="str">
        <f t="shared" si="633"/>
        <v>Working</v>
      </c>
      <c r="C1230" s="174">
        <f t="shared" si="634"/>
        <v>1118900.665838565</v>
      </c>
      <c r="D1230" s="174">
        <f t="shared" si="635"/>
        <v>589060.11476976541</v>
      </c>
      <c r="E1230" s="174">
        <f t="shared" si="636"/>
        <v>92741.925943999988</v>
      </c>
      <c r="F1230" s="174">
        <f t="shared" si="637"/>
        <v>57963.703714999989</v>
      </c>
      <c r="G1230" s="171">
        <f t="shared" si="638"/>
        <v>0</v>
      </c>
      <c r="H1230" s="171">
        <f t="shared" si="639"/>
        <v>0</v>
      </c>
      <c r="I1230" s="171">
        <f>IF(B1230="Working",MIN(MAX(D1230-E1230-F1230-G1230-H1230,0),'Tax Assumptions'!$B$20),0)</f>
        <v>7500</v>
      </c>
      <c r="J1230" s="171">
        <f t="shared" si="640"/>
        <v>430854.48511076538</v>
      </c>
      <c r="K1230" s="174">
        <f t="shared" si="641"/>
        <v>0</v>
      </c>
      <c r="L1230" s="174">
        <f t="shared" si="642"/>
        <v>0</v>
      </c>
      <c r="M1230" s="174">
        <f t="shared" si="648"/>
        <v>0</v>
      </c>
      <c r="N1230" s="174">
        <f t="shared" si="649"/>
        <v>0</v>
      </c>
      <c r="O1230" s="174">
        <f t="shared" si="650"/>
        <v>0</v>
      </c>
      <c r="P1230" s="174">
        <f t="shared" si="651"/>
        <v>0</v>
      </c>
      <c r="Q1230" s="171">
        <f t="shared" si="652"/>
        <v>1943183.0756209507</v>
      </c>
      <c r="R1230" s="171">
        <f t="shared" si="653"/>
        <v>170895.30417120006</v>
      </c>
      <c r="S1230" s="171">
        <f t="shared" si="654"/>
        <v>52314.889032000006</v>
      </c>
      <c r="T1230" s="171">
        <f t="shared" si="655"/>
        <v>0</v>
      </c>
      <c r="U1230" s="171">
        <f t="shared" si="643"/>
        <v>2166393.2688241508</v>
      </c>
      <c r="V1230" s="171">
        <f t="shared" si="656"/>
        <v>0</v>
      </c>
      <c r="W1230" s="171" t="str">
        <f>IF(OR(A1230&gt;=$C$13,B1230="Retired"),IF(V1230&gt;0,-V1230,U1230-'Model Inputs'!$B$18),"")</f>
        <v/>
      </c>
      <c r="X1230" s="171">
        <f t="shared" si="644"/>
        <v>0</v>
      </c>
      <c r="Y1230" s="171">
        <f t="shared" si="645"/>
        <v>0</v>
      </c>
      <c r="Z1230" s="171">
        <f t="shared" si="646"/>
        <v>0</v>
      </c>
      <c r="AA1230" s="175">
        <f t="shared" si="647"/>
        <v>2166393.2688241508</v>
      </c>
      <c r="AB1230" s="5"/>
      <c r="AC1230" s="5"/>
      <c r="AD1230" s="5"/>
      <c r="AE1230" s="5"/>
      <c r="AF1230" s="5"/>
      <c r="AG1230" s="5"/>
    </row>
    <row r="1231" spans="1:33" x14ac:dyDescent="0.2">
      <c r="A1231" s="169">
        <v>7</v>
      </c>
      <c r="B1231" s="100" t="str">
        <f t="shared" si="633"/>
        <v>Working</v>
      </c>
      <c r="C1231" s="170">
        <f t="shared" si="634"/>
        <v>1418318.448466131</v>
      </c>
      <c r="D1231" s="170">
        <f t="shared" si="635"/>
        <v>730157.75065517949</v>
      </c>
      <c r="E1231" s="170">
        <f t="shared" si="636"/>
        <v>95524.183722319998</v>
      </c>
      <c r="F1231" s="170">
        <f t="shared" si="637"/>
        <v>59702.614826449993</v>
      </c>
      <c r="G1231" s="171">
        <f t="shared" si="638"/>
        <v>0</v>
      </c>
      <c r="H1231" s="171">
        <f t="shared" si="639"/>
        <v>0</v>
      </c>
      <c r="I1231" s="171">
        <f>IF(B1231="Working",MIN(MAX(D1231-E1231-F1231-G1231-H1231,0),'Tax Assumptions'!$B$20),0)</f>
        <v>7500</v>
      </c>
      <c r="J1231" s="171">
        <f t="shared" si="640"/>
        <v>567430.95210640947</v>
      </c>
      <c r="K1231" s="170">
        <f t="shared" si="641"/>
        <v>0</v>
      </c>
      <c r="L1231" s="170">
        <f t="shared" si="642"/>
        <v>0</v>
      </c>
      <c r="M1231" s="170">
        <f t="shared" si="648"/>
        <v>0</v>
      </c>
      <c r="N1231" s="170">
        <f t="shared" si="649"/>
        <v>0</v>
      </c>
      <c r="O1231" s="170">
        <f t="shared" si="650"/>
        <v>0</v>
      </c>
      <c r="P1231" s="170">
        <f t="shared" si="651"/>
        <v>0</v>
      </c>
      <c r="Q1231" s="171">
        <f t="shared" si="652"/>
        <v>2627205.0122646173</v>
      </c>
      <c r="R1231" s="171">
        <f t="shared" si="653"/>
        <v>205649.02242147207</v>
      </c>
      <c r="S1231" s="171">
        <f t="shared" si="654"/>
        <v>62953.78237392001</v>
      </c>
      <c r="T1231" s="171">
        <f t="shared" si="655"/>
        <v>0</v>
      </c>
      <c r="U1231" s="171">
        <f t="shared" si="643"/>
        <v>2895807.8170600096</v>
      </c>
      <c r="V1231" s="171">
        <f t="shared" si="656"/>
        <v>0</v>
      </c>
      <c r="W1231" s="171" t="str">
        <f>IF(OR(A1231&gt;=$C$13,B1231="Retired"),IF(V1231&gt;0,-V1231,U1231-'Model Inputs'!$B$18),"")</f>
        <v/>
      </c>
      <c r="X1231" s="171">
        <f t="shared" si="644"/>
        <v>0</v>
      </c>
      <c r="Y1231" s="171">
        <f t="shared" si="645"/>
        <v>0</v>
      </c>
      <c r="Z1231" s="171">
        <f t="shared" si="646"/>
        <v>0</v>
      </c>
      <c r="AA1231" s="172">
        <f t="shared" si="647"/>
        <v>2895807.8170600096</v>
      </c>
      <c r="AB1231" s="5"/>
      <c r="AC1231" s="5"/>
      <c r="AD1231" s="5"/>
      <c r="AE1231" s="5"/>
      <c r="AF1231" s="5"/>
      <c r="AG1231" s="5"/>
    </row>
    <row r="1232" spans="1:33" x14ac:dyDescent="0.2">
      <c r="A1232" s="173">
        <v>8</v>
      </c>
      <c r="B1232" s="65" t="str">
        <f t="shared" si="633"/>
        <v>Working</v>
      </c>
      <c r="C1232" s="174">
        <f t="shared" si="634"/>
        <v>1872205.6657868917</v>
      </c>
      <c r="D1232" s="174">
        <f t="shared" si="635"/>
        <v>944047.5629454148</v>
      </c>
      <c r="E1232" s="174">
        <f t="shared" si="636"/>
        <v>98389.909233989601</v>
      </c>
      <c r="F1232" s="174">
        <f t="shared" si="637"/>
        <v>61493.693271243501</v>
      </c>
      <c r="G1232" s="171">
        <f t="shared" si="638"/>
        <v>0</v>
      </c>
      <c r="H1232" s="171">
        <f t="shared" si="639"/>
        <v>0</v>
      </c>
      <c r="I1232" s="171">
        <f>IF(B1232="Working",MIN(MAX(D1232-E1232-F1232-G1232-H1232,0),'Tax Assumptions'!$B$20),0)</f>
        <v>7500</v>
      </c>
      <c r="J1232" s="171">
        <f t="shared" si="640"/>
        <v>776663.96044018166</v>
      </c>
      <c r="K1232" s="174">
        <f t="shared" si="641"/>
        <v>0</v>
      </c>
      <c r="L1232" s="174">
        <f t="shared" si="642"/>
        <v>0</v>
      </c>
      <c r="M1232" s="174">
        <f t="shared" si="648"/>
        <v>0</v>
      </c>
      <c r="N1232" s="174">
        <f t="shared" si="649"/>
        <v>0</v>
      </c>
      <c r="O1232" s="174">
        <f t="shared" si="650"/>
        <v>0</v>
      </c>
      <c r="P1232" s="174">
        <f t="shared" si="651"/>
        <v>0</v>
      </c>
      <c r="Q1232" s="171">
        <f t="shared" si="652"/>
        <v>3561501.2734406763</v>
      </c>
      <c r="R1232" s="171">
        <f t="shared" si="653"/>
        <v>242487.9637667604</v>
      </c>
      <c r="S1232" s="171">
        <f t="shared" si="654"/>
        <v>74231.009316355208</v>
      </c>
      <c r="T1232" s="171">
        <f t="shared" si="655"/>
        <v>0</v>
      </c>
      <c r="U1232" s="171">
        <f t="shared" si="643"/>
        <v>3878220.2465237915</v>
      </c>
      <c r="V1232" s="171">
        <f t="shared" si="656"/>
        <v>0</v>
      </c>
      <c r="W1232" s="171" t="str">
        <f>IF(OR(A1232&gt;=$C$13,B1232="Retired"),IF(V1232&gt;0,-V1232,U1232-'Model Inputs'!$B$18),"")</f>
        <v/>
      </c>
      <c r="X1232" s="171">
        <f t="shared" si="644"/>
        <v>0</v>
      </c>
      <c r="Y1232" s="171">
        <f t="shared" si="645"/>
        <v>0</v>
      </c>
      <c r="Z1232" s="171">
        <f t="shared" si="646"/>
        <v>0</v>
      </c>
      <c r="AA1232" s="175">
        <f t="shared" si="647"/>
        <v>3878220.2465237915</v>
      </c>
      <c r="AB1232" s="5"/>
      <c r="AC1232" s="5"/>
      <c r="AD1232" s="5"/>
      <c r="AE1232" s="5"/>
      <c r="AF1232" s="5"/>
      <c r="AG1232" s="5"/>
    </row>
    <row r="1233" spans="1:33" x14ac:dyDescent="0.2">
      <c r="A1233" s="169">
        <v>9</v>
      </c>
      <c r="B1233" s="100" t="str">
        <f t="shared" si="633"/>
        <v>Working</v>
      </c>
      <c r="C1233" s="170">
        <f t="shared" si="634"/>
        <v>2033969.9666232408</v>
      </c>
      <c r="D1233" s="170">
        <f t="shared" si="635"/>
        <v>1020277.372071536</v>
      </c>
      <c r="E1233" s="170">
        <f t="shared" si="636"/>
        <v>101341.60651100927</v>
      </c>
      <c r="F1233" s="170">
        <f t="shared" si="637"/>
        <v>63338.504069380797</v>
      </c>
      <c r="G1233" s="171">
        <f t="shared" si="638"/>
        <v>0</v>
      </c>
      <c r="H1233" s="171">
        <f t="shared" si="639"/>
        <v>0</v>
      </c>
      <c r="I1233" s="171">
        <f>IF(B1233="Working",MIN(MAX(D1233-E1233-F1233-G1233-H1233,0),'Tax Assumptions'!$B$20),0)</f>
        <v>7500</v>
      </c>
      <c r="J1233" s="171">
        <f t="shared" si="640"/>
        <v>848097.26149114594</v>
      </c>
      <c r="K1233" s="170">
        <f t="shared" si="641"/>
        <v>0</v>
      </c>
      <c r="L1233" s="170">
        <f t="shared" si="642"/>
        <v>0</v>
      </c>
      <c r="M1233" s="170">
        <f t="shared" si="648"/>
        <v>0</v>
      </c>
      <c r="N1233" s="170">
        <f t="shared" si="649"/>
        <v>0</v>
      </c>
      <c r="O1233" s="170">
        <f t="shared" si="650"/>
        <v>0</v>
      </c>
      <c r="P1233" s="170">
        <f t="shared" si="651"/>
        <v>0</v>
      </c>
      <c r="Q1233" s="171">
        <f t="shared" si="652"/>
        <v>4623288.6113382634</v>
      </c>
      <c r="R1233" s="171">
        <f t="shared" si="653"/>
        <v>281537.24159276602</v>
      </c>
      <c r="S1233" s="171">
        <f t="shared" si="654"/>
        <v>86184.869875336532</v>
      </c>
      <c r="T1233" s="171">
        <f t="shared" si="655"/>
        <v>0</v>
      </c>
      <c r="U1233" s="171">
        <f t="shared" si="643"/>
        <v>4991010.7228063662</v>
      </c>
      <c r="V1233" s="171">
        <f t="shared" si="656"/>
        <v>0</v>
      </c>
      <c r="W1233" s="171" t="str">
        <f>IF(OR(A1233&gt;=$C$13,B1233="Retired"),IF(V1233&gt;0,-V1233,U1233-'Model Inputs'!$B$18),"")</f>
        <v/>
      </c>
      <c r="X1233" s="171">
        <f t="shared" si="644"/>
        <v>0</v>
      </c>
      <c r="Y1233" s="171">
        <f t="shared" si="645"/>
        <v>0</v>
      </c>
      <c r="Z1233" s="171">
        <f t="shared" si="646"/>
        <v>0</v>
      </c>
      <c r="AA1233" s="172">
        <f t="shared" si="647"/>
        <v>4991010.7228063662</v>
      </c>
      <c r="AB1233" s="5"/>
      <c r="AC1233" s="5"/>
      <c r="AD1233" s="5"/>
      <c r="AE1233" s="5"/>
      <c r="AF1233" s="5"/>
      <c r="AG1233" s="5"/>
    </row>
    <row r="1234" spans="1:33" x14ac:dyDescent="0.2">
      <c r="A1234" s="173">
        <v>10</v>
      </c>
      <c r="B1234" s="65" t="str">
        <f t="shared" si="633"/>
        <v>Working</v>
      </c>
      <c r="C1234" s="174">
        <f t="shared" si="634"/>
        <v>2595495.7626410057</v>
      </c>
      <c r="D1234" s="174">
        <f t="shared" si="635"/>
        <v>1284890.7881869476</v>
      </c>
      <c r="E1234" s="174">
        <f t="shared" si="636"/>
        <v>104381.85470633955</v>
      </c>
      <c r="F1234" s="174">
        <f t="shared" si="637"/>
        <v>65238.659191462226</v>
      </c>
      <c r="G1234" s="171">
        <f t="shared" si="638"/>
        <v>1123969.4013365901</v>
      </c>
      <c r="H1234" s="171">
        <f t="shared" si="639"/>
        <v>150769.23076923075</v>
      </c>
      <c r="I1234" s="171">
        <f>IF(B1234="Working",MIN(MAX(D1234-E1234-F1234-G1234-H1234,0),'Tax Assumptions'!$B$20),0)</f>
        <v>0</v>
      </c>
      <c r="J1234" s="171">
        <f t="shared" si="640"/>
        <v>-159468.35781667498</v>
      </c>
      <c r="K1234" s="174">
        <f t="shared" si="641"/>
        <v>0</v>
      </c>
      <c r="L1234" s="174">
        <f t="shared" si="642"/>
        <v>0</v>
      </c>
      <c r="M1234" s="174">
        <f t="shared" si="648"/>
        <v>0</v>
      </c>
      <c r="N1234" s="174">
        <f t="shared" si="649"/>
        <v>0</v>
      </c>
      <c r="O1234" s="174">
        <f t="shared" si="650"/>
        <v>0</v>
      </c>
      <c r="P1234" s="174">
        <f t="shared" si="651"/>
        <v>0</v>
      </c>
      <c r="Q1234" s="171">
        <f t="shared" si="652"/>
        <v>4741217.570201885</v>
      </c>
      <c r="R1234" s="171">
        <f t="shared" si="653"/>
        <v>322929.47608833201</v>
      </c>
      <c r="S1234" s="171">
        <f t="shared" si="654"/>
        <v>91355.96206785673</v>
      </c>
      <c r="T1234" s="171">
        <f t="shared" si="655"/>
        <v>0</v>
      </c>
      <c r="U1234" s="171">
        <f t="shared" si="643"/>
        <v>5155503.0083580734</v>
      </c>
      <c r="V1234" s="171">
        <f t="shared" si="656"/>
        <v>0</v>
      </c>
      <c r="W1234" s="171">
        <f>IF(OR(A1234&gt;=$C$13,B1234="Retired"),IF(V1234&gt;0,-V1234,U1234-'Model Inputs'!$B$18),"")</f>
        <v>4155503.0083580734</v>
      </c>
      <c r="X1234" s="171">
        <f t="shared" si="644"/>
        <v>2366251.3712349264</v>
      </c>
      <c r="Y1234" s="171">
        <f t="shared" si="645"/>
        <v>1286891.7473494606</v>
      </c>
      <c r="Z1234" s="171">
        <f t="shared" si="646"/>
        <v>1079359.6238854658</v>
      </c>
      <c r="AA1234" s="175">
        <f t="shared" si="647"/>
        <v>6234862.6322435392</v>
      </c>
      <c r="AB1234" s="5"/>
      <c r="AC1234" s="5"/>
      <c r="AD1234" s="5"/>
      <c r="AE1234" s="5"/>
      <c r="AF1234" s="5"/>
      <c r="AG1234" s="5"/>
    </row>
    <row r="1235" spans="1:33" x14ac:dyDescent="0.2">
      <c r="A1235" s="169">
        <v>11</v>
      </c>
      <c r="B1235" s="100" t="str">
        <f t="shared" si="633"/>
        <v>Retired</v>
      </c>
      <c r="C1235" s="170">
        <f t="shared" si="634"/>
        <v>0</v>
      </c>
      <c r="D1235" s="170">
        <f t="shared" si="635"/>
        <v>0</v>
      </c>
      <c r="E1235" s="170">
        <f t="shared" si="636"/>
        <v>0</v>
      </c>
      <c r="F1235" s="170">
        <f t="shared" si="637"/>
        <v>0</v>
      </c>
      <c r="G1235" s="171">
        <f t="shared" si="638"/>
        <v>0</v>
      </c>
      <c r="H1235" s="171">
        <f t="shared" si="639"/>
        <v>152330.9566742458</v>
      </c>
      <c r="I1235" s="171">
        <f>IF(B1235="Working",MIN(MAX(D1235-E1235-F1235-G1235-H1235,0),'Tax Assumptions'!$B$20),0)</f>
        <v>0</v>
      </c>
      <c r="J1235" s="171">
        <f t="shared" si="640"/>
        <v>-352330.95667424577</v>
      </c>
      <c r="K1235" s="170">
        <f t="shared" si="641"/>
        <v>352330.95667424577</v>
      </c>
      <c r="L1235" s="170">
        <f t="shared" si="642"/>
        <v>352330.95667424577</v>
      </c>
      <c r="M1235" s="170">
        <f t="shared" si="648"/>
        <v>352330.95667424577</v>
      </c>
      <c r="N1235" s="170">
        <f t="shared" si="649"/>
        <v>0</v>
      </c>
      <c r="O1235" s="170">
        <f t="shared" si="650"/>
        <v>0</v>
      </c>
      <c r="P1235" s="170">
        <f t="shared" si="651"/>
        <v>0</v>
      </c>
      <c r="Q1235" s="171">
        <f t="shared" si="652"/>
        <v>4673359.6677397517</v>
      </c>
      <c r="R1235" s="171">
        <f t="shared" si="653"/>
        <v>342305.24465363193</v>
      </c>
      <c r="S1235" s="171">
        <f t="shared" si="654"/>
        <v>96837.319791928137</v>
      </c>
      <c r="T1235" s="171">
        <f t="shared" si="655"/>
        <v>0</v>
      </c>
      <c r="U1235" s="171">
        <f t="shared" si="643"/>
        <v>5112502.2321853116</v>
      </c>
      <c r="V1235" s="171">
        <f t="shared" si="656"/>
        <v>0</v>
      </c>
      <c r="W1235" s="171">
        <f>IF(OR(A1235&gt;=$C$13,B1235="Retired"),IF(V1235&gt;0,-V1235,U1235-'Model Inputs'!$B$18),"")</f>
        <v>4112502.2321853116</v>
      </c>
      <c r="X1235" s="171">
        <f t="shared" si="644"/>
        <v>2437238.9123719744</v>
      </c>
      <c r="Y1235" s="171">
        <f t="shared" si="645"/>
        <v>1271371.0340171556</v>
      </c>
      <c r="Z1235" s="171">
        <f t="shared" si="646"/>
        <v>1165867.8783548188</v>
      </c>
      <c r="AA1235" s="172">
        <f t="shared" si="647"/>
        <v>6278370.1105401302</v>
      </c>
      <c r="AB1235" s="5"/>
      <c r="AC1235" s="5"/>
      <c r="AD1235" s="5"/>
      <c r="AE1235" s="5"/>
      <c r="AF1235" s="5"/>
      <c r="AG1235" s="5"/>
    </row>
    <row r="1236" spans="1:33" x14ac:dyDescent="0.2">
      <c r="A1236" s="173">
        <v>12</v>
      </c>
      <c r="B1236" s="65" t="str">
        <f t="shared" si="633"/>
        <v>Retired</v>
      </c>
      <c r="C1236" s="174">
        <f t="shared" si="634"/>
        <v>0</v>
      </c>
      <c r="D1236" s="174">
        <f t="shared" si="635"/>
        <v>0</v>
      </c>
      <c r="E1236" s="174">
        <f t="shared" si="636"/>
        <v>0</v>
      </c>
      <c r="F1236" s="174">
        <f t="shared" si="637"/>
        <v>0</v>
      </c>
      <c r="G1236" s="171">
        <f t="shared" si="638"/>
        <v>0</v>
      </c>
      <c r="H1236" s="171">
        <f t="shared" si="639"/>
        <v>153939.53435641131</v>
      </c>
      <c r="I1236" s="171">
        <f>IF(B1236="Working",MIN(MAX(D1236-E1236-F1236-G1236-H1236,0),'Tax Assumptions'!$B$20),0)</f>
        <v>0</v>
      </c>
      <c r="J1236" s="171">
        <f t="shared" si="640"/>
        <v>-353939.53435641131</v>
      </c>
      <c r="K1236" s="174">
        <f t="shared" si="641"/>
        <v>353939.53435641131</v>
      </c>
      <c r="L1236" s="174">
        <f t="shared" si="642"/>
        <v>353939.53435641131</v>
      </c>
      <c r="M1236" s="174">
        <f t="shared" si="648"/>
        <v>353939.53435641131</v>
      </c>
      <c r="N1236" s="174">
        <f t="shared" si="649"/>
        <v>0</v>
      </c>
      <c r="O1236" s="174">
        <f t="shared" si="650"/>
        <v>0</v>
      </c>
      <c r="P1236" s="174">
        <f t="shared" si="651"/>
        <v>0</v>
      </c>
      <c r="Q1236" s="171">
        <f t="shared" si="652"/>
        <v>4599821.7134477254</v>
      </c>
      <c r="R1236" s="171">
        <f t="shared" si="653"/>
        <v>362843.55933284987</v>
      </c>
      <c r="S1236" s="171">
        <f t="shared" si="654"/>
        <v>102647.55897944383</v>
      </c>
      <c r="T1236" s="171">
        <f t="shared" si="655"/>
        <v>0</v>
      </c>
      <c r="U1236" s="171">
        <f t="shared" si="643"/>
        <v>5065312.8317600191</v>
      </c>
      <c r="V1236" s="171">
        <f t="shared" si="656"/>
        <v>0</v>
      </c>
      <c r="W1236" s="171">
        <f>IF(OR(A1236&gt;=$C$13,B1236="Retired"),IF(V1236&gt;0,-V1236,U1236-'Model Inputs'!$B$18),"")</f>
        <v>4065312.8317600191</v>
      </c>
      <c r="X1236" s="171">
        <f t="shared" si="644"/>
        <v>2510356.0797431334</v>
      </c>
      <c r="Y1236" s="171">
        <f t="shared" si="645"/>
        <v>1254810.8697685855</v>
      </c>
      <c r="Z1236" s="171">
        <f t="shared" si="646"/>
        <v>1255545.2099745478</v>
      </c>
      <c r="AA1236" s="175">
        <f t="shared" si="647"/>
        <v>6320858.0417345669</v>
      </c>
      <c r="AB1236" s="5"/>
      <c r="AC1236" s="5"/>
      <c r="AD1236" s="5"/>
      <c r="AE1236" s="5"/>
      <c r="AF1236" s="5"/>
      <c r="AG1236" s="5"/>
    </row>
    <row r="1237" spans="1:33" x14ac:dyDescent="0.2">
      <c r="A1237" s="169">
        <v>13</v>
      </c>
      <c r="B1237" s="100" t="str">
        <f t="shared" si="633"/>
        <v>Retired</v>
      </c>
      <c r="C1237" s="170">
        <f t="shared" si="634"/>
        <v>0</v>
      </c>
      <c r="D1237" s="170">
        <f t="shared" si="635"/>
        <v>0</v>
      </c>
      <c r="E1237" s="170">
        <f t="shared" si="636"/>
        <v>0</v>
      </c>
      <c r="F1237" s="170">
        <f t="shared" si="637"/>
        <v>0</v>
      </c>
      <c r="G1237" s="171">
        <f t="shared" si="638"/>
        <v>0</v>
      </c>
      <c r="H1237" s="171">
        <f t="shared" si="639"/>
        <v>155596.36936904176</v>
      </c>
      <c r="I1237" s="171">
        <f>IF(B1237="Working",MIN(MAX(D1237-E1237-F1237-G1237-H1237,0),'Tax Assumptions'!$B$20),0)</f>
        <v>0</v>
      </c>
      <c r="J1237" s="171">
        <f t="shared" si="640"/>
        <v>-355596.36936904176</v>
      </c>
      <c r="K1237" s="170">
        <f t="shared" si="641"/>
        <v>355596.36936904176</v>
      </c>
      <c r="L1237" s="170">
        <f t="shared" si="642"/>
        <v>355596.36936904176</v>
      </c>
      <c r="M1237" s="170">
        <f t="shared" si="648"/>
        <v>355596.36936904176</v>
      </c>
      <c r="N1237" s="170">
        <f t="shared" si="649"/>
        <v>0</v>
      </c>
      <c r="O1237" s="170">
        <f t="shared" si="650"/>
        <v>0</v>
      </c>
      <c r="P1237" s="170">
        <f t="shared" si="651"/>
        <v>0</v>
      </c>
      <c r="Q1237" s="171">
        <f t="shared" si="652"/>
        <v>4520214.6468855469</v>
      </c>
      <c r="R1237" s="171">
        <f t="shared" si="653"/>
        <v>384614.1728928209</v>
      </c>
      <c r="S1237" s="171">
        <f t="shared" si="654"/>
        <v>108806.41251821046</v>
      </c>
      <c r="T1237" s="171">
        <f t="shared" si="655"/>
        <v>0</v>
      </c>
      <c r="U1237" s="171">
        <f t="shared" si="643"/>
        <v>5013635.2322965786</v>
      </c>
      <c r="V1237" s="171">
        <f t="shared" si="656"/>
        <v>0</v>
      </c>
      <c r="W1237" s="171">
        <f>IF(OR(A1237&gt;=$C$13,B1237="Retired"),IF(V1237&gt;0,-V1237,U1237-'Model Inputs'!$B$18),"")</f>
        <v>4013635.2322965786</v>
      </c>
      <c r="X1237" s="171">
        <f t="shared" si="644"/>
        <v>2585666.7621354274</v>
      </c>
      <c r="Y1237" s="171">
        <f t="shared" si="645"/>
        <v>1237141.6406508228</v>
      </c>
      <c r="Z1237" s="171">
        <f t="shared" si="646"/>
        <v>1348525.1214846047</v>
      </c>
      <c r="AA1237" s="172">
        <f t="shared" si="647"/>
        <v>6362160.3537811833</v>
      </c>
      <c r="AB1237" s="5"/>
      <c r="AC1237" s="5"/>
      <c r="AD1237" s="5"/>
      <c r="AE1237" s="5"/>
      <c r="AF1237" s="5"/>
      <c r="AG1237" s="5"/>
    </row>
    <row r="1238" spans="1:33" x14ac:dyDescent="0.2">
      <c r="A1238" s="173">
        <v>14</v>
      </c>
      <c r="B1238" s="65" t="str">
        <f t="shared" si="633"/>
        <v>Retired</v>
      </c>
      <c r="C1238" s="174">
        <f t="shared" si="634"/>
        <v>0</v>
      </c>
      <c r="D1238" s="174">
        <f t="shared" si="635"/>
        <v>0</v>
      </c>
      <c r="E1238" s="174">
        <f t="shared" si="636"/>
        <v>0</v>
      </c>
      <c r="F1238" s="174">
        <f t="shared" si="637"/>
        <v>0</v>
      </c>
      <c r="G1238" s="171">
        <f t="shared" si="638"/>
        <v>0</v>
      </c>
      <c r="H1238" s="171">
        <f t="shared" si="639"/>
        <v>157302.90943205115</v>
      </c>
      <c r="I1238" s="171">
        <f>IF(B1238="Working",MIN(MAX(D1238-E1238-F1238-G1238-H1238,0),'Tax Assumptions'!$B$20),0)</f>
        <v>0</v>
      </c>
      <c r="J1238" s="171">
        <f t="shared" si="640"/>
        <v>-357302.90943205112</v>
      </c>
      <c r="K1238" s="174">
        <f t="shared" si="641"/>
        <v>357302.90943205112</v>
      </c>
      <c r="L1238" s="174">
        <f t="shared" si="642"/>
        <v>357302.90943205112</v>
      </c>
      <c r="M1238" s="174">
        <f t="shared" si="648"/>
        <v>357302.90943205112</v>
      </c>
      <c r="N1238" s="174">
        <f t="shared" si="649"/>
        <v>0</v>
      </c>
      <c r="O1238" s="174">
        <f t="shared" si="650"/>
        <v>0</v>
      </c>
      <c r="P1238" s="174">
        <f t="shared" si="651"/>
        <v>0</v>
      </c>
      <c r="Q1238" s="171">
        <f t="shared" si="652"/>
        <v>4434124.6162666287</v>
      </c>
      <c r="R1238" s="171">
        <f t="shared" si="653"/>
        <v>407691.0232663902</v>
      </c>
      <c r="S1238" s="171">
        <f t="shared" si="654"/>
        <v>115334.79726930309</v>
      </c>
      <c r="T1238" s="171">
        <f t="shared" si="655"/>
        <v>0</v>
      </c>
      <c r="U1238" s="171">
        <f t="shared" si="643"/>
        <v>4957150.436802322</v>
      </c>
      <c r="V1238" s="171">
        <f t="shared" si="656"/>
        <v>0</v>
      </c>
      <c r="W1238" s="171">
        <f>IF(OR(A1238&gt;=$C$13,B1238="Retired"),IF(V1238&gt;0,-V1238,U1238-'Model Inputs'!$B$18),"")</f>
        <v>3957150.436802322</v>
      </c>
      <c r="X1238" s="171">
        <f t="shared" si="644"/>
        <v>2663236.7649994902</v>
      </c>
      <c r="Y1238" s="171">
        <f t="shared" si="645"/>
        <v>1218289.0705355857</v>
      </c>
      <c r="Z1238" s="171">
        <f t="shared" si="646"/>
        <v>1444947.6944639045</v>
      </c>
      <c r="AA1238" s="175">
        <f t="shared" si="647"/>
        <v>6402098.131266227</v>
      </c>
      <c r="AB1238" s="5"/>
      <c r="AC1238" s="5"/>
      <c r="AD1238" s="5"/>
      <c r="AE1238" s="5"/>
      <c r="AF1238" s="5"/>
      <c r="AG1238" s="5"/>
    </row>
    <row r="1239" spans="1:33" x14ac:dyDescent="0.2">
      <c r="A1239" s="169">
        <v>15</v>
      </c>
      <c r="B1239" s="100" t="str">
        <f t="shared" si="633"/>
        <v>Retired</v>
      </c>
      <c r="C1239" s="170">
        <f t="shared" si="634"/>
        <v>0</v>
      </c>
      <c r="D1239" s="170">
        <f t="shared" si="635"/>
        <v>0</v>
      </c>
      <c r="E1239" s="170">
        <f t="shared" si="636"/>
        <v>0</v>
      </c>
      <c r="F1239" s="170">
        <f t="shared" si="637"/>
        <v>0</v>
      </c>
      <c r="G1239" s="171">
        <f t="shared" si="638"/>
        <v>0</v>
      </c>
      <c r="H1239" s="171">
        <f t="shared" si="639"/>
        <v>159060.64569695081</v>
      </c>
      <c r="I1239" s="171">
        <f>IF(B1239="Working",MIN(MAX(D1239-E1239-F1239-G1239-H1239,0),'Tax Assumptions'!$B$20),0)</f>
        <v>0</v>
      </c>
      <c r="J1239" s="171">
        <f t="shared" si="640"/>
        <v>-359060.64569695084</v>
      </c>
      <c r="K1239" s="170">
        <f t="shared" si="641"/>
        <v>359060.64569695084</v>
      </c>
      <c r="L1239" s="170">
        <f t="shared" si="642"/>
        <v>359060.64569695084</v>
      </c>
      <c r="M1239" s="170">
        <f t="shared" si="648"/>
        <v>359060.64569695084</v>
      </c>
      <c r="N1239" s="170">
        <f t="shared" si="649"/>
        <v>0</v>
      </c>
      <c r="O1239" s="170">
        <f t="shared" si="650"/>
        <v>0</v>
      </c>
      <c r="P1239" s="170">
        <f t="shared" si="651"/>
        <v>0</v>
      </c>
      <c r="Q1239" s="171">
        <f t="shared" si="652"/>
        <v>4341111.4475456756</v>
      </c>
      <c r="R1239" s="171">
        <f t="shared" si="653"/>
        <v>432152.48466237361</v>
      </c>
      <c r="S1239" s="171">
        <f t="shared" si="654"/>
        <v>122254.88510546128</v>
      </c>
      <c r="T1239" s="171">
        <f t="shared" si="655"/>
        <v>0</v>
      </c>
      <c r="U1239" s="171">
        <f t="shared" si="643"/>
        <v>4895518.81731351</v>
      </c>
      <c r="V1239" s="171">
        <f t="shared" si="656"/>
        <v>0</v>
      </c>
      <c r="W1239" s="171">
        <f>IF(OR(A1239&gt;=$C$13,B1239="Retired"),IF(V1239&gt;0,-V1239,U1239-'Model Inputs'!$B$18),"")</f>
        <v>3895518.81731351</v>
      </c>
      <c r="X1239" s="171">
        <f t="shared" si="644"/>
        <v>2743133.8679494746</v>
      </c>
      <c r="Y1239" s="171">
        <f t="shared" si="645"/>
        <v>1198173.9088847237</v>
      </c>
      <c r="Z1239" s="171">
        <f t="shared" si="646"/>
        <v>1544959.9590647509</v>
      </c>
      <c r="AA1239" s="172">
        <f t="shared" si="647"/>
        <v>6440478.7763782609</v>
      </c>
      <c r="AB1239" s="5"/>
      <c r="AC1239" s="5"/>
      <c r="AD1239" s="5"/>
      <c r="AE1239" s="5"/>
      <c r="AF1239" s="5"/>
      <c r="AG1239" s="5"/>
    </row>
    <row r="1240" spans="1:33" x14ac:dyDescent="0.2">
      <c r="A1240" s="173">
        <v>16</v>
      </c>
      <c r="B1240" s="65" t="str">
        <f t="shared" si="633"/>
        <v>Retired</v>
      </c>
      <c r="C1240" s="174">
        <f t="shared" si="634"/>
        <v>0</v>
      </c>
      <c r="D1240" s="174">
        <f t="shared" si="635"/>
        <v>0</v>
      </c>
      <c r="E1240" s="174">
        <f t="shared" si="636"/>
        <v>0</v>
      </c>
      <c r="F1240" s="174">
        <f t="shared" si="637"/>
        <v>0</v>
      </c>
      <c r="G1240" s="171">
        <f t="shared" si="638"/>
        <v>0</v>
      </c>
      <c r="H1240" s="171">
        <f t="shared" si="639"/>
        <v>160871.11404979747</v>
      </c>
      <c r="I1240" s="171">
        <f>IF(B1240="Working",MIN(MAX(D1240-E1240-F1240-G1240-H1240,0),'Tax Assumptions'!$B$20),0)</f>
        <v>0</v>
      </c>
      <c r="J1240" s="171">
        <f t="shared" si="640"/>
        <v>-360871.11404979747</v>
      </c>
      <c r="K1240" s="174">
        <f t="shared" si="641"/>
        <v>360871.11404979747</v>
      </c>
      <c r="L1240" s="174">
        <f t="shared" si="642"/>
        <v>360871.11404979747</v>
      </c>
      <c r="M1240" s="174">
        <f t="shared" si="648"/>
        <v>360871.11404979747</v>
      </c>
      <c r="N1240" s="174">
        <f t="shared" si="649"/>
        <v>0</v>
      </c>
      <c r="O1240" s="174">
        <f t="shared" si="650"/>
        <v>0</v>
      </c>
      <c r="P1240" s="174">
        <f t="shared" si="651"/>
        <v>0</v>
      </c>
      <c r="Q1240" s="171">
        <f t="shared" si="652"/>
        <v>4240707.0203486187</v>
      </c>
      <c r="R1240" s="171">
        <f t="shared" si="653"/>
        <v>458081.63374211604</v>
      </c>
      <c r="S1240" s="171">
        <f t="shared" si="654"/>
        <v>129590.17821178895</v>
      </c>
      <c r="T1240" s="171">
        <f t="shared" si="655"/>
        <v>0</v>
      </c>
      <c r="U1240" s="171">
        <f t="shared" si="643"/>
        <v>4828378.8323025238</v>
      </c>
      <c r="V1240" s="171">
        <f t="shared" si="656"/>
        <v>0</v>
      </c>
      <c r="W1240" s="171">
        <f>IF(OR(A1240&gt;=$C$13,B1240="Retired"),IF(V1240&gt;0,-V1240,U1240-'Model Inputs'!$B$18),"")</f>
        <v>3828378.8323025238</v>
      </c>
      <c r="X1240" s="171">
        <f t="shared" si="644"/>
        <v>2825427.883987959</v>
      </c>
      <c r="Y1240" s="171">
        <f t="shared" si="645"/>
        <v>1176711.5976047725</v>
      </c>
      <c r="Z1240" s="171">
        <f t="shared" si="646"/>
        <v>1648716.2863831865</v>
      </c>
      <c r="AA1240" s="175">
        <f t="shared" si="647"/>
        <v>6477095.1186857102</v>
      </c>
      <c r="AB1240" s="5"/>
      <c r="AC1240" s="5"/>
      <c r="AD1240" s="5"/>
      <c r="AE1240" s="5"/>
      <c r="AF1240" s="5"/>
      <c r="AG1240" s="5"/>
    </row>
    <row r="1241" spans="1:33" x14ac:dyDescent="0.2">
      <c r="A1241" s="169">
        <v>17</v>
      </c>
      <c r="B1241" s="100" t="str">
        <f t="shared" si="633"/>
        <v>Retired</v>
      </c>
      <c r="C1241" s="170">
        <f t="shared" si="634"/>
        <v>0</v>
      </c>
      <c r="D1241" s="170">
        <f t="shared" si="635"/>
        <v>0</v>
      </c>
      <c r="E1241" s="170">
        <f t="shared" si="636"/>
        <v>0</v>
      </c>
      <c r="F1241" s="170">
        <f t="shared" si="637"/>
        <v>0</v>
      </c>
      <c r="G1241" s="171">
        <f t="shared" si="638"/>
        <v>0</v>
      </c>
      <c r="H1241" s="171">
        <f t="shared" si="639"/>
        <v>162735.89645322954</v>
      </c>
      <c r="I1241" s="171">
        <f>IF(B1241="Working",MIN(MAX(D1241-E1241-F1241-G1241-H1241,0),'Tax Assumptions'!$B$20),0)</f>
        <v>0</v>
      </c>
      <c r="J1241" s="171">
        <f t="shared" si="640"/>
        <v>-362735.89645322954</v>
      </c>
      <c r="K1241" s="170">
        <f t="shared" si="641"/>
        <v>362735.89645322954</v>
      </c>
      <c r="L1241" s="170">
        <f t="shared" si="642"/>
        <v>362735.89645322954</v>
      </c>
      <c r="M1241" s="170">
        <f t="shared" si="648"/>
        <v>362735.89645322954</v>
      </c>
      <c r="N1241" s="170">
        <f t="shared" si="649"/>
        <v>0</v>
      </c>
      <c r="O1241" s="170">
        <f t="shared" si="650"/>
        <v>0</v>
      </c>
      <c r="P1241" s="170">
        <f t="shared" si="651"/>
        <v>0</v>
      </c>
      <c r="Q1241" s="171">
        <f t="shared" si="652"/>
        <v>4132413.5451163063</v>
      </c>
      <c r="R1241" s="171">
        <f t="shared" si="653"/>
        <v>485566.53176664305</v>
      </c>
      <c r="S1241" s="171">
        <f t="shared" si="654"/>
        <v>137365.58890449628</v>
      </c>
      <c r="T1241" s="171">
        <f t="shared" si="655"/>
        <v>0</v>
      </c>
      <c r="U1241" s="171">
        <f t="shared" si="643"/>
        <v>4755345.6657874454</v>
      </c>
      <c r="V1241" s="171">
        <f t="shared" si="656"/>
        <v>0</v>
      </c>
      <c r="W1241" s="171">
        <f>IF(OR(A1241&gt;=$C$13,B1241="Retired"),IF(V1241&gt;0,-V1241,U1241-'Model Inputs'!$B$18),"")</f>
        <v>3755345.6657874454</v>
      </c>
      <c r="X1241" s="171">
        <f t="shared" si="644"/>
        <v>2910190.720507598</v>
      </c>
      <c r="Y1241" s="171">
        <f t="shared" si="645"/>
        <v>1153811.9155901484</v>
      </c>
      <c r="Z1241" s="171">
        <f t="shared" si="646"/>
        <v>1756378.8049174496</v>
      </c>
      <c r="AA1241" s="172">
        <f t="shared" si="647"/>
        <v>6511724.4707048945</v>
      </c>
      <c r="AB1241" s="5"/>
      <c r="AC1241" s="5"/>
      <c r="AD1241" s="5"/>
      <c r="AE1241" s="5"/>
      <c r="AF1241" s="5"/>
      <c r="AG1241" s="5"/>
    </row>
    <row r="1242" spans="1:33" x14ac:dyDescent="0.2">
      <c r="A1242" s="173">
        <v>18</v>
      </c>
      <c r="B1242" s="65" t="str">
        <f t="shared" si="633"/>
        <v>Retired</v>
      </c>
      <c r="C1242" s="174">
        <f t="shared" si="634"/>
        <v>0</v>
      </c>
      <c r="D1242" s="174">
        <f t="shared" si="635"/>
        <v>0</v>
      </c>
      <c r="E1242" s="174">
        <f t="shared" si="636"/>
        <v>0</v>
      </c>
      <c r="F1242" s="174">
        <f t="shared" si="637"/>
        <v>0</v>
      </c>
      <c r="G1242" s="171">
        <f t="shared" si="638"/>
        <v>0</v>
      </c>
      <c r="H1242" s="171">
        <f t="shared" si="639"/>
        <v>164656.62232876453</v>
      </c>
      <c r="I1242" s="171">
        <f>IF(B1242="Working",MIN(MAX(D1242-E1242-F1242-G1242-H1242,0),'Tax Assumptions'!$B$20),0)</f>
        <v>0</v>
      </c>
      <c r="J1242" s="171">
        <f t="shared" si="640"/>
        <v>-364656.62232876453</v>
      </c>
      <c r="K1242" s="174">
        <f t="shared" si="641"/>
        <v>364656.62232876453</v>
      </c>
      <c r="L1242" s="174">
        <f t="shared" si="642"/>
        <v>364656.62232876453</v>
      </c>
      <c r="M1242" s="174">
        <f t="shared" si="648"/>
        <v>364656.62232876453</v>
      </c>
      <c r="N1242" s="174">
        <f t="shared" si="649"/>
        <v>0</v>
      </c>
      <c r="O1242" s="174">
        <f t="shared" si="650"/>
        <v>0</v>
      </c>
      <c r="P1242" s="174">
        <f t="shared" si="651"/>
        <v>0</v>
      </c>
      <c r="Q1242" s="171">
        <f t="shared" si="652"/>
        <v>4015701.7354945205</v>
      </c>
      <c r="R1242" s="171">
        <f t="shared" si="653"/>
        <v>514700.52367264166</v>
      </c>
      <c r="S1242" s="171">
        <f t="shared" si="654"/>
        <v>145607.52423876605</v>
      </c>
      <c r="T1242" s="171">
        <f t="shared" si="655"/>
        <v>0</v>
      </c>
      <c r="U1242" s="171">
        <f t="shared" si="643"/>
        <v>4676009.7834059279</v>
      </c>
      <c r="V1242" s="171">
        <f t="shared" si="656"/>
        <v>0</v>
      </c>
      <c r="W1242" s="171">
        <f>IF(OR(A1242&gt;=$C$13,B1242="Retired"),IF(V1242&gt;0,-V1242,U1242-'Model Inputs'!$B$18),"")</f>
        <v>3676009.7834059279</v>
      </c>
      <c r="X1242" s="171">
        <f t="shared" si="644"/>
        <v>2997496.4421228254</v>
      </c>
      <c r="Y1242" s="171">
        <f t="shared" si="645"/>
        <v>1129378.5994607357</v>
      </c>
      <c r="Z1242" s="171">
        <f t="shared" si="646"/>
        <v>1868117.8426620897</v>
      </c>
      <c r="AA1242" s="175">
        <f t="shared" si="647"/>
        <v>6544127.6260680174</v>
      </c>
      <c r="AB1242" s="5"/>
      <c r="AC1242" s="5"/>
      <c r="AD1242" s="5"/>
      <c r="AE1242" s="5"/>
      <c r="AF1242" s="5"/>
      <c r="AG1242" s="5"/>
    </row>
    <row r="1243" spans="1:33" x14ac:dyDescent="0.2">
      <c r="A1243" s="169">
        <v>19</v>
      </c>
      <c r="B1243" s="100" t="str">
        <f t="shared" si="633"/>
        <v>Retired</v>
      </c>
      <c r="C1243" s="170">
        <f t="shared" si="634"/>
        <v>0</v>
      </c>
      <c r="D1243" s="170">
        <f t="shared" si="635"/>
        <v>0</v>
      </c>
      <c r="E1243" s="170">
        <f t="shared" si="636"/>
        <v>0</v>
      </c>
      <c r="F1243" s="170">
        <f t="shared" si="637"/>
        <v>0</v>
      </c>
      <c r="G1243" s="171">
        <f t="shared" si="638"/>
        <v>0</v>
      </c>
      <c r="H1243" s="171">
        <f t="shared" si="639"/>
        <v>166634.9699805656</v>
      </c>
      <c r="I1243" s="171">
        <f>IF(B1243="Working",MIN(MAX(D1243-E1243-F1243-G1243-H1243,0),'Tax Assumptions'!$B$20),0)</f>
        <v>0</v>
      </c>
      <c r="J1243" s="171">
        <f t="shared" si="640"/>
        <v>-366634.9699805656</v>
      </c>
      <c r="K1243" s="170">
        <f t="shared" si="641"/>
        <v>366634.9699805656</v>
      </c>
      <c r="L1243" s="170">
        <f t="shared" si="642"/>
        <v>366634.9699805656</v>
      </c>
      <c r="M1243" s="170">
        <f t="shared" si="648"/>
        <v>366634.9699805656</v>
      </c>
      <c r="N1243" s="170">
        <f t="shared" si="649"/>
        <v>0</v>
      </c>
      <c r="O1243" s="170">
        <f t="shared" si="650"/>
        <v>0</v>
      </c>
      <c r="P1243" s="170">
        <f t="shared" si="651"/>
        <v>0</v>
      </c>
      <c r="Q1243" s="171">
        <f t="shared" si="652"/>
        <v>3890008.8696436258</v>
      </c>
      <c r="R1243" s="171">
        <f t="shared" si="653"/>
        <v>545582.55509300018</v>
      </c>
      <c r="S1243" s="171">
        <f t="shared" si="654"/>
        <v>154343.97569309201</v>
      </c>
      <c r="T1243" s="171">
        <f t="shared" si="655"/>
        <v>0</v>
      </c>
      <c r="U1243" s="171">
        <f t="shared" si="643"/>
        <v>4589935.4004297182</v>
      </c>
      <c r="V1243" s="171">
        <f t="shared" si="656"/>
        <v>0</v>
      </c>
      <c r="W1243" s="171">
        <f>IF(OR(A1243&gt;=$C$13,B1243="Retired"),IF(V1243&gt;0,-V1243,U1243-'Model Inputs'!$B$18),"")</f>
        <v>3589935.4004297182</v>
      </c>
      <c r="X1243" s="171">
        <f t="shared" si="644"/>
        <v>3087421.3353865105</v>
      </c>
      <c r="Y1243" s="171">
        <f t="shared" si="645"/>
        <v>1103308.9388995722</v>
      </c>
      <c r="Z1243" s="171">
        <f t="shared" si="646"/>
        <v>1984112.3964869382</v>
      </c>
      <c r="AA1243" s="172">
        <f t="shared" si="647"/>
        <v>6574047.7969166562</v>
      </c>
      <c r="AB1243" s="5"/>
      <c r="AC1243" s="5"/>
      <c r="AD1243" s="5"/>
      <c r="AE1243" s="5"/>
      <c r="AF1243" s="5"/>
      <c r="AG1243" s="5"/>
    </row>
    <row r="1244" spans="1:33" x14ac:dyDescent="0.2">
      <c r="A1244" s="173">
        <v>20</v>
      </c>
      <c r="B1244" s="65" t="str">
        <f t="shared" si="633"/>
        <v>Retired</v>
      </c>
      <c r="C1244" s="174">
        <f t="shared" si="634"/>
        <v>0</v>
      </c>
      <c r="D1244" s="174">
        <f t="shared" si="635"/>
        <v>0</v>
      </c>
      <c r="E1244" s="174">
        <f t="shared" si="636"/>
        <v>0</v>
      </c>
      <c r="F1244" s="174">
        <f t="shared" si="637"/>
        <v>0</v>
      </c>
      <c r="G1244" s="171">
        <f t="shared" si="638"/>
        <v>0</v>
      </c>
      <c r="H1244" s="171">
        <f t="shared" si="639"/>
        <v>168672.66806192067</v>
      </c>
      <c r="I1244" s="171">
        <f>IF(B1244="Working",MIN(MAX(D1244-E1244-F1244-G1244-H1244,0),'Tax Assumptions'!$B$20),0)</f>
        <v>0</v>
      </c>
      <c r="J1244" s="171">
        <f t="shared" si="640"/>
        <v>-368672.66806192067</v>
      </c>
      <c r="K1244" s="174">
        <f t="shared" si="641"/>
        <v>368672.66806192067</v>
      </c>
      <c r="L1244" s="174">
        <f t="shared" si="642"/>
        <v>368672.66806192067</v>
      </c>
      <c r="M1244" s="174">
        <f t="shared" si="648"/>
        <v>368672.66806192067</v>
      </c>
      <c r="N1244" s="174">
        <f t="shared" si="649"/>
        <v>0</v>
      </c>
      <c r="O1244" s="174">
        <f t="shared" si="650"/>
        <v>0</v>
      </c>
      <c r="P1244" s="174">
        <f t="shared" si="651"/>
        <v>0</v>
      </c>
      <c r="Q1244" s="171">
        <f t="shared" si="652"/>
        <v>3754736.7337603224</v>
      </c>
      <c r="R1244" s="171">
        <f t="shared" si="653"/>
        <v>578317.50839858025</v>
      </c>
      <c r="S1244" s="171">
        <f t="shared" si="654"/>
        <v>163604.61423467755</v>
      </c>
      <c r="T1244" s="171">
        <f t="shared" si="655"/>
        <v>0</v>
      </c>
      <c r="U1244" s="171">
        <f t="shared" si="643"/>
        <v>4496658.8563935803</v>
      </c>
      <c r="V1244" s="171">
        <f t="shared" si="656"/>
        <v>0</v>
      </c>
      <c r="W1244" s="171">
        <f>IF(OR(A1244&gt;=$C$13,B1244="Retired"),IF(V1244&gt;0,-V1244,U1244-'Model Inputs'!$B$18),"")</f>
        <v>3496658.8563935803</v>
      </c>
      <c r="X1244" s="171">
        <f t="shared" si="644"/>
        <v>3180043.9754481055</v>
      </c>
      <c r="Y1244" s="171">
        <f t="shared" si="645"/>
        <v>1075493.3448895502</v>
      </c>
      <c r="Z1244" s="171">
        <f t="shared" si="646"/>
        <v>2104550.630558555</v>
      </c>
      <c r="AA1244" s="175">
        <f t="shared" si="647"/>
        <v>6601209.4869521353</v>
      </c>
      <c r="AB1244" s="5"/>
      <c r="AC1244" s="5"/>
      <c r="AD1244" s="5"/>
      <c r="AE1244" s="5"/>
      <c r="AF1244" s="5"/>
      <c r="AG1244" s="5"/>
    </row>
    <row r="1245" spans="1:33" x14ac:dyDescent="0.2">
      <c r="A1245" s="169">
        <v>21</v>
      </c>
      <c r="B1245" s="100" t="str">
        <f t="shared" si="633"/>
        <v>Retired</v>
      </c>
      <c r="C1245" s="170">
        <f t="shared" si="634"/>
        <v>0</v>
      </c>
      <c r="D1245" s="170">
        <f t="shared" si="635"/>
        <v>0</v>
      </c>
      <c r="E1245" s="170">
        <f t="shared" si="636"/>
        <v>0</v>
      </c>
      <c r="F1245" s="170">
        <f t="shared" si="637"/>
        <v>0</v>
      </c>
      <c r="G1245" s="171">
        <f t="shared" si="638"/>
        <v>0</v>
      </c>
      <c r="H1245" s="171">
        <f t="shared" si="639"/>
        <v>170771.49708571643</v>
      </c>
      <c r="I1245" s="171">
        <f>IF(B1245="Working",MIN(MAX(D1245-E1245-F1245-G1245-H1245,0),'Tax Assumptions'!$B$20),0)</f>
        <v>0</v>
      </c>
      <c r="J1245" s="171">
        <f t="shared" si="640"/>
        <v>-370771.49708571646</v>
      </c>
      <c r="K1245" s="170">
        <f t="shared" si="641"/>
        <v>370771.49708571646</v>
      </c>
      <c r="L1245" s="170">
        <f t="shared" si="642"/>
        <v>370771.49708571646</v>
      </c>
      <c r="M1245" s="170">
        <f t="shared" si="648"/>
        <v>370771.49708571646</v>
      </c>
      <c r="N1245" s="170">
        <f t="shared" si="649"/>
        <v>0</v>
      </c>
      <c r="O1245" s="170">
        <f t="shared" si="650"/>
        <v>0</v>
      </c>
      <c r="P1245" s="170">
        <f t="shared" si="651"/>
        <v>0</v>
      </c>
      <c r="Q1245" s="171">
        <f t="shared" si="652"/>
        <v>3609249.4407002255</v>
      </c>
      <c r="R1245" s="171">
        <f t="shared" si="653"/>
        <v>613016.55890249508</v>
      </c>
      <c r="S1245" s="171">
        <f t="shared" si="654"/>
        <v>173420.89108875822</v>
      </c>
      <c r="T1245" s="171">
        <f t="shared" si="655"/>
        <v>0</v>
      </c>
      <c r="U1245" s="171">
        <f t="shared" si="643"/>
        <v>4395686.8906914787</v>
      </c>
      <c r="V1245" s="171">
        <f t="shared" si="656"/>
        <v>0</v>
      </c>
      <c r="W1245" s="171">
        <f>IF(OR(A1245&gt;=$C$13,B1245="Retired"),IF(V1245&gt;0,-V1245,U1245-'Model Inputs'!$B$18),"")</f>
        <v>3395686.8906914787</v>
      </c>
      <c r="X1245" s="171">
        <f t="shared" si="644"/>
        <v>3275445.2947115488</v>
      </c>
      <c r="Y1245" s="171">
        <f t="shared" si="645"/>
        <v>1045814.889034126</v>
      </c>
      <c r="Z1245" s="171">
        <f t="shared" si="646"/>
        <v>2229630.4056774229</v>
      </c>
      <c r="AA1245" s="172">
        <f t="shared" si="647"/>
        <v>6625317.2963689016</v>
      </c>
      <c r="AB1245" s="5"/>
      <c r="AC1245" s="5"/>
      <c r="AD1245" s="5"/>
      <c r="AE1245" s="5"/>
      <c r="AF1245" s="5"/>
      <c r="AG1245" s="5"/>
    </row>
    <row r="1246" spans="1:33" x14ac:dyDescent="0.2">
      <c r="A1246" s="173">
        <v>22</v>
      </c>
      <c r="B1246" s="65" t="str">
        <f t="shared" si="633"/>
        <v>Retired</v>
      </c>
      <c r="C1246" s="174">
        <f t="shared" si="634"/>
        <v>0</v>
      </c>
      <c r="D1246" s="174">
        <f t="shared" si="635"/>
        <v>0</v>
      </c>
      <c r="E1246" s="174">
        <f t="shared" si="636"/>
        <v>0</v>
      </c>
      <c r="F1246" s="174">
        <f t="shared" si="637"/>
        <v>0</v>
      </c>
      <c r="G1246" s="171">
        <f t="shared" si="638"/>
        <v>0</v>
      </c>
      <c r="H1246" s="171">
        <f t="shared" si="639"/>
        <v>172933.29098022607</v>
      </c>
      <c r="I1246" s="171">
        <f>IF(B1246="Working",MIN(MAX(D1246-E1246-F1246-G1246-H1246,0),'Tax Assumptions'!$B$20),0)</f>
        <v>0</v>
      </c>
      <c r="J1246" s="171">
        <f t="shared" si="640"/>
        <v>-372933.29098022607</v>
      </c>
      <c r="K1246" s="174">
        <f t="shared" si="641"/>
        <v>372933.29098022607</v>
      </c>
      <c r="L1246" s="174">
        <f t="shared" si="642"/>
        <v>372933.29098022607</v>
      </c>
      <c r="M1246" s="174">
        <f t="shared" si="648"/>
        <v>372933.29098022607</v>
      </c>
      <c r="N1246" s="174">
        <f t="shared" si="649"/>
        <v>0</v>
      </c>
      <c r="O1246" s="174">
        <f t="shared" si="650"/>
        <v>0</v>
      </c>
      <c r="P1246" s="174">
        <f t="shared" si="651"/>
        <v>0</v>
      </c>
      <c r="Q1246" s="171">
        <f t="shared" si="652"/>
        <v>3452871.1161620133</v>
      </c>
      <c r="R1246" s="171">
        <f t="shared" si="653"/>
        <v>649797.55243664479</v>
      </c>
      <c r="S1246" s="171">
        <f t="shared" si="654"/>
        <v>183826.14455408373</v>
      </c>
      <c r="T1246" s="171">
        <f t="shared" si="655"/>
        <v>0</v>
      </c>
      <c r="U1246" s="171">
        <f t="shared" si="643"/>
        <v>4286494.8131527416</v>
      </c>
      <c r="V1246" s="171">
        <f t="shared" si="656"/>
        <v>0</v>
      </c>
      <c r="W1246" s="171">
        <f>IF(OR(A1246&gt;=$C$13,B1246="Retired"),IF(V1246&gt;0,-V1246,U1246-'Model Inputs'!$B$18),"")</f>
        <v>3286494.8131527416</v>
      </c>
      <c r="X1246" s="171">
        <f t="shared" si="644"/>
        <v>3373708.6535528949</v>
      </c>
      <c r="Y1246" s="171">
        <f t="shared" si="645"/>
        <v>1014148.8120254884</v>
      </c>
      <c r="Z1246" s="171">
        <f t="shared" si="646"/>
        <v>2359559.8415274066</v>
      </c>
      <c r="AA1246" s="175">
        <f t="shared" si="647"/>
        <v>6646054.6546801478</v>
      </c>
      <c r="AB1246" s="5"/>
      <c r="AC1246" s="5"/>
      <c r="AD1246" s="5"/>
      <c r="AE1246" s="5"/>
      <c r="AF1246" s="5"/>
      <c r="AG1246" s="5"/>
    </row>
    <row r="1247" spans="1:33" x14ac:dyDescent="0.2">
      <c r="A1247" s="169">
        <v>23</v>
      </c>
      <c r="B1247" s="100" t="str">
        <f t="shared" si="633"/>
        <v>Retired</v>
      </c>
      <c r="C1247" s="170">
        <f t="shared" si="634"/>
        <v>0</v>
      </c>
      <c r="D1247" s="170">
        <f t="shared" si="635"/>
        <v>0</v>
      </c>
      <c r="E1247" s="170">
        <f t="shared" si="636"/>
        <v>0</v>
      </c>
      <c r="F1247" s="170">
        <f t="shared" si="637"/>
        <v>0</v>
      </c>
      <c r="G1247" s="171">
        <f t="shared" si="638"/>
        <v>0</v>
      </c>
      <c r="H1247" s="171">
        <f t="shared" si="639"/>
        <v>175159.93869157095</v>
      </c>
      <c r="I1247" s="171">
        <f>IF(B1247="Working",MIN(MAX(D1247-E1247-F1247-G1247-H1247,0),'Tax Assumptions'!$B$20),0)</f>
        <v>0</v>
      </c>
      <c r="J1247" s="171">
        <f t="shared" si="640"/>
        <v>-375159.93869157095</v>
      </c>
      <c r="K1247" s="170">
        <f t="shared" si="641"/>
        <v>375159.93869157095</v>
      </c>
      <c r="L1247" s="170">
        <f t="shared" si="642"/>
        <v>375159.93869157095</v>
      </c>
      <c r="M1247" s="170">
        <f t="shared" si="648"/>
        <v>375159.93869157095</v>
      </c>
      <c r="N1247" s="170">
        <f t="shared" si="649"/>
        <v>0</v>
      </c>
      <c r="O1247" s="170">
        <f t="shared" si="650"/>
        <v>0</v>
      </c>
      <c r="P1247" s="170">
        <f t="shared" si="651"/>
        <v>0</v>
      </c>
      <c r="Q1247" s="171">
        <f t="shared" si="652"/>
        <v>3284883.4444401632</v>
      </c>
      <c r="R1247" s="171">
        <f t="shared" si="653"/>
        <v>688785.40558284346</v>
      </c>
      <c r="S1247" s="171">
        <f t="shared" si="654"/>
        <v>194855.71322732876</v>
      </c>
      <c r="T1247" s="171">
        <f t="shared" si="655"/>
        <v>0</v>
      </c>
      <c r="U1247" s="171">
        <f t="shared" si="643"/>
        <v>4168524.5632503354</v>
      </c>
      <c r="V1247" s="171">
        <f t="shared" si="656"/>
        <v>0</v>
      </c>
      <c r="W1247" s="171">
        <f>IF(OR(A1247&gt;=$C$13,B1247="Retired"),IF(V1247&gt;0,-V1247,U1247-'Model Inputs'!$B$18),"")</f>
        <v>3168524.5632503354</v>
      </c>
      <c r="X1247" s="171">
        <f t="shared" si="644"/>
        <v>3474919.9131594817</v>
      </c>
      <c r="Y1247" s="171">
        <f t="shared" si="645"/>
        <v>980361.99919392681</v>
      </c>
      <c r="Z1247" s="171">
        <f t="shared" si="646"/>
        <v>2494557.9139655549</v>
      </c>
      <c r="AA1247" s="172">
        <f t="shared" si="647"/>
        <v>6663082.4772158898</v>
      </c>
      <c r="AB1247" s="5"/>
      <c r="AC1247" s="5"/>
      <c r="AD1247" s="5"/>
      <c r="AE1247" s="5"/>
      <c r="AF1247" s="5"/>
      <c r="AG1247" s="5"/>
    </row>
    <row r="1248" spans="1:33" x14ac:dyDescent="0.2">
      <c r="A1248" s="173">
        <v>24</v>
      </c>
      <c r="B1248" s="65" t="str">
        <f t="shared" si="633"/>
        <v>Retired</v>
      </c>
      <c r="C1248" s="174">
        <f t="shared" si="634"/>
        <v>0</v>
      </c>
      <c r="D1248" s="174">
        <f t="shared" si="635"/>
        <v>0</v>
      </c>
      <c r="E1248" s="174">
        <f t="shared" si="636"/>
        <v>0</v>
      </c>
      <c r="F1248" s="174">
        <f t="shared" si="637"/>
        <v>0</v>
      </c>
      <c r="G1248" s="171">
        <f t="shared" si="638"/>
        <v>0</v>
      </c>
      <c r="H1248" s="171">
        <f t="shared" si="639"/>
        <v>177453.38583425625</v>
      </c>
      <c r="I1248" s="171">
        <f>IF(B1248="Working",MIN(MAX(D1248-E1248-F1248-G1248-H1248,0),'Tax Assumptions'!$B$20),0)</f>
        <v>0</v>
      </c>
      <c r="J1248" s="171">
        <f t="shared" si="640"/>
        <v>-377453.38583425625</v>
      </c>
      <c r="K1248" s="174">
        <f t="shared" si="641"/>
        <v>377453.38583425625</v>
      </c>
      <c r="L1248" s="174">
        <f t="shared" si="642"/>
        <v>377453.38583425625</v>
      </c>
      <c r="M1248" s="174">
        <f t="shared" si="648"/>
        <v>377453.38583425625</v>
      </c>
      <c r="N1248" s="174">
        <f t="shared" si="649"/>
        <v>0</v>
      </c>
      <c r="O1248" s="174">
        <f t="shared" si="650"/>
        <v>0</v>
      </c>
      <c r="P1248" s="174">
        <f t="shared" si="651"/>
        <v>0</v>
      </c>
      <c r="Q1248" s="171">
        <f t="shared" si="652"/>
        <v>3104523.0652723168</v>
      </c>
      <c r="R1248" s="171">
        <f t="shared" si="653"/>
        <v>730112.52991781407</v>
      </c>
      <c r="S1248" s="171">
        <f t="shared" si="654"/>
        <v>206547.05602096851</v>
      </c>
      <c r="T1248" s="171">
        <f t="shared" si="655"/>
        <v>0</v>
      </c>
      <c r="U1248" s="171">
        <f t="shared" si="643"/>
        <v>4041182.6512110997</v>
      </c>
      <c r="V1248" s="171">
        <f t="shared" si="656"/>
        <v>0</v>
      </c>
      <c r="W1248" s="171">
        <f>IF(OR(A1248&gt;=$C$13,B1248="Retired"),IF(V1248&gt;0,-V1248,U1248-'Model Inputs'!$B$18),"")</f>
        <v>3041182.6512110997</v>
      </c>
      <c r="X1248" s="171">
        <f t="shared" si="644"/>
        <v>3579167.5105542666</v>
      </c>
      <c r="Y1248" s="171">
        <f t="shared" si="645"/>
        <v>944312.42093377281</v>
      </c>
      <c r="Z1248" s="171">
        <f t="shared" si="646"/>
        <v>2634855.0896204938</v>
      </c>
      <c r="AA1248" s="175">
        <f t="shared" si="647"/>
        <v>6676037.7408315931</v>
      </c>
      <c r="AB1248" s="5"/>
      <c r="AC1248" s="5"/>
      <c r="AD1248" s="5"/>
      <c r="AE1248" s="5"/>
      <c r="AF1248" s="5"/>
      <c r="AG1248" s="5"/>
    </row>
    <row r="1249" spans="1:33" x14ac:dyDescent="0.2">
      <c r="A1249" s="169">
        <v>25</v>
      </c>
      <c r="B1249" s="100" t="str">
        <f t="shared" si="633"/>
        <v>Retired</v>
      </c>
      <c r="C1249" s="170">
        <f t="shared" si="634"/>
        <v>0</v>
      </c>
      <c r="D1249" s="170">
        <f t="shared" si="635"/>
        <v>0</v>
      </c>
      <c r="E1249" s="170">
        <f t="shared" si="636"/>
        <v>0</v>
      </c>
      <c r="F1249" s="170">
        <f t="shared" si="637"/>
        <v>0</v>
      </c>
      <c r="G1249" s="171">
        <f t="shared" si="638"/>
        <v>0</v>
      </c>
      <c r="H1249" s="171">
        <f t="shared" si="639"/>
        <v>179815.63639122204</v>
      </c>
      <c r="I1249" s="171">
        <f>IF(B1249="Working",MIN(MAX(D1249-E1249-F1249-G1249-H1249,0),'Tax Assumptions'!$B$20),0)</f>
        <v>0</v>
      </c>
      <c r="J1249" s="171">
        <f t="shared" si="640"/>
        <v>-379815.63639122201</v>
      </c>
      <c r="K1249" s="170">
        <f t="shared" si="641"/>
        <v>379815.63639122201</v>
      </c>
      <c r="L1249" s="170">
        <f t="shared" si="642"/>
        <v>379815.63639122201</v>
      </c>
      <c r="M1249" s="170">
        <f t="shared" si="648"/>
        <v>379815.63639122201</v>
      </c>
      <c r="N1249" s="170">
        <f t="shared" si="649"/>
        <v>0</v>
      </c>
      <c r="O1249" s="170">
        <f t="shared" si="650"/>
        <v>0</v>
      </c>
      <c r="P1249" s="170">
        <f t="shared" si="651"/>
        <v>0</v>
      </c>
      <c r="Q1249" s="171">
        <f t="shared" si="652"/>
        <v>2910978.8127974342</v>
      </c>
      <c r="R1249" s="171">
        <f t="shared" si="653"/>
        <v>773919.28171288292</v>
      </c>
      <c r="S1249" s="171">
        <f t="shared" si="654"/>
        <v>218939.87938222662</v>
      </c>
      <c r="T1249" s="171">
        <f t="shared" si="655"/>
        <v>0</v>
      </c>
      <c r="U1249" s="171">
        <f t="shared" si="643"/>
        <v>3903837.9738925435</v>
      </c>
      <c r="V1249" s="171">
        <f t="shared" si="656"/>
        <v>0</v>
      </c>
      <c r="W1249" s="171">
        <f>IF(OR(A1249&gt;=$C$13,B1249="Retired"),IF(V1249&gt;0,-V1249,U1249-'Model Inputs'!$B$18),"")</f>
        <v>2903837.9738925435</v>
      </c>
      <c r="X1249" s="171">
        <f t="shared" si="644"/>
        <v>3686542.5358708948</v>
      </c>
      <c r="Y1249" s="171">
        <f t="shared" si="645"/>
        <v>905848.53565362561</v>
      </c>
      <c r="Z1249" s="171">
        <f t="shared" si="646"/>
        <v>2780694.0002172692</v>
      </c>
      <c r="AA1249" s="172">
        <f t="shared" si="647"/>
        <v>6684531.9741098126</v>
      </c>
      <c r="AB1249" s="5"/>
      <c r="AC1249" s="5"/>
      <c r="AD1249" s="5"/>
      <c r="AE1249" s="5"/>
      <c r="AF1249" s="5"/>
      <c r="AG1249" s="5"/>
    </row>
    <row r="1250" spans="1:33" x14ac:dyDescent="0.2">
      <c r="A1250" s="173">
        <v>26</v>
      </c>
      <c r="B1250" s="65" t="str">
        <f t="shared" si="633"/>
        <v>Retired</v>
      </c>
      <c r="C1250" s="174">
        <f t="shared" si="634"/>
        <v>0</v>
      </c>
      <c r="D1250" s="174">
        <f t="shared" si="635"/>
        <v>0</v>
      </c>
      <c r="E1250" s="174">
        <f t="shared" si="636"/>
        <v>0</v>
      </c>
      <c r="F1250" s="174">
        <f t="shared" si="637"/>
        <v>0</v>
      </c>
      <c r="G1250" s="171">
        <f t="shared" si="638"/>
        <v>0</v>
      </c>
      <c r="H1250" s="171">
        <f t="shared" si="639"/>
        <v>182248.7544648968</v>
      </c>
      <c r="I1250" s="171">
        <f>IF(B1250="Working",MIN(MAX(D1250-E1250-F1250-G1250-H1250,0),'Tax Assumptions'!$B$20),0)</f>
        <v>0</v>
      </c>
      <c r="J1250" s="171">
        <f t="shared" si="640"/>
        <v>-382248.7544648968</v>
      </c>
      <c r="K1250" s="174">
        <f t="shared" si="641"/>
        <v>382248.7544648968</v>
      </c>
      <c r="L1250" s="174">
        <f t="shared" si="642"/>
        <v>382248.7544648968</v>
      </c>
      <c r="M1250" s="174">
        <f t="shared" si="648"/>
        <v>382248.7544648968</v>
      </c>
      <c r="N1250" s="174">
        <f t="shared" si="649"/>
        <v>0</v>
      </c>
      <c r="O1250" s="174">
        <f t="shared" si="650"/>
        <v>0</v>
      </c>
      <c r="P1250" s="174">
        <f t="shared" si="651"/>
        <v>0</v>
      </c>
      <c r="Q1250" s="171">
        <f t="shared" si="652"/>
        <v>2703388.7871003835</v>
      </c>
      <c r="R1250" s="171">
        <f t="shared" si="653"/>
        <v>820354.43861565599</v>
      </c>
      <c r="S1250" s="171">
        <f t="shared" si="654"/>
        <v>232076.27214516021</v>
      </c>
      <c r="T1250" s="171">
        <f t="shared" si="655"/>
        <v>0</v>
      </c>
      <c r="U1250" s="171">
        <f t="shared" si="643"/>
        <v>3755819.4978611995</v>
      </c>
      <c r="V1250" s="171">
        <f t="shared" si="656"/>
        <v>0</v>
      </c>
      <c r="W1250" s="171">
        <f>IF(OR(A1250&gt;=$C$13,B1250="Retired"),IF(V1250&gt;0,-V1250,U1250-'Model Inputs'!$B$18),"")</f>
        <v>2755819.4978611995</v>
      </c>
      <c r="X1250" s="171">
        <f t="shared" si="644"/>
        <v>3797138.8119470207</v>
      </c>
      <c r="Y1250" s="171">
        <f t="shared" si="645"/>
        <v>864808.65274105361</v>
      </c>
      <c r="Z1250" s="171">
        <f t="shared" si="646"/>
        <v>2932330.1592059671</v>
      </c>
      <c r="AA1250" s="175">
        <f t="shared" si="647"/>
        <v>6688149.6570671666</v>
      </c>
      <c r="AB1250" s="5"/>
      <c r="AC1250" s="5"/>
      <c r="AD1250" s="5"/>
      <c r="AE1250" s="5"/>
      <c r="AF1250" s="5"/>
      <c r="AG1250" s="5"/>
    </row>
    <row r="1251" spans="1:33" x14ac:dyDescent="0.2">
      <c r="A1251" s="169">
        <v>27</v>
      </c>
      <c r="B1251" s="100" t="str">
        <f t="shared" si="633"/>
        <v>Retired</v>
      </c>
      <c r="C1251" s="170">
        <f t="shared" si="634"/>
        <v>0</v>
      </c>
      <c r="D1251" s="170">
        <f t="shared" si="635"/>
        <v>0</v>
      </c>
      <c r="E1251" s="170">
        <f t="shared" si="636"/>
        <v>0</v>
      </c>
      <c r="F1251" s="170">
        <f t="shared" si="637"/>
        <v>0</v>
      </c>
      <c r="G1251" s="171">
        <f t="shared" si="638"/>
        <v>0</v>
      </c>
      <c r="H1251" s="171">
        <f t="shared" si="639"/>
        <v>184754.86608078185</v>
      </c>
      <c r="I1251" s="171">
        <f>IF(B1251="Working",MIN(MAX(D1251-E1251-F1251-G1251-H1251,0),'Tax Assumptions'!$B$20),0)</f>
        <v>0</v>
      </c>
      <c r="J1251" s="171">
        <f t="shared" si="640"/>
        <v>-384754.86608078185</v>
      </c>
      <c r="K1251" s="170">
        <f t="shared" si="641"/>
        <v>384754.86608078185</v>
      </c>
      <c r="L1251" s="170">
        <f t="shared" si="642"/>
        <v>384754.86608078185</v>
      </c>
      <c r="M1251" s="170">
        <f t="shared" si="648"/>
        <v>384754.86608078185</v>
      </c>
      <c r="N1251" s="170">
        <f t="shared" si="649"/>
        <v>0</v>
      </c>
      <c r="O1251" s="170">
        <f t="shared" si="650"/>
        <v>0</v>
      </c>
      <c r="P1251" s="170">
        <f t="shared" si="651"/>
        <v>0</v>
      </c>
      <c r="Q1251" s="171">
        <f t="shared" si="652"/>
        <v>2480837.2482456248</v>
      </c>
      <c r="R1251" s="171">
        <f t="shared" si="653"/>
        <v>869575.70493259537</v>
      </c>
      <c r="S1251" s="171">
        <f t="shared" si="654"/>
        <v>246000.84847386985</v>
      </c>
      <c r="T1251" s="171">
        <f t="shared" si="655"/>
        <v>0</v>
      </c>
      <c r="U1251" s="171">
        <f t="shared" si="643"/>
        <v>3596413.8016520902</v>
      </c>
      <c r="V1251" s="171">
        <f t="shared" si="656"/>
        <v>0</v>
      </c>
      <c r="W1251" s="171">
        <f>IF(OR(A1251&gt;=$C$13,B1251="Retired"),IF(V1251&gt;0,-V1251,U1251-'Model Inputs'!$B$18),"")</f>
        <v>2596413.8016520902</v>
      </c>
      <c r="X1251" s="171">
        <f t="shared" si="644"/>
        <v>3911052.9763054312</v>
      </c>
      <c r="Y1251" s="171">
        <f t="shared" si="645"/>
        <v>821020.25286385883</v>
      </c>
      <c r="Z1251" s="171">
        <f t="shared" si="646"/>
        <v>3090032.7234415724</v>
      </c>
      <c r="AA1251" s="172">
        <f t="shared" si="647"/>
        <v>6686446.5250936626</v>
      </c>
      <c r="AB1251" s="5"/>
      <c r="AC1251" s="5"/>
      <c r="AD1251" s="5"/>
      <c r="AE1251" s="5"/>
      <c r="AF1251" s="5"/>
      <c r="AG1251" s="5"/>
    </row>
    <row r="1252" spans="1:33" x14ac:dyDescent="0.2">
      <c r="A1252" s="173">
        <v>28</v>
      </c>
      <c r="B1252" s="65" t="str">
        <f t="shared" si="633"/>
        <v>Retired</v>
      </c>
      <c r="C1252" s="174">
        <f t="shared" si="634"/>
        <v>0</v>
      </c>
      <c r="D1252" s="174">
        <f t="shared" si="635"/>
        <v>0</v>
      </c>
      <c r="E1252" s="174">
        <f t="shared" si="636"/>
        <v>0</v>
      </c>
      <c r="F1252" s="174">
        <f t="shared" si="637"/>
        <v>0</v>
      </c>
      <c r="G1252" s="171">
        <f t="shared" si="638"/>
        <v>0</v>
      </c>
      <c r="H1252" s="171">
        <f t="shared" si="639"/>
        <v>187336.16104514344</v>
      </c>
      <c r="I1252" s="171">
        <f>IF(B1252="Working",MIN(MAX(D1252-E1252-F1252-G1252-H1252,0),'Tax Assumptions'!$B$20),0)</f>
        <v>0</v>
      </c>
      <c r="J1252" s="171">
        <f t="shared" si="640"/>
        <v>-387336.16104514344</v>
      </c>
      <c r="K1252" s="174">
        <f t="shared" si="641"/>
        <v>387336.16104514344</v>
      </c>
      <c r="L1252" s="174">
        <f t="shared" si="642"/>
        <v>387336.16104514344</v>
      </c>
      <c r="M1252" s="174">
        <f t="shared" si="648"/>
        <v>387336.16104514344</v>
      </c>
      <c r="N1252" s="174">
        <f t="shared" si="649"/>
        <v>0</v>
      </c>
      <c r="O1252" s="174">
        <f t="shared" si="650"/>
        <v>0</v>
      </c>
      <c r="P1252" s="174">
        <f t="shared" si="651"/>
        <v>0</v>
      </c>
      <c r="Q1252" s="171">
        <f t="shared" si="652"/>
        <v>2242351.322095219</v>
      </c>
      <c r="R1252" s="171">
        <f t="shared" si="653"/>
        <v>921750.24722855119</v>
      </c>
      <c r="S1252" s="171">
        <f t="shared" si="654"/>
        <v>260760.89938230204</v>
      </c>
      <c r="T1252" s="171">
        <f t="shared" si="655"/>
        <v>0</v>
      </c>
      <c r="U1252" s="171">
        <f t="shared" si="643"/>
        <v>3424862.4687060723</v>
      </c>
      <c r="V1252" s="171">
        <f t="shared" si="656"/>
        <v>0</v>
      </c>
      <c r="W1252" s="171">
        <f>IF(OR(A1252&gt;=$C$13,B1252="Retired"),IF(V1252&gt;0,-V1252,U1252-'Model Inputs'!$B$18),"")</f>
        <v>2424862.4687060723</v>
      </c>
      <c r="X1252" s="171">
        <f t="shared" si="644"/>
        <v>4028384.5655945945</v>
      </c>
      <c r="Y1252" s="171">
        <f t="shared" si="645"/>
        <v>774299.26275066007</v>
      </c>
      <c r="Z1252" s="171">
        <f t="shared" si="646"/>
        <v>3254085.3028439344</v>
      </c>
      <c r="AA1252" s="175">
        <f t="shared" si="647"/>
        <v>6678947.7715500072</v>
      </c>
      <c r="AB1252" s="5"/>
      <c r="AC1252" s="5"/>
      <c r="AD1252" s="5"/>
      <c r="AE1252" s="5"/>
      <c r="AF1252" s="5"/>
      <c r="AG1252" s="5"/>
    </row>
    <row r="1253" spans="1:33" x14ac:dyDescent="0.2">
      <c r="A1253" s="169">
        <v>29</v>
      </c>
      <c r="B1253" s="100" t="str">
        <f t="shared" si="633"/>
        <v>Retired</v>
      </c>
      <c r="C1253" s="170">
        <f t="shared" si="634"/>
        <v>0</v>
      </c>
      <c r="D1253" s="170">
        <f t="shared" si="635"/>
        <v>0</v>
      </c>
      <c r="E1253" s="170">
        <f t="shared" si="636"/>
        <v>0</v>
      </c>
      <c r="F1253" s="170">
        <f t="shared" si="637"/>
        <v>0</v>
      </c>
      <c r="G1253" s="171">
        <f t="shared" si="638"/>
        <v>0</v>
      </c>
      <c r="H1253" s="171">
        <f t="shared" si="639"/>
        <v>189994.89485843587</v>
      </c>
      <c r="I1253" s="171">
        <f>IF(B1253="Working",MIN(MAX(D1253-E1253-F1253-G1253-H1253,0),'Tax Assumptions'!$B$20),0)</f>
        <v>0</v>
      </c>
      <c r="J1253" s="171">
        <f t="shared" si="640"/>
        <v>-389994.89485843584</v>
      </c>
      <c r="K1253" s="170">
        <f t="shared" si="641"/>
        <v>389994.89485843584</v>
      </c>
      <c r="L1253" s="170">
        <f t="shared" si="642"/>
        <v>389994.89485843584</v>
      </c>
      <c r="M1253" s="170">
        <f t="shared" si="648"/>
        <v>389994.89485843584</v>
      </c>
      <c r="N1253" s="170">
        <f t="shared" si="649"/>
        <v>0</v>
      </c>
      <c r="O1253" s="170">
        <f t="shared" si="650"/>
        <v>0</v>
      </c>
      <c r="P1253" s="170">
        <f t="shared" si="651"/>
        <v>0</v>
      </c>
      <c r="Q1253" s="171">
        <f t="shared" si="652"/>
        <v>1986897.5065624965</v>
      </c>
      <c r="R1253" s="171">
        <f t="shared" si="653"/>
        <v>977055.26206226426</v>
      </c>
      <c r="S1253" s="171">
        <f t="shared" si="654"/>
        <v>276406.55334524019</v>
      </c>
      <c r="T1253" s="171">
        <f t="shared" si="655"/>
        <v>0</v>
      </c>
      <c r="U1253" s="171">
        <f t="shared" si="643"/>
        <v>3240359.3219700009</v>
      </c>
      <c r="V1253" s="171">
        <f t="shared" si="656"/>
        <v>0</v>
      </c>
      <c r="W1253" s="171">
        <f>IF(OR(A1253&gt;=$C$13,B1253="Retired"),IF(V1253&gt;0,-V1253,U1253-'Model Inputs'!$B$18),"")</f>
        <v>2240359.3219700009</v>
      </c>
      <c r="X1253" s="171">
        <f t="shared" si="644"/>
        <v>4149236.1025624322</v>
      </c>
      <c r="Y1253" s="171">
        <f t="shared" si="645"/>
        <v>724449.28140218835</v>
      </c>
      <c r="Z1253" s="171">
        <f t="shared" si="646"/>
        <v>3424786.8211602438</v>
      </c>
      <c r="AA1253" s="172">
        <f t="shared" si="647"/>
        <v>6665146.1431302447</v>
      </c>
      <c r="AB1253" s="5"/>
      <c r="AC1253" s="5"/>
      <c r="AD1253" s="5"/>
      <c r="AE1253" s="5"/>
      <c r="AF1253" s="5"/>
      <c r="AG1253" s="5"/>
    </row>
    <row r="1254" spans="1:33" x14ac:dyDescent="0.2">
      <c r="A1254" s="173">
        <v>30</v>
      </c>
      <c r="B1254" s="65" t="str">
        <f t="shared" si="633"/>
        <v>Retired</v>
      </c>
      <c r="C1254" s="174">
        <f t="shared" si="634"/>
        <v>0</v>
      </c>
      <c r="D1254" s="174">
        <f t="shared" si="635"/>
        <v>0</v>
      </c>
      <c r="E1254" s="174">
        <f t="shared" si="636"/>
        <v>0</v>
      </c>
      <c r="F1254" s="174">
        <f t="shared" si="637"/>
        <v>0</v>
      </c>
      <c r="G1254" s="171">
        <f t="shared" si="638"/>
        <v>0</v>
      </c>
      <c r="H1254" s="171">
        <f t="shared" si="639"/>
        <v>192733.39068612707</v>
      </c>
      <c r="I1254" s="171">
        <f>IF(B1254="Working",MIN(MAX(D1254-E1254-F1254-G1254-H1254,0),'Tax Assumptions'!$B$20),0)</f>
        <v>0</v>
      </c>
      <c r="J1254" s="171">
        <f t="shared" si="640"/>
        <v>-392733.39068612707</v>
      </c>
      <c r="K1254" s="174">
        <f t="shared" si="641"/>
        <v>392733.39068612707</v>
      </c>
      <c r="L1254" s="174">
        <f t="shared" si="642"/>
        <v>392733.39068612707</v>
      </c>
      <c r="M1254" s="174">
        <f t="shared" si="648"/>
        <v>392733.39068612707</v>
      </c>
      <c r="N1254" s="174">
        <f t="shared" si="649"/>
        <v>0</v>
      </c>
      <c r="O1254" s="174">
        <f t="shared" si="650"/>
        <v>0</v>
      </c>
      <c r="P1254" s="174">
        <f t="shared" si="651"/>
        <v>0</v>
      </c>
      <c r="Q1254" s="171">
        <f t="shared" si="652"/>
        <v>1713377.9662701192</v>
      </c>
      <c r="R1254" s="171">
        <f t="shared" si="653"/>
        <v>1035678.5777860002</v>
      </c>
      <c r="S1254" s="171">
        <f t="shared" si="654"/>
        <v>292990.94654595462</v>
      </c>
      <c r="T1254" s="171">
        <f t="shared" si="655"/>
        <v>0</v>
      </c>
      <c r="U1254" s="171">
        <f t="shared" si="643"/>
        <v>3042047.4906020742</v>
      </c>
      <c r="V1254" s="171">
        <f t="shared" si="656"/>
        <v>0</v>
      </c>
      <c r="W1254" s="171">
        <f>IF(OR(A1254&gt;=$C$13,B1254="Retired"),IF(V1254&gt;0,-V1254,U1254-'Model Inputs'!$B$18),"")</f>
        <v>2042047.4906020742</v>
      </c>
      <c r="X1254" s="171">
        <f t="shared" si="644"/>
        <v>4273713.185639305</v>
      </c>
      <c r="Y1254" s="171">
        <f t="shared" si="645"/>
        <v>671260.75448051747</v>
      </c>
      <c r="Z1254" s="171">
        <f t="shared" si="646"/>
        <v>3602452.4311587876</v>
      </c>
      <c r="AA1254" s="175">
        <f t="shared" si="647"/>
        <v>6644499.9217608618</v>
      </c>
      <c r="AB1254" s="5"/>
      <c r="AC1254" s="5"/>
      <c r="AD1254" s="5"/>
      <c r="AE1254" s="5"/>
      <c r="AF1254" s="5"/>
      <c r="AG1254" s="5"/>
    </row>
    <row r="1255" spans="1:33" x14ac:dyDescent="0.2">
      <c r="A1255" s="169">
        <v>31</v>
      </c>
      <c r="B1255" s="100" t="str">
        <f t="shared" si="633"/>
        <v>Retired</v>
      </c>
      <c r="C1255" s="170">
        <f t="shared" si="634"/>
        <v>0</v>
      </c>
      <c r="D1255" s="170">
        <f t="shared" si="635"/>
        <v>0</v>
      </c>
      <c r="E1255" s="170">
        <f t="shared" si="636"/>
        <v>0</v>
      </c>
      <c r="F1255" s="170">
        <f t="shared" si="637"/>
        <v>0</v>
      </c>
      <c r="G1255" s="171">
        <f t="shared" si="638"/>
        <v>0</v>
      </c>
      <c r="H1255" s="171">
        <f t="shared" si="639"/>
        <v>195554.041388649</v>
      </c>
      <c r="I1255" s="171">
        <f>IF(B1255="Working",MIN(MAX(D1255-E1255-F1255-G1255-H1255,0),'Tax Assumptions'!$B$20),0)</f>
        <v>0</v>
      </c>
      <c r="J1255" s="171">
        <f t="shared" si="640"/>
        <v>-395554.04138864903</v>
      </c>
      <c r="K1255" s="170">
        <f t="shared" si="641"/>
        <v>395554.04138864903</v>
      </c>
      <c r="L1255" s="170">
        <f t="shared" si="642"/>
        <v>395554.04138864903</v>
      </c>
      <c r="M1255" s="170">
        <f t="shared" si="648"/>
        <v>395554.04138864903</v>
      </c>
      <c r="N1255" s="170">
        <f t="shared" si="649"/>
        <v>0</v>
      </c>
      <c r="O1255" s="170">
        <f t="shared" si="650"/>
        <v>0</v>
      </c>
      <c r="P1255" s="170">
        <f t="shared" si="651"/>
        <v>0</v>
      </c>
      <c r="Q1255" s="171">
        <f t="shared" si="652"/>
        <v>1420626.6028576775</v>
      </c>
      <c r="R1255" s="171">
        <f t="shared" si="653"/>
        <v>1097819.2924531603</v>
      </c>
      <c r="S1255" s="171">
        <f t="shared" si="654"/>
        <v>310570.40333871188</v>
      </c>
      <c r="T1255" s="171">
        <f t="shared" si="655"/>
        <v>0</v>
      </c>
      <c r="U1255" s="171">
        <f t="shared" si="643"/>
        <v>2829016.2986495495</v>
      </c>
      <c r="V1255" s="171">
        <f t="shared" si="656"/>
        <v>0</v>
      </c>
      <c r="W1255" s="171">
        <f>IF(OR(A1255&gt;=$C$13,B1255="Retired"),IF(V1255&gt;0,-V1255,U1255-'Model Inputs'!$B$18),"")</f>
        <v>1829016.2986495495</v>
      </c>
      <c r="X1255" s="171">
        <f t="shared" si="644"/>
        <v>4401924.5812084833</v>
      </c>
      <c r="Y1255" s="171">
        <f t="shared" si="645"/>
        <v>614510.09340561554</v>
      </c>
      <c r="Z1255" s="171">
        <f t="shared" si="646"/>
        <v>3787414.4878028678</v>
      </c>
      <c r="AA1255" s="172">
        <f t="shared" si="647"/>
        <v>6616430.7864524173</v>
      </c>
      <c r="AB1255" s="5"/>
      <c r="AC1255" s="5"/>
      <c r="AD1255" s="5"/>
      <c r="AE1255" s="5"/>
      <c r="AF1255" s="5"/>
      <c r="AG1255" s="5"/>
    </row>
    <row r="1256" spans="1:33" x14ac:dyDescent="0.2">
      <c r="A1256" s="173">
        <v>32</v>
      </c>
      <c r="B1256" s="65" t="str">
        <f t="shared" si="633"/>
        <v>Retired</v>
      </c>
      <c r="C1256" s="174">
        <f t="shared" si="634"/>
        <v>0</v>
      </c>
      <c r="D1256" s="174">
        <f t="shared" si="635"/>
        <v>0</v>
      </c>
      <c r="E1256" s="174">
        <f t="shared" si="636"/>
        <v>0</v>
      </c>
      <c r="F1256" s="174">
        <f t="shared" si="637"/>
        <v>0</v>
      </c>
      <c r="G1256" s="171">
        <f t="shared" si="638"/>
        <v>0</v>
      </c>
      <c r="H1256" s="171">
        <f t="shared" si="639"/>
        <v>198459.31161224662</v>
      </c>
      <c r="I1256" s="171">
        <f>IF(B1256="Working",MIN(MAX(D1256-E1256-F1256-G1256-H1256,0),'Tax Assumptions'!$B$20),0)</f>
        <v>0</v>
      </c>
      <c r="J1256" s="171">
        <f t="shared" si="640"/>
        <v>-398459.31161224662</v>
      </c>
      <c r="K1256" s="174">
        <f t="shared" si="641"/>
        <v>398459.31161224662</v>
      </c>
      <c r="L1256" s="174">
        <f t="shared" si="642"/>
        <v>398459.31161224662</v>
      </c>
      <c r="M1256" s="174">
        <f t="shared" si="648"/>
        <v>398459.31161224662</v>
      </c>
      <c r="N1256" s="174">
        <f t="shared" si="649"/>
        <v>0</v>
      </c>
      <c r="O1256" s="174">
        <f t="shared" si="650"/>
        <v>0</v>
      </c>
      <c r="P1256" s="174">
        <f t="shared" si="651"/>
        <v>0</v>
      </c>
      <c r="Q1256" s="171">
        <f t="shared" si="652"/>
        <v>1107404.8874168918</v>
      </c>
      <c r="R1256" s="171">
        <f t="shared" si="653"/>
        <v>1163688.4500003499</v>
      </c>
      <c r="S1256" s="171">
        <f t="shared" si="654"/>
        <v>329204.62753903464</v>
      </c>
      <c r="T1256" s="171">
        <f t="shared" si="655"/>
        <v>0</v>
      </c>
      <c r="U1256" s="171">
        <f t="shared" si="643"/>
        <v>2600297.9649562761</v>
      </c>
      <c r="V1256" s="171">
        <f t="shared" si="656"/>
        <v>0</v>
      </c>
      <c r="W1256" s="171">
        <f>IF(OR(A1256&gt;=$C$13,B1256="Retired"),IF(V1256&gt;0,-V1256,U1256-'Model Inputs'!$B$18),"")</f>
        <v>1600297.9649562761</v>
      </c>
      <c r="X1256" s="171">
        <f t="shared" si="644"/>
        <v>4533982.3186447388</v>
      </c>
      <c r="Y1256" s="171">
        <f t="shared" si="645"/>
        <v>553958.73545615748</v>
      </c>
      <c r="Z1256" s="171">
        <f t="shared" si="646"/>
        <v>3980023.5831885813</v>
      </c>
      <c r="AA1256" s="175">
        <f t="shared" si="647"/>
        <v>6580321.5481448574</v>
      </c>
      <c r="AB1256" s="5"/>
      <c r="AC1256" s="5"/>
      <c r="AD1256" s="5"/>
      <c r="AE1256" s="5"/>
      <c r="AF1256" s="5"/>
      <c r="AG1256" s="5"/>
    </row>
    <row r="1257" spans="1:33" x14ac:dyDescent="0.2">
      <c r="A1257" s="169">
        <v>33</v>
      </c>
      <c r="B1257" s="100" t="str">
        <f t="shared" si="633"/>
        <v>Retired</v>
      </c>
      <c r="C1257" s="170">
        <f t="shared" si="634"/>
        <v>0</v>
      </c>
      <c r="D1257" s="170">
        <f t="shared" si="635"/>
        <v>0</v>
      </c>
      <c r="E1257" s="170">
        <f t="shared" si="636"/>
        <v>0</v>
      </c>
      <c r="F1257" s="170">
        <f t="shared" si="637"/>
        <v>0</v>
      </c>
      <c r="G1257" s="171">
        <f t="shared" si="638"/>
        <v>0</v>
      </c>
      <c r="H1257" s="171">
        <f t="shared" si="639"/>
        <v>201451.73994255214</v>
      </c>
      <c r="I1257" s="171">
        <f>IF(B1257="Working",MIN(MAX(D1257-E1257-F1257-G1257-H1257,0),'Tax Assumptions'!$B$20),0)</f>
        <v>0</v>
      </c>
      <c r="J1257" s="171">
        <f t="shared" si="640"/>
        <v>-401451.73994255217</v>
      </c>
      <c r="K1257" s="170">
        <f t="shared" si="641"/>
        <v>401451.73994255217</v>
      </c>
      <c r="L1257" s="170">
        <f t="shared" si="642"/>
        <v>401451.73994255217</v>
      </c>
      <c r="M1257" s="170">
        <f t="shared" si="648"/>
        <v>401451.73994255217</v>
      </c>
      <c r="N1257" s="170">
        <f t="shared" si="649"/>
        <v>0</v>
      </c>
      <c r="O1257" s="170">
        <f t="shared" si="650"/>
        <v>0</v>
      </c>
      <c r="P1257" s="170">
        <f t="shared" si="651"/>
        <v>0</v>
      </c>
      <c r="Q1257" s="171">
        <f t="shared" si="652"/>
        <v>772397.44071935315</v>
      </c>
      <c r="R1257" s="171">
        <f t="shared" si="653"/>
        <v>1233509.7570003709</v>
      </c>
      <c r="S1257" s="171">
        <f t="shared" si="654"/>
        <v>348956.90519137675</v>
      </c>
      <c r="T1257" s="171">
        <f t="shared" si="655"/>
        <v>0</v>
      </c>
      <c r="U1257" s="171">
        <f t="shared" si="643"/>
        <v>2354864.1029111007</v>
      </c>
      <c r="V1257" s="171">
        <f t="shared" si="656"/>
        <v>0</v>
      </c>
      <c r="W1257" s="171">
        <f>IF(OR(A1257&gt;=$C$13,B1257="Retired"),IF(V1257&gt;0,-V1257,U1257-'Model Inputs'!$B$18),"")</f>
        <v>1354864.1029111007</v>
      </c>
      <c r="X1257" s="171">
        <f t="shared" si="644"/>
        <v>4670001.7882040814</v>
      </c>
      <c r="Y1257" s="171">
        <f t="shared" si="645"/>
        <v>489352.14092355594</v>
      </c>
      <c r="Z1257" s="171">
        <f t="shared" si="646"/>
        <v>4180649.6472805254</v>
      </c>
      <c r="AA1257" s="172">
        <f t="shared" si="647"/>
        <v>6535513.7501916261</v>
      </c>
      <c r="AB1257" s="5"/>
      <c r="AC1257" s="5"/>
      <c r="AD1257" s="5"/>
      <c r="AE1257" s="5"/>
      <c r="AF1257" s="5"/>
      <c r="AG1257" s="5"/>
    </row>
    <row r="1258" spans="1:33" x14ac:dyDescent="0.2">
      <c r="A1258" s="173">
        <v>34</v>
      </c>
      <c r="B1258" s="65" t="str">
        <f t="shared" si="633"/>
        <v>Retired</v>
      </c>
      <c r="C1258" s="174">
        <f t="shared" si="634"/>
        <v>0</v>
      </c>
      <c r="D1258" s="174">
        <f t="shared" si="635"/>
        <v>0</v>
      </c>
      <c r="E1258" s="174">
        <f t="shared" si="636"/>
        <v>0</v>
      </c>
      <c r="F1258" s="174">
        <f t="shared" si="637"/>
        <v>0</v>
      </c>
      <c r="G1258" s="171">
        <f t="shared" si="638"/>
        <v>0</v>
      </c>
      <c r="H1258" s="171">
        <f t="shared" si="639"/>
        <v>204533.94112276682</v>
      </c>
      <c r="I1258" s="171">
        <f>IF(B1258="Working",MIN(MAX(D1258-E1258-F1258-G1258-H1258,0),'Tax Assumptions'!$B$20),0)</f>
        <v>0</v>
      </c>
      <c r="J1258" s="171">
        <f t="shared" si="640"/>
        <v>-404533.94112276682</v>
      </c>
      <c r="K1258" s="174">
        <f t="shared" si="641"/>
        <v>404533.94112276682</v>
      </c>
      <c r="L1258" s="174">
        <f t="shared" si="642"/>
        <v>404533.94112276682</v>
      </c>
      <c r="M1258" s="174">
        <f t="shared" si="648"/>
        <v>404533.94112276682</v>
      </c>
      <c r="N1258" s="174">
        <f t="shared" si="649"/>
        <v>0</v>
      </c>
      <c r="O1258" s="174">
        <f t="shared" si="650"/>
        <v>0</v>
      </c>
      <c r="P1258" s="174">
        <f t="shared" si="651"/>
        <v>0</v>
      </c>
      <c r="Q1258" s="171">
        <f t="shared" si="652"/>
        <v>414207.34603974759</v>
      </c>
      <c r="R1258" s="171">
        <f t="shared" si="653"/>
        <v>1307520.3424203931</v>
      </c>
      <c r="S1258" s="171">
        <f t="shared" si="654"/>
        <v>369894.31950285938</v>
      </c>
      <c r="T1258" s="171">
        <f t="shared" si="655"/>
        <v>0</v>
      </c>
      <c r="U1258" s="171">
        <f t="shared" si="643"/>
        <v>2091622.0079630001</v>
      </c>
      <c r="V1258" s="171">
        <f t="shared" si="656"/>
        <v>0</v>
      </c>
      <c r="W1258" s="171">
        <f>IF(OR(A1258&gt;=$C$13,B1258="Retired"),IF(V1258&gt;0,-V1258,U1258-'Model Inputs'!$B$18),"")</f>
        <v>1091622.0079630001</v>
      </c>
      <c r="X1258" s="171">
        <f t="shared" si="644"/>
        <v>4810101.8418502025</v>
      </c>
      <c r="Y1258" s="171">
        <f t="shared" si="645"/>
        <v>420418.72310352977</v>
      </c>
      <c r="Z1258" s="171">
        <f t="shared" si="646"/>
        <v>4389683.1187466728</v>
      </c>
      <c r="AA1258" s="175">
        <f t="shared" si="647"/>
        <v>6481305.1267096726</v>
      </c>
      <c r="AB1258" s="5"/>
      <c r="AC1258" s="5"/>
      <c r="AD1258" s="5"/>
      <c r="AE1258" s="5"/>
      <c r="AF1258" s="5"/>
      <c r="AG1258" s="5"/>
    </row>
    <row r="1259" spans="1:33" x14ac:dyDescent="0.2">
      <c r="A1259" s="169">
        <v>35</v>
      </c>
      <c r="B1259" s="100" t="str">
        <f t="shared" si="633"/>
        <v>Retired</v>
      </c>
      <c r="C1259" s="170">
        <f t="shared" si="634"/>
        <v>0</v>
      </c>
      <c r="D1259" s="170">
        <f t="shared" si="635"/>
        <v>0</v>
      </c>
      <c r="E1259" s="170">
        <f t="shared" si="636"/>
        <v>0</v>
      </c>
      <c r="F1259" s="170">
        <f t="shared" si="637"/>
        <v>0</v>
      </c>
      <c r="G1259" s="171">
        <f t="shared" si="638"/>
        <v>0</v>
      </c>
      <c r="H1259" s="171">
        <f t="shared" si="639"/>
        <v>207708.60833838794</v>
      </c>
      <c r="I1259" s="171">
        <f>IF(B1259="Working",MIN(MAX(D1259-E1259-F1259-G1259-H1259,0),'Tax Assumptions'!$B$20),0)</f>
        <v>0</v>
      </c>
      <c r="J1259" s="171">
        <f t="shared" si="640"/>
        <v>-407708.60833838792</v>
      </c>
      <c r="K1259" s="170">
        <f t="shared" si="641"/>
        <v>407708.60833838792</v>
      </c>
      <c r="L1259" s="170">
        <f t="shared" si="642"/>
        <v>407708.60833838792</v>
      </c>
      <c r="M1259" s="170">
        <f t="shared" si="648"/>
        <v>407708.60833838792</v>
      </c>
      <c r="N1259" s="170">
        <f t="shared" si="649"/>
        <v>0</v>
      </c>
      <c r="O1259" s="170">
        <f t="shared" si="650"/>
        <v>0</v>
      </c>
      <c r="P1259" s="170">
        <f t="shared" si="651"/>
        <v>0</v>
      </c>
      <c r="Q1259" s="171">
        <f t="shared" si="652"/>
        <v>31351.178463744523</v>
      </c>
      <c r="R1259" s="171">
        <f t="shared" si="653"/>
        <v>1385971.5629656168</v>
      </c>
      <c r="S1259" s="171">
        <f t="shared" si="654"/>
        <v>392087.97867303097</v>
      </c>
      <c r="T1259" s="171">
        <f t="shared" si="655"/>
        <v>0</v>
      </c>
      <c r="U1259" s="171">
        <f t="shared" si="643"/>
        <v>1809410.7201023921</v>
      </c>
      <c r="V1259" s="171">
        <f t="shared" si="656"/>
        <v>0</v>
      </c>
      <c r="W1259" s="171">
        <f>IF(OR(A1259&gt;=$C$13,B1259="Retired"),IF(V1259&gt;0,-V1259,U1259-'Model Inputs'!$B$18),"")</f>
        <v>809410.72010239214</v>
      </c>
      <c r="X1259" s="171">
        <f t="shared" si="644"/>
        <v>4954404.8971057087</v>
      </c>
      <c r="Y1259" s="171">
        <f t="shared" si="645"/>
        <v>346868.70662722923</v>
      </c>
      <c r="Z1259" s="171">
        <f t="shared" si="646"/>
        <v>4607536.1904784795</v>
      </c>
      <c r="AA1259" s="172">
        <f t="shared" si="647"/>
        <v>6416946.9105808716</v>
      </c>
      <c r="AB1259" s="5"/>
      <c r="AC1259" s="5"/>
      <c r="AD1259" s="5"/>
      <c r="AE1259" s="5"/>
      <c r="AF1259" s="5"/>
      <c r="AG1259" s="5"/>
    </row>
    <row r="1260" spans="1:33" x14ac:dyDescent="0.2">
      <c r="A1260" s="173">
        <v>36</v>
      </c>
      <c r="B1260" s="65" t="str">
        <f t="shared" si="633"/>
        <v>Retired</v>
      </c>
      <c r="C1260" s="174">
        <f t="shared" si="634"/>
        <v>0</v>
      </c>
      <c r="D1260" s="174">
        <f t="shared" si="635"/>
        <v>0</v>
      </c>
      <c r="E1260" s="174">
        <f t="shared" si="636"/>
        <v>0</v>
      </c>
      <c r="F1260" s="174">
        <f t="shared" si="637"/>
        <v>0</v>
      </c>
      <c r="G1260" s="171">
        <f t="shared" si="638"/>
        <v>0</v>
      </c>
      <c r="H1260" s="171">
        <f t="shared" si="639"/>
        <v>210978.51557047773</v>
      </c>
      <c r="I1260" s="171">
        <f>IF(B1260="Working",MIN(MAX(D1260-E1260-F1260-G1260-H1260,0),'Tax Assumptions'!$B$20),0)</f>
        <v>0</v>
      </c>
      <c r="J1260" s="171">
        <f t="shared" si="640"/>
        <v>-410978.5155704777</v>
      </c>
      <c r="K1260" s="174">
        <f t="shared" si="641"/>
        <v>410978.5155704777</v>
      </c>
      <c r="L1260" s="174">
        <f t="shared" si="642"/>
        <v>410978.5155704777</v>
      </c>
      <c r="M1260" s="174">
        <f t="shared" si="648"/>
        <v>33232.249171569194</v>
      </c>
      <c r="N1260" s="174">
        <f t="shared" si="649"/>
        <v>377746.26639890851</v>
      </c>
      <c r="O1260" s="174">
        <f t="shared" si="650"/>
        <v>0</v>
      </c>
      <c r="P1260" s="174">
        <f t="shared" si="651"/>
        <v>0</v>
      </c>
      <c r="Q1260" s="171">
        <f t="shared" si="652"/>
        <v>0</v>
      </c>
      <c r="R1260" s="171">
        <f t="shared" si="653"/>
        <v>1091383.5903446453</v>
      </c>
      <c r="S1260" s="171">
        <f t="shared" si="654"/>
        <v>415613.25739341287</v>
      </c>
      <c r="T1260" s="171">
        <f t="shared" si="655"/>
        <v>0</v>
      </c>
      <c r="U1260" s="171">
        <f t="shared" si="643"/>
        <v>1506996.8477380583</v>
      </c>
      <c r="V1260" s="171">
        <f t="shared" si="656"/>
        <v>0</v>
      </c>
      <c r="W1260" s="171">
        <f>IF(OR(A1260&gt;=$C$13,B1260="Retired"),IF(V1260&gt;0,-V1260,U1260-'Model Inputs'!$B$18),"")</f>
        <v>506996.84773805831</v>
      </c>
      <c r="X1260" s="171">
        <f t="shared" si="644"/>
        <v>5103037.0440188805</v>
      </c>
      <c r="Y1260" s="171">
        <f t="shared" si="645"/>
        <v>268392.90933269542</v>
      </c>
      <c r="Z1260" s="171">
        <f t="shared" si="646"/>
        <v>4834644.134686185</v>
      </c>
      <c r="AA1260" s="175">
        <f t="shared" si="647"/>
        <v>6341640.9824242434</v>
      </c>
      <c r="AB1260" s="5"/>
      <c r="AC1260" s="5"/>
      <c r="AD1260" s="5"/>
      <c r="AE1260" s="5"/>
      <c r="AF1260" s="5"/>
      <c r="AG1260" s="5"/>
    </row>
    <row r="1261" spans="1:33" x14ac:dyDescent="0.2">
      <c r="A1261" s="169">
        <v>37</v>
      </c>
      <c r="B1261" s="100" t="str">
        <f t="shared" si="633"/>
        <v>Retired</v>
      </c>
      <c r="C1261" s="170">
        <f t="shared" si="634"/>
        <v>0</v>
      </c>
      <c r="D1261" s="170">
        <f t="shared" si="635"/>
        <v>0</v>
      </c>
      <c r="E1261" s="170">
        <f t="shared" si="636"/>
        <v>0</v>
      </c>
      <c r="F1261" s="170">
        <f t="shared" si="637"/>
        <v>0</v>
      </c>
      <c r="G1261" s="171">
        <f t="shared" si="638"/>
        <v>0</v>
      </c>
      <c r="H1261" s="171">
        <f t="shared" si="639"/>
        <v>214346.5200195302</v>
      </c>
      <c r="I1261" s="171">
        <f>IF(B1261="Working",MIN(MAX(D1261-E1261-F1261-G1261-H1261,0),'Tax Assumptions'!$B$20),0)</f>
        <v>0</v>
      </c>
      <c r="J1261" s="171">
        <f t="shared" si="640"/>
        <v>-414346.5200195302</v>
      </c>
      <c r="K1261" s="170">
        <f t="shared" si="641"/>
        <v>414346.5200195302</v>
      </c>
      <c r="L1261" s="170">
        <f t="shared" si="642"/>
        <v>414346.5200195302</v>
      </c>
      <c r="M1261" s="170">
        <f t="shared" si="648"/>
        <v>0</v>
      </c>
      <c r="N1261" s="170">
        <f t="shared" si="649"/>
        <v>414346.5200195302</v>
      </c>
      <c r="O1261" s="170">
        <f t="shared" si="650"/>
        <v>0</v>
      </c>
      <c r="P1261" s="170">
        <f t="shared" si="651"/>
        <v>0</v>
      </c>
      <c r="Q1261" s="171">
        <f t="shared" si="652"/>
        <v>0</v>
      </c>
      <c r="R1261" s="171">
        <f t="shared" si="653"/>
        <v>742520.08574579388</v>
      </c>
      <c r="S1261" s="171">
        <f t="shared" si="654"/>
        <v>440550.05283701769</v>
      </c>
      <c r="T1261" s="171">
        <f t="shared" si="655"/>
        <v>0</v>
      </c>
      <c r="U1261" s="171">
        <f t="shared" si="643"/>
        <v>1183070.1385828117</v>
      </c>
      <c r="V1261" s="171">
        <f t="shared" si="656"/>
        <v>0</v>
      </c>
      <c r="W1261" s="171">
        <f>IF(OR(A1261&gt;=$C$13,B1261="Retired"),IF(V1261&gt;0,-V1261,U1261-'Model Inputs'!$B$18),"")</f>
        <v>183070.13858281169</v>
      </c>
      <c r="X1261" s="171">
        <f t="shared" si="644"/>
        <v>5256128.1553394469</v>
      </c>
      <c r="Y1261" s="171">
        <f t="shared" si="645"/>
        <v>184661.44255596958</v>
      </c>
      <c r="Z1261" s="171">
        <f t="shared" si="646"/>
        <v>5071466.7127834773</v>
      </c>
      <c r="AA1261" s="172">
        <f t="shared" si="647"/>
        <v>6254536.851366289</v>
      </c>
      <c r="AB1261" s="5"/>
      <c r="AC1261" s="5"/>
      <c r="AD1261" s="5"/>
      <c r="AE1261" s="5"/>
      <c r="AF1261" s="5"/>
      <c r="AG1261" s="5"/>
    </row>
    <row r="1262" spans="1:33" x14ac:dyDescent="0.2">
      <c r="A1262" s="173">
        <v>38</v>
      </c>
      <c r="B1262" s="65" t="str">
        <f t="shared" si="633"/>
        <v>Retired</v>
      </c>
      <c r="C1262" s="174">
        <f t="shared" si="634"/>
        <v>0</v>
      </c>
      <c r="D1262" s="174">
        <f t="shared" si="635"/>
        <v>0</v>
      </c>
      <c r="E1262" s="174">
        <f t="shared" si="636"/>
        <v>0</v>
      </c>
      <c r="F1262" s="174">
        <f t="shared" si="637"/>
        <v>0</v>
      </c>
      <c r="G1262" s="171">
        <f t="shared" si="638"/>
        <v>0</v>
      </c>
      <c r="H1262" s="171">
        <f t="shared" si="639"/>
        <v>217815.56460205422</v>
      </c>
      <c r="I1262" s="171">
        <f>IF(B1262="Working",MIN(MAX(D1262-E1262-F1262-G1262-H1262,0),'Tax Assumptions'!$B$20),0)</f>
        <v>0</v>
      </c>
      <c r="J1262" s="171">
        <f t="shared" si="640"/>
        <v>-417815.56460205419</v>
      </c>
      <c r="K1262" s="174">
        <f t="shared" si="641"/>
        <v>417815.56460205419</v>
      </c>
      <c r="L1262" s="174">
        <f t="shared" si="642"/>
        <v>417815.56460205419</v>
      </c>
      <c r="M1262" s="174">
        <f t="shared" si="648"/>
        <v>0</v>
      </c>
      <c r="N1262" s="174">
        <f t="shared" si="649"/>
        <v>417815.56460205419</v>
      </c>
      <c r="O1262" s="174">
        <f t="shared" si="650"/>
        <v>0</v>
      </c>
      <c r="P1262" s="174">
        <f t="shared" si="651"/>
        <v>0</v>
      </c>
      <c r="Q1262" s="171">
        <f t="shared" si="652"/>
        <v>0</v>
      </c>
      <c r="R1262" s="171">
        <f t="shared" si="653"/>
        <v>369255.72628848732</v>
      </c>
      <c r="S1262" s="171">
        <f t="shared" si="654"/>
        <v>466983.0560072388</v>
      </c>
      <c r="T1262" s="171">
        <f t="shared" si="655"/>
        <v>0</v>
      </c>
      <c r="U1262" s="171">
        <f t="shared" si="643"/>
        <v>836238.78229572612</v>
      </c>
      <c r="V1262" s="171">
        <f t="shared" si="656"/>
        <v>0</v>
      </c>
      <c r="W1262" s="171">
        <f>IF(OR(A1262&gt;=$C$13,B1262="Retired"),IF(V1262&gt;0,-V1262,U1262-'Model Inputs'!$B$18),"")</f>
        <v>-163761.21770427388</v>
      </c>
      <c r="X1262" s="171">
        <f t="shared" si="644"/>
        <v>5413811.9999996303</v>
      </c>
      <c r="Y1262" s="171">
        <f t="shared" si="645"/>
        <v>95322.324378317222</v>
      </c>
      <c r="Z1262" s="171">
        <f t="shared" si="646"/>
        <v>5318489.675621313</v>
      </c>
      <c r="AA1262" s="175">
        <f t="shared" si="647"/>
        <v>6154728.4579170393</v>
      </c>
      <c r="AB1262" s="5"/>
      <c r="AC1262" s="5"/>
      <c r="AD1262" s="5"/>
      <c r="AE1262" s="5"/>
      <c r="AF1262" s="5"/>
      <c r="AG1262" s="5"/>
    </row>
    <row r="1263" spans="1:33" x14ac:dyDescent="0.2">
      <c r="A1263" s="169">
        <v>39</v>
      </c>
      <c r="B1263" s="100" t="str">
        <f t="shared" si="633"/>
        <v>Retired</v>
      </c>
      <c r="C1263" s="170">
        <f t="shared" si="634"/>
        <v>0</v>
      </c>
      <c r="D1263" s="170">
        <f t="shared" si="635"/>
        <v>0</v>
      </c>
      <c r="E1263" s="170">
        <f t="shared" si="636"/>
        <v>0</v>
      </c>
      <c r="F1263" s="170">
        <f t="shared" si="637"/>
        <v>0</v>
      </c>
      <c r="G1263" s="171">
        <f t="shared" si="638"/>
        <v>0</v>
      </c>
      <c r="H1263" s="171">
        <f t="shared" si="639"/>
        <v>221388.68052205397</v>
      </c>
      <c r="I1263" s="171">
        <f>IF(B1263="Working",MIN(MAX(D1263-E1263-F1263-G1263-H1263,0),'Tax Assumptions'!$B$20),0)</f>
        <v>0</v>
      </c>
      <c r="J1263" s="171">
        <f t="shared" si="640"/>
        <v>-421388.68052205397</v>
      </c>
      <c r="K1263" s="170">
        <f t="shared" si="641"/>
        <v>421388.68052205397</v>
      </c>
      <c r="L1263" s="170">
        <f t="shared" si="642"/>
        <v>421388.68052205397</v>
      </c>
      <c r="M1263" s="170">
        <f t="shared" si="648"/>
        <v>0</v>
      </c>
      <c r="N1263" s="170">
        <f t="shared" si="649"/>
        <v>391411.0698657966</v>
      </c>
      <c r="O1263" s="170">
        <f t="shared" si="650"/>
        <v>29977.61065625737</v>
      </c>
      <c r="P1263" s="170">
        <f t="shared" si="651"/>
        <v>0</v>
      </c>
      <c r="Q1263" s="171">
        <f t="shared" si="652"/>
        <v>0</v>
      </c>
      <c r="R1263" s="171">
        <f t="shared" si="653"/>
        <v>0</v>
      </c>
      <c r="S1263" s="171">
        <f t="shared" si="654"/>
        <v>465024.42871141579</v>
      </c>
      <c r="T1263" s="171">
        <f t="shared" si="655"/>
        <v>0</v>
      </c>
      <c r="U1263" s="171">
        <f t="shared" si="643"/>
        <v>465024.42871141579</v>
      </c>
      <c r="V1263" s="171">
        <f t="shared" si="656"/>
        <v>0</v>
      </c>
      <c r="W1263" s="171">
        <f>IF(OR(A1263&gt;=$C$13,B1263="Retired"),IF(V1263&gt;0,-V1263,U1263-'Model Inputs'!$B$18),"")</f>
        <v>-534975.57128858427</v>
      </c>
      <c r="X1263" s="171">
        <f t="shared" si="644"/>
        <v>5576226.3599996185</v>
      </c>
      <c r="Y1263" s="171">
        <f t="shared" si="645"/>
        <v>0</v>
      </c>
      <c r="Z1263" s="171">
        <f t="shared" si="646"/>
        <v>5576226.3599996185</v>
      </c>
      <c r="AA1263" s="172">
        <f t="shared" si="647"/>
        <v>6041250.7887110347</v>
      </c>
      <c r="AB1263" s="5"/>
      <c r="AC1263" s="5"/>
      <c r="AD1263" s="5"/>
      <c r="AE1263" s="5"/>
      <c r="AF1263" s="5"/>
      <c r="AG1263" s="5"/>
    </row>
    <row r="1264" spans="1:33" x14ac:dyDescent="0.2">
      <c r="A1264" s="173">
        <v>40</v>
      </c>
      <c r="B1264" s="65" t="str">
        <f t="shared" si="633"/>
        <v>Retired</v>
      </c>
      <c r="C1264" s="174">
        <f t="shared" si="634"/>
        <v>0</v>
      </c>
      <c r="D1264" s="174">
        <f t="shared" si="635"/>
        <v>0</v>
      </c>
      <c r="E1264" s="174">
        <f t="shared" si="636"/>
        <v>0</v>
      </c>
      <c r="F1264" s="174">
        <f t="shared" si="637"/>
        <v>0</v>
      </c>
      <c r="G1264" s="171">
        <f t="shared" si="638"/>
        <v>0</v>
      </c>
      <c r="H1264" s="171">
        <f t="shared" si="639"/>
        <v>126357.28931759135</v>
      </c>
      <c r="I1264" s="171">
        <f>IF(B1264="Working",MIN(MAX(D1264-E1264-F1264-G1264-H1264,0),'Tax Assumptions'!$B$20),0)</f>
        <v>0</v>
      </c>
      <c r="J1264" s="171">
        <f t="shared" si="640"/>
        <v>-326357.28931759135</v>
      </c>
      <c r="K1264" s="174">
        <f t="shared" si="641"/>
        <v>326357.28931759135</v>
      </c>
      <c r="L1264" s="174">
        <f t="shared" si="642"/>
        <v>326357.28931759135</v>
      </c>
      <c r="M1264" s="174">
        <f t="shared" si="648"/>
        <v>0</v>
      </c>
      <c r="N1264" s="174">
        <f t="shared" si="649"/>
        <v>0</v>
      </c>
      <c r="O1264" s="174">
        <f t="shared" si="650"/>
        <v>326357.28931759135</v>
      </c>
      <c r="P1264" s="174">
        <f t="shared" si="651"/>
        <v>0</v>
      </c>
      <c r="Q1264" s="171">
        <f t="shared" si="652"/>
        <v>0</v>
      </c>
      <c r="R1264" s="171">
        <f t="shared" si="653"/>
        <v>0</v>
      </c>
      <c r="S1264" s="171">
        <f t="shared" si="654"/>
        <v>166568.60511650942</v>
      </c>
      <c r="T1264" s="171">
        <f t="shared" si="655"/>
        <v>0</v>
      </c>
      <c r="U1264" s="171">
        <f t="shared" si="643"/>
        <v>166568.60511650942</v>
      </c>
      <c r="V1264" s="171">
        <f t="shared" si="656"/>
        <v>0</v>
      </c>
      <c r="W1264" s="171">
        <f>IF(OR(A1264&gt;=$C$13,B1264="Retired"),IF(V1264&gt;0,-V1264,U1264-'Model Inputs'!$B$18),"")</f>
        <v>-833431.39488349063</v>
      </c>
      <c r="X1264" s="171">
        <f t="shared" si="644"/>
        <v>5743513.1507996069</v>
      </c>
      <c r="Y1264" s="171">
        <f t="shared" si="645"/>
        <v>0</v>
      </c>
      <c r="Z1264" s="171">
        <f t="shared" si="646"/>
        <v>5743513.1507996069</v>
      </c>
      <c r="AA1264" s="175">
        <f t="shared" si="647"/>
        <v>5910081.7559161168</v>
      </c>
      <c r="AB1264" s="5"/>
      <c r="AC1264" s="5"/>
      <c r="AD1264" s="5"/>
      <c r="AE1264" s="5"/>
      <c r="AF1264" s="5"/>
      <c r="AG1264" s="5"/>
    </row>
    <row r="1265" spans="1:33" x14ac:dyDescent="0.2">
      <c r="A1265" s="176" t="s">
        <v>369</v>
      </c>
      <c r="B1265" s="177"/>
      <c r="C1265" s="177"/>
      <c r="D1265" s="177"/>
      <c r="E1265" s="177"/>
      <c r="F1265" s="177"/>
      <c r="G1265" s="178">
        <f t="shared" ref="G1265:P1265" si="657">SUM(G1225:G1264)</f>
        <v>1123969.4013365901</v>
      </c>
      <c r="H1265" s="178">
        <f t="shared" si="657"/>
        <v>5564366.9457268957</v>
      </c>
      <c r="I1265" s="178">
        <f t="shared" si="657"/>
        <v>67500</v>
      </c>
      <c r="J1265" s="178">
        <f t="shared" si="657"/>
        <v>-7833244.1070229616</v>
      </c>
      <c r="K1265" s="178">
        <f t="shared" si="657"/>
        <v>11413597.714957668</v>
      </c>
      <c r="L1265" s="178">
        <f t="shared" si="657"/>
        <v>11413597.714957668</v>
      </c>
      <c r="M1265" s="178">
        <f t="shared" si="657"/>
        <v>9455943.3940975294</v>
      </c>
      <c r="N1265" s="178">
        <f t="shared" si="657"/>
        <v>1601319.4208862893</v>
      </c>
      <c r="O1265" s="178">
        <f t="shared" si="657"/>
        <v>356334.89997384872</v>
      </c>
      <c r="P1265" s="178">
        <f t="shared" si="657"/>
        <v>0</v>
      </c>
      <c r="Q1265" s="178">
        <f>Q1264</f>
        <v>0</v>
      </c>
      <c r="R1265" s="178">
        <f>R1264</f>
        <v>0</v>
      </c>
      <c r="S1265" s="178">
        <f>S1264</f>
        <v>166568.60511650942</v>
      </c>
      <c r="T1265" s="178">
        <f>T1264</f>
        <v>0</v>
      </c>
      <c r="U1265" s="178">
        <f>U1264</f>
        <v>166568.60511650942</v>
      </c>
      <c r="V1265" s="178">
        <f>SUM(V1225:V1264)</f>
        <v>0</v>
      </c>
      <c r="W1265" s="178">
        <f>MIN(W1225:W1264)</f>
        <v>-833431.39488349063</v>
      </c>
      <c r="X1265" s="178">
        <f>X1264</f>
        <v>5743513.1507996069</v>
      </c>
      <c r="Y1265" s="178">
        <f>Y1264</f>
        <v>0</v>
      </c>
      <c r="Z1265" s="178">
        <f>Z1264</f>
        <v>5743513.1507996069</v>
      </c>
      <c r="AA1265" s="179">
        <f>AA1264</f>
        <v>5910081.7559161168</v>
      </c>
      <c r="AB1265" s="5"/>
      <c r="AC1265" s="5"/>
      <c r="AD1265" s="5"/>
      <c r="AE1265" s="5"/>
      <c r="AF1265" s="5"/>
      <c r="AG1265" s="5"/>
    </row>
    <row r="1266" spans="1:33" x14ac:dyDescent="0.2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</row>
    <row r="1267" spans="1:33" x14ac:dyDescent="0.2">
      <c r="A1267" s="319" t="str">
        <f>J250&amp;" | House "&amp;TEXT($L$250,"$#,##0")&amp;" | Spend "&amp;TEXT($N$250,"$#,##0")</f>
        <v>Case 24 | House $2,366,251 | Spend $230,000</v>
      </c>
      <c r="B1267" s="288"/>
      <c r="C1267" s="288"/>
      <c r="D1267" s="288"/>
      <c r="E1267" s="288"/>
      <c r="F1267" s="288"/>
      <c r="G1267" s="288"/>
      <c r="H1267" s="288"/>
      <c r="I1267" s="288"/>
      <c r="J1267" s="288"/>
      <c r="K1267" s="288"/>
      <c r="L1267" s="288"/>
      <c r="M1267" s="288"/>
      <c r="N1267" s="288"/>
      <c r="O1267" s="288"/>
      <c r="P1267" s="288"/>
      <c r="Q1267" s="288"/>
      <c r="R1267" s="288"/>
      <c r="S1267" s="288"/>
      <c r="T1267" s="288"/>
      <c r="U1267" s="288"/>
      <c r="V1267" s="288"/>
      <c r="W1267" s="288"/>
      <c r="X1267" s="288"/>
      <c r="Y1267" s="288"/>
      <c r="Z1267" s="288"/>
      <c r="AA1267" s="289"/>
      <c r="AB1267" s="5"/>
      <c r="AC1267" s="5"/>
      <c r="AD1267" s="5"/>
      <c r="AE1267" s="5"/>
      <c r="AF1267" s="5"/>
      <c r="AG1267" s="5"/>
    </row>
    <row r="1268" spans="1:33" ht="34" customHeight="1" x14ac:dyDescent="0.2">
      <c r="A1268" s="167" t="s">
        <v>224</v>
      </c>
      <c r="B1268" s="112" t="s">
        <v>106</v>
      </c>
      <c r="C1268" s="112" t="s">
        <v>357</v>
      </c>
      <c r="D1268" s="112" t="s">
        <v>66</v>
      </c>
      <c r="E1268" s="112" t="s">
        <v>300</v>
      </c>
      <c r="F1268" s="112" t="s">
        <v>301</v>
      </c>
      <c r="G1268" s="112" t="s">
        <v>358</v>
      </c>
      <c r="H1268" s="112" t="s">
        <v>359</v>
      </c>
      <c r="I1268" s="112" t="s">
        <v>69</v>
      </c>
      <c r="J1268" s="112" t="s">
        <v>360</v>
      </c>
      <c r="K1268" s="112" t="s">
        <v>361</v>
      </c>
      <c r="L1268" s="112" t="s">
        <v>362</v>
      </c>
      <c r="M1268" s="112" t="s">
        <v>304</v>
      </c>
      <c r="N1268" s="112" t="s">
        <v>305</v>
      </c>
      <c r="O1268" s="112" t="s">
        <v>306</v>
      </c>
      <c r="P1268" s="112" t="s">
        <v>307</v>
      </c>
      <c r="Q1268" s="112" t="s">
        <v>363</v>
      </c>
      <c r="R1268" s="112" t="s">
        <v>364</v>
      </c>
      <c r="S1268" s="112" t="s">
        <v>365</v>
      </c>
      <c r="T1268" s="112" t="s">
        <v>366</v>
      </c>
      <c r="U1268" s="112" t="s">
        <v>308</v>
      </c>
      <c r="V1268" s="112" t="s">
        <v>309</v>
      </c>
      <c r="W1268" s="112" t="s">
        <v>367</v>
      </c>
      <c r="X1268" s="112" t="s">
        <v>311</v>
      </c>
      <c r="Y1268" s="112" t="s">
        <v>312</v>
      </c>
      <c r="Z1268" s="112" t="s">
        <v>313</v>
      </c>
      <c r="AA1268" s="168" t="s">
        <v>368</v>
      </c>
      <c r="AB1268" s="5"/>
      <c r="AC1268" s="5"/>
      <c r="AD1268" s="5"/>
      <c r="AE1268" s="5"/>
      <c r="AF1268" s="5"/>
      <c r="AG1268" s="5"/>
    </row>
    <row r="1269" spans="1:33" x14ac:dyDescent="0.2">
      <c r="A1269" s="169">
        <v>1</v>
      </c>
      <c r="B1269" s="100" t="str">
        <f t="shared" ref="B1269:B1308" si="658">B80</f>
        <v>Working</v>
      </c>
      <c r="C1269" s="170">
        <f t="shared" ref="C1269:C1308" si="659">D80</f>
        <v>550000</v>
      </c>
      <c r="D1269" s="170">
        <f t="shared" ref="D1269:D1308" si="660">I80</f>
        <v>302665.46999999997</v>
      </c>
      <c r="E1269" s="170">
        <f t="shared" ref="E1269:E1308" si="661">J80</f>
        <v>78000</v>
      </c>
      <c r="F1269" s="170">
        <f t="shared" ref="F1269:F1308" si="662">K80</f>
        <v>40000</v>
      </c>
      <c r="G1269" s="171">
        <f t="shared" ref="G1269:G1308" si="663">IF(AND($L$250&gt;0,A1269=$C$13),$L$250*($C$15+$C$18),0)+IF(AND($L$250&gt;0,A1269=$C$13),$C$24,0)</f>
        <v>0</v>
      </c>
      <c r="H1269" s="171">
        <f t="shared" ref="H1269:H1308" si="664">IF(OR($L$250&lt;=0,A1269&lt;$C$13),0,IF(AND($L$250&gt;0,$C$17&gt;0,A1269&gt;=$C$13,A1269&lt;($C$13+$C$17)),IF($C$17&lt;=0,0,IF($C$16=0,MAX($L$250*(1-$C$15),0)/$C$17,-PMT($C$16/12,$C$17*12,MAX($L$250*(1-$C$15),0))*12)),0)+X1269*($C$19+$C$20+$C$21)+$C$22+$C$23)</f>
        <v>0</v>
      </c>
      <c r="I1269" s="171">
        <f>IF(B1269="Working",MIN(MAX(D1269-E1269-F1269-G1269-H1269,0),'Tax Assumptions'!$B$20),0)</f>
        <v>7500</v>
      </c>
      <c r="J1269" s="171">
        <f t="shared" ref="J1269:J1308" si="665">IF(B1269="Working",D1269-E1269-F1269-I1269-G1269-H1269,-L1269)</f>
        <v>177165.46999999997</v>
      </c>
      <c r="K1269" s="170">
        <f t="shared" ref="K1269:K1308" si="666">IF(B1269="Retired",$N$250+G1269+H1269,0)</f>
        <v>0</v>
      </c>
      <c r="L1269" s="170">
        <f t="shared" ref="L1269:L1308" si="667">M1269+N1269+O1269+P1269</f>
        <v>0</v>
      </c>
      <c r="M1269" s="170">
        <f>IF(B1269="Retired",MIN((('Savings Projection'!$B$7)*(1+$C$10)+IF(B1269="Working",J1269,0)),K1269),0)</f>
        <v>0</v>
      </c>
      <c r="N1269" s="170">
        <f>IF(B1269="Retired",MIN(MAX(K1269-M1269,0),(('Savings Projection'!$B$8)*(1+$C$10)+IF(B1269="Working",E80,0))),0)</f>
        <v>0</v>
      </c>
      <c r="O1269" s="170">
        <f>IF(B1269="Retired",MIN(MAX(K1269-M1269-N1269,0),(('Savings Projection'!$B$9)*(1+$C$10)+IF(B1269="Working",I1269,0))),0)</f>
        <v>0</v>
      </c>
      <c r="P1269" s="170">
        <f>IF(B1269="Retired",MIN(MAX(K1269-M1269-N1269-O1269,0),(('Savings Projection'!$B$10)*(1+$C$10)+IF(B1269="Working",F80,0))),0)</f>
        <v>0</v>
      </c>
      <c r="Q1269" s="171">
        <f>MAX((('Savings Projection'!$B$7)*(1+$C$10)+IF(B1269="Working",J1269,0))-M1269,0)</f>
        <v>336165.47</v>
      </c>
      <c r="R1269" s="171">
        <f>MAX((('Savings Projection'!$B$8)*(1+$C$10)+IF(B1269="Working",E80,0))-N1269,0)</f>
        <v>24500</v>
      </c>
      <c r="S1269" s="171">
        <f>MAX((('Savings Projection'!$B$9)*(1+$C$10)+IF(B1269="Working",I1269,0))-O1269,0)</f>
        <v>7500</v>
      </c>
      <c r="T1269" s="171">
        <f>MAX((('Savings Projection'!$B$10)*(1+$C$10)+IF(B1269="Working",F80,0))-P1269,0)</f>
        <v>0</v>
      </c>
      <c r="U1269" s="171">
        <f t="shared" ref="U1269:U1308" si="668">Q1269+R1269+S1269+T1269</f>
        <v>368165.47</v>
      </c>
      <c r="V1269" s="171">
        <f>IF(B1269="Working",MAX(-((('Savings Projection'!$B$7)*(1+$C$10)+IF(B1269="Working",J1269,0))),0),MAX(K1269-L1269,0))</f>
        <v>0</v>
      </c>
      <c r="W1269" s="171" t="str">
        <f>IF(OR(A1269&gt;=$C$13,B1269="Retired"),IF(V1269&gt;0,-V1269,U1269-'Model Inputs'!$B$18),"")</f>
        <v/>
      </c>
      <c r="X1269" s="171">
        <f t="shared" ref="X1269:X1308" si="669">IF(AND($L$250&gt;0,A1269&gt;=$C$13),$L$250*(1+$C$25)^(A1269-$C$13),0)</f>
        <v>0</v>
      </c>
      <c r="Y1269" s="171">
        <f t="shared" ref="Y1269:Y1308" si="670">IF(OR($L$250&lt;=0,$C$17&lt;=0,A1269&lt;$C$13,MIN(MAX((A1269-$C$13+1)*12,0),$C$17*12)&gt;=$C$17*12),0,IF($C$16=0,MAX(MAX($L$250*(1-$C$15),0)-(IF($C$17&lt;=0,0,IF($C$16=0,MAX($L$250*(1-$C$15),0)/$C$17,-PMT($C$16/12,$C$17*12,MAX($L$250*(1-$C$15),0))*12))/12)*MIN(MAX((A1269-$C$13+1)*12,0),$C$17*12),0),MAX(MAX($L$250*(1-$C$15),0)*(1+$C$16/12)^MIN(MAX((A1269-$C$13+1)*12,0),$C$17*12)-(IF($C$17&lt;=0,0,IF($C$16=0,MAX($L$250*(1-$C$15),0)/$C$17,-PMT($C$16/12,$C$17*12,MAX($L$250*(1-$C$15),0))*12))/12)*(((1+$C$16/12)^MIN(MAX((A1269-$C$13+1)*12,0),$C$17*12)-1)/($C$16/12)),0)))</f>
        <v>0</v>
      </c>
      <c r="Z1269" s="171">
        <f t="shared" ref="Z1269:Z1308" si="671">MAX(X1269-Y1269,0)</f>
        <v>0</v>
      </c>
      <c r="AA1269" s="172">
        <f t="shared" ref="AA1269:AA1308" si="672">U1269+Z1269</f>
        <v>368165.47</v>
      </c>
      <c r="AB1269" s="5"/>
      <c r="AC1269" s="5"/>
      <c r="AD1269" s="5"/>
      <c r="AE1269" s="5"/>
      <c r="AF1269" s="5"/>
      <c r="AG1269" s="5"/>
    </row>
    <row r="1270" spans="1:33" x14ac:dyDescent="0.2">
      <c r="A1270" s="173">
        <v>2</v>
      </c>
      <c r="B1270" s="65" t="str">
        <f t="shared" si="658"/>
        <v>Working</v>
      </c>
      <c r="C1270" s="174">
        <f t="shared" si="659"/>
        <v>412500</v>
      </c>
      <c r="D1270" s="174">
        <f t="shared" si="660"/>
        <v>231269.97</v>
      </c>
      <c r="E1270" s="174">
        <f t="shared" si="661"/>
        <v>80340</v>
      </c>
      <c r="F1270" s="174">
        <f t="shared" si="662"/>
        <v>41200</v>
      </c>
      <c r="G1270" s="171">
        <f t="shared" si="663"/>
        <v>0</v>
      </c>
      <c r="H1270" s="171">
        <f t="shared" si="664"/>
        <v>0</v>
      </c>
      <c r="I1270" s="171">
        <f>IF(B1270="Working",MIN(MAX(D1270-E1270-F1270-G1270-H1270,0),'Tax Assumptions'!$B$20),0)</f>
        <v>7500</v>
      </c>
      <c r="J1270" s="171">
        <f t="shared" si="665"/>
        <v>102229.97</v>
      </c>
      <c r="K1270" s="174">
        <f t="shared" si="666"/>
        <v>0</v>
      </c>
      <c r="L1270" s="174">
        <f t="shared" si="667"/>
        <v>0</v>
      </c>
      <c r="M1270" s="174">
        <f t="shared" ref="M1270:M1308" si="673">IF(B1270="Retired",MIN(((Q1269)*(1+$C$10)+IF(B1270="Working",J1270,0)),K1270),0)</f>
        <v>0</v>
      </c>
      <c r="N1270" s="174">
        <f t="shared" ref="N1270:N1308" si="674">IF(B1270="Retired",MIN(MAX(K1270-M1270,0),((R1269)*(1+$C$10)+IF(B1270="Working",E81,0))),0)</f>
        <v>0</v>
      </c>
      <c r="O1270" s="174">
        <f t="shared" ref="O1270:O1308" si="675">IF(B1270="Retired",MIN(MAX(K1270-M1270-N1270,0),((S1269)*(1+$C$10)+IF(B1270="Working",I1270,0))),0)</f>
        <v>0</v>
      </c>
      <c r="P1270" s="174">
        <f t="shared" ref="P1270:P1308" si="676">IF(B1270="Retired",MIN(MAX(K1270-M1270-N1270-O1270,0),((T1269)*(1+$C$10)+IF(B1270="Working",F81,0))),0)</f>
        <v>0</v>
      </c>
      <c r="Q1270" s="171">
        <f t="shared" ref="Q1270:Q1308" si="677">MAX(((Q1269)*(1+$C$10)+IF(B1270="Working",J1270,0))-M1270,0)</f>
        <v>458565.36820000003</v>
      </c>
      <c r="R1270" s="171">
        <f t="shared" ref="R1270:R1308" si="678">MAX(((R1269)*(1+$C$10)+IF(B1270="Working",E81,0))-N1270,0)</f>
        <v>50470</v>
      </c>
      <c r="S1270" s="171">
        <f t="shared" ref="S1270:S1308" si="679">MAX(((S1269)*(1+$C$10)+IF(B1270="Working",I1270,0))-O1270,0)</f>
        <v>15450</v>
      </c>
      <c r="T1270" s="171">
        <f t="shared" ref="T1270:T1308" si="680">MAX(((T1269)*(1+$C$10)+IF(B1270="Working",F81,0))-P1270,0)</f>
        <v>0</v>
      </c>
      <c r="U1270" s="171">
        <f t="shared" si="668"/>
        <v>524485.36820000003</v>
      </c>
      <c r="V1270" s="171">
        <f t="shared" ref="V1270:V1308" si="681">IF(B1270="Working",MAX(-(((Q1269)*(1+$C$10)+IF(B1270="Working",J1270,0))),0),MAX(K1270-L1270,0))</f>
        <v>0</v>
      </c>
      <c r="W1270" s="171" t="str">
        <f>IF(OR(A1270&gt;=$C$13,B1270="Retired"),IF(V1270&gt;0,-V1270,U1270-'Model Inputs'!$B$18),"")</f>
        <v/>
      </c>
      <c r="X1270" s="171">
        <f t="shared" si="669"/>
        <v>0</v>
      </c>
      <c r="Y1270" s="171">
        <f t="shared" si="670"/>
        <v>0</v>
      </c>
      <c r="Z1270" s="171">
        <f t="shared" si="671"/>
        <v>0</v>
      </c>
      <c r="AA1270" s="175">
        <f t="shared" si="672"/>
        <v>524485.36820000003</v>
      </c>
      <c r="AB1270" s="5"/>
      <c r="AC1270" s="5"/>
      <c r="AD1270" s="5"/>
      <c r="AE1270" s="5"/>
      <c r="AF1270" s="5"/>
      <c r="AG1270" s="5"/>
    </row>
    <row r="1271" spans="1:33" x14ac:dyDescent="0.2">
      <c r="A1271" s="169">
        <v>3</v>
      </c>
      <c r="B1271" s="100" t="str">
        <f t="shared" si="658"/>
        <v>Working</v>
      </c>
      <c r="C1271" s="170">
        <f t="shared" si="659"/>
        <v>675000</v>
      </c>
      <c r="D1271" s="170">
        <f t="shared" si="660"/>
        <v>367570.47</v>
      </c>
      <c r="E1271" s="170">
        <f t="shared" si="661"/>
        <v>82750.2</v>
      </c>
      <c r="F1271" s="170">
        <f t="shared" si="662"/>
        <v>53045</v>
      </c>
      <c r="G1271" s="171">
        <f t="shared" si="663"/>
        <v>0</v>
      </c>
      <c r="H1271" s="171">
        <f t="shared" si="664"/>
        <v>0</v>
      </c>
      <c r="I1271" s="171">
        <f>IF(B1271="Working",MIN(MAX(D1271-E1271-F1271-G1271-H1271,0),'Tax Assumptions'!$B$20),0)</f>
        <v>7500</v>
      </c>
      <c r="J1271" s="171">
        <f t="shared" si="665"/>
        <v>224275.26999999996</v>
      </c>
      <c r="K1271" s="170">
        <f t="shared" si="666"/>
        <v>0</v>
      </c>
      <c r="L1271" s="170">
        <f t="shared" si="667"/>
        <v>0</v>
      </c>
      <c r="M1271" s="170">
        <f t="shared" si="673"/>
        <v>0</v>
      </c>
      <c r="N1271" s="170">
        <f t="shared" si="674"/>
        <v>0</v>
      </c>
      <c r="O1271" s="170">
        <f t="shared" si="675"/>
        <v>0</v>
      </c>
      <c r="P1271" s="170">
        <f t="shared" si="676"/>
        <v>0</v>
      </c>
      <c r="Q1271" s="171">
        <f t="shared" si="677"/>
        <v>710354.56029199995</v>
      </c>
      <c r="R1271" s="171">
        <f t="shared" si="678"/>
        <v>77998.200000000012</v>
      </c>
      <c r="S1271" s="171">
        <f t="shared" si="679"/>
        <v>23877</v>
      </c>
      <c r="T1271" s="171">
        <f t="shared" si="680"/>
        <v>0</v>
      </c>
      <c r="U1271" s="171">
        <f t="shared" si="668"/>
        <v>812229.7602919999</v>
      </c>
      <c r="V1271" s="171">
        <f t="shared" si="681"/>
        <v>0</v>
      </c>
      <c r="W1271" s="171" t="str">
        <f>IF(OR(A1271&gt;=$C$13,B1271="Retired"),IF(V1271&gt;0,-V1271,U1271-'Model Inputs'!$B$18),"")</f>
        <v/>
      </c>
      <c r="X1271" s="171">
        <f t="shared" si="669"/>
        <v>0</v>
      </c>
      <c r="Y1271" s="171">
        <f t="shared" si="670"/>
        <v>0</v>
      </c>
      <c r="Z1271" s="171">
        <f t="shared" si="671"/>
        <v>0</v>
      </c>
      <c r="AA1271" s="172">
        <f t="shared" si="672"/>
        <v>812229.7602919999</v>
      </c>
      <c r="AB1271" s="5"/>
      <c r="AC1271" s="5"/>
      <c r="AD1271" s="5"/>
      <c r="AE1271" s="5"/>
      <c r="AF1271" s="5"/>
      <c r="AG1271" s="5"/>
    </row>
    <row r="1272" spans="1:33" x14ac:dyDescent="0.2">
      <c r="A1272" s="173">
        <v>4</v>
      </c>
      <c r="B1272" s="65" t="str">
        <f t="shared" si="658"/>
        <v>Working</v>
      </c>
      <c r="C1272" s="174">
        <f t="shared" si="659"/>
        <v>750000</v>
      </c>
      <c r="D1272" s="174">
        <f t="shared" si="660"/>
        <v>405137.47</v>
      </c>
      <c r="E1272" s="174">
        <f t="shared" si="661"/>
        <v>85232.706000000006</v>
      </c>
      <c r="F1272" s="174">
        <f t="shared" si="662"/>
        <v>54636.35</v>
      </c>
      <c r="G1272" s="171">
        <f t="shared" si="663"/>
        <v>0</v>
      </c>
      <c r="H1272" s="171">
        <f t="shared" si="664"/>
        <v>0</v>
      </c>
      <c r="I1272" s="171">
        <f>IF(B1272="Working",MIN(MAX(D1272-E1272-F1272-G1272-H1272,0),'Tax Assumptions'!$B$20),0)</f>
        <v>7500</v>
      </c>
      <c r="J1272" s="171">
        <f t="shared" si="665"/>
        <v>257768.41399999999</v>
      </c>
      <c r="K1272" s="174">
        <f t="shared" si="666"/>
        <v>0</v>
      </c>
      <c r="L1272" s="174">
        <f t="shared" si="667"/>
        <v>0</v>
      </c>
      <c r="M1272" s="174">
        <f t="shared" si="673"/>
        <v>0</v>
      </c>
      <c r="N1272" s="174">
        <f t="shared" si="674"/>
        <v>0</v>
      </c>
      <c r="O1272" s="174">
        <f t="shared" si="675"/>
        <v>0</v>
      </c>
      <c r="P1272" s="174">
        <f t="shared" si="676"/>
        <v>0</v>
      </c>
      <c r="Q1272" s="171">
        <f t="shared" si="677"/>
        <v>1010744.2479095199</v>
      </c>
      <c r="R1272" s="171">
        <f t="shared" si="678"/>
        <v>107178.09200000002</v>
      </c>
      <c r="S1272" s="171">
        <f t="shared" si="679"/>
        <v>32809.620000000003</v>
      </c>
      <c r="T1272" s="171">
        <f t="shared" si="680"/>
        <v>0</v>
      </c>
      <c r="U1272" s="171">
        <f t="shared" si="668"/>
        <v>1150731.9599095201</v>
      </c>
      <c r="V1272" s="171">
        <f t="shared" si="681"/>
        <v>0</v>
      </c>
      <c r="W1272" s="171" t="str">
        <f>IF(OR(A1272&gt;=$C$13,B1272="Retired"),IF(V1272&gt;0,-V1272,U1272-'Model Inputs'!$B$18),"")</f>
        <v/>
      </c>
      <c r="X1272" s="171">
        <f t="shared" si="669"/>
        <v>0</v>
      </c>
      <c r="Y1272" s="171">
        <f t="shared" si="670"/>
        <v>0</v>
      </c>
      <c r="Z1272" s="171">
        <f t="shared" si="671"/>
        <v>0</v>
      </c>
      <c r="AA1272" s="175">
        <f t="shared" si="672"/>
        <v>1150731.9599095201</v>
      </c>
      <c r="AB1272" s="5"/>
      <c r="AC1272" s="5"/>
      <c r="AD1272" s="5"/>
      <c r="AE1272" s="5"/>
      <c r="AF1272" s="5"/>
      <c r="AG1272" s="5"/>
    </row>
    <row r="1273" spans="1:33" x14ac:dyDescent="0.2">
      <c r="A1273" s="169">
        <v>5</v>
      </c>
      <c r="B1273" s="100" t="str">
        <f t="shared" si="658"/>
        <v>Working</v>
      </c>
      <c r="C1273" s="170">
        <f t="shared" si="659"/>
        <v>953837.51358640334</v>
      </c>
      <c r="D1273" s="170">
        <f t="shared" si="660"/>
        <v>506901.31028287602</v>
      </c>
      <c r="E1273" s="170">
        <f t="shared" si="661"/>
        <v>87789.687179999994</v>
      </c>
      <c r="F1273" s="170">
        <f t="shared" si="662"/>
        <v>56275.440499999997</v>
      </c>
      <c r="G1273" s="171">
        <f t="shared" si="663"/>
        <v>0</v>
      </c>
      <c r="H1273" s="171">
        <f t="shared" si="664"/>
        <v>0</v>
      </c>
      <c r="I1273" s="171">
        <f>IF(B1273="Working",MIN(MAX(D1273-E1273-F1273-G1273-H1273,0),'Tax Assumptions'!$B$20),0)</f>
        <v>7500</v>
      </c>
      <c r="J1273" s="171">
        <f t="shared" si="665"/>
        <v>355336.18260287598</v>
      </c>
      <c r="K1273" s="170">
        <f t="shared" si="666"/>
        <v>0</v>
      </c>
      <c r="L1273" s="170">
        <f t="shared" si="667"/>
        <v>0</v>
      </c>
      <c r="M1273" s="170">
        <f t="shared" si="673"/>
        <v>0</v>
      </c>
      <c r="N1273" s="170">
        <f t="shared" si="674"/>
        <v>0</v>
      </c>
      <c r="O1273" s="170">
        <f t="shared" si="675"/>
        <v>0</v>
      </c>
      <c r="P1273" s="170">
        <f t="shared" si="676"/>
        <v>0</v>
      </c>
      <c r="Q1273" s="171">
        <f t="shared" si="677"/>
        <v>1426725.0853869673</v>
      </c>
      <c r="R1273" s="171">
        <f t="shared" si="678"/>
        <v>138108.77752000003</v>
      </c>
      <c r="S1273" s="171">
        <f t="shared" si="679"/>
        <v>42278.197200000002</v>
      </c>
      <c r="T1273" s="171">
        <f t="shared" si="680"/>
        <v>0</v>
      </c>
      <c r="U1273" s="171">
        <f t="shared" si="668"/>
        <v>1607112.0601069673</v>
      </c>
      <c r="V1273" s="171">
        <f t="shared" si="681"/>
        <v>0</v>
      </c>
      <c r="W1273" s="171" t="str">
        <f>IF(OR(A1273&gt;=$C$13,B1273="Retired"),IF(V1273&gt;0,-V1273,U1273-'Model Inputs'!$B$18),"")</f>
        <v/>
      </c>
      <c r="X1273" s="171">
        <f t="shared" si="669"/>
        <v>0</v>
      </c>
      <c r="Y1273" s="171">
        <f t="shared" si="670"/>
        <v>0</v>
      </c>
      <c r="Z1273" s="171">
        <f t="shared" si="671"/>
        <v>0</v>
      </c>
      <c r="AA1273" s="172">
        <f t="shared" si="672"/>
        <v>1607112.0601069673</v>
      </c>
      <c r="AB1273" s="5"/>
      <c r="AC1273" s="5"/>
      <c r="AD1273" s="5"/>
      <c r="AE1273" s="5"/>
      <c r="AF1273" s="5"/>
      <c r="AG1273" s="5"/>
    </row>
    <row r="1274" spans="1:33" x14ac:dyDescent="0.2">
      <c r="A1274" s="173">
        <v>6</v>
      </c>
      <c r="B1274" s="65" t="str">
        <f t="shared" si="658"/>
        <v>Working</v>
      </c>
      <c r="C1274" s="174">
        <f t="shared" si="659"/>
        <v>1118900.665838565</v>
      </c>
      <c r="D1274" s="174">
        <f t="shared" si="660"/>
        <v>589060.11476976541</v>
      </c>
      <c r="E1274" s="174">
        <f t="shared" si="661"/>
        <v>92741.925943999988</v>
      </c>
      <c r="F1274" s="174">
        <f t="shared" si="662"/>
        <v>57963.703714999989</v>
      </c>
      <c r="G1274" s="171">
        <f t="shared" si="663"/>
        <v>0</v>
      </c>
      <c r="H1274" s="171">
        <f t="shared" si="664"/>
        <v>0</v>
      </c>
      <c r="I1274" s="171">
        <f>IF(B1274="Working",MIN(MAX(D1274-E1274-F1274-G1274-H1274,0),'Tax Assumptions'!$B$20),0)</f>
        <v>7500</v>
      </c>
      <c r="J1274" s="171">
        <f t="shared" si="665"/>
        <v>430854.48511076538</v>
      </c>
      <c r="K1274" s="174">
        <f t="shared" si="666"/>
        <v>0</v>
      </c>
      <c r="L1274" s="174">
        <f t="shared" si="667"/>
        <v>0</v>
      </c>
      <c r="M1274" s="174">
        <f t="shared" si="673"/>
        <v>0</v>
      </c>
      <c r="N1274" s="174">
        <f t="shared" si="674"/>
        <v>0</v>
      </c>
      <c r="O1274" s="174">
        <f t="shared" si="675"/>
        <v>0</v>
      </c>
      <c r="P1274" s="174">
        <f t="shared" si="676"/>
        <v>0</v>
      </c>
      <c r="Q1274" s="171">
        <f t="shared" si="677"/>
        <v>1943183.0756209507</v>
      </c>
      <c r="R1274" s="171">
        <f t="shared" si="678"/>
        <v>170895.30417120006</v>
      </c>
      <c r="S1274" s="171">
        <f t="shared" si="679"/>
        <v>52314.889032000006</v>
      </c>
      <c r="T1274" s="171">
        <f t="shared" si="680"/>
        <v>0</v>
      </c>
      <c r="U1274" s="171">
        <f t="shared" si="668"/>
        <v>2166393.2688241508</v>
      </c>
      <c r="V1274" s="171">
        <f t="shared" si="681"/>
        <v>0</v>
      </c>
      <c r="W1274" s="171" t="str">
        <f>IF(OR(A1274&gt;=$C$13,B1274="Retired"),IF(V1274&gt;0,-V1274,U1274-'Model Inputs'!$B$18),"")</f>
        <v/>
      </c>
      <c r="X1274" s="171">
        <f t="shared" si="669"/>
        <v>0</v>
      </c>
      <c r="Y1274" s="171">
        <f t="shared" si="670"/>
        <v>0</v>
      </c>
      <c r="Z1274" s="171">
        <f t="shared" si="671"/>
        <v>0</v>
      </c>
      <c r="AA1274" s="175">
        <f t="shared" si="672"/>
        <v>2166393.2688241508</v>
      </c>
      <c r="AB1274" s="5"/>
      <c r="AC1274" s="5"/>
      <c r="AD1274" s="5"/>
      <c r="AE1274" s="5"/>
      <c r="AF1274" s="5"/>
      <c r="AG1274" s="5"/>
    </row>
    <row r="1275" spans="1:33" x14ac:dyDescent="0.2">
      <c r="A1275" s="169">
        <v>7</v>
      </c>
      <c r="B1275" s="100" t="str">
        <f t="shared" si="658"/>
        <v>Working</v>
      </c>
      <c r="C1275" s="170">
        <f t="shared" si="659"/>
        <v>1418318.448466131</v>
      </c>
      <c r="D1275" s="170">
        <f t="shared" si="660"/>
        <v>730157.75065517949</v>
      </c>
      <c r="E1275" s="170">
        <f t="shared" si="661"/>
        <v>95524.183722319998</v>
      </c>
      <c r="F1275" s="170">
        <f t="shared" si="662"/>
        <v>59702.614826449993</v>
      </c>
      <c r="G1275" s="171">
        <f t="shared" si="663"/>
        <v>0</v>
      </c>
      <c r="H1275" s="171">
        <f t="shared" si="664"/>
        <v>0</v>
      </c>
      <c r="I1275" s="171">
        <f>IF(B1275="Working",MIN(MAX(D1275-E1275-F1275-G1275-H1275,0),'Tax Assumptions'!$B$20),0)</f>
        <v>7500</v>
      </c>
      <c r="J1275" s="171">
        <f t="shared" si="665"/>
        <v>567430.95210640947</v>
      </c>
      <c r="K1275" s="170">
        <f t="shared" si="666"/>
        <v>0</v>
      </c>
      <c r="L1275" s="170">
        <f t="shared" si="667"/>
        <v>0</v>
      </c>
      <c r="M1275" s="170">
        <f t="shared" si="673"/>
        <v>0</v>
      </c>
      <c r="N1275" s="170">
        <f t="shared" si="674"/>
        <v>0</v>
      </c>
      <c r="O1275" s="170">
        <f t="shared" si="675"/>
        <v>0</v>
      </c>
      <c r="P1275" s="170">
        <f t="shared" si="676"/>
        <v>0</v>
      </c>
      <c r="Q1275" s="171">
        <f t="shared" si="677"/>
        <v>2627205.0122646173</v>
      </c>
      <c r="R1275" s="171">
        <f t="shared" si="678"/>
        <v>205649.02242147207</v>
      </c>
      <c r="S1275" s="171">
        <f t="shared" si="679"/>
        <v>62953.78237392001</v>
      </c>
      <c r="T1275" s="171">
        <f t="shared" si="680"/>
        <v>0</v>
      </c>
      <c r="U1275" s="171">
        <f t="shared" si="668"/>
        <v>2895807.8170600096</v>
      </c>
      <c r="V1275" s="171">
        <f t="shared" si="681"/>
        <v>0</v>
      </c>
      <c r="W1275" s="171" t="str">
        <f>IF(OR(A1275&gt;=$C$13,B1275="Retired"),IF(V1275&gt;0,-V1275,U1275-'Model Inputs'!$B$18),"")</f>
        <v/>
      </c>
      <c r="X1275" s="171">
        <f t="shared" si="669"/>
        <v>0</v>
      </c>
      <c r="Y1275" s="171">
        <f t="shared" si="670"/>
        <v>0</v>
      </c>
      <c r="Z1275" s="171">
        <f t="shared" si="671"/>
        <v>0</v>
      </c>
      <c r="AA1275" s="172">
        <f t="shared" si="672"/>
        <v>2895807.8170600096</v>
      </c>
      <c r="AB1275" s="5"/>
      <c r="AC1275" s="5"/>
      <c r="AD1275" s="5"/>
      <c r="AE1275" s="5"/>
      <c r="AF1275" s="5"/>
      <c r="AG1275" s="5"/>
    </row>
    <row r="1276" spans="1:33" x14ac:dyDescent="0.2">
      <c r="A1276" s="173">
        <v>8</v>
      </c>
      <c r="B1276" s="65" t="str">
        <f t="shared" si="658"/>
        <v>Working</v>
      </c>
      <c r="C1276" s="174">
        <f t="shared" si="659"/>
        <v>1872205.6657868917</v>
      </c>
      <c r="D1276" s="174">
        <f t="shared" si="660"/>
        <v>944047.5629454148</v>
      </c>
      <c r="E1276" s="174">
        <f t="shared" si="661"/>
        <v>98389.909233989601</v>
      </c>
      <c r="F1276" s="174">
        <f t="shared" si="662"/>
        <v>61493.693271243501</v>
      </c>
      <c r="G1276" s="171">
        <f t="shared" si="663"/>
        <v>0</v>
      </c>
      <c r="H1276" s="171">
        <f t="shared" si="664"/>
        <v>0</v>
      </c>
      <c r="I1276" s="171">
        <f>IF(B1276="Working",MIN(MAX(D1276-E1276-F1276-G1276-H1276,0),'Tax Assumptions'!$B$20),0)</f>
        <v>7500</v>
      </c>
      <c r="J1276" s="171">
        <f t="shared" si="665"/>
        <v>776663.96044018166</v>
      </c>
      <c r="K1276" s="174">
        <f t="shared" si="666"/>
        <v>0</v>
      </c>
      <c r="L1276" s="174">
        <f t="shared" si="667"/>
        <v>0</v>
      </c>
      <c r="M1276" s="174">
        <f t="shared" si="673"/>
        <v>0</v>
      </c>
      <c r="N1276" s="174">
        <f t="shared" si="674"/>
        <v>0</v>
      </c>
      <c r="O1276" s="174">
        <f t="shared" si="675"/>
        <v>0</v>
      </c>
      <c r="P1276" s="174">
        <f t="shared" si="676"/>
        <v>0</v>
      </c>
      <c r="Q1276" s="171">
        <f t="shared" si="677"/>
        <v>3561501.2734406763</v>
      </c>
      <c r="R1276" s="171">
        <f t="shared" si="678"/>
        <v>242487.9637667604</v>
      </c>
      <c r="S1276" s="171">
        <f t="shared" si="679"/>
        <v>74231.009316355208</v>
      </c>
      <c r="T1276" s="171">
        <f t="shared" si="680"/>
        <v>0</v>
      </c>
      <c r="U1276" s="171">
        <f t="shared" si="668"/>
        <v>3878220.2465237915</v>
      </c>
      <c r="V1276" s="171">
        <f t="shared" si="681"/>
        <v>0</v>
      </c>
      <c r="W1276" s="171" t="str">
        <f>IF(OR(A1276&gt;=$C$13,B1276="Retired"),IF(V1276&gt;0,-V1276,U1276-'Model Inputs'!$B$18),"")</f>
        <v/>
      </c>
      <c r="X1276" s="171">
        <f t="shared" si="669"/>
        <v>0</v>
      </c>
      <c r="Y1276" s="171">
        <f t="shared" si="670"/>
        <v>0</v>
      </c>
      <c r="Z1276" s="171">
        <f t="shared" si="671"/>
        <v>0</v>
      </c>
      <c r="AA1276" s="175">
        <f t="shared" si="672"/>
        <v>3878220.2465237915</v>
      </c>
      <c r="AB1276" s="5"/>
      <c r="AC1276" s="5"/>
      <c r="AD1276" s="5"/>
      <c r="AE1276" s="5"/>
      <c r="AF1276" s="5"/>
      <c r="AG1276" s="5"/>
    </row>
    <row r="1277" spans="1:33" x14ac:dyDescent="0.2">
      <c r="A1277" s="169">
        <v>9</v>
      </c>
      <c r="B1277" s="100" t="str">
        <f t="shared" si="658"/>
        <v>Working</v>
      </c>
      <c r="C1277" s="170">
        <f t="shared" si="659"/>
        <v>2033969.9666232408</v>
      </c>
      <c r="D1277" s="170">
        <f t="shared" si="660"/>
        <v>1020277.372071536</v>
      </c>
      <c r="E1277" s="170">
        <f t="shared" si="661"/>
        <v>101341.60651100927</v>
      </c>
      <c r="F1277" s="170">
        <f t="shared" si="662"/>
        <v>63338.504069380797</v>
      </c>
      <c r="G1277" s="171">
        <f t="shared" si="663"/>
        <v>0</v>
      </c>
      <c r="H1277" s="171">
        <f t="shared" si="664"/>
        <v>0</v>
      </c>
      <c r="I1277" s="171">
        <f>IF(B1277="Working",MIN(MAX(D1277-E1277-F1277-G1277-H1277,0),'Tax Assumptions'!$B$20),0)</f>
        <v>7500</v>
      </c>
      <c r="J1277" s="171">
        <f t="shared" si="665"/>
        <v>848097.26149114594</v>
      </c>
      <c r="K1277" s="170">
        <f t="shared" si="666"/>
        <v>0</v>
      </c>
      <c r="L1277" s="170">
        <f t="shared" si="667"/>
        <v>0</v>
      </c>
      <c r="M1277" s="170">
        <f t="shared" si="673"/>
        <v>0</v>
      </c>
      <c r="N1277" s="170">
        <f t="shared" si="674"/>
        <v>0</v>
      </c>
      <c r="O1277" s="170">
        <f t="shared" si="675"/>
        <v>0</v>
      </c>
      <c r="P1277" s="170">
        <f t="shared" si="676"/>
        <v>0</v>
      </c>
      <c r="Q1277" s="171">
        <f t="shared" si="677"/>
        <v>4623288.6113382634</v>
      </c>
      <c r="R1277" s="171">
        <f t="shared" si="678"/>
        <v>281537.24159276602</v>
      </c>
      <c r="S1277" s="171">
        <f t="shared" si="679"/>
        <v>86184.869875336532</v>
      </c>
      <c r="T1277" s="171">
        <f t="shared" si="680"/>
        <v>0</v>
      </c>
      <c r="U1277" s="171">
        <f t="shared" si="668"/>
        <v>4991010.7228063662</v>
      </c>
      <c r="V1277" s="171">
        <f t="shared" si="681"/>
        <v>0</v>
      </c>
      <c r="W1277" s="171" t="str">
        <f>IF(OR(A1277&gt;=$C$13,B1277="Retired"),IF(V1277&gt;0,-V1277,U1277-'Model Inputs'!$B$18),"")</f>
        <v/>
      </c>
      <c r="X1277" s="171">
        <f t="shared" si="669"/>
        <v>0</v>
      </c>
      <c r="Y1277" s="171">
        <f t="shared" si="670"/>
        <v>0</v>
      </c>
      <c r="Z1277" s="171">
        <f t="shared" si="671"/>
        <v>0</v>
      </c>
      <c r="AA1277" s="172">
        <f t="shared" si="672"/>
        <v>4991010.7228063662</v>
      </c>
      <c r="AB1277" s="5"/>
      <c r="AC1277" s="5"/>
      <c r="AD1277" s="5"/>
      <c r="AE1277" s="5"/>
      <c r="AF1277" s="5"/>
      <c r="AG1277" s="5"/>
    </row>
    <row r="1278" spans="1:33" x14ac:dyDescent="0.2">
      <c r="A1278" s="173">
        <v>10</v>
      </c>
      <c r="B1278" s="65" t="str">
        <f t="shared" si="658"/>
        <v>Working</v>
      </c>
      <c r="C1278" s="174">
        <f t="shared" si="659"/>
        <v>2595495.7626410057</v>
      </c>
      <c r="D1278" s="174">
        <f t="shared" si="660"/>
        <v>1284890.7881869476</v>
      </c>
      <c r="E1278" s="174">
        <f t="shared" si="661"/>
        <v>104381.85470633955</v>
      </c>
      <c r="F1278" s="174">
        <f t="shared" si="662"/>
        <v>65238.659191462226</v>
      </c>
      <c r="G1278" s="171">
        <f t="shared" si="663"/>
        <v>1123969.4013365901</v>
      </c>
      <c r="H1278" s="171">
        <f t="shared" si="664"/>
        <v>150769.23076923075</v>
      </c>
      <c r="I1278" s="171">
        <f>IF(B1278="Working",MIN(MAX(D1278-E1278-F1278-G1278-H1278,0),'Tax Assumptions'!$B$20),0)</f>
        <v>0</v>
      </c>
      <c r="J1278" s="171">
        <f t="shared" si="665"/>
        <v>-159468.35781667498</v>
      </c>
      <c r="K1278" s="174">
        <f t="shared" si="666"/>
        <v>0</v>
      </c>
      <c r="L1278" s="174">
        <f t="shared" si="667"/>
        <v>0</v>
      </c>
      <c r="M1278" s="174">
        <f t="shared" si="673"/>
        <v>0</v>
      </c>
      <c r="N1278" s="174">
        <f t="shared" si="674"/>
        <v>0</v>
      </c>
      <c r="O1278" s="174">
        <f t="shared" si="675"/>
        <v>0</v>
      </c>
      <c r="P1278" s="174">
        <f t="shared" si="676"/>
        <v>0</v>
      </c>
      <c r="Q1278" s="171">
        <f t="shared" si="677"/>
        <v>4741217.570201885</v>
      </c>
      <c r="R1278" s="171">
        <f t="shared" si="678"/>
        <v>322929.47608833201</v>
      </c>
      <c r="S1278" s="171">
        <f t="shared" si="679"/>
        <v>91355.96206785673</v>
      </c>
      <c r="T1278" s="171">
        <f t="shared" si="680"/>
        <v>0</v>
      </c>
      <c r="U1278" s="171">
        <f t="shared" si="668"/>
        <v>5155503.0083580734</v>
      </c>
      <c r="V1278" s="171">
        <f t="shared" si="681"/>
        <v>0</v>
      </c>
      <c r="W1278" s="171">
        <f>IF(OR(A1278&gt;=$C$13,B1278="Retired"),IF(V1278&gt;0,-V1278,U1278-'Model Inputs'!$B$18),"")</f>
        <v>4155503.0083580734</v>
      </c>
      <c r="X1278" s="171">
        <f t="shared" si="669"/>
        <v>2366251.3712349264</v>
      </c>
      <c r="Y1278" s="171">
        <f t="shared" si="670"/>
        <v>1286891.7473494606</v>
      </c>
      <c r="Z1278" s="171">
        <f t="shared" si="671"/>
        <v>1079359.6238854658</v>
      </c>
      <c r="AA1278" s="175">
        <f t="shared" si="672"/>
        <v>6234862.6322435392</v>
      </c>
      <c r="AB1278" s="5"/>
      <c r="AC1278" s="5"/>
      <c r="AD1278" s="5"/>
      <c r="AE1278" s="5"/>
      <c r="AF1278" s="5"/>
      <c r="AG1278" s="5"/>
    </row>
    <row r="1279" spans="1:33" x14ac:dyDescent="0.2">
      <c r="A1279" s="169">
        <v>11</v>
      </c>
      <c r="B1279" s="100" t="str">
        <f t="shared" si="658"/>
        <v>Retired</v>
      </c>
      <c r="C1279" s="170">
        <f t="shared" si="659"/>
        <v>0</v>
      </c>
      <c r="D1279" s="170">
        <f t="shared" si="660"/>
        <v>0</v>
      </c>
      <c r="E1279" s="170">
        <f t="shared" si="661"/>
        <v>0</v>
      </c>
      <c r="F1279" s="170">
        <f t="shared" si="662"/>
        <v>0</v>
      </c>
      <c r="G1279" s="171">
        <f t="shared" si="663"/>
        <v>0</v>
      </c>
      <c r="H1279" s="171">
        <f t="shared" si="664"/>
        <v>152330.9566742458</v>
      </c>
      <c r="I1279" s="171">
        <f>IF(B1279="Working",MIN(MAX(D1279-E1279-F1279-G1279-H1279,0),'Tax Assumptions'!$B$20),0)</f>
        <v>0</v>
      </c>
      <c r="J1279" s="171">
        <f t="shared" si="665"/>
        <v>-382330.95667424577</v>
      </c>
      <c r="K1279" s="170">
        <f t="shared" si="666"/>
        <v>382330.95667424577</v>
      </c>
      <c r="L1279" s="170">
        <f t="shared" si="667"/>
        <v>382330.95667424577</v>
      </c>
      <c r="M1279" s="170">
        <f t="shared" si="673"/>
        <v>382330.95667424577</v>
      </c>
      <c r="N1279" s="170">
        <f t="shared" si="674"/>
        <v>0</v>
      </c>
      <c r="O1279" s="170">
        <f t="shared" si="675"/>
        <v>0</v>
      </c>
      <c r="P1279" s="170">
        <f t="shared" si="676"/>
        <v>0</v>
      </c>
      <c r="Q1279" s="171">
        <f t="shared" si="677"/>
        <v>4643359.6677397517</v>
      </c>
      <c r="R1279" s="171">
        <f t="shared" si="678"/>
        <v>342305.24465363193</v>
      </c>
      <c r="S1279" s="171">
        <f t="shared" si="679"/>
        <v>96837.319791928137</v>
      </c>
      <c r="T1279" s="171">
        <f t="shared" si="680"/>
        <v>0</v>
      </c>
      <c r="U1279" s="171">
        <f t="shared" si="668"/>
        <v>5082502.2321853116</v>
      </c>
      <c r="V1279" s="171">
        <f t="shared" si="681"/>
        <v>0</v>
      </c>
      <c r="W1279" s="171">
        <f>IF(OR(A1279&gt;=$C$13,B1279="Retired"),IF(V1279&gt;0,-V1279,U1279-'Model Inputs'!$B$18),"")</f>
        <v>4082502.2321853116</v>
      </c>
      <c r="X1279" s="171">
        <f t="shared" si="669"/>
        <v>2437238.9123719744</v>
      </c>
      <c r="Y1279" s="171">
        <f t="shared" si="670"/>
        <v>1271371.0340171556</v>
      </c>
      <c r="Z1279" s="171">
        <f t="shared" si="671"/>
        <v>1165867.8783548188</v>
      </c>
      <c r="AA1279" s="172">
        <f t="shared" si="672"/>
        <v>6248370.1105401302</v>
      </c>
      <c r="AB1279" s="5"/>
      <c r="AC1279" s="5"/>
      <c r="AD1279" s="5"/>
      <c r="AE1279" s="5"/>
      <c r="AF1279" s="5"/>
      <c r="AG1279" s="5"/>
    </row>
    <row r="1280" spans="1:33" x14ac:dyDescent="0.2">
      <c r="A1280" s="173">
        <v>12</v>
      </c>
      <c r="B1280" s="65" t="str">
        <f t="shared" si="658"/>
        <v>Retired</v>
      </c>
      <c r="C1280" s="174">
        <f t="shared" si="659"/>
        <v>0</v>
      </c>
      <c r="D1280" s="174">
        <f t="shared" si="660"/>
        <v>0</v>
      </c>
      <c r="E1280" s="174">
        <f t="shared" si="661"/>
        <v>0</v>
      </c>
      <c r="F1280" s="174">
        <f t="shared" si="662"/>
        <v>0</v>
      </c>
      <c r="G1280" s="171">
        <f t="shared" si="663"/>
        <v>0</v>
      </c>
      <c r="H1280" s="171">
        <f t="shared" si="664"/>
        <v>153939.53435641131</v>
      </c>
      <c r="I1280" s="171">
        <f>IF(B1280="Working",MIN(MAX(D1280-E1280-F1280-G1280-H1280,0),'Tax Assumptions'!$B$20),0)</f>
        <v>0</v>
      </c>
      <c r="J1280" s="171">
        <f t="shared" si="665"/>
        <v>-383939.53435641131</v>
      </c>
      <c r="K1280" s="174">
        <f t="shared" si="666"/>
        <v>383939.53435641131</v>
      </c>
      <c r="L1280" s="174">
        <f t="shared" si="667"/>
        <v>383939.53435641131</v>
      </c>
      <c r="M1280" s="174">
        <f t="shared" si="673"/>
        <v>383939.53435641131</v>
      </c>
      <c r="N1280" s="174">
        <f t="shared" si="674"/>
        <v>0</v>
      </c>
      <c r="O1280" s="174">
        <f t="shared" si="675"/>
        <v>0</v>
      </c>
      <c r="P1280" s="174">
        <f t="shared" si="676"/>
        <v>0</v>
      </c>
      <c r="Q1280" s="171">
        <f t="shared" si="677"/>
        <v>4538021.7134477254</v>
      </c>
      <c r="R1280" s="171">
        <f t="shared" si="678"/>
        <v>362843.55933284987</v>
      </c>
      <c r="S1280" s="171">
        <f t="shared" si="679"/>
        <v>102647.55897944383</v>
      </c>
      <c r="T1280" s="171">
        <f t="shared" si="680"/>
        <v>0</v>
      </c>
      <c r="U1280" s="171">
        <f t="shared" si="668"/>
        <v>5003512.8317600191</v>
      </c>
      <c r="V1280" s="171">
        <f t="shared" si="681"/>
        <v>0</v>
      </c>
      <c r="W1280" s="171">
        <f>IF(OR(A1280&gt;=$C$13,B1280="Retired"),IF(V1280&gt;0,-V1280,U1280-'Model Inputs'!$B$18),"")</f>
        <v>4003512.8317600191</v>
      </c>
      <c r="X1280" s="171">
        <f t="shared" si="669"/>
        <v>2510356.0797431334</v>
      </c>
      <c r="Y1280" s="171">
        <f t="shared" si="670"/>
        <v>1254810.8697685855</v>
      </c>
      <c r="Z1280" s="171">
        <f t="shared" si="671"/>
        <v>1255545.2099745478</v>
      </c>
      <c r="AA1280" s="175">
        <f t="shared" si="672"/>
        <v>6259058.0417345669</v>
      </c>
      <c r="AB1280" s="5"/>
      <c r="AC1280" s="5"/>
      <c r="AD1280" s="5"/>
      <c r="AE1280" s="5"/>
      <c r="AF1280" s="5"/>
      <c r="AG1280" s="5"/>
    </row>
    <row r="1281" spans="1:33" x14ac:dyDescent="0.2">
      <c r="A1281" s="169">
        <v>13</v>
      </c>
      <c r="B1281" s="100" t="str">
        <f t="shared" si="658"/>
        <v>Retired</v>
      </c>
      <c r="C1281" s="170">
        <f t="shared" si="659"/>
        <v>0</v>
      </c>
      <c r="D1281" s="170">
        <f t="shared" si="660"/>
        <v>0</v>
      </c>
      <c r="E1281" s="170">
        <f t="shared" si="661"/>
        <v>0</v>
      </c>
      <c r="F1281" s="170">
        <f t="shared" si="662"/>
        <v>0</v>
      </c>
      <c r="G1281" s="171">
        <f t="shared" si="663"/>
        <v>0</v>
      </c>
      <c r="H1281" s="171">
        <f t="shared" si="664"/>
        <v>155596.36936904176</v>
      </c>
      <c r="I1281" s="171">
        <f>IF(B1281="Working",MIN(MAX(D1281-E1281-F1281-G1281-H1281,0),'Tax Assumptions'!$B$20),0)</f>
        <v>0</v>
      </c>
      <c r="J1281" s="171">
        <f t="shared" si="665"/>
        <v>-385596.36936904176</v>
      </c>
      <c r="K1281" s="170">
        <f t="shared" si="666"/>
        <v>385596.36936904176</v>
      </c>
      <c r="L1281" s="170">
        <f t="shared" si="667"/>
        <v>385596.36936904176</v>
      </c>
      <c r="M1281" s="170">
        <f t="shared" si="673"/>
        <v>385596.36936904176</v>
      </c>
      <c r="N1281" s="170">
        <f t="shared" si="674"/>
        <v>0</v>
      </c>
      <c r="O1281" s="170">
        <f t="shared" si="675"/>
        <v>0</v>
      </c>
      <c r="P1281" s="170">
        <f t="shared" si="676"/>
        <v>0</v>
      </c>
      <c r="Q1281" s="171">
        <f t="shared" si="677"/>
        <v>4424706.6468855469</v>
      </c>
      <c r="R1281" s="171">
        <f t="shared" si="678"/>
        <v>384614.1728928209</v>
      </c>
      <c r="S1281" s="171">
        <f t="shared" si="679"/>
        <v>108806.41251821046</v>
      </c>
      <c r="T1281" s="171">
        <f t="shared" si="680"/>
        <v>0</v>
      </c>
      <c r="U1281" s="171">
        <f t="shared" si="668"/>
        <v>4918127.2322965786</v>
      </c>
      <c r="V1281" s="171">
        <f t="shared" si="681"/>
        <v>0</v>
      </c>
      <c r="W1281" s="171">
        <f>IF(OR(A1281&gt;=$C$13,B1281="Retired"),IF(V1281&gt;0,-V1281,U1281-'Model Inputs'!$B$18),"")</f>
        <v>3918127.2322965786</v>
      </c>
      <c r="X1281" s="171">
        <f t="shared" si="669"/>
        <v>2585666.7621354274</v>
      </c>
      <c r="Y1281" s="171">
        <f t="shared" si="670"/>
        <v>1237141.6406508228</v>
      </c>
      <c r="Z1281" s="171">
        <f t="shared" si="671"/>
        <v>1348525.1214846047</v>
      </c>
      <c r="AA1281" s="172">
        <f t="shared" si="672"/>
        <v>6266652.3537811833</v>
      </c>
      <c r="AB1281" s="5"/>
      <c r="AC1281" s="5"/>
      <c r="AD1281" s="5"/>
      <c r="AE1281" s="5"/>
      <c r="AF1281" s="5"/>
      <c r="AG1281" s="5"/>
    </row>
    <row r="1282" spans="1:33" x14ac:dyDescent="0.2">
      <c r="A1282" s="173">
        <v>14</v>
      </c>
      <c r="B1282" s="65" t="str">
        <f t="shared" si="658"/>
        <v>Retired</v>
      </c>
      <c r="C1282" s="174">
        <f t="shared" si="659"/>
        <v>0</v>
      </c>
      <c r="D1282" s="174">
        <f t="shared" si="660"/>
        <v>0</v>
      </c>
      <c r="E1282" s="174">
        <f t="shared" si="661"/>
        <v>0</v>
      </c>
      <c r="F1282" s="174">
        <f t="shared" si="662"/>
        <v>0</v>
      </c>
      <c r="G1282" s="171">
        <f t="shared" si="663"/>
        <v>0</v>
      </c>
      <c r="H1282" s="171">
        <f t="shared" si="664"/>
        <v>157302.90943205115</v>
      </c>
      <c r="I1282" s="171">
        <f>IF(B1282="Working",MIN(MAX(D1282-E1282-F1282-G1282-H1282,0),'Tax Assumptions'!$B$20),0)</f>
        <v>0</v>
      </c>
      <c r="J1282" s="171">
        <f t="shared" si="665"/>
        <v>-387302.90943205112</v>
      </c>
      <c r="K1282" s="174">
        <f t="shared" si="666"/>
        <v>387302.90943205112</v>
      </c>
      <c r="L1282" s="174">
        <f t="shared" si="667"/>
        <v>387302.90943205112</v>
      </c>
      <c r="M1282" s="174">
        <f t="shared" si="673"/>
        <v>387302.90943205112</v>
      </c>
      <c r="N1282" s="174">
        <f t="shared" si="674"/>
        <v>0</v>
      </c>
      <c r="O1282" s="174">
        <f t="shared" si="675"/>
        <v>0</v>
      </c>
      <c r="P1282" s="174">
        <f t="shared" si="676"/>
        <v>0</v>
      </c>
      <c r="Q1282" s="171">
        <f t="shared" si="677"/>
        <v>4302886.1362666292</v>
      </c>
      <c r="R1282" s="171">
        <f t="shared" si="678"/>
        <v>407691.0232663902</v>
      </c>
      <c r="S1282" s="171">
        <f t="shared" si="679"/>
        <v>115334.79726930309</v>
      </c>
      <c r="T1282" s="171">
        <f t="shared" si="680"/>
        <v>0</v>
      </c>
      <c r="U1282" s="171">
        <f t="shared" si="668"/>
        <v>4825911.9568023225</v>
      </c>
      <c r="V1282" s="171">
        <f t="shared" si="681"/>
        <v>0</v>
      </c>
      <c r="W1282" s="171">
        <f>IF(OR(A1282&gt;=$C$13,B1282="Retired"),IF(V1282&gt;0,-V1282,U1282-'Model Inputs'!$B$18),"")</f>
        <v>3825911.9568023225</v>
      </c>
      <c r="X1282" s="171">
        <f t="shared" si="669"/>
        <v>2663236.7649994902</v>
      </c>
      <c r="Y1282" s="171">
        <f t="shared" si="670"/>
        <v>1218289.0705355857</v>
      </c>
      <c r="Z1282" s="171">
        <f t="shared" si="671"/>
        <v>1444947.6944639045</v>
      </c>
      <c r="AA1282" s="175">
        <f t="shared" si="672"/>
        <v>6270859.6512662265</v>
      </c>
      <c r="AB1282" s="5"/>
      <c r="AC1282" s="5"/>
      <c r="AD1282" s="5"/>
      <c r="AE1282" s="5"/>
      <c r="AF1282" s="5"/>
      <c r="AG1282" s="5"/>
    </row>
    <row r="1283" spans="1:33" x14ac:dyDescent="0.2">
      <c r="A1283" s="169">
        <v>15</v>
      </c>
      <c r="B1283" s="100" t="str">
        <f t="shared" si="658"/>
        <v>Retired</v>
      </c>
      <c r="C1283" s="170">
        <f t="shared" si="659"/>
        <v>0</v>
      </c>
      <c r="D1283" s="170">
        <f t="shared" si="660"/>
        <v>0</v>
      </c>
      <c r="E1283" s="170">
        <f t="shared" si="661"/>
        <v>0</v>
      </c>
      <c r="F1283" s="170">
        <f t="shared" si="662"/>
        <v>0</v>
      </c>
      <c r="G1283" s="171">
        <f t="shared" si="663"/>
        <v>0</v>
      </c>
      <c r="H1283" s="171">
        <f t="shared" si="664"/>
        <v>159060.64569695081</v>
      </c>
      <c r="I1283" s="171">
        <f>IF(B1283="Working",MIN(MAX(D1283-E1283-F1283-G1283-H1283,0),'Tax Assumptions'!$B$20),0)</f>
        <v>0</v>
      </c>
      <c r="J1283" s="171">
        <f t="shared" si="665"/>
        <v>-389060.64569695079</v>
      </c>
      <c r="K1283" s="170">
        <f t="shared" si="666"/>
        <v>389060.64569695079</v>
      </c>
      <c r="L1283" s="170">
        <f t="shared" si="667"/>
        <v>389060.64569695079</v>
      </c>
      <c r="M1283" s="170">
        <f t="shared" si="673"/>
        <v>389060.64569695079</v>
      </c>
      <c r="N1283" s="170">
        <f t="shared" si="674"/>
        <v>0</v>
      </c>
      <c r="O1283" s="170">
        <f t="shared" si="675"/>
        <v>0</v>
      </c>
      <c r="P1283" s="170">
        <f t="shared" si="676"/>
        <v>0</v>
      </c>
      <c r="Q1283" s="171">
        <f t="shared" si="677"/>
        <v>4171998.6587456767</v>
      </c>
      <c r="R1283" s="171">
        <f t="shared" si="678"/>
        <v>432152.48466237361</v>
      </c>
      <c r="S1283" s="171">
        <f t="shared" si="679"/>
        <v>122254.88510546128</v>
      </c>
      <c r="T1283" s="171">
        <f t="shared" si="680"/>
        <v>0</v>
      </c>
      <c r="U1283" s="171">
        <f t="shared" si="668"/>
        <v>4726406.0285135116</v>
      </c>
      <c r="V1283" s="171">
        <f t="shared" si="681"/>
        <v>0</v>
      </c>
      <c r="W1283" s="171">
        <f>IF(OR(A1283&gt;=$C$13,B1283="Retired"),IF(V1283&gt;0,-V1283,U1283-'Model Inputs'!$B$18),"")</f>
        <v>3726406.0285135116</v>
      </c>
      <c r="X1283" s="171">
        <f t="shared" si="669"/>
        <v>2743133.8679494746</v>
      </c>
      <c r="Y1283" s="171">
        <f t="shared" si="670"/>
        <v>1198173.9088847237</v>
      </c>
      <c r="Z1283" s="171">
        <f t="shared" si="671"/>
        <v>1544959.9590647509</v>
      </c>
      <c r="AA1283" s="172">
        <f t="shared" si="672"/>
        <v>6271365.9875782626</v>
      </c>
      <c r="AB1283" s="5"/>
      <c r="AC1283" s="5"/>
      <c r="AD1283" s="5"/>
      <c r="AE1283" s="5"/>
      <c r="AF1283" s="5"/>
      <c r="AG1283" s="5"/>
    </row>
    <row r="1284" spans="1:33" x14ac:dyDescent="0.2">
      <c r="A1284" s="173">
        <v>16</v>
      </c>
      <c r="B1284" s="65" t="str">
        <f t="shared" si="658"/>
        <v>Retired</v>
      </c>
      <c r="C1284" s="174">
        <f t="shared" si="659"/>
        <v>0</v>
      </c>
      <c r="D1284" s="174">
        <f t="shared" si="660"/>
        <v>0</v>
      </c>
      <c r="E1284" s="174">
        <f t="shared" si="661"/>
        <v>0</v>
      </c>
      <c r="F1284" s="174">
        <f t="shared" si="662"/>
        <v>0</v>
      </c>
      <c r="G1284" s="171">
        <f t="shared" si="663"/>
        <v>0</v>
      </c>
      <c r="H1284" s="171">
        <f t="shared" si="664"/>
        <v>160871.11404979747</v>
      </c>
      <c r="I1284" s="171">
        <f>IF(B1284="Working",MIN(MAX(D1284-E1284-F1284-G1284-H1284,0),'Tax Assumptions'!$B$20),0)</f>
        <v>0</v>
      </c>
      <c r="J1284" s="171">
        <f t="shared" si="665"/>
        <v>-390871.11404979741</v>
      </c>
      <c r="K1284" s="174">
        <f t="shared" si="666"/>
        <v>390871.11404979741</v>
      </c>
      <c r="L1284" s="174">
        <f t="shared" si="667"/>
        <v>390871.11404979741</v>
      </c>
      <c r="M1284" s="174">
        <f t="shared" si="673"/>
        <v>390871.11404979741</v>
      </c>
      <c r="N1284" s="174">
        <f t="shared" si="674"/>
        <v>0</v>
      </c>
      <c r="O1284" s="174">
        <f t="shared" si="675"/>
        <v>0</v>
      </c>
      <c r="P1284" s="174">
        <f t="shared" si="676"/>
        <v>0</v>
      </c>
      <c r="Q1284" s="171">
        <f t="shared" si="677"/>
        <v>4031447.4642206202</v>
      </c>
      <c r="R1284" s="171">
        <f t="shared" si="678"/>
        <v>458081.63374211604</v>
      </c>
      <c r="S1284" s="171">
        <f t="shared" si="679"/>
        <v>129590.17821178895</v>
      </c>
      <c r="T1284" s="171">
        <f t="shared" si="680"/>
        <v>0</v>
      </c>
      <c r="U1284" s="171">
        <f t="shared" si="668"/>
        <v>4619119.2761745248</v>
      </c>
      <c r="V1284" s="171">
        <f t="shared" si="681"/>
        <v>0</v>
      </c>
      <c r="W1284" s="171">
        <f>IF(OR(A1284&gt;=$C$13,B1284="Retired"),IF(V1284&gt;0,-V1284,U1284-'Model Inputs'!$B$18),"")</f>
        <v>3619119.2761745248</v>
      </c>
      <c r="X1284" s="171">
        <f t="shared" si="669"/>
        <v>2825427.883987959</v>
      </c>
      <c r="Y1284" s="171">
        <f t="shared" si="670"/>
        <v>1176711.5976047725</v>
      </c>
      <c r="Z1284" s="171">
        <f t="shared" si="671"/>
        <v>1648716.2863831865</v>
      </c>
      <c r="AA1284" s="175">
        <f t="shared" si="672"/>
        <v>6267835.5625577113</v>
      </c>
      <c r="AB1284" s="5"/>
      <c r="AC1284" s="5"/>
      <c r="AD1284" s="5"/>
      <c r="AE1284" s="5"/>
      <c r="AF1284" s="5"/>
      <c r="AG1284" s="5"/>
    </row>
    <row r="1285" spans="1:33" x14ac:dyDescent="0.2">
      <c r="A1285" s="169">
        <v>17</v>
      </c>
      <c r="B1285" s="100" t="str">
        <f t="shared" si="658"/>
        <v>Retired</v>
      </c>
      <c r="C1285" s="170">
        <f t="shared" si="659"/>
        <v>0</v>
      </c>
      <c r="D1285" s="170">
        <f t="shared" si="660"/>
        <v>0</v>
      </c>
      <c r="E1285" s="170">
        <f t="shared" si="661"/>
        <v>0</v>
      </c>
      <c r="F1285" s="170">
        <f t="shared" si="662"/>
        <v>0</v>
      </c>
      <c r="G1285" s="171">
        <f t="shared" si="663"/>
        <v>0</v>
      </c>
      <c r="H1285" s="171">
        <f t="shared" si="664"/>
        <v>162735.89645322954</v>
      </c>
      <c r="I1285" s="171">
        <f>IF(B1285="Working",MIN(MAX(D1285-E1285-F1285-G1285-H1285,0),'Tax Assumptions'!$B$20),0)</f>
        <v>0</v>
      </c>
      <c r="J1285" s="171">
        <f t="shared" si="665"/>
        <v>-392735.89645322948</v>
      </c>
      <c r="K1285" s="170">
        <f t="shared" si="666"/>
        <v>392735.89645322948</v>
      </c>
      <c r="L1285" s="170">
        <f t="shared" si="667"/>
        <v>392735.89645322948</v>
      </c>
      <c r="M1285" s="170">
        <f t="shared" si="673"/>
        <v>392735.89645322948</v>
      </c>
      <c r="N1285" s="170">
        <f t="shared" si="674"/>
        <v>0</v>
      </c>
      <c r="O1285" s="170">
        <f t="shared" si="675"/>
        <v>0</v>
      </c>
      <c r="P1285" s="170">
        <f t="shared" si="676"/>
        <v>0</v>
      </c>
      <c r="Q1285" s="171">
        <f t="shared" si="677"/>
        <v>3880598.4156206278</v>
      </c>
      <c r="R1285" s="171">
        <f t="shared" si="678"/>
        <v>485566.53176664305</v>
      </c>
      <c r="S1285" s="171">
        <f t="shared" si="679"/>
        <v>137365.58890449628</v>
      </c>
      <c r="T1285" s="171">
        <f t="shared" si="680"/>
        <v>0</v>
      </c>
      <c r="U1285" s="171">
        <f t="shared" si="668"/>
        <v>4503530.5362917669</v>
      </c>
      <c r="V1285" s="171">
        <f t="shared" si="681"/>
        <v>0</v>
      </c>
      <c r="W1285" s="171">
        <f>IF(OR(A1285&gt;=$C$13,B1285="Retired"),IF(V1285&gt;0,-V1285,U1285-'Model Inputs'!$B$18),"")</f>
        <v>3503530.5362917669</v>
      </c>
      <c r="X1285" s="171">
        <f t="shared" si="669"/>
        <v>2910190.720507598</v>
      </c>
      <c r="Y1285" s="171">
        <f t="shared" si="670"/>
        <v>1153811.9155901484</v>
      </c>
      <c r="Z1285" s="171">
        <f t="shared" si="671"/>
        <v>1756378.8049174496</v>
      </c>
      <c r="AA1285" s="172">
        <f t="shared" si="672"/>
        <v>6259909.341209216</v>
      </c>
      <c r="AB1285" s="5"/>
      <c r="AC1285" s="5"/>
      <c r="AD1285" s="5"/>
      <c r="AE1285" s="5"/>
      <c r="AF1285" s="5"/>
      <c r="AG1285" s="5"/>
    </row>
    <row r="1286" spans="1:33" x14ac:dyDescent="0.2">
      <c r="A1286" s="173">
        <v>18</v>
      </c>
      <c r="B1286" s="65" t="str">
        <f t="shared" si="658"/>
        <v>Retired</v>
      </c>
      <c r="C1286" s="174">
        <f t="shared" si="659"/>
        <v>0</v>
      </c>
      <c r="D1286" s="174">
        <f t="shared" si="660"/>
        <v>0</v>
      </c>
      <c r="E1286" s="174">
        <f t="shared" si="661"/>
        <v>0</v>
      </c>
      <c r="F1286" s="174">
        <f t="shared" si="662"/>
        <v>0</v>
      </c>
      <c r="G1286" s="171">
        <f t="shared" si="663"/>
        <v>0</v>
      </c>
      <c r="H1286" s="171">
        <f t="shared" si="664"/>
        <v>164656.62232876453</v>
      </c>
      <c r="I1286" s="171">
        <f>IF(B1286="Working",MIN(MAX(D1286-E1286-F1286-G1286-H1286,0),'Tax Assumptions'!$B$20),0)</f>
        <v>0</v>
      </c>
      <c r="J1286" s="171">
        <f t="shared" si="665"/>
        <v>-394656.62232876453</v>
      </c>
      <c r="K1286" s="174">
        <f t="shared" si="666"/>
        <v>394656.62232876453</v>
      </c>
      <c r="L1286" s="174">
        <f t="shared" si="667"/>
        <v>394656.62232876453</v>
      </c>
      <c r="M1286" s="174">
        <f t="shared" si="673"/>
        <v>394656.62232876453</v>
      </c>
      <c r="N1286" s="174">
        <f t="shared" si="674"/>
        <v>0</v>
      </c>
      <c r="O1286" s="174">
        <f t="shared" si="675"/>
        <v>0</v>
      </c>
      <c r="P1286" s="174">
        <f t="shared" si="676"/>
        <v>0</v>
      </c>
      <c r="Q1286" s="171">
        <f t="shared" si="677"/>
        <v>3718777.6982291015</v>
      </c>
      <c r="R1286" s="171">
        <f t="shared" si="678"/>
        <v>514700.52367264166</v>
      </c>
      <c r="S1286" s="171">
        <f t="shared" si="679"/>
        <v>145607.52423876605</v>
      </c>
      <c r="T1286" s="171">
        <f t="shared" si="680"/>
        <v>0</v>
      </c>
      <c r="U1286" s="171">
        <f t="shared" si="668"/>
        <v>4379085.7461405089</v>
      </c>
      <c r="V1286" s="171">
        <f t="shared" si="681"/>
        <v>0</v>
      </c>
      <c r="W1286" s="171">
        <f>IF(OR(A1286&gt;=$C$13,B1286="Retired"),IF(V1286&gt;0,-V1286,U1286-'Model Inputs'!$B$18),"")</f>
        <v>3379085.7461405089</v>
      </c>
      <c r="X1286" s="171">
        <f t="shared" si="669"/>
        <v>2997496.4421228254</v>
      </c>
      <c r="Y1286" s="171">
        <f t="shared" si="670"/>
        <v>1129378.5994607357</v>
      </c>
      <c r="Z1286" s="171">
        <f t="shared" si="671"/>
        <v>1868117.8426620897</v>
      </c>
      <c r="AA1286" s="175">
        <f t="shared" si="672"/>
        <v>6247203.5888025984</v>
      </c>
      <c r="AB1286" s="5"/>
      <c r="AC1286" s="5"/>
      <c r="AD1286" s="5"/>
      <c r="AE1286" s="5"/>
      <c r="AF1286" s="5"/>
      <c r="AG1286" s="5"/>
    </row>
    <row r="1287" spans="1:33" x14ac:dyDescent="0.2">
      <c r="A1287" s="169">
        <v>19</v>
      </c>
      <c r="B1287" s="100" t="str">
        <f t="shared" si="658"/>
        <v>Retired</v>
      </c>
      <c r="C1287" s="170">
        <f t="shared" si="659"/>
        <v>0</v>
      </c>
      <c r="D1287" s="170">
        <f t="shared" si="660"/>
        <v>0</v>
      </c>
      <c r="E1287" s="170">
        <f t="shared" si="661"/>
        <v>0</v>
      </c>
      <c r="F1287" s="170">
        <f t="shared" si="662"/>
        <v>0</v>
      </c>
      <c r="G1287" s="171">
        <f t="shared" si="663"/>
        <v>0</v>
      </c>
      <c r="H1287" s="171">
        <f t="shared" si="664"/>
        <v>166634.9699805656</v>
      </c>
      <c r="I1287" s="171">
        <f>IF(B1287="Working",MIN(MAX(D1287-E1287-F1287-G1287-H1287,0),'Tax Assumptions'!$B$20),0)</f>
        <v>0</v>
      </c>
      <c r="J1287" s="171">
        <f t="shared" si="665"/>
        <v>-396634.9699805656</v>
      </c>
      <c r="K1287" s="170">
        <f t="shared" si="666"/>
        <v>396634.9699805656</v>
      </c>
      <c r="L1287" s="170">
        <f t="shared" si="667"/>
        <v>396634.9699805656</v>
      </c>
      <c r="M1287" s="170">
        <f t="shared" si="673"/>
        <v>396634.9699805656</v>
      </c>
      <c r="N1287" s="170">
        <f t="shared" si="674"/>
        <v>0</v>
      </c>
      <c r="O1287" s="170">
        <f t="shared" si="675"/>
        <v>0</v>
      </c>
      <c r="P1287" s="170">
        <f t="shared" si="676"/>
        <v>0</v>
      </c>
      <c r="Q1287" s="171">
        <f t="shared" si="677"/>
        <v>3545269.3901422825</v>
      </c>
      <c r="R1287" s="171">
        <f t="shared" si="678"/>
        <v>545582.55509300018</v>
      </c>
      <c r="S1287" s="171">
        <f t="shared" si="679"/>
        <v>154343.97569309201</v>
      </c>
      <c r="T1287" s="171">
        <f t="shared" si="680"/>
        <v>0</v>
      </c>
      <c r="U1287" s="171">
        <f t="shared" si="668"/>
        <v>4245195.9209283749</v>
      </c>
      <c r="V1287" s="171">
        <f t="shared" si="681"/>
        <v>0</v>
      </c>
      <c r="W1287" s="171">
        <f>IF(OR(A1287&gt;=$C$13,B1287="Retired"),IF(V1287&gt;0,-V1287,U1287-'Model Inputs'!$B$18),"")</f>
        <v>3245195.9209283749</v>
      </c>
      <c r="X1287" s="171">
        <f t="shared" si="669"/>
        <v>3087421.3353865105</v>
      </c>
      <c r="Y1287" s="171">
        <f t="shared" si="670"/>
        <v>1103308.9388995722</v>
      </c>
      <c r="Z1287" s="171">
        <f t="shared" si="671"/>
        <v>1984112.3964869382</v>
      </c>
      <c r="AA1287" s="172">
        <f t="shared" si="672"/>
        <v>6229308.3174153129</v>
      </c>
      <c r="AB1287" s="5"/>
      <c r="AC1287" s="5"/>
      <c r="AD1287" s="5"/>
      <c r="AE1287" s="5"/>
      <c r="AF1287" s="5"/>
      <c r="AG1287" s="5"/>
    </row>
    <row r="1288" spans="1:33" x14ac:dyDescent="0.2">
      <c r="A1288" s="173">
        <v>20</v>
      </c>
      <c r="B1288" s="65" t="str">
        <f t="shared" si="658"/>
        <v>Retired</v>
      </c>
      <c r="C1288" s="174">
        <f t="shared" si="659"/>
        <v>0</v>
      </c>
      <c r="D1288" s="174">
        <f t="shared" si="660"/>
        <v>0</v>
      </c>
      <c r="E1288" s="174">
        <f t="shared" si="661"/>
        <v>0</v>
      </c>
      <c r="F1288" s="174">
        <f t="shared" si="662"/>
        <v>0</v>
      </c>
      <c r="G1288" s="171">
        <f t="shared" si="663"/>
        <v>0</v>
      </c>
      <c r="H1288" s="171">
        <f t="shared" si="664"/>
        <v>168672.66806192067</v>
      </c>
      <c r="I1288" s="171">
        <f>IF(B1288="Working",MIN(MAX(D1288-E1288-F1288-G1288-H1288,0),'Tax Assumptions'!$B$20),0)</f>
        <v>0</v>
      </c>
      <c r="J1288" s="171">
        <f t="shared" si="665"/>
        <v>-398672.66806192067</v>
      </c>
      <c r="K1288" s="174">
        <f t="shared" si="666"/>
        <v>398672.66806192067</v>
      </c>
      <c r="L1288" s="174">
        <f t="shared" si="667"/>
        <v>398672.66806192067</v>
      </c>
      <c r="M1288" s="174">
        <f t="shared" si="673"/>
        <v>398672.66806192067</v>
      </c>
      <c r="N1288" s="174">
        <f t="shared" si="674"/>
        <v>0</v>
      </c>
      <c r="O1288" s="174">
        <f t="shared" si="675"/>
        <v>0</v>
      </c>
      <c r="P1288" s="174">
        <f t="shared" si="676"/>
        <v>0</v>
      </c>
      <c r="Q1288" s="171">
        <f t="shared" si="677"/>
        <v>3359312.8854888985</v>
      </c>
      <c r="R1288" s="171">
        <f t="shared" si="678"/>
        <v>578317.50839858025</v>
      </c>
      <c r="S1288" s="171">
        <f t="shared" si="679"/>
        <v>163604.61423467755</v>
      </c>
      <c r="T1288" s="171">
        <f t="shared" si="680"/>
        <v>0</v>
      </c>
      <c r="U1288" s="171">
        <f t="shared" si="668"/>
        <v>4101235.0081221564</v>
      </c>
      <c r="V1288" s="171">
        <f t="shared" si="681"/>
        <v>0</v>
      </c>
      <c r="W1288" s="171">
        <f>IF(OR(A1288&gt;=$C$13,B1288="Retired"),IF(V1288&gt;0,-V1288,U1288-'Model Inputs'!$B$18),"")</f>
        <v>3101235.0081221564</v>
      </c>
      <c r="X1288" s="171">
        <f t="shared" si="669"/>
        <v>3180043.9754481055</v>
      </c>
      <c r="Y1288" s="171">
        <f t="shared" si="670"/>
        <v>1075493.3448895502</v>
      </c>
      <c r="Z1288" s="171">
        <f t="shared" si="671"/>
        <v>2104550.630558555</v>
      </c>
      <c r="AA1288" s="175">
        <f t="shared" si="672"/>
        <v>6205785.6386807114</v>
      </c>
      <c r="AB1288" s="5"/>
      <c r="AC1288" s="5"/>
      <c r="AD1288" s="5"/>
      <c r="AE1288" s="5"/>
      <c r="AF1288" s="5"/>
      <c r="AG1288" s="5"/>
    </row>
    <row r="1289" spans="1:33" x14ac:dyDescent="0.2">
      <c r="A1289" s="169">
        <v>21</v>
      </c>
      <c r="B1289" s="100" t="str">
        <f t="shared" si="658"/>
        <v>Retired</v>
      </c>
      <c r="C1289" s="170">
        <f t="shared" si="659"/>
        <v>0</v>
      </c>
      <c r="D1289" s="170">
        <f t="shared" si="660"/>
        <v>0</v>
      </c>
      <c r="E1289" s="170">
        <f t="shared" si="661"/>
        <v>0</v>
      </c>
      <c r="F1289" s="170">
        <f t="shared" si="662"/>
        <v>0</v>
      </c>
      <c r="G1289" s="171">
        <f t="shared" si="663"/>
        <v>0</v>
      </c>
      <c r="H1289" s="171">
        <f t="shared" si="664"/>
        <v>170771.49708571643</v>
      </c>
      <c r="I1289" s="171">
        <f>IF(B1289="Working",MIN(MAX(D1289-E1289-F1289-G1289-H1289,0),'Tax Assumptions'!$B$20),0)</f>
        <v>0</v>
      </c>
      <c r="J1289" s="171">
        <f t="shared" si="665"/>
        <v>-400771.4970857164</v>
      </c>
      <c r="K1289" s="170">
        <f t="shared" si="666"/>
        <v>400771.4970857164</v>
      </c>
      <c r="L1289" s="170">
        <f t="shared" si="667"/>
        <v>400771.4970857164</v>
      </c>
      <c r="M1289" s="170">
        <f t="shared" si="673"/>
        <v>400771.4970857164</v>
      </c>
      <c r="N1289" s="170">
        <f t="shared" si="674"/>
        <v>0</v>
      </c>
      <c r="O1289" s="170">
        <f t="shared" si="675"/>
        <v>0</v>
      </c>
      <c r="P1289" s="170">
        <f t="shared" si="676"/>
        <v>0</v>
      </c>
      <c r="Q1289" s="171">
        <f t="shared" si="677"/>
        <v>3160100.1615325161</v>
      </c>
      <c r="R1289" s="171">
        <f t="shared" si="678"/>
        <v>613016.55890249508</v>
      </c>
      <c r="S1289" s="171">
        <f t="shared" si="679"/>
        <v>173420.89108875822</v>
      </c>
      <c r="T1289" s="171">
        <f t="shared" si="680"/>
        <v>0</v>
      </c>
      <c r="U1289" s="171">
        <f t="shared" si="668"/>
        <v>3946537.6115237693</v>
      </c>
      <c r="V1289" s="171">
        <f t="shared" si="681"/>
        <v>0</v>
      </c>
      <c r="W1289" s="171">
        <f>IF(OR(A1289&gt;=$C$13,B1289="Retired"),IF(V1289&gt;0,-V1289,U1289-'Model Inputs'!$B$18),"")</f>
        <v>2946537.6115237693</v>
      </c>
      <c r="X1289" s="171">
        <f t="shared" si="669"/>
        <v>3275445.2947115488</v>
      </c>
      <c r="Y1289" s="171">
        <f t="shared" si="670"/>
        <v>1045814.889034126</v>
      </c>
      <c r="Z1289" s="171">
        <f t="shared" si="671"/>
        <v>2229630.4056774229</v>
      </c>
      <c r="AA1289" s="172">
        <f t="shared" si="672"/>
        <v>6176168.0172011927</v>
      </c>
      <c r="AB1289" s="5"/>
      <c r="AC1289" s="5"/>
      <c r="AD1289" s="5"/>
      <c r="AE1289" s="5"/>
      <c r="AF1289" s="5"/>
      <c r="AG1289" s="5"/>
    </row>
    <row r="1290" spans="1:33" x14ac:dyDescent="0.2">
      <c r="A1290" s="173">
        <v>22</v>
      </c>
      <c r="B1290" s="65" t="str">
        <f t="shared" si="658"/>
        <v>Retired</v>
      </c>
      <c r="C1290" s="174">
        <f t="shared" si="659"/>
        <v>0</v>
      </c>
      <c r="D1290" s="174">
        <f t="shared" si="660"/>
        <v>0</v>
      </c>
      <c r="E1290" s="174">
        <f t="shared" si="661"/>
        <v>0</v>
      </c>
      <c r="F1290" s="174">
        <f t="shared" si="662"/>
        <v>0</v>
      </c>
      <c r="G1290" s="171">
        <f t="shared" si="663"/>
        <v>0</v>
      </c>
      <c r="H1290" s="171">
        <f t="shared" si="664"/>
        <v>172933.29098022607</v>
      </c>
      <c r="I1290" s="171">
        <f>IF(B1290="Working",MIN(MAX(D1290-E1290-F1290-G1290-H1290,0),'Tax Assumptions'!$B$20),0)</f>
        <v>0</v>
      </c>
      <c r="J1290" s="171">
        <f t="shared" si="665"/>
        <v>-402933.29098022601</v>
      </c>
      <c r="K1290" s="174">
        <f t="shared" si="666"/>
        <v>402933.29098022601</v>
      </c>
      <c r="L1290" s="174">
        <f t="shared" si="667"/>
        <v>402933.29098022601</v>
      </c>
      <c r="M1290" s="174">
        <f t="shared" si="673"/>
        <v>402933.29098022601</v>
      </c>
      <c r="N1290" s="174">
        <f t="shared" si="674"/>
        <v>0</v>
      </c>
      <c r="O1290" s="174">
        <f t="shared" si="675"/>
        <v>0</v>
      </c>
      <c r="P1290" s="174">
        <f t="shared" si="676"/>
        <v>0</v>
      </c>
      <c r="Q1290" s="171">
        <f t="shared" si="677"/>
        <v>2946772.8802442416</v>
      </c>
      <c r="R1290" s="171">
        <f t="shared" si="678"/>
        <v>649797.55243664479</v>
      </c>
      <c r="S1290" s="171">
        <f t="shared" si="679"/>
        <v>183826.14455408373</v>
      </c>
      <c r="T1290" s="171">
        <f t="shared" si="680"/>
        <v>0</v>
      </c>
      <c r="U1290" s="171">
        <f t="shared" si="668"/>
        <v>3780396.5772349699</v>
      </c>
      <c r="V1290" s="171">
        <f t="shared" si="681"/>
        <v>0</v>
      </c>
      <c r="W1290" s="171">
        <f>IF(OR(A1290&gt;=$C$13,B1290="Retired"),IF(V1290&gt;0,-V1290,U1290-'Model Inputs'!$B$18),"")</f>
        <v>2780396.5772349699</v>
      </c>
      <c r="X1290" s="171">
        <f t="shared" si="669"/>
        <v>3373708.6535528949</v>
      </c>
      <c r="Y1290" s="171">
        <f t="shared" si="670"/>
        <v>1014148.8120254884</v>
      </c>
      <c r="Z1290" s="171">
        <f t="shared" si="671"/>
        <v>2359559.8415274066</v>
      </c>
      <c r="AA1290" s="175">
        <f t="shared" si="672"/>
        <v>6139956.4187623765</v>
      </c>
      <c r="AB1290" s="5"/>
      <c r="AC1290" s="5"/>
      <c r="AD1290" s="5"/>
      <c r="AE1290" s="5"/>
      <c r="AF1290" s="5"/>
      <c r="AG1290" s="5"/>
    </row>
    <row r="1291" spans="1:33" x14ac:dyDescent="0.2">
      <c r="A1291" s="169">
        <v>23</v>
      </c>
      <c r="B1291" s="100" t="str">
        <f t="shared" si="658"/>
        <v>Retired</v>
      </c>
      <c r="C1291" s="170">
        <f t="shared" si="659"/>
        <v>0</v>
      </c>
      <c r="D1291" s="170">
        <f t="shared" si="660"/>
        <v>0</v>
      </c>
      <c r="E1291" s="170">
        <f t="shared" si="661"/>
        <v>0</v>
      </c>
      <c r="F1291" s="170">
        <f t="shared" si="662"/>
        <v>0</v>
      </c>
      <c r="G1291" s="171">
        <f t="shared" si="663"/>
        <v>0</v>
      </c>
      <c r="H1291" s="171">
        <f t="shared" si="664"/>
        <v>175159.93869157095</v>
      </c>
      <c r="I1291" s="171">
        <f>IF(B1291="Working",MIN(MAX(D1291-E1291-F1291-G1291-H1291,0),'Tax Assumptions'!$B$20),0)</f>
        <v>0</v>
      </c>
      <c r="J1291" s="171">
        <f t="shared" si="665"/>
        <v>-405159.93869157089</v>
      </c>
      <c r="K1291" s="170">
        <f t="shared" si="666"/>
        <v>405159.93869157089</v>
      </c>
      <c r="L1291" s="170">
        <f t="shared" si="667"/>
        <v>405159.93869157089</v>
      </c>
      <c r="M1291" s="170">
        <f t="shared" si="673"/>
        <v>405159.93869157089</v>
      </c>
      <c r="N1291" s="170">
        <f t="shared" si="674"/>
        <v>0</v>
      </c>
      <c r="O1291" s="170">
        <f t="shared" si="675"/>
        <v>0</v>
      </c>
      <c r="P1291" s="170">
        <f t="shared" si="676"/>
        <v>0</v>
      </c>
      <c r="Q1291" s="171">
        <f t="shared" si="677"/>
        <v>2718419.3143673255</v>
      </c>
      <c r="R1291" s="171">
        <f t="shared" si="678"/>
        <v>688785.40558284346</v>
      </c>
      <c r="S1291" s="171">
        <f t="shared" si="679"/>
        <v>194855.71322732876</v>
      </c>
      <c r="T1291" s="171">
        <f t="shared" si="680"/>
        <v>0</v>
      </c>
      <c r="U1291" s="171">
        <f t="shared" si="668"/>
        <v>3602060.4331774977</v>
      </c>
      <c r="V1291" s="171">
        <f t="shared" si="681"/>
        <v>0</v>
      </c>
      <c r="W1291" s="171">
        <f>IF(OR(A1291&gt;=$C$13,B1291="Retired"),IF(V1291&gt;0,-V1291,U1291-'Model Inputs'!$B$18),"")</f>
        <v>2602060.4331774977</v>
      </c>
      <c r="X1291" s="171">
        <f t="shared" si="669"/>
        <v>3474919.9131594817</v>
      </c>
      <c r="Y1291" s="171">
        <f t="shared" si="670"/>
        <v>980361.99919392681</v>
      </c>
      <c r="Z1291" s="171">
        <f t="shared" si="671"/>
        <v>2494557.9139655549</v>
      </c>
      <c r="AA1291" s="172">
        <f t="shared" si="672"/>
        <v>6096618.3471430521</v>
      </c>
      <c r="AB1291" s="5"/>
      <c r="AC1291" s="5"/>
      <c r="AD1291" s="5"/>
      <c r="AE1291" s="5"/>
      <c r="AF1291" s="5"/>
      <c r="AG1291" s="5"/>
    </row>
    <row r="1292" spans="1:33" x14ac:dyDescent="0.2">
      <c r="A1292" s="173">
        <v>24</v>
      </c>
      <c r="B1292" s="65" t="str">
        <f t="shared" si="658"/>
        <v>Retired</v>
      </c>
      <c r="C1292" s="174">
        <f t="shared" si="659"/>
        <v>0</v>
      </c>
      <c r="D1292" s="174">
        <f t="shared" si="660"/>
        <v>0</v>
      </c>
      <c r="E1292" s="174">
        <f t="shared" si="661"/>
        <v>0</v>
      </c>
      <c r="F1292" s="174">
        <f t="shared" si="662"/>
        <v>0</v>
      </c>
      <c r="G1292" s="171">
        <f t="shared" si="663"/>
        <v>0</v>
      </c>
      <c r="H1292" s="171">
        <f t="shared" si="664"/>
        <v>177453.38583425625</v>
      </c>
      <c r="I1292" s="171">
        <f>IF(B1292="Working",MIN(MAX(D1292-E1292-F1292-G1292-H1292,0),'Tax Assumptions'!$B$20),0)</f>
        <v>0</v>
      </c>
      <c r="J1292" s="171">
        <f t="shared" si="665"/>
        <v>-407453.38583425619</v>
      </c>
      <c r="K1292" s="174">
        <f t="shared" si="666"/>
        <v>407453.38583425619</v>
      </c>
      <c r="L1292" s="174">
        <f t="shared" si="667"/>
        <v>407453.38583425619</v>
      </c>
      <c r="M1292" s="174">
        <f t="shared" si="673"/>
        <v>407453.38583425619</v>
      </c>
      <c r="N1292" s="174">
        <f t="shared" si="674"/>
        <v>0</v>
      </c>
      <c r="O1292" s="174">
        <f t="shared" si="675"/>
        <v>0</v>
      </c>
      <c r="P1292" s="174">
        <f t="shared" si="676"/>
        <v>0</v>
      </c>
      <c r="Q1292" s="171">
        <f t="shared" si="677"/>
        <v>2474071.0873951088</v>
      </c>
      <c r="R1292" s="171">
        <f t="shared" si="678"/>
        <v>730112.52991781407</v>
      </c>
      <c r="S1292" s="171">
        <f t="shared" si="679"/>
        <v>206547.05602096851</v>
      </c>
      <c r="T1292" s="171">
        <f t="shared" si="680"/>
        <v>0</v>
      </c>
      <c r="U1292" s="171">
        <f t="shared" si="668"/>
        <v>3410730.6733338917</v>
      </c>
      <c r="V1292" s="171">
        <f t="shared" si="681"/>
        <v>0</v>
      </c>
      <c r="W1292" s="171">
        <f>IF(OR(A1292&gt;=$C$13,B1292="Retired"),IF(V1292&gt;0,-V1292,U1292-'Model Inputs'!$B$18),"")</f>
        <v>2410730.6733338917</v>
      </c>
      <c r="X1292" s="171">
        <f t="shared" si="669"/>
        <v>3579167.5105542666</v>
      </c>
      <c r="Y1292" s="171">
        <f t="shared" si="670"/>
        <v>944312.42093377281</v>
      </c>
      <c r="Z1292" s="171">
        <f t="shared" si="671"/>
        <v>2634855.0896204938</v>
      </c>
      <c r="AA1292" s="175">
        <f t="shared" si="672"/>
        <v>6045585.762954386</v>
      </c>
      <c r="AB1292" s="5"/>
      <c r="AC1292" s="5"/>
      <c r="AD1292" s="5"/>
      <c r="AE1292" s="5"/>
      <c r="AF1292" s="5"/>
      <c r="AG1292" s="5"/>
    </row>
    <row r="1293" spans="1:33" x14ac:dyDescent="0.2">
      <c r="A1293" s="169">
        <v>25</v>
      </c>
      <c r="B1293" s="100" t="str">
        <f t="shared" si="658"/>
        <v>Retired</v>
      </c>
      <c r="C1293" s="170">
        <f t="shared" si="659"/>
        <v>0</v>
      </c>
      <c r="D1293" s="170">
        <f t="shared" si="660"/>
        <v>0</v>
      </c>
      <c r="E1293" s="170">
        <f t="shared" si="661"/>
        <v>0</v>
      </c>
      <c r="F1293" s="170">
        <f t="shared" si="662"/>
        <v>0</v>
      </c>
      <c r="G1293" s="171">
        <f t="shared" si="663"/>
        <v>0</v>
      </c>
      <c r="H1293" s="171">
        <f t="shared" si="664"/>
        <v>179815.63639122204</v>
      </c>
      <c r="I1293" s="171">
        <f>IF(B1293="Working",MIN(MAX(D1293-E1293-F1293-G1293-H1293,0),'Tax Assumptions'!$B$20),0)</f>
        <v>0</v>
      </c>
      <c r="J1293" s="171">
        <f t="shared" si="665"/>
        <v>-409815.63639122201</v>
      </c>
      <c r="K1293" s="170">
        <f t="shared" si="666"/>
        <v>409815.63639122201</v>
      </c>
      <c r="L1293" s="170">
        <f t="shared" si="667"/>
        <v>409815.63639122201</v>
      </c>
      <c r="M1293" s="170">
        <f t="shared" si="673"/>
        <v>409815.63639122201</v>
      </c>
      <c r="N1293" s="170">
        <f t="shared" si="674"/>
        <v>0</v>
      </c>
      <c r="O1293" s="170">
        <f t="shared" si="675"/>
        <v>0</v>
      </c>
      <c r="P1293" s="170">
        <f t="shared" si="676"/>
        <v>0</v>
      </c>
      <c r="Q1293" s="171">
        <f t="shared" si="677"/>
        <v>2212699.7162475935</v>
      </c>
      <c r="R1293" s="171">
        <f t="shared" si="678"/>
        <v>773919.28171288292</v>
      </c>
      <c r="S1293" s="171">
        <f t="shared" si="679"/>
        <v>218939.87938222662</v>
      </c>
      <c r="T1293" s="171">
        <f t="shared" si="680"/>
        <v>0</v>
      </c>
      <c r="U1293" s="171">
        <f t="shared" si="668"/>
        <v>3205558.8773427028</v>
      </c>
      <c r="V1293" s="171">
        <f t="shared" si="681"/>
        <v>0</v>
      </c>
      <c r="W1293" s="171">
        <f>IF(OR(A1293&gt;=$C$13,B1293="Retired"),IF(V1293&gt;0,-V1293,U1293-'Model Inputs'!$B$18),"")</f>
        <v>2205558.8773427028</v>
      </c>
      <c r="X1293" s="171">
        <f t="shared" si="669"/>
        <v>3686542.5358708948</v>
      </c>
      <c r="Y1293" s="171">
        <f t="shared" si="670"/>
        <v>905848.53565362561</v>
      </c>
      <c r="Z1293" s="171">
        <f t="shared" si="671"/>
        <v>2780694.0002172692</v>
      </c>
      <c r="AA1293" s="172">
        <f t="shared" si="672"/>
        <v>5986252.877559972</v>
      </c>
      <c r="AB1293" s="5"/>
      <c r="AC1293" s="5"/>
      <c r="AD1293" s="5"/>
      <c r="AE1293" s="5"/>
      <c r="AF1293" s="5"/>
      <c r="AG1293" s="5"/>
    </row>
    <row r="1294" spans="1:33" x14ac:dyDescent="0.2">
      <c r="A1294" s="173">
        <v>26</v>
      </c>
      <c r="B1294" s="65" t="str">
        <f t="shared" si="658"/>
        <v>Retired</v>
      </c>
      <c r="C1294" s="174">
        <f t="shared" si="659"/>
        <v>0</v>
      </c>
      <c r="D1294" s="174">
        <f t="shared" si="660"/>
        <v>0</v>
      </c>
      <c r="E1294" s="174">
        <f t="shared" si="661"/>
        <v>0</v>
      </c>
      <c r="F1294" s="174">
        <f t="shared" si="662"/>
        <v>0</v>
      </c>
      <c r="G1294" s="171">
        <f t="shared" si="663"/>
        <v>0</v>
      </c>
      <c r="H1294" s="171">
        <f t="shared" si="664"/>
        <v>182248.7544648968</v>
      </c>
      <c r="I1294" s="171">
        <f>IF(B1294="Working",MIN(MAX(D1294-E1294-F1294-G1294-H1294,0),'Tax Assumptions'!$B$20),0)</f>
        <v>0</v>
      </c>
      <c r="J1294" s="171">
        <f t="shared" si="665"/>
        <v>-412248.75446489675</v>
      </c>
      <c r="K1294" s="174">
        <f t="shared" si="666"/>
        <v>412248.75446489675</v>
      </c>
      <c r="L1294" s="174">
        <f t="shared" si="667"/>
        <v>412248.75446489675</v>
      </c>
      <c r="M1294" s="174">
        <f t="shared" si="673"/>
        <v>412248.75446489675</v>
      </c>
      <c r="N1294" s="174">
        <f t="shared" si="674"/>
        <v>0</v>
      </c>
      <c r="O1294" s="174">
        <f t="shared" si="675"/>
        <v>0</v>
      </c>
      <c r="P1294" s="174">
        <f t="shared" si="676"/>
        <v>0</v>
      </c>
      <c r="Q1294" s="171">
        <f t="shared" si="677"/>
        <v>1933212.9447575524</v>
      </c>
      <c r="R1294" s="171">
        <f t="shared" si="678"/>
        <v>820354.43861565599</v>
      </c>
      <c r="S1294" s="171">
        <f t="shared" si="679"/>
        <v>232076.27214516021</v>
      </c>
      <c r="T1294" s="171">
        <f t="shared" si="680"/>
        <v>0</v>
      </c>
      <c r="U1294" s="171">
        <f t="shared" si="668"/>
        <v>2985643.6555183684</v>
      </c>
      <c r="V1294" s="171">
        <f t="shared" si="681"/>
        <v>0</v>
      </c>
      <c r="W1294" s="171">
        <f>IF(OR(A1294&gt;=$C$13,B1294="Retired"),IF(V1294&gt;0,-V1294,U1294-'Model Inputs'!$B$18),"")</f>
        <v>1985643.6555183684</v>
      </c>
      <c r="X1294" s="171">
        <f t="shared" si="669"/>
        <v>3797138.8119470207</v>
      </c>
      <c r="Y1294" s="171">
        <f t="shared" si="670"/>
        <v>864808.65274105361</v>
      </c>
      <c r="Z1294" s="171">
        <f t="shared" si="671"/>
        <v>2932330.1592059671</v>
      </c>
      <c r="AA1294" s="175">
        <f t="shared" si="672"/>
        <v>5917973.8147243354</v>
      </c>
      <c r="AB1294" s="5"/>
      <c r="AC1294" s="5"/>
      <c r="AD1294" s="5"/>
      <c r="AE1294" s="5"/>
      <c r="AF1294" s="5"/>
      <c r="AG1294" s="5"/>
    </row>
    <row r="1295" spans="1:33" x14ac:dyDescent="0.2">
      <c r="A1295" s="169">
        <v>27</v>
      </c>
      <c r="B1295" s="100" t="str">
        <f t="shared" si="658"/>
        <v>Retired</v>
      </c>
      <c r="C1295" s="170">
        <f t="shared" si="659"/>
        <v>0</v>
      </c>
      <c r="D1295" s="170">
        <f t="shared" si="660"/>
        <v>0</v>
      </c>
      <c r="E1295" s="170">
        <f t="shared" si="661"/>
        <v>0</v>
      </c>
      <c r="F1295" s="170">
        <f t="shared" si="662"/>
        <v>0</v>
      </c>
      <c r="G1295" s="171">
        <f t="shared" si="663"/>
        <v>0</v>
      </c>
      <c r="H1295" s="171">
        <f t="shared" si="664"/>
        <v>184754.86608078185</v>
      </c>
      <c r="I1295" s="171">
        <f>IF(B1295="Working",MIN(MAX(D1295-E1295-F1295-G1295-H1295,0),'Tax Assumptions'!$B$20),0)</f>
        <v>0</v>
      </c>
      <c r="J1295" s="171">
        <f t="shared" si="665"/>
        <v>-414754.86608078179</v>
      </c>
      <c r="K1295" s="170">
        <f t="shared" si="666"/>
        <v>414754.86608078179</v>
      </c>
      <c r="L1295" s="170">
        <f t="shared" si="667"/>
        <v>414754.86608078179</v>
      </c>
      <c r="M1295" s="170">
        <f t="shared" si="673"/>
        <v>414754.86608078179</v>
      </c>
      <c r="N1295" s="170">
        <f t="shared" si="674"/>
        <v>0</v>
      </c>
      <c r="O1295" s="170">
        <f t="shared" si="675"/>
        <v>0</v>
      </c>
      <c r="P1295" s="170">
        <f t="shared" si="676"/>
        <v>0</v>
      </c>
      <c r="Q1295" s="171">
        <f t="shared" si="677"/>
        <v>1634450.8553622239</v>
      </c>
      <c r="R1295" s="171">
        <f t="shared" si="678"/>
        <v>869575.70493259537</v>
      </c>
      <c r="S1295" s="171">
        <f t="shared" si="679"/>
        <v>246000.84847386985</v>
      </c>
      <c r="T1295" s="171">
        <f t="shared" si="680"/>
        <v>0</v>
      </c>
      <c r="U1295" s="171">
        <f t="shared" si="668"/>
        <v>2750027.4087686888</v>
      </c>
      <c r="V1295" s="171">
        <f t="shared" si="681"/>
        <v>0</v>
      </c>
      <c r="W1295" s="171">
        <f>IF(OR(A1295&gt;=$C$13,B1295="Retired"),IF(V1295&gt;0,-V1295,U1295-'Model Inputs'!$B$18),"")</f>
        <v>1750027.4087686888</v>
      </c>
      <c r="X1295" s="171">
        <f t="shared" si="669"/>
        <v>3911052.9763054312</v>
      </c>
      <c r="Y1295" s="171">
        <f t="shared" si="670"/>
        <v>821020.25286385883</v>
      </c>
      <c r="Z1295" s="171">
        <f t="shared" si="671"/>
        <v>3090032.7234415724</v>
      </c>
      <c r="AA1295" s="172">
        <f t="shared" si="672"/>
        <v>5840060.1322102612</v>
      </c>
      <c r="AB1295" s="5"/>
      <c r="AC1295" s="5"/>
      <c r="AD1295" s="5"/>
      <c r="AE1295" s="5"/>
      <c r="AF1295" s="5"/>
      <c r="AG1295" s="5"/>
    </row>
    <row r="1296" spans="1:33" x14ac:dyDescent="0.2">
      <c r="A1296" s="173">
        <v>28</v>
      </c>
      <c r="B1296" s="65" t="str">
        <f t="shared" si="658"/>
        <v>Retired</v>
      </c>
      <c r="C1296" s="174">
        <f t="shared" si="659"/>
        <v>0</v>
      </c>
      <c r="D1296" s="174">
        <f t="shared" si="660"/>
        <v>0</v>
      </c>
      <c r="E1296" s="174">
        <f t="shared" si="661"/>
        <v>0</v>
      </c>
      <c r="F1296" s="174">
        <f t="shared" si="662"/>
        <v>0</v>
      </c>
      <c r="G1296" s="171">
        <f t="shared" si="663"/>
        <v>0</v>
      </c>
      <c r="H1296" s="171">
        <f t="shared" si="664"/>
        <v>187336.16104514344</v>
      </c>
      <c r="I1296" s="171">
        <f>IF(B1296="Working",MIN(MAX(D1296-E1296-F1296-G1296-H1296,0),'Tax Assumptions'!$B$20),0)</f>
        <v>0</v>
      </c>
      <c r="J1296" s="171">
        <f t="shared" si="665"/>
        <v>-417336.16104514338</v>
      </c>
      <c r="K1296" s="174">
        <f t="shared" si="666"/>
        <v>417336.16104514338</v>
      </c>
      <c r="L1296" s="174">
        <f t="shared" si="667"/>
        <v>417336.16104514338</v>
      </c>
      <c r="M1296" s="174">
        <f t="shared" si="673"/>
        <v>417336.16104514338</v>
      </c>
      <c r="N1296" s="174">
        <f t="shared" si="674"/>
        <v>0</v>
      </c>
      <c r="O1296" s="174">
        <f t="shared" si="675"/>
        <v>0</v>
      </c>
      <c r="P1296" s="174">
        <f t="shared" si="676"/>
        <v>0</v>
      </c>
      <c r="Q1296" s="171">
        <f t="shared" si="677"/>
        <v>1315181.7456388141</v>
      </c>
      <c r="R1296" s="171">
        <f t="shared" si="678"/>
        <v>921750.24722855119</v>
      </c>
      <c r="S1296" s="171">
        <f t="shared" si="679"/>
        <v>260760.89938230204</v>
      </c>
      <c r="T1296" s="171">
        <f t="shared" si="680"/>
        <v>0</v>
      </c>
      <c r="U1296" s="171">
        <f t="shared" si="668"/>
        <v>2497692.8922496676</v>
      </c>
      <c r="V1296" s="171">
        <f t="shared" si="681"/>
        <v>0</v>
      </c>
      <c r="W1296" s="171">
        <f>IF(OR(A1296&gt;=$C$13,B1296="Retired"),IF(V1296&gt;0,-V1296,U1296-'Model Inputs'!$B$18),"")</f>
        <v>1497692.8922496676</v>
      </c>
      <c r="X1296" s="171">
        <f t="shared" si="669"/>
        <v>4028384.5655945945</v>
      </c>
      <c r="Y1296" s="171">
        <f t="shared" si="670"/>
        <v>774299.26275066007</v>
      </c>
      <c r="Z1296" s="171">
        <f t="shared" si="671"/>
        <v>3254085.3028439344</v>
      </c>
      <c r="AA1296" s="175">
        <f t="shared" si="672"/>
        <v>5751778.1950936019</v>
      </c>
      <c r="AB1296" s="5"/>
      <c r="AC1296" s="5"/>
      <c r="AD1296" s="5"/>
      <c r="AE1296" s="5"/>
      <c r="AF1296" s="5"/>
      <c r="AG1296" s="5"/>
    </row>
    <row r="1297" spans="1:33" x14ac:dyDescent="0.2">
      <c r="A1297" s="169">
        <v>29</v>
      </c>
      <c r="B1297" s="100" t="str">
        <f t="shared" si="658"/>
        <v>Retired</v>
      </c>
      <c r="C1297" s="170">
        <f t="shared" si="659"/>
        <v>0</v>
      </c>
      <c r="D1297" s="170">
        <f t="shared" si="660"/>
        <v>0</v>
      </c>
      <c r="E1297" s="170">
        <f t="shared" si="661"/>
        <v>0</v>
      </c>
      <c r="F1297" s="170">
        <f t="shared" si="662"/>
        <v>0</v>
      </c>
      <c r="G1297" s="171">
        <f t="shared" si="663"/>
        <v>0</v>
      </c>
      <c r="H1297" s="171">
        <f t="shared" si="664"/>
        <v>189994.89485843587</v>
      </c>
      <c r="I1297" s="171">
        <f>IF(B1297="Working",MIN(MAX(D1297-E1297-F1297-G1297-H1297,0),'Tax Assumptions'!$B$20),0)</f>
        <v>0</v>
      </c>
      <c r="J1297" s="171">
        <f t="shared" si="665"/>
        <v>-419994.89485843584</v>
      </c>
      <c r="K1297" s="170">
        <f t="shared" si="666"/>
        <v>419994.89485843584</v>
      </c>
      <c r="L1297" s="170">
        <f t="shared" si="667"/>
        <v>419994.89485843584</v>
      </c>
      <c r="M1297" s="170">
        <f t="shared" si="673"/>
        <v>419994.89485843584</v>
      </c>
      <c r="N1297" s="170">
        <f t="shared" si="674"/>
        <v>0</v>
      </c>
      <c r="O1297" s="170">
        <f t="shared" si="675"/>
        <v>0</v>
      </c>
      <c r="P1297" s="170">
        <f t="shared" si="676"/>
        <v>0</v>
      </c>
      <c r="Q1297" s="171">
        <f t="shared" si="677"/>
        <v>974097.7555187071</v>
      </c>
      <c r="R1297" s="171">
        <f t="shared" si="678"/>
        <v>977055.26206226426</v>
      </c>
      <c r="S1297" s="171">
        <f t="shared" si="679"/>
        <v>276406.55334524019</v>
      </c>
      <c r="T1297" s="171">
        <f t="shared" si="680"/>
        <v>0</v>
      </c>
      <c r="U1297" s="171">
        <f t="shared" si="668"/>
        <v>2227559.5709262118</v>
      </c>
      <c r="V1297" s="171">
        <f t="shared" si="681"/>
        <v>0</v>
      </c>
      <c r="W1297" s="171">
        <f>IF(OR(A1297&gt;=$C$13,B1297="Retired"),IF(V1297&gt;0,-V1297,U1297-'Model Inputs'!$B$18),"")</f>
        <v>1227559.5709262118</v>
      </c>
      <c r="X1297" s="171">
        <f t="shared" si="669"/>
        <v>4149236.1025624322</v>
      </c>
      <c r="Y1297" s="171">
        <f t="shared" si="670"/>
        <v>724449.28140218835</v>
      </c>
      <c r="Z1297" s="171">
        <f t="shared" si="671"/>
        <v>3424786.8211602438</v>
      </c>
      <c r="AA1297" s="172">
        <f t="shared" si="672"/>
        <v>5652346.3920864556</v>
      </c>
      <c r="AB1297" s="5"/>
      <c r="AC1297" s="5"/>
      <c r="AD1297" s="5"/>
      <c r="AE1297" s="5"/>
      <c r="AF1297" s="5"/>
      <c r="AG1297" s="5"/>
    </row>
    <row r="1298" spans="1:33" x14ac:dyDescent="0.2">
      <c r="A1298" s="173">
        <v>30</v>
      </c>
      <c r="B1298" s="65" t="str">
        <f t="shared" si="658"/>
        <v>Retired</v>
      </c>
      <c r="C1298" s="174">
        <f t="shared" si="659"/>
        <v>0</v>
      </c>
      <c r="D1298" s="174">
        <f t="shared" si="660"/>
        <v>0</v>
      </c>
      <c r="E1298" s="174">
        <f t="shared" si="661"/>
        <v>0</v>
      </c>
      <c r="F1298" s="174">
        <f t="shared" si="662"/>
        <v>0</v>
      </c>
      <c r="G1298" s="171">
        <f t="shared" si="663"/>
        <v>0</v>
      </c>
      <c r="H1298" s="171">
        <f t="shared" si="664"/>
        <v>192733.39068612707</v>
      </c>
      <c r="I1298" s="171">
        <f>IF(B1298="Working",MIN(MAX(D1298-E1298-F1298-G1298-H1298,0),'Tax Assumptions'!$B$20),0)</f>
        <v>0</v>
      </c>
      <c r="J1298" s="171">
        <f t="shared" si="665"/>
        <v>-422733.39068612701</v>
      </c>
      <c r="K1298" s="174">
        <f t="shared" si="666"/>
        <v>422733.39068612701</v>
      </c>
      <c r="L1298" s="174">
        <f t="shared" si="667"/>
        <v>422733.39068612701</v>
      </c>
      <c r="M1298" s="174">
        <f t="shared" si="673"/>
        <v>422733.39068612701</v>
      </c>
      <c r="N1298" s="174">
        <f t="shared" si="674"/>
        <v>0</v>
      </c>
      <c r="O1298" s="174">
        <f t="shared" si="675"/>
        <v>0</v>
      </c>
      <c r="P1298" s="174">
        <f t="shared" si="676"/>
        <v>0</v>
      </c>
      <c r="Q1298" s="171">
        <f t="shared" si="677"/>
        <v>609810.23016370262</v>
      </c>
      <c r="R1298" s="171">
        <f t="shared" si="678"/>
        <v>1035678.5777860002</v>
      </c>
      <c r="S1298" s="171">
        <f t="shared" si="679"/>
        <v>292990.94654595462</v>
      </c>
      <c r="T1298" s="171">
        <f t="shared" si="680"/>
        <v>0</v>
      </c>
      <c r="U1298" s="171">
        <f t="shared" si="668"/>
        <v>1938479.7544956573</v>
      </c>
      <c r="V1298" s="171">
        <f t="shared" si="681"/>
        <v>0</v>
      </c>
      <c r="W1298" s="171">
        <f>IF(OR(A1298&gt;=$C$13,B1298="Retired"),IF(V1298&gt;0,-V1298,U1298-'Model Inputs'!$B$18),"")</f>
        <v>938479.75449565728</v>
      </c>
      <c r="X1298" s="171">
        <f t="shared" si="669"/>
        <v>4273713.185639305</v>
      </c>
      <c r="Y1298" s="171">
        <f t="shared" si="670"/>
        <v>671260.75448051747</v>
      </c>
      <c r="Z1298" s="171">
        <f t="shared" si="671"/>
        <v>3602452.4311587876</v>
      </c>
      <c r="AA1298" s="175">
        <f t="shared" si="672"/>
        <v>5540932.1856544446</v>
      </c>
      <c r="AB1298" s="5"/>
      <c r="AC1298" s="5"/>
      <c r="AD1298" s="5"/>
      <c r="AE1298" s="5"/>
      <c r="AF1298" s="5"/>
      <c r="AG1298" s="5"/>
    </row>
    <row r="1299" spans="1:33" x14ac:dyDescent="0.2">
      <c r="A1299" s="169">
        <v>31</v>
      </c>
      <c r="B1299" s="100" t="str">
        <f t="shared" si="658"/>
        <v>Retired</v>
      </c>
      <c r="C1299" s="170">
        <f t="shared" si="659"/>
        <v>0</v>
      </c>
      <c r="D1299" s="170">
        <f t="shared" si="660"/>
        <v>0</v>
      </c>
      <c r="E1299" s="170">
        <f t="shared" si="661"/>
        <v>0</v>
      </c>
      <c r="F1299" s="170">
        <f t="shared" si="662"/>
        <v>0</v>
      </c>
      <c r="G1299" s="171">
        <f t="shared" si="663"/>
        <v>0</v>
      </c>
      <c r="H1299" s="171">
        <f t="shared" si="664"/>
        <v>195554.041388649</v>
      </c>
      <c r="I1299" s="171">
        <f>IF(B1299="Working",MIN(MAX(D1299-E1299-F1299-G1299-H1299,0),'Tax Assumptions'!$B$20),0)</f>
        <v>0</v>
      </c>
      <c r="J1299" s="171">
        <f t="shared" si="665"/>
        <v>-425554.04138864897</v>
      </c>
      <c r="K1299" s="170">
        <f t="shared" si="666"/>
        <v>425554.04138864897</v>
      </c>
      <c r="L1299" s="170">
        <f t="shared" si="667"/>
        <v>425554.04138864897</v>
      </c>
      <c r="M1299" s="170">
        <f t="shared" si="673"/>
        <v>425554.04138864897</v>
      </c>
      <c r="N1299" s="170">
        <f t="shared" si="674"/>
        <v>0</v>
      </c>
      <c r="O1299" s="170">
        <f t="shared" si="675"/>
        <v>0</v>
      </c>
      <c r="P1299" s="170">
        <f t="shared" si="676"/>
        <v>0</v>
      </c>
      <c r="Q1299" s="171">
        <f t="shared" si="677"/>
        <v>220844.8025848759</v>
      </c>
      <c r="R1299" s="171">
        <f t="shared" si="678"/>
        <v>1097819.2924531603</v>
      </c>
      <c r="S1299" s="171">
        <f t="shared" si="679"/>
        <v>310570.40333871188</v>
      </c>
      <c r="T1299" s="171">
        <f t="shared" si="680"/>
        <v>0</v>
      </c>
      <c r="U1299" s="171">
        <f t="shared" si="668"/>
        <v>1629234.4983767481</v>
      </c>
      <c r="V1299" s="171">
        <f t="shared" si="681"/>
        <v>0</v>
      </c>
      <c r="W1299" s="171">
        <f>IF(OR(A1299&gt;=$C$13,B1299="Retired"),IF(V1299&gt;0,-V1299,U1299-'Model Inputs'!$B$18),"")</f>
        <v>629234.49837674806</v>
      </c>
      <c r="X1299" s="171">
        <f t="shared" si="669"/>
        <v>4401924.5812084833</v>
      </c>
      <c r="Y1299" s="171">
        <f t="shared" si="670"/>
        <v>614510.09340561554</v>
      </c>
      <c r="Z1299" s="171">
        <f t="shared" si="671"/>
        <v>3787414.4878028678</v>
      </c>
      <c r="AA1299" s="172">
        <f t="shared" si="672"/>
        <v>5416648.9861796163</v>
      </c>
      <c r="AB1299" s="5"/>
      <c r="AC1299" s="5"/>
      <c r="AD1299" s="5"/>
      <c r="AE1299" s="5"/>
      <c r="AF1299" s="5"/>
      <c r="AG1299" s="5"/>
    </row>
    <row r="1300" spans="1:33" x14ac:dyDescent="0.2">
      <c r="A1300" s="173">
        <v>32</v>
      </c>
      <c r="B1300" s="65" t="str">
        <f t="shared" si="658"/>
        <v>Retired</v>
      </c>
      <c r="C1300" s="174">
        <f t="shared" si="659"/>
        <v>0</v>
      </c>
      <c r="D1300" s="174">
        <f t="shared" si="660"/>
        <v>0</v>
      </c>
      <c r="E1300" s="174">
        <f t="shared" si="661"/>
        <v>0</v>
      </c>
      <c r="F1300" s="174">
        <f t="shared" si="662"/>
        <v>0</v>
      </c>
      <c r="G1300" s="171">
        <f t="shared" si="663"/>
        <v>0</v>
      </c>
      <c r="H1300" s="171">
        <f t="shared" si="664"/>
        <v>198459.31161224662</v>
      </c>
      <c r="I1300" s="171">
        <f>IF(B1300="Working",MIN(MAX(D1300-E1300-F1300-G1300-H1300,0),'Tax Assumptions'!$B$20),0)</f>
        <v>0</v>
      </c>
      <c r="J1300" s="171">
        <f t="shared" si="665"/>
        <v>-428459.31161224656</v>
      </c>
      <c r="K1300" s="174">
        <f t="shared" si="666"/>
        <v>428459.31161224656</v>
      </c>
      <c r="L1300" s="174">
        <f t="shared" si="667"/>
        <v>428459.31161224656</v>
      </c>
      <c r="M1300" s="174">
        <f t="shared" si="673"/>
        <v>234095.49073996846</v>
      </c>
      <c r="N1300" s="174">
        <f t="shared" si="674"/>
        <v>194363.8208722781</v>
      </c>
      <c r="O1300" s="174">
        <f t="shared" si="675"/>
        <v>0</v>
      </c>
      <c r="P1300" s="174">
        <f t="shared" si="676"/>
        <v>0</v>
      </c>
      <c r="Q1300" s="171">
        <f t="shared" si="677"/>
        <v>0</v>
      </c>
      <c r="R1300" s="171">
        <f t="shared" si="678"/>
        <v>969324.62912807183</v>
      </c>
      <c r="S1300" s="171">
        <f t="shared" si="679"/>
        <v>329204.62753903464</v>
      </c>
      <c r="T1300" s="171">
        <f t="shared" si="680"/>
        <v>0</v>
      </c>
      <c r="U1300" s="171">
        <f t="shared" si="668"/>
        <v>1298529.2566671064</v>
      </c>
      <c r="V1300" s="171">
        <f t="shared" si="681"/>
        <v>0</v>
      </c>
      <c r="W1300" s="171">
        <f>IF(OR(A1300&gt;=$C$13,B1300="Retired"),IF(V1300&gt;0,-V1300,U1300-'Model Inputs'!$B$18),"")</f>
        <v>298529.25666710641</v>
      </c>
      <c r="X1300" s="171">
        <f t="shared" si="669"/>
        <v>4533982.3186447388</v>
      </c>
      <c r="Y1300" s="171">
        <f t="shared" si="670"/>
        <v>553958.73545615748</v>
      </c>
      <c r="Z1300" s="171">
        <f t="shared" si="671"/>
        <v>3980023.5831885813</v>
      </c>
      <c r="AA1300" s="175">
        <f t="shared" si="672"/>
        <v>5278552.8398556877</v>
      </c>
      <c r="AB1300" s="5"/>
      <c r="AC1300" s="5"/>
      <c r="AD1300" s="5"/>
      <c r="AE1300" s="5"/>
      <c r="AF1300" s="5"/>
      <c r="AG1300" s="5"/>
    </row>
    <row r="1301" spans="1:33" x14ac:dyDescent="0.2">
      <c r="A1301" s="169">
        <v>33</v>
      </c>
      <c r="B1301" s="100" t="str">
        <f t="shared" si="658"/>
        <v>Retired</v>
      </c>
      <c r="C1301" s="170">
        <f t="shared" si="659"/>
        <v>0</v>
      </c>
      <c r="D1301" s="170">
        <f t="shared" si="660"/>
        <v>0</v>
      </c>
      <c r="E1301" s="170">
        <f t="shared" si="661"/>
        <v>0</v>
      </c>
      <c r="F1301" s="170">
        <f t="shared" si="662"/>
        <v>0</v>
      </c>
      <c r="G1301" s="171">
        <f t="shared" si="663"/>
        <v>0</v>
      </c>
      <c r="H1301" s="171">
        <f t="shared" si="664"/>
        <v>201451.73994255214</v>
      </c>
      <c r="I1301" s="171">
        <f>IF(B1301="Working",MIN(MAX(D1301-E1301-F1301-G1301-H1301,0),'Tax Assumptions'!$B$20),0)</f>
        <v>0</v>
      </c>
      <c r="J1301" s="171">
        <f t="shared" si="665"/>
        <v>-431451.73994255211</v>
      </c>
      <c r="K1301" s="170">
        <f t="shared" si="666"/>
        <v>431451.73994255211</v>
      </c>
      <c r="L1301" s="170">
        <f t="shared" si="667"/>
        <v>431451.73994255211</v>
      </c>
      <c r="M1301" s="170">
        <f t="shared" si="673"/>
        <v>0</v>
      </c>
      <c r="N1301" s="170">
        <f t="shared" si="674"/>
        <v>431451.73994255211</v>
      </c>
      <c r="O1301" s="170">
        <f t="shared" si="675"/>
        <v>0</v>
      </c>
      <c r="P1301" s="170">
        <f t="shared" si="676"/>
        <v>0</v>
      </c>
      <c r="Q1301" s="171">
        <f t="shared" si="677"/>
        <v>0</v>
      </c>
      <c r="R1301" s="171">
        <f t="shared" si="678"/>
        <v>596032.366933204</v>
      </c>
      <c r="S1301" s="171">
        <f t="shared" si="679"/>
        <v>348956.90519137675</v>
      </c>
      <c r="T1301" s="171">
        <f t="shared" si="680"/>
        <v>0</v>
      </c>
      <c r="U1301" s="171">
        <f t="shared" si="668"/>
        <v>944989.27212458081</v>
      </c>
      <c r="V1301" s="171">
        <f t="shared" si="681"/>
        <v>0</v>
      </c>
      <c r="W1301" s="171">
        <f>IF(OR(A1301&gt;=$C$13,B1301="Retired"),IF(V1301&gt;0,-V1301,U1301-'Model Inputs'!$B$18),"")</f>
        <v>-55010.727875419194</v>
      </c>
      <c r="X1301" s="171">
        <f t="shared" si="669"/>
        <v>4670001.7882040814</v>
      </c>
      <c r="Y1301" s="171">
        <f t="shared" si="670"/>
        <v>489352.14092355594</v>
      </c>
      <c r="Z1301" s="171">
        <f t="shared" si="671"/>
        <v>4180649.6472805254</v>
      </c>
      <c r="AA1301" s="172">
        <f t="shared" si="672"/>
        <v>5125638.9194051065</v>
      </c>
      <c r="AB1301" s="5"/>
      <c r="AC1301" s="5"/>
      <c r="AD1301" s="5"/>
      <c r="AE1301" s="5"/>
      <c r="AF1301" s="5"/>
      <c r="AG1301" s="5"/>
    </row>
    <row r="1302" spans="1:33" x14ac:dyDescent="0.2">
      <c r="A1302" s="173">
        <v>34</v>
      </c>
      <c r="B1302" s="65" t="str">
        <f t="shared" si="658"/>
        <v>Retired</v>
      </c>
      <c r="C1302" s="174">
        <f t="shared" si="659"/>
        <v>0</v>
      </c>
      <c r="D1302" s="174">
        <f t="shared" si="660"/>
        <v>0</v>
      </c>
      <c r="E1302" s="174">
        <f t="shared" si="661"/>
        <v>0</v>
      </c>
      <c r="F1302" s="174">
        <f t="shared" si="662"/>
        <v>0</v>
      </c>
      <c r="G1302" s="171">
        <f t="shared" si="663"/>
        <v>0</v>
      </c>
      <c r="H1302" s="171">
        <f t="shared" si="664"/>
        <v>204533.94112276682</v>
      </c>
      <c r="I1302" s="171">
        <f>IF(B1302="Working",MIN(MAX(D1302-E1302-F1302-G1302-H1302,0),'Tax Assumptions'!$B$20),0)</f>
        <v>0</v>
      </c>
      <c r="J1302" s="171">
        <f t="shared" si="665"/>
        <v>-434533.94112276682</v>
      </c>
      <c r="K1302" s="174">
        <f t="shared" si="666"/>
        <v>434533.94112276682</v>
      </c>
      <c r="L1302" s="174">
        <f t="shared" si="667"/>
        <v>434533.94112276682</v>
      </c>
      <c r="M1302" s="174">
        <f t="shared" si="673"/>
        <v>0</v>
      </c>
      <c r="N1302" s="174">
        <f t="shared" si="674"/>
        <v>434533.94112276682</v>
      </c>
      <c r="O1302" s="174">
        <f t="shared" si="675"/>
        <v>0</v>
      </c>
      <c r="P1302" s="174">
        <f t="shared" si="676"/>
        <v>0</v>
      </c>
      <c r="Q1302" s="171">
        <f t="shared" si="677"/>
        <v>0</v>
      </c>
      <c r="R1302" s="171">
        <f t="shared" si="678"/>
        <v>197260.36782642943</v>
      </c>
      <c r="S1302" s="171">
        <f t="shared" si="679"/>
        <v>369894.31950285938</v>
      </c>
      <c r="T1302" s="171">
        <f t="shared" si="680"/>
        <v>0</v>
      </c>
      <c r="U1302" s="171">
        <f t="shared" si="668"/>
        <v>567154.6873292888</v>
      </c>
      <c r="V1302" s="171">
        <f t="shared" si="681"/>
        <v>0</v>
      </c>
      <c r="W1302" s="171">
        <f>IF(OR(A1302&gt;=$C$13,B1302="Retired"),IF(V1302&gt;0,-V1302,U1302-'Model Inputs'!$B$18),"")</f>
        <v>-432845.3126707112</v>
      </c>
      <c r="X1302" s="171">
        <f t="shared" si="669"/>
        <v>4810101.8418502025</v>
      </c>
      <c r="Y1302" s="171">
        <f t="shared" si="670"/>
        <v>420418.72310352977</v>
      </c>
      <c r="Z1302" s="171">
        <f t="shared" si="671"/>
        <v>4389683.1187466728</v>
      </c>
      <c r="AA1302" s="175">
        <f t="shared" si="672"/>
        <v>4956837.8060759613</v>
      </c>
      <c r="AB1302" s="5"/>
      <c r="AC1302" s="5"/>
      <c r="AD1302" s="5"/>
      <c r="AE1302" s="5"/>
      <c r="AF1302" s="5"/>
      <c r="AG1302" s="5"/>
    </row>
    <row r="1303" spans="1:33" x14ac:dyDescent="0.2">
      <c r="A1303" s="169">
        <v>35</v>
      </c>
      <c r="B1303" s="100" t="str">
        <f t="shared" si="658"/>
        <v>Retired</v>
      </c>
      <c r="C1303" s="170">
        <f t="shared" si="659"/>
        <v>0</v>
      </c>
      <c r="D1303" s="170">
        <f t="shared" si="660"/>
        <v>0</v>
      </c>
      <c r="E1303" s="170">
        <f t="shared" si="661"/>
        <v>0</v>
      </c>
      <c r="F1303" s="170">
        <f t="shared" si="662"/>
        <v>0</v>
      </c>
      <c r="G1303" s="171">
        <f t="shared" si="663"/>
        <v>0</v>
      </c>
      <c r="H1303" s="171">
        <f t="shared" si="664"/>
        <v>207708.60833838794</v>
      </c>
      <c r="I1303" s="171">
        <f>IF(B1303="Working",MIN(MAX(D1303-E1303-F1303-G1303-H1303,0),'Tax Assumptions'!$B$20),0)</f>
        <v>0</v>
      </c>
      <c r="J1303" s="171">
        <f t="shared" si="665"/>
        <v>-437708.60833838792</v>
      </c>
      <c r="K1303" s="170">
        <f t="shared" si="666"/>
        <v>437708.60833838792</v>
      </c>
      <c r="L1303" s="170">
        <f t="shared" si="667"/>
        <v>437708.60833838792</v>
      </c>
      <c r="M1303" s="170">
        <f t="shared" si="673"/>
        <v>0</v>
      </c>
      <c r="N1303" s="170">
        <f t="shared" si="674"/>
        <v>209095.98989601521</v>
      </c>
      <c r="O1303" s="170">
        <f t="shared" si="675"/>
        <v>228612.61844237271</v>
      </c>
      <c r="P1303" s="170">
        <f t="shared" si="676"/>
        <v>0</v>
      </c>
      <c r="Q1303" s="171">
        <f t="shared" si="677"/>
        <v>0</v>
      </c>
      <c r="R1303" s="171">
        <f t="shared" si="678"/>
        <v>0</v>
      </c>
      <c r="S1303" s="171">
        <f t="shared" si="679"/>
        <v>163475.36023065826</v>
      </c>
      <c r="T1303" s="171">
        <f t="shared" si="680"/>
        <v>0</v>
      </c>
      <c r="U1303" s="171">
        <f t="shared" si="668"/>
        <v>163475.36023065826</v>
      </c>
      <c r="V1303" s="171">
        <f t="shared" si="681"/>
        <v>0</v>
      </c>
      <c r="W1303" s="171">
        <f>IF(OR(A1303&gt;=$C$13,B1303="Retired"),IF(V1303&gt;0,-V1303,U1303-'Model Inputs'!$B$18),"")</f>
        <v>-836524.6397693418</v>
      </c>
      <c r="X1303" s="171">
        <f t="shared" si="669"/>
        <v>4954404.8971057087</v>
      </c>
      <c r="Y1303" s="171">
        <f t="shared" si="670"/>
        <v>346868.70662722923</v>
      </c>
      <c r="Z1303" s="171">
        <f t="shared" si="671"/>
        <v>4607536.1904784795</v>
      </c>
      <c r="AA1303" s="172">
        <f t="shared" si="672"/>
        <v>4771011.5507091377</v>
      </c>
      <c r="AB1303" s="5"/>
      <c r="AC1303" s="5"/>
      <c r="AD1303" s="5"/>
      <c r="AE1303" s="5"/>
      <c r="AF1303" s="5"/>
      <c r="AG1303" s="5"/>
    </row>
    <row r="1304" spans="1:33" x14ac:dyDescent="0.2">
      <c r="A1304" s="173">
        <v>36</v>
      </c>
      <c r="B1304" s="65" t="str">
        <f t="shared" si="658"/>
        <v>Retired</v>
      </c>
      <c r="C1304" s="174">
        <f t="shared" si="659"/>
        <v>0</v>
      </c>
      <c r="D1304" s="174">
        <f t="shared" si="660"/>
        <v>0</v>
      </c>
      <c r="E1304" s="174">
        <f t="shared" si="661"/>
        <v>0</v>
      </c>
      <c r="F1304" s="174">
        <f t="shared" si="662"/>
        <v>0</v>
      </c>
      <c r="G1304" s="171">
        <f t="shared" si="663"/>
        <v>0</v>
      </c>
      <c r="H1304" s="171">
        <f t="shared" si="664"/>
        <v>210978.51557047773</v>
      </c>
      <c r="I1304" s="171">
        <f>IF(B1304="Working",MIN(MAX(D1304-E1304-F1304-G1304-H1304,0),'Tax Assumptions'!$B$20),0)</f>
        <v>0</v>
      </c>
      <c r="J1304" s="171">
        <f t="shared" si="665"/>
        <v>-173283.88184449775</v>
      </c>
      <c r="K1304" s="174">
        <f t="shared" si="666"/>
        <v>440978.5155704777</v>
      </c>
      <c r="L1304" s="174">
        <f t="shared" si="667"/>
        <v>173283.88184449775</v>
      </c>
      <c r="M1304" s="174">
        <f t="shared" si="673"/>
        <v>0</v>
      </c>
      <c r="N1304" s="174">
        <f t="shared" si="674"/>
        <v>0</v>
      </c>
      <c r="O1304" s="174">
        <f t="shared" si="675"/>
        <v>173283.88184449775</v>
      </c>
      <c r="P1304" s="174">
        <f t="shared" si="676"/>
        <v>0</v>
      </c>
      <c r="Q1304" s="171">
        <f t="shared" si="677"/>
        <v>0</v>
      </c>
      <c r="R1304" s="171">
        <f t="shared" si="678"/>
        <v>0</v>
      </c>
      <c r="S1304" s="171">
        <f t="shared" si="679"/>
        <v>0</v>
      </c>
      <c r="T1304" s="171">
        <f t="shared" si="680"/>
        <v>0</v>
      </c>
      <c r="U1304" s="171">
        <f t="shared" si="668"/>
        <v>0</v>
      </c>
      <c r="V1304" s="171">
        <f t="shared" si="681"/>
        <v>267694.63372597995</v>
      </c>
      <c r="W1304" s="171">
        <f>IF(OR(A1304&gt;=$C$13,B1304="Retired"),IF(V1304&gt;0,-V1304,U1304-'Model Inputs'!$B$18),"")</f>
        <v>-267694.63372597995</v>
      </c>
      <c r="X1304" s="171">
        <f t="shared" si="669"/>
        <v>5103037.0440188805</v>
      </c>
      <c r="Y1304" s="171">
        <f t="shared" si="670"/>
        <v>268392.90933269542</v>
      </c>
      <c r="Z1304" s="171">
        <f t="shared" si="671"/>
        <v>4834644.134686185</v>
      </c>
      <c r="AA1304" s="175">
        <f t="shared" si="672"/>
        <v>4834644.134686185</v>
      </c>
      <c r="AB1304" s="5"/>
      <c r="AC1304" s="5"/>
      <c r="AD1304" s="5"/>
      <c r="AE1304" s="5"/>
      <c r="AF1304" s="5"/>
      <c r="AG1304" s="5"/>
    </row>
    <row r="1305" spans="1:33" x14ac:dyDescent="0.2">
      <c r="A1305" s="169">
        <v>37</v>
      </c>
      <c r="B1305" s="100" t="str">
        <f t="shared" si="658"/>
        <v>Retired</v>
      </c>
      <c r="C1305" s="170">
        <f t="shared" si="659"/>
        <v>0</v>
      </c>
      <c r="D1305" s="170">
        <f t="shared" si="660"/>
        <v>0</v>
      </c>
      <c r="E1305" s="170">
        <f t="shared" si="661"/>
        <v>0</v>
      </c>
      <c r="F1305" s="170">
        <f t="shared" si="662"/>
        <v>0</v>
      </c>
      <c r="G1305" s="171">
        <f t="shared" si="663"/>
        <v>0</v>
      </c>
      <c r="H1305" s="171">
        <f t="shared" si="664"/>
        <v>214346.5200195302</v>
      </c>
      <c r="I1305" s="171">
        <f>IF(B1305="Working",MIN(MAX(D1305-E1305-F1305-G1305-H1305,0),'Tax Assumptions'!$B$20),0)</f>
        <v>0</v>
      </c>
      <c r="J1305" s="171">
        <f t="shared" si="665"/>
        <v>0</v>
      </c>
      <c r="K1305" s="170">
        <f t="shared" si="666"/>
        <v>444346.5200195302</v>
      </c>
      <c r="L1305" s="170">
        <f t="shared" si="667"/>
        <v>0</v>
      </c>
      <c r="M1305" s="170">
        <f t="shared" si="673"/>
        <v>0</v>
      </c>
      <c r="N1305" s="170">
        <f t="shared" si="674"/>
        <v>0</v>
      </c>
      <c r="O1305" s="170">
        <f t="shared" si="675"/>
        <v>0</v>
      </c>
      <c r="P1305" s="170">
        <f t="shared" si="676"/>
        <v>0</v>
      </c>
      <c r="Q1305" s="171">
        <f t="shared" si="677"/>
        <v>0</v>
      </c>
      <c r="R1305" s="171">
        <f t="shared" si="678"/>
        <v>0</v>
      </c>
      <c r="S1305" s="171">
        <f t="shared" si="679"/>
        <v>0</v>
      </c>
      <c r="T1305" s="171">
        <f t="shared" si="680"/>
        <v>0</v>
      </c>
      <c r="U1305" s="171">
        <f t="shared" si="668"/>
        <v>0</v>
      </c>
      <c r="V1305" s="171">
        <f t="shared" si="681"/>
        <v>444346.5200195302</v>
      </c>
      <c r="W1305" s="171">
        <f>IF(OR(A1305&gt;=$C$13,B1305="Retired"),IF(V1305&gt;0,-V1305,U1305-'Model Inputs'!$B$18),"")</f>
        <v>-444346.5200195302</v>
      </c>
      <c r="X1305" s="171">
        <f t="shared" si="669"/>
        <v>5256128.1553394469</v>
      </c>
      <c r="Y1305" s="171">
        <f t="shared" si="670"/>
        <v>184661.44255596958</v>
      </c>
      <c r="Z1305" s="171">
        <f t="shared" si="671"/>
        <v>5071466.7127834773</v>
      </c>
      <c r="AA1305" s="172">
        <f t="shared" si="672"/>
        <v>5071466.7127834773</v>
      </c>
      <c r="AB1305" s="5"/>
      <c r="AC1305" s="5"/>
      <c r="AD1305" s="5"/>
      <c r="AE1305" s="5"/>
      <c r="AF1305" s="5"/>
      <c r="AG1305" s="5"/>
    </row>
    <row r="1306" spans="1:33" x14ac:dyDescent="0.2">
      <c r="A1306" s="173">
        <v>38</v>
      </c>
      <c r="B1306" s="65" t="str">
        <f t="shared" si="658"/>
        <v>Retired</v>
      </c>
      <c r="C1306" s="174">
        <f t="shared" si="659"/>
        <v>0</v>
      </c>
      <c r="D1306" s="174">
        <f t="shared" si="660"/>
        <v>0</v>
      </c>
      <c r="E1306" s="174">
        <f t="shared" si="661"/>
        <v>0</v>
      </c>
      <c r="F1306" s="174">
        <f t="shared" si="662"/>
        <v>0</v>
      </c>
      <c r="G1306" s="171">
        <f t="shared" si="663"/>
        <v>0</v>
      </c>
      <c r="H1306" s="171">
        <f t="shared" si="664"/>
        <v>217815.56460205422</v>
      </c>
      <c r="I1306" s="171">
        <f>IF(B1306="Working",MIN(MAX(D1306-E1306-F1306-G1306-H1306,0),'Tax Assumptions'!$B$20),0)</f>
        <v>0</v>
      </c>
      <c r="J1306" s="171">
        <f t="shared" si="665"/>
        <v>0</v>
      </c>
      <c r="K1306" s="174">
        <f t="shared" si="666"/>
        <v>447815.56460205419</v>
      </c>
      <c r="L1306" s="174">
        <f t="shared" si="667"/>
        <v>0</v>
      </c>
      <c r="M1306" s="174">
        <f t="shared" si="673"/>
        <v>0</v>
      </c>
      <c r="N1306" s="174">
        <f t="shared" si="674"/>
        <v>0</v>
      </c>
      <c r="O1306" s="174">
        <f t="shared" si="675"/>
        <v>0</v>
      </c>
      <c r="P1306" s="174">
        <f t="shared" si="676"/>
        <v>0</v>
      </c>
      <c r="Q1306" s="171">
        <f t="shared" si="677"/>
        <v>0</v>
      </c>
      <c r="R1306" s="171">
        <f t="shared" si="678"/>
        <v>0</v>
      </c>
      <c r="S1306" s="171">
        <f t="shared" si="679"/>
        <v>0</v>
      </c>
      <c r="T1306" s="171">
        <f t="shared" si="680"/>
        <v>0</v>
      </c>
      <c r="U1306" s="171">
        <f t="shared" si="668"/>
        <v>0</v>
      </c>
      <c r="V1306" s="171">
        <f t="shared" si="681"/>
        <v>447815.56460205419</v>
      </c>
      <c r="W1306" s="171">
        <f>IF(OR(A1306&gt;=$C$13,B1306="Retired"),IF(V1306&gt;0,-V1306,U1306-'Model Inputs'!$B$18),"")</f>
        <v>-447815.56460205419</v>
      </c>
      <c r="X1306" s="171">
        <f t="shared" si="669"/>
        <v>5413811.9999996303</v>
      </c>
      <c r="Y1306" s="171">
        <f t="shared" si="670"/>
        <v>95322.324378317222</v>
      </c>
      <c r="Z1306" s="171">
        <f t="shared" si="671"/>
        <v>5318489.675621313</v>
      </c>
      <c r="AA1306" s="175">
        <f t="shared" si="672"/>
        <v>5318489.675621313</v>
      </c>
      <c r="AB1306" s="5"/>
      <c r="AC1306" s="5"/>
      <c r="AD1306" s="5"/>
      <c r="AE1306" s="5"/>
      <c r="AF1306" s="5"/>
      <c r="AG1306" s="5"/>
    </row>
    <row r="1307" spans="1:33" x14ac:dyDescent="0.2">
      <c r="A1307" s="169">
        <v>39</v>
      </c>
      <c r="B1307" s="100" t="str">
        <f t="shared" si="658"/>
        <v>Retired</v>
      </c>
      <c r="C1307" s="170">
        <f t="shared" si="659"/>
        <v>0</v>
      </c>
      <c r="D1307" s="170">
        <f t="shared" si="660"/>
        <v>0</v>
      </c>
      <c r="E1307" s="170">
        <f t="shared" si="661"/>
        <v>0</v>
      </c>
      <c r="F1307" s="170">
        <f t="shared" si="662"/>
        <v>0</v>
      </c>
      <c r="G1307" s="171">
        <f t="shared" si="663"/>
        <v>0</v>
      </c>
      <c r="H1307" s="171">
        <f t="shared" si="664"/>
        <v>221388.68052205397</v>
      </c>
      <c r="I1307" s="171">
        <f>IF(B1307="Working",MIN(MAX(D1307-E1307-F1307-G1307-H1307,0),'Tax Assumptions'!$B$20),0)</f>
        <v>0</v>
      </c>
      <c r="J1307" s="171">
        <f t="shared" si="665"/>
        <v>0</v>
      </c>
      <c r="K1307" s="170">
        <f t="shared" si="666"/>
        <v>451388.68052205397</v>
      </c>
      <c r="L1307" s="170">
        <f t="shared" si="667"/>
        <v>0</v>
      </c>
      <c r="M1307" s="170">
        <f t="shared" si="673"/>
        <v>0</v>
      </c>
      <c r="N1307" s="170">
        <f t="shared" si="674"/>
        <v>0</v>
      </c>
      <c r="O1307" s="170">
        <f t="shared" si="675"/>
        <v>0</v>
      </c>
      <c r="P1307" s="170">
        <f t="shared" si="676"/>
        <v>0</v>
      </c>
      <c r="Q1307" s="171">
        <f t="shared" si="677"/>
        <v>0</v>
      </c>
      <c r="R1307" s="171">
        <f t="shared" si="678"/>
        <v>0</v>
      </c>
      <c r="S1307" s="171">
        <f t="shared" si="679"/>
        <v>0</v>
      </c>
      <c r="T1307" s="171">
        <f t="shared" si="680"/>
        <v>0</v>
      </c>
      <c r="U1307" s="171">
        <f t="shared" si="668"/>
        <v>0</v>
      </c>
      <c r="V1307" s="171">
        <f t="shared" si="681"/>
        <v>451388.68052205397</v>
      </c>
      <c r="W1307" s="171">
        <f>IF(OR(A1307&gt;=$C$13,B1307="Retired"),IF(V1307&gt;0,-V1307,U1307-'Model Inputs'!$B$18),"")</f>
        <v>-451388.68052205397</v>
      </c>
      <c r="X1307" s="171">
        <f t="shared" si="669"/>
        <v>5576226.3599996185</v>
      </c>
      <c r="Y1307" s="171">
        <f t="shared" si="670"/>
        <v>0</v>
      </c>
      <c r="Z1307" s="171">
        <f t="shared" si="671"/>
        <v>5576226.3599996185</v>
      </c>
      <c r="AA1307" s="172">
        <f t="shared" si="672"/>
        <v>5576226.3599996185</v>
      </c>
      <c r="AB1307" s="5"/>
      <c r="AC1307" s="5"/>
      <c r="AD1307" s="5"/>
      <c r="AE1307" s="5"/>
      <c r="AF1307" s="5"/>
      <c r="AG1307" s="5"/>
    </row>
    <row r="1308" spans="1:33" x14ac:dyDescent="0.2">
      <c r="A1308" s="173">
        <v>40</v>
      </c>
      <c r="B1308" s="65" t="str">
        <f t="shared" si="658"/>
        <v>Retired</v>
      </c>
      <c r="C1308" s="174">
        <f t="shared" si="659"/>
        <v>0</v>
      </c>
      <c r="D1308" s="174">
        <f t="shared" si="660"/>
        <v>0</v>
      </c>
      <c r="E1308" s="174">
        <f t="shared" si="661"/>
        <v>0</v>
      </c>
      <c r="F1308" s="174">
        <f t="shared" si="662"/>
        <v>0</v>
      </c>
      <c r="G1308" s="171">
        <f t="shared" si="663"/>
        <v>0</v>
      </c>
      <c r="H1308" s="171">
        <f t="shared" si="664"/>
        <v>126357.28931759135</v>
      </c>
      <c r="I1308" s="171">
        <f>IF(B1308="Working",MIN(MAX(D1308-E1308-F1308-G1308-H1308,0),'Tax Assumptions'!$B$20),0)</f>
        <v>0</v>
      </c>
      <c r="J1308" s="171">
        <f t="shared" si="665"/>
        <v>0</v>
      </c>
      <c r="K1308" s="174">
        <f t="shared" si="666"/>
        <v>356357.28931759135</v>
      </c>
      <c r="L1308" s="174">
        <f t="shared" si="667"/>
        <v>0</v>
      </c>
      <c r="M1308" s="174">
        <f t="shared" si="673"/>
        <v>0</v>
      </c>
      <c r="N1308" s="174">
        <f t="shared" si="674"/>
        <v>0</v>
      </c>
      <c r="O1308" s="174">
        <f t="shared" si="675"/>
        <v>0</v>
      </c>
      <c r="P1308" s="174">
        <f t="shared" si="676"/>
        <v>0</v>
      </c>
      <c r="Q1308" s="171">
        <f t="shared" si="677"/>
        <v>0</v>
      </c>
      <c r="R1308" s="171">
        <f t="shared" si="678"/>
        <v>0</v>
      </c>
      <c r="S1308" s="171">
        <f t="shared" si="679"/>
        <v>0</v>
      </c>
      <c r="T1308" s="171">
        <f t="shared" si="680"/>
        <v>0</v>
      </c>
      <c r="U1308" s="171">
        <f t="shared" si="668"/>
        <v>0</v>
      </c>
      <c r="V1308" s="171">
        <f t="shared" si="681"/>
        <v>356357.28931759135</v>
      </c>
      <c r="W1308" s="171">
        <f>IF(OR(A1308&gt;=$C$13,B1308="Retired"),IF(V1308&gt;0,-V1308,U1308-'Model Inputs'!$B$18),"")</f>
        <v>-356357.28931759135</v>
      </c>
      <c r="X1308" s="171">
        <f t="shared" si="669"/>
        <v>5743513.1507996069</v>
      </c>
      <c r="Y1308" s="171">
        <f t="shared" si="670"/>
        <v>0</v>
      </c>
      <c r="Z1308" s="171">
        <f t="shared" si="671"/>
        <v>5743513.1507996069</v>
      </c>
      <c r="AA1308" s="175">
        <f t="shared" si="672"/>
        <v>5743513.1507996069</v>
      </c>
      <c r="AB1308" s="5"/>
      <c r="AC1308" s="5"/>
      <c r="AD1308" s="5"/>
      <c r="AE1308" s="5"/>
      <c r="AF1308" s="5"/>
      <c r="AG1308" s="5"/>
    </row>
    <row r="1309" spans="1:33" x14ac:dyDescent="0.2">
      <c r="A1309" s="176" t="s">
        <v>369</v>
      </c>
      <c r="B1309" s="177"/>
      <c r="C1309" s="177"/>
      <c r="D1309" s="177"/>
      <c r="E1309" s="177"/>
      <c r="F1309" s="177"/>
      <c r="G1309" s="178">
        <f t="shared" ref="G1309:P1309" si="682">SUM(G1269:G1308)</f>
        <v>1123969.4013365901</v>
      </c>
      <c r="H1309" s="178">
        <f t="shared" si="682"/>
        <v>5564366.9457268957</v>
      </c>
      <c r="I1309" s="178">
        <f t="shared" si="682"/>
        <v>67500</v>
      </c>
      <c r="J1309" s="178">
        <f t="shared" si="682"/>
        <v>-6765641.4188357517</v>
      </c>
      <c r="K1309" s="178">
        <f t="shared" si="682"/>
        <v>12313597.714957668</v>
      </c>
      <c r="L1309" s="178">
        <f t="shared" si="682"/>
        <v>10345995.026770458</v>
      </c>
      <c r="M1309" s="178">
        <f t="shared" si="682"/>
        <v>8674653.0346499737</v>
      </c>
      <c r="N1309" s="178">
        <f t="shared" si="682"/>
        <v>1269445.4918336123</v>
      </c>
      <c r="O1309" s="178">
        <f t="shared" si="682"/>
        <v>401896.50028687046</v>
      </c>
      <c r="P1309" s="178">
        <f t="shared" si="682"/>
        <v>0</v>
      </c>
      <c r="Q1309" s="178">
        <f>Q1308</f>
        <v>0</v>
      </c>
      <c r="R1309" s="178">
        <f>R1308</f>
        <v>0</v>
      </c>
      <c r="S1309" s="178">
        <f>S1308</f>
        <v>0</v>
      </c>
      <c r="T1309" s="178">
        <f>T1308</f>
        <v>0</v>
      </c>
      <c r="U1309" s="178">
        <f>U1308</f>
        <v>0</v>
      </c>
      <c r="V1309" s="178">
        <f>SUM(V1269:V1308)</f>
        <v>1967602.6881872097</v>
      </c>
      <c r="W1309" s="178">
        <f>MIN(W1269:W1308)</f>
        <v>-836524.6397693418</v>
      </c>
      <c r="X1309" s="178">
        <f>X1308</f>
        <v>5743513.1507996069</v>
      </c>
      <c r="Y1309" s="178">
        <f>Y1308</f>
        <v>0</v>
      </c>
      <c r="Z1309" s="178">
        <f>Z1308</f>
        <v>5743513.1507996069</v>
      </c>
      <c r="AA1309" s="179">
        <f>AA1308</f>
        <v>5743513.1507996069</v>
      </c>
      <c r="AB1309" s="5"/>
      <c r="AC1309" s="5"/>
      <c r="AD1309" s="5"/>
      <c r="AE1309" s="5"/>
      <c r="AF1309" s="5"/>
      <c r="AG1309" s="5"/>
    </row>
    <row r="1310" spans="1:33" x14ac:dyDescent="0.2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</row>
    <row r="1311" spans="1:33" x14ac:dyDescent="0.2">
      <c r="A1311" s="319" t="str">
        <f>J251&amp;" | House "&amp;TEXT($L$251,"$#,##0")&amp;" | Spend "&amp;TEXT($N$251,"$#,##0")</f>
        <v>Case 25 | House $2,366,251 | Spend $260,000</v>
      </c>
      <c r="B1311" s="288"/>
      <c r="C1311" s="288"/>
      <c r="D1311" s="288"/>
      <c r="E1311" s="288"/>
      <c r="F1311" s="288"/>
      <c r="G1311" s="288"/>
      <c r="H1311" s="288"/>
      <c r="I1311" s="288"/>
      <c r="J1311" s="288"/>
      <c r="K1311" s="288"/>
      <c r="L1311" s="288"/>
      <c r="M1311" s="288"/>
      <c r="N1311" s="288"/>
      <c r="O1311" s="288"/>
      <c r="P1311" s="288"/>
      <c r="Q1311" s="288"/>
      <c r="R1311" s="288"/>
      <c r="S1311" s="288"/>
      <c r="T1311" s="288"/>
      <c r="U1311" s="288"/>
      <c r="V1311" s="288"/>
      <c r="W1311" s="288"/>
      <c r="X1311" s="288"/>
      <c r="Y1311" s="288"/>
      <c r="Z1311" s="288"/>
      <c r="AA1311" s="289"/>
      <c r="AB1311" s="5"/>
      <c r="AC1311" s="5"/>
      <c r="AD1311" s="5"/>
      <c r="AE1311" s="5"/>
      <c r="AF1311" s="5"/>
      <c r="AG1311" s="5"/>
    </row>
    <row r="1312" spans="1:33" ht="34" customHeight="1" x14ac:dyDescent="0.2">
      <c r="A1312" s="167" t="s">
        <v>224</v>
      </c>
      <c r="B1312" s="112" t="s">
        <v>106</v>
      </c>
      <c r="C1312" s="112" t="s">
        <v>357</v>
      </c>
      <c r="D1312" s="112" t="s">
        <v>66</v>
      </c>
      <c r="E1312" s="112" t="s">
        <v>300</v>
      </c>
      <c r="F1312" s="112" t="s">
        <v>301</v>
      </c>
      <c r="G1312" s="112" t="s">
        <v>358</v>
      </c>
      <c r="H1312" s="112" t="s">
        <v>359</v>
      </c>
      <c r="I1312" s="112" t="s">
        <v>69</v>
      </c>
      <c r="J1312" s="112" t="s">
        <v>360</v>
      </c>
      <c r="K1312" s="112" t="s">
        <v>361</v>
      </c>
      <c r="L1312" s="112" t="s">
        <v>362</v>
      </c>
      <c r="M1312" s="112" t="s">
        <v>304</v>
      </c>
      <c r="N1312" s="112" t="s">
        <v>305</v>
      </c>
      <c r="O1312" s="112" t="s">
        <v>306</v>
      </c>
      <c r="P1312" s="112" t="s">
        <v>307</v>
      </c>
      <c r="Q1312" s="112" t="s">
        <v>363</v>
      </c>
      <c r="R1312" s="112" t="s">
        <v>364</v>
      </c>
      <c r="S1312" s="112" t="s">
        <v>365</v>
      </c>
      <c r="T1312" s="112" t="s">
        <v>366</v>
      </c>
      <c r="U1312" s="112" t="s">
        <v>308</v>
      </c>
      <c r="V1312" s="112" t="s">
        <v>309</v>
      </c>
      <c r="W1312" s="112" t="s">
        <v>367</v>
      </c>
      <c r="X1312" s="112" t="s">
        <v>311</v>
      </c>
      <c r="Y1312" s="112" t="s">
        <v>312</v>
      </c>
      <c r="Z1312" s="112" t="s">
        <v>313</v>
      </c>
      <c r="AA1312" s="168" t="s">
        <v>368</v>
      </c>
      <c r="AB1312" s="5"/>
      <c r="AC1312" s="5"/>
      <c r="AD1312" s="5"/>
      <c r="AE1312" s="5"/>
      <c r="AF1312" s="5"/>
      <c r="AG1312" s="5"/>
    </row>
    <row r="1313" spans="1:33" x14ac:dyDescent="0.2">
      <c r="A1313" s="169">
        <v>1</v>
      </c>
      <c r="B1313" s="100" t="str">
        <f t="shared" ref="B1313:B1352" si="683">B80</f>
        <v>Working</v>
      </c>
      <c r="C1313" s="170">
        <f t="shared" ref="C1313:C1352" si="684">D80</f>
        <v>550000</v>
      </c>
      <c r="D1313" s="170">
        <f t="shared" ref="D1313:D1352" si="685">I80</f>
        <v>302665.46999999997</v>
      </c>
      <c r="E1313" s="170">
        <f t="shared" ref="E1313:E1352" si="686">J80</f>
        <v>78000</v>
      </c>
      <c r="F1313" s="170">
        <f t="shared" ref="F1313:F1352" si="687">K80</f>
        <v>40000</v>
      </c>
      <c r="G1313" s="171">
        <f t="shared" ref="G1313:G1352" si="688">IF(AND($L$251&gt;0,A1313=$C$13),$L$251*($C$15+$C$18),0)+IF(AND($L$251&gt;0,A1313=$C$13),$C$24,0)</f>
        <v>0</v>
      </c>
      <c r="H1313" s="171">
        <f t="shared" ref="H1313:H1352" si="689">IF(OR($L$251&lt;=0,A1313&lt;$C$13),0,IF(AND($L$251&gt;0,$C$17&gt;0,A1313&gt;=$C$13,A1313&lt;($C$13+$C$17)),IF($C$17&lt;=0,0,IF($C$16=0,MAX($L$251*(1-$C$15),0)/$C$17,-PMT($C$16/12,$C$17*12,MAX($L$251*(1-$C$15),0))*12)),0)+X1313*($C$19+$C$20+$C$21)+$C$22+$C$23)</f>
        <v>0</v>
      </c>
      <c r="I1313" s="171">
        <f>IF(B1313="Working",MIN(MAX(D1313-E1313-F1313-G1313-H1313,0),'Tax Assumptions'!$B$20),0)</f>
        <v>7500</v>
      </c>
      <c r="J1313" s="171">
        <f t="shared" ref="J1313:J1352" si="690">IF(B1313="Working",D1313-E1313-F1313-I1313-G1313-H1313,-L1313)</f>
        <v>177165.46999999997</v>
      </c>
      <c r="K1313" s="170">
        <f t="shared" ref="K1313:K1352" si="691">IF(B1313="Retired",$N$251+G1313+H1313,0)</f>
        <v>0</v>
      </c>
      <c r="L1313" s="170">
        <f t="shared" ref="L1313:L1352" si="692">M1313+N1313+O1313+P1313</f>
        <v>0</v>
      </c>
      <c r="M1313" s="170">
        <f>IF(B1313="Retired",MIN((('Savings Projection'!$B$7)*(1+$C$10)+IF(B1313="Working",J1313,0)),K1313),0)</f>
        <v>0</v>
      </c>
      <c r="N1313" s="170">
        <f>IF(B1313="Retired",MIN(MAX(K1313-M1313,0),(('Savings Projection'!$B$8)*(1+$C$10)+IF(B1313="Working",E80,0))),0)</f>
        <v>0</v>
      </c>
      <c r="O1313" s="170">
        <f>IF(B1313="Retired",MIN(MAX(K1313-M1313-N1313,0),(('Savings Projection'!$B$9)*(1+$C$10)+IF(B1313="Working",I1313,0))),0)</f>
        <v>0</v>
      </c>
      <c r="P1313" s="170">
        <f>IF(B1313="Retired",MIN(MAX(K1313-M1313-N1313-O1313,0),(('Savings Projection'!$B$10)*(1+$C$10)+IF(B1313="Working",F80,0))),0)</f>
        <v>0</v>
      </c>
      <c r="Q1313" s="171">
        <f>MAX((('Savings Projection'!$B$7)*(1+$C$10)+IF(B1313="Working",J1313,0))-M1313,0)</f>
        <v>336165.47</v>
      </c>
      <c r="R1313" s="171">
        <f>MAX((('Savings Projection'!$B$8)*(1+$C$10)+IF(B1313="Working",E80,0))-N1313,0)</f>
        <v>24500</v>
      </c>
      <c r="S1313" s="171">
        <f>MAX((('Savings Projection'!$B$9)*(1+$C$10)+IF(B1313="Working",I1313,0))-O1313,0)</f>
        <v>7500</v>
      </c>
      <c r="T1313" s="171">
        <f>MAX((('Savings Projection'!$B$10)*(1+$C$10)+IF(B1313="Working",F80,0))-P1313,0)</f>
        <v>0</v>
      </c>
      <c r="U1313" s="171">
        <f t="shared" ref="U1313:U1352" si="693">Q1313+R1313+S1313+T1313</f>
        <v>368165.47</v>
      </c>
      <c r="V1313" s="171">
        <f>IF(B1313="Working",MAX(-((('Savings Projection'!$B$7)*(1+$C$10)+IF(B1313="Working",J1313,0))),0),MAX(K1313-L1313,0))</f>
        <v>0</v>
      </c>
      <c r="W1313" s="171" t="str">
        <f>IF(OR(A1313&gt;=$C$13,B1313="Retired"),IF(V1313&gt;0,-V1313,U1313-'Model Inputs'!$B$18),"")</f>
        <v/>
      </c>
      <c r="X1313" s="171">
        <f t="shared" ref="X1313:X1352" si="694">IF(AND($L$251&gt;0,A1313&gt;=$C$13),$L$251*(1+$C$25)^(A1313-$C$13),0)</f>
        <v>0</v>
      </c>
      <c r="Y1313" s="171">
        <f t="shared" ref="Y1313:Y1352" si="695">IF(OR($L$251&lt;=0,$C$17&lt;=0,A1313&lt;$C$13,MIN(MAX((A1313-$C$13+1)*12,0),$C$17*12)&gt;=$C$17*12),0,IF($C$16=0,MAX(MAX($L$251*(1-$C$15),0)-(IF($C$17&lt;=0,0,IF($C$16=0,MAX($L$251*(1-$C$15),0)/$C$17,-PMT($C$16/12,$C$17*12,MAX($L$251*(1-$C$15),0))*12))/12)*MIN(MAX((A1313-$C$13+1)*12,0),$C$17*12),0),MAX(MAX($L$251*(1-$C$15),0)*(1+$C$16/12)^MIN(MAX((A1313-$C$13+1)*12,0),$C$17*12)-(IF($C$17&lt;=0,0,IF($C$16=0,MAX($L$251*(1-$C$15),0)/$C$17,-PMT($C$16/12,$C$17*12,MAX($L$251*(1-$C$15),0))*12))/12)*(((1+$C$16/12)^MIN(MAX((A1313-$C$13+1)*12,0),$C$17*12)-1)/($C$16/12)),0)))</f>
        <v>0</v>
      </c>
      <c r="Z1313" s="171">
        <f t="shared" ref="Z1313:Z1352" si="696">MAX(X1313-Y1313,0)</f>
        <v>0</v>
      </c>
      <c r="AA1313" s="172">
        <f t="shared" ref="AA1313:AA1352" si="697">U1313+Z1313</f>
        <v>368165.47</v>
      </c>
      <c r="AB1313" s="5"/>
      <c r="AC1313" s="5"/>
      <c r="AD1313" s="5"/>
      <c r="AE1313" s="5"/>
      <c r="AF1313" s="5"/>
      <c r="AG1313" s="5"/>
    </row>
    <row r="1314" spans="1:33" x14ac:dyDescent="0.2">
      <c r="A1314" s="173">
        <v>2</v>
      </c>
      <c r="B1314" s="65" t="str">
        <f t="shared" si="683"/>
        <v>Working</v>
      </c>
      <c r="C1314" s="174">
        <f t="shared" si="684"/>
        <v>412500</v>
      </c>
      <c r="D1314" s="174">
        <f t="shared" si="685"/>
        <v>231269.97</v>
      </c>
      <c r="E1314" s="174">
        <f t="shared" si="686"/>
        <v>80340</v>
      </c>
      <c r="F1314" s="174">
        <f t="shared" si="687"/>
        <v>41200</v>
      </c>
      <c r="G1314" s="171">
        <f t="shared" si="688"/>
        <v>0</v>
      </c>
      <c r="H1314" s="171">
        <f t="shared" si="689"/>
        <v>0</v>
      </c>
      <c r="I1314" s="171">
        <f>IF(B1314="Working",MIN(MAX(D1314-E1314-F1314-G1314-H1314,0),'Tax Assumptions'!$B$20),0)</f>
        <v>7500</v>
      </c>
      <c r="J1314" s="171">
        <f t="shared" si="690"/>
        <v>102229.97</v>
      </c>
      <c r="K1314" s="174">
        <f t="shared" si="691"/>
        <v>0</v>
      </c>
      <c r="L1314" s="174">
        <f t="shared" si="692"/>
        <v>0</v>
      </c>
      <c r="M1314" s="174">
        <f t="shared" ref="M1314:M1352" si="698">IF(B1314="Retired",MIN(((Q1313)*(1+$C$10)+IF(B1314="Working",J1314,0)),K1314),0)</f>
        <v>0</v>
      </c>
      <c r="N1314" s="174">
        <f t="shared" ref="N1314:N1352" si="699">IF(B1314="Retired",MIN(MAX(K1314-M1314,0),((R1313)*(1+$C$10)+IF(B1314="Working",E81,0))),0)</f>
        <v>0</v>
      </c>
      <c r="O1314" s="174">
        <f t="shared" ref="O1314:O1352" si="700">IF(B1314="Retired",MIN(MAX(K1314-M1314-N1314,0),((S1313)*(1+$C$10)+IF(B1314="Working",I1314,0))),0)</f>
        <v>0</v>
      </c>
      <c r="P1314" s="174">
        <f t="shared" ref="P1314:P1352" si="701">IF(B1314="Retired",MIN(MAX(K1314-M1314-N1314-O1314,0),((T1313)*(1+$C$10)+IF(B1314="Working",F81,0))),0)</f>
        <v>0</v>
      </c>
      <c r="Q1314" s="171">
        <f t="shared" ref="Q1314:Q1352" si="702">MAX(((Q1313)*(1+$C$10)+IF(B1314="Working",J1314,0))-M1314,0)</f>
        <v>458565.36820000003</v>
      </c>
      <c r="R1314" s="171">
        <f t="shared" ref="R1314:R1352" si="703">MAX(((R1313)*(1+$C$10)+IF(B1314="Working",E81,0))-N1314,0)</f>
        <v>50470</v>
      </c>
      <c r="S1314" s="171">
        <f t="shared" ref="S1314:S1352" si="704">MAX(((S1313)*(1+$C$10)+IF(B1314="Working",I1314,0))-O1314,0)</f>
        <v>15450</v>
      </c>
      <c r="T1314" s="171">
        <f t="shared" ref="T1314:T1352" si="705">MAX(((T1313)*(1+$C$10)+IF(B1314="Working",F81,0))-P1314,0)</f>
        <v>0</v>
      </c>
      <c r="U1314" s="171">
        <f t="shared" si="693"/>
        <v>524485.36820000003</v>
      </c>
      <c r="V1314" s="171">
        <f t="shared" ref="V1314:V1352" si="706">IF(B1314="Working",MAX(-(((Q1313)*(1+$C$10)+IF(B1314="Working",J1314,0))),0),MAX(K1314-L1314,0))</f>
        <v>0</v>
      </c>
      <c r="W1314" s="171" t="str">
        <f>IF(OR(A1314&gt;=$C$13,B1314="Retired"),IF(V1314&gt;0,-V1314,U1314-'Model Inputs'!$B$18),"")</f>
        <v/>
      </c>
      <c r="X1314" s="171">
        <f t="shared" si="694"/>
        <v>0</v>
      </c>
      <c r="Y1314" s="171">
        <f t="shared" si="695"/>
        <v>0</v>
      </c>
      <c r="Z1314" s="171">
        <f t="shared" si="696"/>
        <v>0</v>
      </c>
      <c r="AA1314" s="175">
        <f t="shared" si="697"/>
        <v>524485.36820000003</v>
      </c>
      <c r="AB1314" s="5"/>
      <c r="AC1314" s="5"/>
      <c r="AD1314" s="5"/>
      <c r="AE1314" s="5"/>
      <c r="AF1314" s="5"/>
      <c r="AG1314" s="5"/>
    </row>
    <row r="1315" spans="1:33" x14ac:dyDescent="0.2">
      <c r="A1315" s="169">
        <v>3</v>
      </c>
      <c r="B1315" s="100" t="str">
        <f t="shared" si="683"/>
        <v>Working</v>
      </c>
      <c r="C1315" s="170">
        <f t="shared" si="684"/>
        <v>675000</v>
      </c>
      <c r="D1315" s="170">
        <f t="shared" si="685"/>
        <v>367570.47</v>
      </c>
      <c r="E1315" s="170">
        <f t="shared" si="686"/>
        <v>82750.2</v>
      </c>
      <c r="F1315" s="170">
        <f t="shared" si="687"/>
        <v>53045</v>
      </c>
      <c r="G1315" s="171">
        <f t="shared" si="688"/>
        <v>0</v>
      </c>
      <c r="H1315" s="171">
        <f t="shared" si="689"/>
        <v>0</v>
      </c>
      <c r="I1315" s="171">
        <f>IF(B1315="Working",MIN(MAX(D1315-E1315-F1315-G1315-H1315,0),'Tax Assumptions'!$B$20),0)</f>
        <v>7500</v>
      </c>
      <c r="J1315" s="171">
        <f t="shared" si="690"/>
        <v>224275.26999999996</v>
      </c>
      <c r="K1315" s="170">
        <f t="shared" si="691"/>
        <v>0</v>
      </c>
      <c r="L1315" s="170">
        <f t="shared" si="692"/>
        <v>0</v>
      </c>
      <c r="M1315" s="170">
        <f t="shared" si="698"/>
        <v>0</v>
      </c>
      <c r="N1315" s="170">
        <f t="shared" si="699"/>
        <v>0</v>
      </c>
      <c r="O1315" s="170">
        <f t="shared" si="700"/>
        <v>0</v>
      </c>
      <c r="P1315" s="170">
        <f t="shared" si="701"/>
        <v>0</v>
      </c>
      <c r="Q1315" s="171">
        <f t="shared" si="702"/>
        <v>710354.56029199995</v>
      </c>
      <c r="R1315" s="171">
        <f t="shared" si="703"/>
        <v>77998.200000000012</v>
      </c>
      <c r="S1315" s="171">
        <f t="shared" si="704"/>
        <v>23877</v>
      </c>
      <c r="T1315" s="171">
        <f t="shared" si="705"/>
        <v>0</v>
      </c>
      <c r="U1315" s="171">
        <f t="shared" si="693"/>
        <v>812229.7602919999</v>
      </c>
      <c r="V1315" s="171">
        <f t="shared" si="706"/>
        <v>0</v>
      </c>
      <c r="W1315" s="171" t="str">
        <f>IF(OR(A1315&gt;=$C$13,B1315="Retired"),IF(V1315&gt;0,-V1315,U1315-'Model Inputs'!$B$18),"")</f>
        <v/>
      </c>
      <c r="X1315" s="171">
        <f t="shared" si="694"/>
        <v>0</v>
      </c>
      <c r="Y1315" s="171">
        <f t="shared" si="695"/>
        <v>0</v>
      </c>
      <c r="Z1315" s="171">
        <f t="shared" si="696"/>
        <v>0</v>
      </c>
      <c r="AA1315" s="172">
        <f t="shared" si="697"/>
        <v>812229.7602919999</v>
      </c>
      <c r="AB1315" s="5"/>
      <c r="AC1315" s="5"/>
      <c r="AD1315" s="5"/>
      <c r="AE1315" s="5"/>
      <c r="AF1315" s="5"/>
      <c r="AG1315" s="5"/>
    </row>
    <row r="1316" spans="1:33" x14ac:dyDescent="0.2">
      <c r="A1316" s="173">
        <v>4</v>
      </c>
      <c r="B1316" s="65" t="str">
        <f t="shared" si="683"/>
        <v>Working</v>
      </c>
      <c r="C1316" s="174">
        <f t="shared" si="684"/>
        <v>750000</v>
      </c>
      <c r="D1316" s="174">
        <f t="shared" si="685"/>
        <v>405137.47</v>
      </c>
      <c r="E1316" s="174">
        <f t="shared" si="686"/>
        <v>85232.706000000006</v>
      </c>
      <c r="F1316" s="174">
        <f t="shared" si="687"/>
        <v>54636.35</v>
      </c>
      <c r="G1316" s="171">
        <f t="shared" si="688"/>
        <v>0</v>
      </c>
      <c r="H1316" s="171">
        <f t="shared" si="689"/>
        <v>0</v>
      </c>
      <c r="I1316" s="171">
        <f>IF(B1316="Working",MIN(MAX(D1316-E1316-F1316-G1316-H1316,0),'Tax Assumptions'!$B$20),0)</f>
        <v>7500</v>
      </c>
      <c r="J1316" s="171">
        <f t="shared" si="690"/>
        <v>257768.41399999999</v>
      </c>
      <c r="K1316" s="174">
        <f t="shared" si="691"/>
        <v>0</v>
      </c>
      <c r="L1316" s="174">
        <f t="shared" si="692"/>
        <v>0</v>
      </c>
      <c r="M1316" s="174">
        <f t="shared" si="698"/>
        <v>0</v>
      </c>
      <c r="N1316" s="174">
        <f t="shared" si="699"/>
        <v>0</v>
      </c>
      <c r="O1316" s="174">
        <f t="shared" si="700"/>
        <v>0</v>
      </c>
      <c r="P1316" s="174">
        <f t="shared" si="701"/>
        <v>0</v>
      </c>
      <c r="Q1316" s="171">
        <f t="shared" si="702"/>
        <v>1010744.2479095199</v>
      </c>
      <c r="R1316" s="171">
        <f t="shared" si="703"/>
        <v>107178.09200000002</v>
      </c>
      <c r="S1316" s="171">
        <f t="shared" si="704"/>
        <v>32809.620000000003</v>
      </c>
      <c r="T1316" s="171">
        <f t="shared" si="705"/>
        <v>0</v>
      </c>
      <c r="U1316" s="171">
        <f t="shared" si="693"/>
        <v>1150731.9599095201</v>
      </c>
      <c r="V1316" s="171">
        <f t="shared" si="706"/>
        <v>0</v>
      </c>
      <c r="W1316" s="171" t="str">
        <f>IF(OR(A1316&gt;=$C$13,B1316="Retired"),IF(V1316&gt;0,-V1316,U1316-'Model Inputs'!$B$18),"")</f>
        <v/>
      </c>
      <c r="X1316" s="171">
        <f t="shared" si="694"/>
        <v>0</v>
      </c>
      <c r="Y1316" s="171">
        <f t="shared" si="695"/>
        <v>0</v>
      </c>
      <c r="Z1316" s="171">
        <f t="shared" si="696"/>
        <v>0</v>
      </c>
      <c r="AA1316" s="175">
        <f t="shared" si="697"/>
        <v>1150731.9599095201</v>
      </c>
      <c r="AB1316" s="5"/>
      <c r="AC1316" s="5"/>
      <c r="AD1316" s="5"/>
      <c r="AE1316" s="5"/>
      <c r="AF1316" s="5"/>
      <c r="AG1316" s="5"/>
    </row>
    <row r="1317" spans="1:33" x14ac:dyDescent="0.2">
      <c r="A1317" s="169">
        <v>5</v>
      </c>
      <c r="B1317" s="100" t="str">
        <f t="shared" si="683"/>
        <v>Working</v>
      </c>
      <c r="C1317" s="170">
        <f t="shared" si="684"/>
        <v>953837.51358640334</v>
      </c>
      <c r="D1317" s="170">
        <f t="shared" si="685"/>
        <v>506901.31028287602</v>
      </c>
      <c r="E1317" s="170">
        <f t="shared" si="686"/>
        <v>87789.687179999994</v>
      </c>
      <c r="F1317" s="170">
        <f t="shared" si="687"/>
        <v>56275.440499999997</v>
      </c>
      <c r="G1317" s="171">
        <f t="shared" si="688"/>
        <v>0</v>
      </c>
      <c r="H1317" s="171">
        <f t="shared" si="689"/>
        <v>0</v>
      </c>
      <c r="I1317" s="171">
        <f>IF(B1317="Working",MIN(MAX(D1317-E1317-F1317-G1317-H1317,0),'Tax Assumptions'!$B$20),0)</f>
        <v>7500</v>
      </c>
      <c r="J1317" s="171">
        <f t="shared" si="690"/>
        <v>355336.18260287598</v>
      </c>
      <c r="K1317" s="170">
        <f t="shared" si="691"/>
        <v>0</v>
      </c>
      <c r="L1317" s="170">
        <f t="shared" si="692"/>
        <v>0</v>
      </c>
      <c r="M1317" s="170">
        <f t="shared" si="698"/>
        <v>0</v>
      </c>
      <c r="N1317" s="170">
        <f t="shared" si="699"/>
        <v>0</v>
      </c>
      <c r="O1317" s="170">
        <f t="shared" si="700"/>
        <v>0</v>
      </c>
      <c r="P1317" s="170">
        <f t="shared" si="701"/>
        <v>0</v>
      </c>
      <c r="Q1317" s="171">
        <f t="shared" si="702"/>
        <v>1426725.0853869673</v>
      </c>
      <c r="R1317" s="171">
        <f t="shared" si="703"/>
        <v>138108.77752000003</v>
      </c>
      <c r="S1317" s="171">
        <f t="shared" si="704"/>
        <v>42278.197200000002</v>
      </c>
      <c r="T1317" s="171">
        <f t="shared" si="705"/>
        <v>0</v>
      </c>
      <c r="U1317" s="171">
        <f t="shared" si="693"/>
        <v>1607112.0601069673</v>
      </c>
      <c r="V1317" s="171">
        <f t="shared" si="706"/>
        <v>0</v>
      </c>
      <c r="W1317" s="171" t="str">
        <f>IF(OR(A1317&gt;=$C$13,B1317="Retired"),IF(V1317&gt;0,-V1317,U1317-'Model Inputs'!$B$18),"")</f>
        <v/>
      </c>
      <c r="X1317" s="171">
        <f t="shared" si="694"/>
        <v>0</v>
      </c>
      <c r="Y1317" s="171">
        <f t="shared" si="695"/>
        <v>0</v>
      </c>
      <c r="Z1317" s="171">
        <f t="shared" si="696"/>
        <v>0</v>
      </c>
      <c r="AA1317" s="172">
        <f t="shared" si="697"/>
        <v>1607112.0601069673</v>
      </c>
      <c r="AB1317" s="5"/>
      <c r="AC1317" s="5"/>
      <c r="AD1317" s="5"/>
      <c r="AE1317" s="5"/>
      <c r="AF1317" s="5"/>
      <c r="AG1317" s="5"/>
    </row>
    <row r="1318" spans="1:33" x14ac:dyDescent="0.2">
      <c r="A1318" s="173">
        <v>6</v>
      </c>
      <c r="B1318" s="65" t="str">
        <f t="shared" si="683"/>
        <v>Working</v>
      </c>
      <c r="C1318" s="174">
        <f t="shared" si="684"/>
        <v>1118900.665838565</v>
      </c>
      <c r="D1318" s="174">
        <f t="shared" si="685"/>
        <v>589060.11476976541</v>
      </c>
      <c r="E1318" s="174">
        <f t="shared" si="686"/>
        <v>92741.925943999988</v>
      </c>
      <c r="F1318" s="174">
        <f t="shared" si="687"/>
        <v>57963.703714999989</v>
      </c>
      <c r="G1318" s="171">
        <f t="shared" si="688"/>
        <v>0</v>
      </c>
      <c r="H1318" s="171">
        <f t="shared" si="689"/>
        <v>0</v>
      </c>
      <c r="I1318" s="171">
        <f>IF(B1318="Working",MIN(MAX(D1318-E1318-F1318-G1318-H1318,0),'Tax Assumptions'!$B$20),0)</f>
        <v>7500</v>
      </c>
      <c r="J1318" s="171">
        <f t="shared" si="690"/>
        <v>430854.48511076538</v>
      </c>
      <c r="K1318" s="174">
        <f t="shared" si="691"/>
        <v>0</v>
      </c>
      <c r="L1318" s="174">
        <f t="shared" si="692"/>
        <v>0</v>
      </c>
      <c r="M1318" s="174">
        <f t="shared" si="698"/>
        <v>0</v>
      </c>
      <c r="N1318" s="174">
        <f t="shared" si="699"/>
        <v>0</v>
      </c>
      <c r="O1318" s="174">
        <f t="shared" si="700"/>
        <v>0</v>
      </c>
      <c r="P1318" s="174">
        <f t="shared" si="701"/>
        <v>0</v>
      </c>
      <c r="Q1318" s="171">
        <f t="shared" si="702"/>
        <v>1943183.0756209507</v>
      </c>
      <c r="R1318" s="171">
        <f t="shared" si="703"/>
        <v>170895.30417120006</v>
      </c>
      <c r="S1318" s="171">
        <f t="shared" si="704"/>
        <v>52314.889032000006</v>
      </c>
      <c r="T1318" s="171">
        <f t="shared" si="705"/>
        <v>0</v>
      </c>
      <c r="U1318" s="171">
        <f t="shared" si="693"/>
        <v>2166393.2688241508</v>
      </c>
      <c r="V1318" s="171">
        <f t="shared" si="706"/>
        <v>0</v>
      </c>
      <c r="W1318" s="171" t="str">
        <f>IF(OR(A1318&gt;=$C$13,B1318="Retired"),IF(V1318&gt;0,-V1318,U1318-'Model Inputs'!$B$18),"")</f>
        <v/>
      </c>
      <c r="X1318" s="171">
        <f t="shared" si="694"/>
        <v>0</v>
      </c>
      <c r="Y1318" s="171">
        <f t="shared" si="695"/>
        <v>0</v>
      </c>
      <c r="Z1318" s="171">
        <f t="shared" si="696"/>
        <v>0</v>
      </c>
      <c r="AA1318" s="175">
        <f t="shared" si="697"/>
        <v>2166393.2688241508</v>
      </c>
      <c r="AB1318" s="5"/>
      <c r="AC1318" s="5"/>
      <c r="AD1318" s="5"/>
      <c r="AE1318" s="5"/>
      <c r="AF1318" s="5"/>
      <c r="AG1318" s="5"/>
    </row>
    <row r="1319" spans="1:33" x14ac:dyDescent="0.2">
      <c r="A1319" s="169">
        <v>7</v>
      </c>
      <c r="B1319" s="100" t="str">
        <f t="shared" si="683"/>
        <v>Working</v>
      </c>
      <c r="C1319" s="170">
        <f t="shared" si="684"/>
        <v>1418318.448466131</v>
      </c>
      <c r="D1319" s="170">
        <f t="shared" si="685"/>
        <v>730157.75065517949</v>
      </c>
      <c r="E1319" s="170">
        <f t="shared" si="686"/>
        <v>95524.183722319998</v>
      </c>
      <c r="F1319" s="170">
        <f t="shared" si="687"/>
        <v>59702.614826449993</v>
      </c>
      <c r="G1319" s="171">
        <f t="shared" si="688"/>
        <v>0</v>
      </c>
      <c r="H1319" s="171">
        <f t="shared" si="689"/>
        <v>0</v>
      </c>
      <c r="I1319" s="171">
        <f>IF(B1319="Working",MIN(MAX(D1319-E1319-F1319-G1319-H1319,0),'Tax Assumptions'!$B$20),0)</f>
        <v>7500</v>
      </c>
      <c r="J1319" s="171">
        <f t="shared" si="690"/>
        <v>567430.95210640947</v>
      </c>
      <c r="K1319" s="170">
        <f t="shared" si="691"/>
        <v>0</v>
      </c>
      <c r="L1319" s="170">
        <f t="shared" si="692"/>
        <v>0</v>
      </c>
      <c r="M1319" s="170">
        <f t="shared" si="698"/>
        <v>0</v>
      </c>
      <c r="N1319" s="170">
        <f t="shared" si="699"/>
        <v>0</v>
      </c>
      <c r="O1319" s="170">
        <f t="shared" si="700"/>
        <v>0</v>
      </c>
      <c r="P1319" s="170">
        <f t="shared" si="701"/>
        <v>0</v>
      </c>
      <c r="Q1319" s="171">
        <f t="shared" si="702"/>
        <v>2627205.0122646173</v>
      </c>
      <c r="R1319" s="171">
        <f t="shared" si="703"/>
        <v>205649.02242147207</v>
      </c>
      <c r="S1319" s="171">
        <f t="shared" si="704"/>
        <v>62953.78237392001</v>
      </c>
      <c r="T1319" s="171">
        <f t="shared" si="705"/>
        <v>0</v>
      </c>
      <c r="U1319" s="171">
        <f t="shared" si="693"/>
        <v>2895807.8170600096</v>
      </c>
      <c r="V1319" s="171">
        <f t="shared" si="706"/>
        <v>0</v>
      </c>
      <c r="W1319" s="171" t="str">
        <f>IF(OR(A1319&gt;=$C$13,B1319="Retired"),IF(V1319&gt;0,-V1319,U1319-'Model Inputs'!$B$18),"")</f>
        <v/>
      </c>
      <c r="X1319" s="171">
        <f t="shared" si="694"/>
        <v>0</v>
      </c>
      <c r="Y1319" s="171">
        <f t="shared" si="695"/>
        <v>0</v>
      </c>
      <c r="Z1319" s="171">
        <f t="shared" si="696"/>
        <v>0</v>
      </c>
      <c r="AA1319" s="172">
        <f t="shared" si="697"/>
        <v>2895807.8170600096</v>
      </c>
      <c r="AB1319" s="5"/>
      <c r="AC1319" s="5"/>
      <c r="AD1319" s="5"/>
      <c r="AE1319" s="5"/>
      <c r="AF1319" s="5"/>
      <c r="AG1319" s="5"/>
    </row>
    <row r="1320" spans="1:33" x14ac:dyDescent="0.2">
      <c r="A1320" s="173">
        <v>8</v>
      </c>
      <c r="B1320" s="65" t="str">
        <f t="shared" si="683"/>
        <v>Working</v>
      </c>
      <c r="C1320" s="174">
        <f t="shared" si="684"/>
        <v>1872205.6657868917</v>
      </c>
      <c r="D1320" s="174">
        <f t="shared" si="685"/>
        <v>944047.5629454148</v>
      </c>
      <c r="E1320" s="174">
        <f t="shared" si="686"/>
        <v>98389.909233989601</v>
      </c>
      <c r="F1320" s="174">
        <f t="shared" si="687"/>
        <v>61493.693271243501</v>
      </c>
      <c r="G1320" s="171">
        <f t="shared" si="688"/>
        <v>0</v>
      </c>
      <c r="H1320" s="171">
        <f t="shared" si="689"/>
        <v>0</v>
      </c>
      <c r="I1320" s="171">
        <f>IF(B1320="Working",MIN(MAX(D1320-E1320-F1320-G1320-H1320,0),'Tax Assumptions'!$B$20),0)</f>
        <v>7500</v>
      </c>
      <c r="J1320" s="171">
        <f t="shared" si="690"/>
        <v>776663.96044018166</v>
      </c>
      <c r="K1320" s="174">
        <f t="shared" si="691"/>
        <v>0</v>
      </c>
      <c r="L1320" s="174">
        <f t="shared" si="692"/>
        <v>0</v>
      </c>
      <c r="M1320" s="174">
        <f t="shared" si="698"/>
        <v>0</v>
      </c>
      <c r="N1320" s="174">
        <f t="shared" si="699"/>
        <v>0</v>
      </c>
      <c r="O1320" s="174">
        <f t="shared" si="700"/>
        <v>0</v>
      </c>
      <c r="P1320" s="174">
        <f t="shared" si="701"/>
        <v>0</v>
      </c>
      <c r="Q1320" s="171">
        <f t="shared" si="702"/>
        <v>3561501.2734406763</v>
      </c>
      <c r="R1320" s="171">
        <f t="shared" si="703"/>
        <v>242487.9637667604</v>
      </c>
      <c r="S1320" s="171">
        <f t="shared" si="704"/>
        <v>74231.009316355208</v>
      </c>
      <c r="T1320" s="171">
        <f t="shared" si="705"/>
        <v>0</v>
      </c>
      <c r="U1320" s="171">
        <f t="shared" si="693"/>
        <v>3878220.2465237915</v>
      </c>
      <c r="V1320" s="171">
        <f t="shared" si="706"/>
        <v>0</v>
      </c>
      <c r="W1320" s="171" t="str">
        <f>IF(OR(A1320&gt;=$C$13,B1320="Retired"),IF(V1320&gt;0,-V1320,U1320-'Model Inputs'!$B$18),"")</f>
        <v/>
      </c>
      <c r="X1320" s="171">
        <f t="shared" si="694"/>
        <v>0</v>
      </c>
      <c r="Y1320" s="171">
        <f t="shared" si="695"/>
        <v>0</v>
      </c>
      <c r="Z1320" s="171">
        <f t="shared" si="696"/>
        <v>0</v>
      </c>
      <c r="AA1320" s="175">
        <f t="shared" si="697"/>
        <v>3878220.2465237915</v>
      </c>
      <c r="AB1320" s="5"/>
      <c r="AC1320" s="5"/>
      <c r="AD1320" s="5"/>
      <c r="AE1320" s="5"/>
      <c r="AF1320" s="5"/>
      <c r="AG1320" s="5"/>
    </row>
    <row r="1321" spans="1:33" x14ac:dyDescent="0.2">
      <c r="A1321" s="169">
        <v>9</v>
      </c>
      <c r="B1321" s="100" t="str">
        <f t="shared" si="683"/>
        <v>Working</v>
      </c>
      <c r="C1321" s="170">
        <f t="shared" si="684"/>
        <v>2033969.9666232408</v>
      </c>
      <c r="D1321" s="170">
        <f t="shared" si="685"/>
        <v>1020277.372071536</v>
      </c>
      <c r="E1321" s="170">
        <f t="shared" si="686"/>
        <v>101341.60651100927</v>
      </c>
      <c r="F1321" s="170">
        <f t="shared" si="687"/>
        <v>63338.504069380797</v>
      </c>
      <c r="G1321" s="171">
        <f t="shared" si="688"/>
        <v>0</v>
      </c>
      <c r="H1321" s="171">
        <f t="shared" si="689"/>
        <v>0</v>
      </c>
      <c r="I1321" s="171">
        <f>IF(B1321="Working",MIN(MAX(D1321-E1321-F1321-G1321-H1321,0),'Tax Assumptions'!$B$20),0)</f>
        <v>7500</v>
      </c>
      <c r="J1321" s="171">
        <f t="shared" si="690"/>
        <v>848097.26149114594</v>
      </c>
      <c r="K1321" s="170">
        <f t="shared" si="691"/>
        <v>0</v>
      </c>
      <c r="L1321" s="170">
        <f t="shared" si="692"/>
        <v>0</v>
      </c>
      <c r="M1321" s="170">
        <f t="shared" si="698"/>
        <v>0</v>
      </c>
      <c r="N1321" s="170">
        <f t="shared" si="699"/>
        <v>0</v>
      </c>
      <c r="O1321" s="170">
        <f t="shared" si="700"/>
        <v>0</v>
      </c>
      <c r="P1321" s="170">
        <f t="shared" si="701"/>
        <v>0</v>
      </c>
      <c r="Q1321" s="171">
        <f t="shared" si="702"/>
        <v>4623288.6113382634</v>
      </c>
      <c r="R1321" s="171">
        <f t="shared" si="703"/>
        <v>281537.24159276602</v>
      </c>
      <c r="S1321" s="171">
        <f t="shared" si="704"/>
        <v>86184.869875336532</v>
      </c>
      <c r="T1321" s="171">
        <f t="shared" si="705"/>
        <v>0</v>
      </c>
      <c r="U1321" s="171">
        <f t="shared" si="693"/>
        <v>4991010.7228063662</v>
      </c>
      <c r="V1321" s="171">
        <f t="shared" si="706"/>
        <v>0</v>
      </c>
      <c r="W1321" s="171" t="str">
        <f>IF(OR(A1321&gt;=$C$13,B1321="Retired"),IF(V1321&gt;0,-V1321,U1321-'Model Inputs'!$B$18),"")</f>
        <v/>
      </c>
      <c r="X1321" s="171">
        <f t="shared" si="694"/>
        <v>0</v>
      </c>
      <c r="Y1321" s="171">
        <f t="shared" si="695"/>
        <v>0</v>
      </c>
      <c r="Z1321" s="171">
        <f t="shared" si="696"/>
        <v>0</v>
      </c>
      <c r="AA1321" s="172">
        <f t="shared" si="697"/>
        <v>4991010.7228063662</v>
      </c>
      <c r="AB1321" s="5"/>
      <c r="AC1321" s="5"/>
      <c r="AD1321" s="5"/>
      <c r="AE1321" s="5"/>
      <c r="AF1321" s="5"/>
      <c r="AG1321" s="5"/>
    </row>
    <row r="1322" spans="1:33" x14ac:dyDescent="0.2">
      <c r="A1322" s="173">
        <v>10</v>
      </c>
      <c r="B1322" s="65" t="str">
        <f t="shared" si="683"/>
        <v>Working</v>
      </c>
      <c r="C1322" s="174">
        <f t="shared" si="684"/>
        <v>2595495.7626410057</v>
      </c>
      <c r="D1322" s="174">
        <f t="shared" si="685"/>
        <v>1284890.7881869476</v>
      </c>
      <c r="E1322" s="174">
        <f t="shared" si="686"/>
        <v>104381.85470633955</v>
      </c>
      <c r="F1322" s="174">
        <f t="shared" si="687"/>
        <v>65238.659191462226</v>
      </c>
      <c r="G1322" s="171">
        <f t="shared" si="688"/>
        <v>1123969.4013365901</v>
      </c>
      <c r="H1322" s="171">
        <f t="shared" si="689"/>
        <v>150769.23076923075</v>
      </c>
      <c r="I1322" s="171">
        <f>IF(B1322="Working",MIN(MAX(D1322-E1322-F1322-G1322-H1322,0),'Tax Assumptions'!$B$20),0)</f>
        <v>0</v>
      </c>
      <c r="J1322" s="171">
        <f t="shared" si="690"/>
        <v>-159468.35781667498</v>
      </c>
      <c r="K1322" s="174">
        <f t="shared" si="691"/>
        <v>0</v>
      </c>
      <c r="L1322" s="174">
        <f t="shared" si="692"/>
        <v>0</v>
      </c>
      <c r="M1322" s="174">
        <f t="shared" si="698"/>
        <v>0</v>
      </c>
      <c r="N1322" s="174">
        <f t="shared" si="699"/>
        <v>0</v>
      </c>
      <c r="O1322" s="174">
        <f t="shared" si="700"/>
        <v>0</v>
      </c>
      <c r="P1322" s="174">
        <f t="shared" si="701"/>
        <v>0</v>
      </c>
      <c r="Q1322" s="171">
        <f t="shared" si="702"/>
        <v>4741217.570201885</v>
      </c>
      <c r="R1322" s="171">
        <f t="shared" si="703"/>
        <v>322929.47608833201</v>
      </c>
      <c r="S1322" s="171">
        <f t="shared" si="704"/>
        <v>91355.96206785673</v>
      </c>
      <c r="T1322" s="171">
        <f t="shared" si="705"/>
        <v>0</v>
      </c>
      <c r="U1322" s="171">
        <f t="shared" si="693"/>
        <v>5155503.0083580734</v>
      </c>
      <c r="V1322" s="171">
        <f t="shared" si="706"/>
        <v>0</v>
      </c>
      <c r="W1322" s="171">
        <f>IF(OR(A1322&gt;=$C$13,B1322="Retired"),IF(V1322&gt;0,-V1322,U1322-'Model Inputs'!$B$18),"")</f>
        <v>4155503.0083580734</v>
      </c>
      <c r="X1322" s="171">
        <f t="shared" si="694"/>
        <v>2366251.3712349264</v>
      </c>
      <c r="Y1322" s="171">
        <f t="shared" si="695"/>
        <v>1286891.7473494606</v>
      </c>
      <c r="Z1322" s="171">
        <f t="shared" si="696"/>
        <v>1079359.6238854658</v>
      </c>
      <c r="AA1322" s="175">
        <f t="shared" si="697"/>
        <v>6234862.6322435392</v>
      </c>
      <c r="AB1322" s="5"/>
      <c r="AC1322" s="5"/>
      <c r="AD1322" s="5"/>
      <c r="AE1322" s="5"/>
      <c r="AF1322" s="5"/>
      <c r="AG1322" s="5"/>
    </row>
    <row r="1323" spans="1:33" x14ac:dyDescent="0.2">
      <c r="A1323" s="169">
        <v>11</v>
      </c>
      <c r="B1323" s="100" t="str">
        <f t="shared" si="683"/>
        <v>Retired</v>
      </c>
      <c r="C1323" s="170">
        <f t="shared" si="684"/>
        <v>0</v>
      </c>
      <c r="D1323" s="170">
        <f t="shared" si="685"/>
        <v>0</v>
      </c>
      <c r="E1323" s="170">
        <f t="shared" si="686"/>
        <v>0</v>
      </c>
      <c r="F1323" s="170">
        <f t="shared" si="687"/>
        <v>0</v>
      </c>
      <c r="G1323" s="171">
        <f t="shared" si="688"/>
        <v>0</v>
      </c>
      <c r="H1323" s="171">
        <f t="shared" si="689"/>
        <v>152330.9566742458</v>
      </c>
      <c r="I1323" s="171">
        <f>IF(B1323="Working",MIN(MAX(D1323-E1323-F1323-G1323-H1323,0),'Tax Assumptions'!$B$20),0)</f>
        <v>0</v>
      </c>
      <c r="J1323" s="171">
        <f t="shared" si="690"/>
        <v>-412330.95667424577</v>
      </c>
      <c r="K1323" s="170">
        <f t="shared" si="691"/>
        <v>412330.95667424577</v>
      </c>
      <c r="L1323" s="170">
        <f t="shared" si="692"/>
        <v>412330.95667424577</v>
      </c>
      <c r="M1323" s="170">
        <f t="shared" si="698"/>
        <v>412330.95667424577</v>
      </c>
      <c r="N1323" s="170">
        <f t="shared" si="699"/>
        <v>0</v>
      </c>
      <c r="O1323" s="170">
        <f t="shared" si="700"/>
        <v>0</v>
      </c>
      <c r="P1323" s="170">
        <f t="shared" si="701"/>
        <v>0</v>
      </c>
      <c r="Q1323" s="171">
        <f t="shared" si="702"/>
        <v>4613359.6677397517</v>
      </c>
      <c r="R1323" s="171">
        <f t="shared" si="703"/>
        <v>342305.24465363193</v>
      </c>
      <c r="S1323" s="171">
        <f t="shared" si="704"/>
        <v>96837.319791928137</v>
      </c>
      <c r="T1323" s="171">
        <f t="shared" si="705"/>
        <v>0</v>
      </c>
      <c r="U1323" s="171">
        <f t="shared" si="693"/>
        <v>5052502.2321853116</v>
      </c>
      <c r="V1323" s="171">
        <f t="shared" si="706"/>
        <v>0</v>
      </c>
      <c r="W1323" s="171">
        <f>IF(OR(A1323&gt;=$C$13,B1323="Retired"),IF(V1323&gt;0,-V1323,U1323-'Model Inputs'!$B$18),"")</f>
        <v>4052502.2321853116</v>
      </c>
      <c r="X1323" s="171">
        <f t="shared" si="694"/>
        <v>2437238.9123719744</v>
      </c>
      <c r="Y1323" s="171">
        <f t="shared" si="695"/>
        <v>1271371.0340171556</v>
      </c>
      <c r="Z1323" s="171">
        <f t="shared" si="696"/>
        <v>1165867.8783548188</v>
      </c>
      <c r="AA1323" s="172">
        <f t="shared" si="697"/>
        <v>6218370.1105401302</v>
      </c>
      <c r="AB1323" s="5"/>
      <c r="AC1323" s="5"/>
      <c r="AD1323" s="5"/>
      <c r="AE1323" s="5"/>
      <c r="AF1323" s="5"/>
      <c r="AG1323" s="5"/>
    </row>
    <row r="1324" spans="1:33" x14ac:dyDescent="0.2">
      <c r="A1324" s="173">
        <v>12</v>
      </c>
      <c r="B1324" s="65" t="str">
        <f t="shared" si="683"/>
        <v>Retired</v>
      </c>
      <c r="C1324" s="174">
        <f t="shared" si="684"/>
        <v>0</v>
      </c>
      <c r="D1324" s="174">
        <f t="shared" si="685"/>
        <v>0</v>
      </c>
      <c r="E1324" s="174">
        <f t="shared" si="686"/>
        <v>0</v>
      </c>
      <c r="F1324" s="174">
        <f t="shared" si="687"/>
        <v>0</v>
      </c>
      <c r="G1324" s="171">
        <f t="shared" si="688"/>
        <v>0</v>
      </c>
      <c r="H1324" s="171">
        <f t="shared" si="689"/>
        <v>153939.53435641131</v>
      </c>
      <c r="I1324" s="171">
        <f>IF(B1324="Working",MIN(MAX(D1324-E1324-F1324-G1324-H1324,0),'Tax Assumptions'!$B$20),0)</f>
        <v>0</v>
      </c>
      <c r="J1324" s="171">
        <f t="shared" si="690"/>
        <v>-413939.53435641131</v>
      </c>
      <c r="K1324" s="174">
        <f t="shared" si="691"/>
        <v>413939.53435641131</v>
      </c>
      <c r="L1324" s="174">
        <f t="shared" si="692"/>
        <v>413939.53435641131</v>
      </c>
      <c r="M1324" s="174">
        <f t="shared" si="698"/>
        <v>413939.53435641131</v>
      </c>
      <c r="N1324" s="174">
        <f t="shared" si="699"/>
        <v>0</v>
      </c>
      <c r="O1324" s="174">
        <f t="shared" si="700"/>
        <v>0</v>
      </c>
      <c r="P1324" s="174">
        <f t="shared" si="701"/>
        <v>0</v>
      </c>
      <c r="Q1324" s="171">
        <f t="shared" si="702"/>
        <v>4476221.7134477254</v>
      </c>
      <c r="R1324" s="171">
        <f t="shared" si="703"/>
        <v>362843.55933284987</v>
      </c>
      <c r="S1324" s="171">
        <f t="shared" si="704"/>
        <v>102647.55897944383</v>
      </c>
      <c r="T1324" s="171">
        <f t="shared" si="705"/>
        <v>0</v>
      </c>
      <c r="U1324" s="171">
        <f t="shared" si="693"/>
        <v>4941712.8317600191</v>
      </c>
      <c r="V1324" s="171">
        <f t="shared" si="706"/>
        <v>0</v>
      </c>
      <c r="W1324" s="171">
        <f>IF(OR(A1324&gt;=$C$13,B1324="Retired"),IF(V1324&gt;0,-V1324,U1324-'Model Inputs'!$B$18),"")</f>
        <v>3941712.8317600191</v>
      </c>
      <c r="X1324" s="171">
        <f t="shared" si="694"/>
        <v>2510356.0797431334</v>
      </c>
      <c r="Y1324" s="171">
        <f t="shared" si="695"/>
        <v>1254810.8697685855</v>
      </c>
      <c r="Z1324" s="171">
        <f t="shared" si="696"/>
        <v>1255545.2099745478</v>
      </c>
      <c r="AA1324" s="175">
        <f t="shared" si="697"/>
        <v>6197258.0417345669</v>
      </c>
      <c r="AB1324" s="5"/>
      <c r="AC1324" s="5"/>
      <c r="AD1324" s="5"/>
      <c r="AE1324" s="5"/>
      <c r="AF1324" s="5"/>
      <c r="AG1324" s="5"/>
    </row>
    <row r="1325" spans="1:33" x14ac:dyDescent="0.2">
      <c r="A1325" s="169">
        <v>13</v>
      </c>
      <c r="B1325" s="100" t="str">
        <f t="shared" si="683"/>
        <v>Retired</v>
      </c>
      <c r="C1325" s="170">
        <f t="shared" si="684"/>
        <v>0</v>
      </c>
      <c r="D1325" s="170">
        <f t="shared" si="685"/>
        <v>0</v>
      </c>
      <c r="E1325" s="170">
        <f t="shared" si="686"/>
        <v>0</v>
      </c>
      <c r="F1325" s="170">
        <f t="shared" si="687"/>
        <v>0</v>
      </c>
      <c r="G1325" s="171">
        <f t="shared" si="688"/>
        <v>0</v>
      </c>
      <c r="H1325" s="171">
        <f t="shared" si="689"/>
        <v>155596.36936904176</v>
      </c>
      <c r="I1325" s="171">
        <f>IF(B1325="Working",MIN(MAX(D1325-E1325-F1325-G1325-H1325,0),'Tax Assumptions'!$B$20),0)</f>
        <v>0</v>
      </c>
      <c r="J1325" s="171">
        <f t="shared" si="690"/>
        <v>-415596.36936904176</v>
      </c>
      <c r="K1325" s="170">
        <f t="shared" si="691"/>
        <v>415596.36936904176</v>
      </c>
      <c r="L1325" s="170">
        <f t="shared" si="692"/>
        <v>415596.36936904176</v>
      </c>
      <c r="M1325" s="170">
        <f t="shared" si="698"/>
        <v>415596.36936904176</v>
      </c>
      <c r="N1325" s="170">
        <f t="shared" si="699"/>
        <v>0</v>
      </c>
      <c r="O1325" s="170">
        <f t="shared" si="700"/>
        <v>0</v>
      </c>
      <c r="P1325" s="170">
        <f t="shared" si="701"/>
        <v>0</v>
      </c>
      <c r="Q1325" s="171">
        <f t="shared" si="702"/>
        <v>4329198.6468855469</v>
      </c>
      <c r="R1325" s="171">
        <f t="shared" si="703"/>
        <v>384614.1728928209</v>
      </c>
      <c r="S1325" s="171">
        <f t="shared" si="704"/>
        <v>108806.41251821046</v>
      </c>
      <c r="T1325" s="171">
        <f t="shared" si="705"/>
        <v>0</v>
      </c>
      <c r="U1325" s="171">
        <f t="shared" si="693"/>
        <v>4822619.2322965786</v>
      </c>
      <c r="V1325" s="171">
        <f t="shared" si="706"/>
        <v>0</v>
      </c>
      <c r="W1325" s="171">
        <f>IF(OR(A1325&gt;=$C$13,B1325="Retired"),IF(V1325&gt;0,-V1325,U1325-'Model Inputs'!$B$18),"")</f>
        <v>3822619.2322965786</v>
      </c>
      <c r="X1325" s="171">
        <f t="shared" si="694"/>
        <v>2585666.7621354274</v>
      </c>
      <c r="Y1325" s="171">
        <f t="shared" si="695"/>
        <v>1237141.6406508228</v>
      </c>
      <c r="Z1325" s="171">
        <f t="shared" si="696"/>
        <v>1348525.1214846047</v>
      </c>
      <c r="AA1325" s="172">
        <f t="shared" si="697"/>
        <v>6171144.3537811833</v>
      </c>
      <c r="AB1325" s="5"/>
      <c r="AC1325" s="5"/>
      <c r="AD1325" s="5"/>
      <c r="AE1325" s="5"/>
      <c r="AF1325" s="5"/>
      <c r="AG1325" s="5"/>
    </row>
    <row r="1326" spans="1:33" x14ac:dyDescent="0.2">
      <c r="A1326" s="173">
        <v>14</v>
      </c>
      <c r="B1326" s="65" t="str">
        <f t="shared" si="683"/>
        <v>Retired</v>
      </c>
      <c r="C1326" s="174">
        <f t="shared" si="684"/>
        <v>0</v>
      </c>
      <c r="D1326" s="174">
        <f t="shared" si="685"/>
        <v>0</v>
      </c>
      <c r="E1326" s="174">
        <f t="shared" si="686"/>
        <v>0</v>
      </c>
      <c r="F1326" s="174">
        <f t="shared" si="687"/>
        <v>0</v>
      </c>
      <c r="G1326" s="171">
        <f t="shared" si="688"/>
        <v>0</v>
      </c>
      <c r="H1326" s="171">
        <f t="shared" si="689"/>
        <v>157302.90943205115</v>
      </c>
      <c r="I1326" s="171">
        <f>IF(B1326="Working",MIN(MAX(D1326-E1326-F1326-G1326-H1326,0),'Tax Assumptions'!$B$20),0)</f>
        <v>0</v>
      </c>
      <c r="J1326" s="171">
        <f t="shared" si="690"/>
        <v>-417302.90943205112</v>
      </c>
      <c r="K1326" s="174">
        <f t="shared" si="691"/>
        <v>417302.90943205112</v>
      </c>
      <c r="L1326" s="174">
        <f t="shared" si="692"/>
        <v>417302.90943205112</v>
      </c>
      <c r="M1326" s="174">
        <f t="shared" si="698"/>
        <v>417302.90943205112</v>
      </c>
      <c r="N1326" s="174">
        <f t="shared" si="699"/>
        <v>0</v>
      </c>
      <c r="O1326" s="174">
        <f t="shared" si="700"/>
        <v>0</v>
      </c>
      <c r="P1326" s="174">
        <f t="shared" si="701"/>
        <v>0</v>
      </c>
      <c r="Q1326" s="171">
        <f t="shared" si="702"/>
        <v>4171647.6562666283</v>
      </c>
      <c r="R1326" s="171">
        <f t="shared" si="703"/>
        <v>407691.0232663902</v>
      </c>
      <c r="S1326" s="171">
        <f t="shared" si="704"/>
        <v>115334.79726930309</v>
      </c>
      <c r="T1326" s="171">
        <f t="shared" si="705"/>
        <v>0</v>
      </c>
      <c r="U1326" s="171">
        <f t="shared" si="693"/>
        <v>4694673.4768023221</v>
      </c>
      <c r="V1326" s="171">
        <f t="shared" si="706"/>
        <v>0</v>
      </c>
      <c r="W1326" s="171">
        <f>IF(OR(A1326&gt;=$C$13,B1326="Retired"),IF(V1326&gt;0,-V1326,U1326-'Model Inputs'!$B$18),"")</f>
        <v>3694673.4768023221</v>
      </c>
      <c r="X1326" s="171">
        <f t="shared" si="694"/>
        <v>2663236.7649994902</v>
      </c>
      <c r="Y1326" s="171">
        <f t="shared" si="695"/>
        <v>1218289.0705355857</v>
      </c>
      <c r="Z1326" s="171">
        <f t="shared" si="696"/>
        <v>1444947.6944639045</v>
      </c>
      <c r="AA1326" s="175">
        <f t="shared" si="697"/>
        <v>6139621.1712662261</v>
      </c>
      <c r="AB1326" s="5"/>
      <c r="AC1326" s="5"/>
      <c r="AD1326" s="5"/>
      <c r="AE1326" s="5"/>
      <c r="AF1326" s="5"/>
      <c r="AG1326" s="5"/>
    </row>
    <row r="1327" spans="1:33" x14ac:dyDescent="0.2">
      <c r="A1327" s="169">
        <v>15</v>
      </c>
      <c r="B1327" s="100" t="str">
        <f t="shared" si="683"/>
        <v>Retired</v>
      </c>
      <c r="C1327" s="170">
        <f t="shared" si="684"/>
        <v>0</v>
      </c>
      <c r="D1327" s="170">
        <f t="shared" si="685"/>
        <v>0</v>
      </c>
      <c r="E1327" s="170">
        <f t="shared" si="686"/>
        <v>0</v>
      </c>
      <c r="F1327" s="170">
        <f t="shared" si="687"/>
        <v>0</v>
      </c>
      <c r="G1327" s="171">
        <f t="shared" si="688"/>
        <v>0</v>
      </c>
      <c r="H1327" s="171">
        <f t="shared" si="689"/>
        <v>159060.64569695081</v>
      </c>
      <c r="I1327" s="171">
        <f>IF(B1327="Working",MIN(MAX(D1327-E1327-F1327-G1327-H1327,0),'Tax Assumptions'!$B$20),0)</f>
        <v>0</v>
      </c>
      <c r="J1327" s="171">
        <f t="shared" si="690"/>
        <v>-419060.64569695084</v>
      </c>
      <c r="K1327" s="170">
        <f t="shared" si="691"/>
        <v>419060.64569695084</v>
      </c>
      <c r="L1327" s="170">
        <f t="shared" si="692"/>
        <v>419060.64569695084</v>
      </c>
      <c r="M1327" s="170">
        <f t="shared" si="698"/>
        <v>419060.64569695084</v>
      </c>
      <c r="N1327" s="170">
        <f t="shared" si="699"/>
        <v>0</v>
      </c>
      <c r="O1327" s="170">
        <f t="shared" si="700"/>
        <v>0</v>
      </c>
      <c r="P1327" s="170">
        <f t="shared" si="701"/>
        <v>0</v>
      </c>
      <c r="Q1327" s="171">
        <f t="shared" si="702"/>
        <v>4002885.8699456751</v>
      </c>
      <c r="R1327" s="171">
        <f t="shared" si="703"/>
        <v>432152.48466237361</v>
      </c>
      <c r="S1327" s="171">
        <f t="shared" si="704"/>
        <v>122254.88510546128</v>
      </c>
      <c r="T1327" s="171">
        <f t="shared" si="705"/>
        <v>0</v>
      </c>
      <c r="U1327" s="171">
        <f t="shared" si="693"/>
        <v>4557293.2397135096</v>
      </c>
      <c r="V1327" s="171">
        <f t="shared" si="706"/>
        <v>0</v>
      </c>
      <c r="W1327" s="171">
        <f>IF(OR(A1327&gt;=$C$13,B1327="Retired"),IF(V1327&gt;0,-V1327,U1327-'Model Inputs'!$B$18),"")</f>
        <v>3557293.2397135096</v>
      </c>
      <c r="X1327" s="171">
        <f t="shared" si="694"/>
        <v>2743133.8679494746</v>
      </c>
      <c r="Y1327" s="171">
        <f t="shared" si="695"/>
        <v>1198173.9088847237</v>
      </c>
      <c r="Z1327" s="171">
        <f t="shared" si="696"/>
        <v>1544959.9590647509</v>
      </c>
      <c r="AA1327" s="172">
        <f t="shared" si="697"/>
        <v>6102253.1987782605</v>
      </c>
      <c r="AB1327" s="5"/>
      <c r="AC1327" s="5"/>
      <c r="AD1327" s="5"/>
      <c r="AE1327" s="5"/>
      <c r="AF1327" s="5"/>
      <c r="AG1327" s="5"/>
    </row>
    <row r="1328" spans="1:33" x14ac:dyDescent="0.2">
      <c r="A1328" s="173">
        <v>16</v>
      </c>
      <c r="B1328" s="65" t="str">
        <f t="shared" si="683"/>
        <v>Retired</v>
      </c>
      <c r="C1328" s="174">
        <f t="shared" si="684"/>
        <v>0</v>
      </c>
      <c r="D1328" s="174">
        <f t="shared" si="685"/>
        <v>0</v>
      </c>
      <c r="E1328" s="174">
        <f t="shared" si="686"/>
        <v>0</v>
      </c>
      <c r="F1328" s="174">
        <f t="shared" si="687"/>
        <v>0</v>
      </c>
      <c r="G1328" s="171">
        <f t="shared" si="688"/>
        <v>0</v>
      </c>
      <c r="H1328" s="171">
        <f t="shared" si="689"/>
        <v>160871.11404979747</v>
      </c>
      <c r="I1328" s="171">
        <f>IF(B1328="Working",MIN(MAX(D1328-E1328-F1328-G1328-H1328,0),'Tax Assumptions'!$B$20),0)</f>
        <v>0</v>
      </c>
      <c r="J1328" s="171">
        <f t="shared" si="690"/>
        <v>-420871.11404979747</v>
      </c>
      <c r="K1328" s="174">
        <f t="shared" si="691"/>
        <v>420871.11404979747</v>
      </c>
      <c r="L1328" s="174">
        <f t="shared" si="692"/>
        <v>420871.11404979747</v>
      </c>
      <c r="M1328" s="174">
        <f t="shared" si="698"/>
        <v>420871.11404979747</v>
      </c>
      <c r="N1328" s="174">
        <f t="shared" si="699"/>
        <v>0</v>
      </c>
      <c r="O1328" s="174">
        <f t="shared" si="700"/>
        <v>0</v>
      </c>
      <c r="P1328" s="174">
        <f t="shared" si="701"/>
        <v>0</v>
      </c>
      <c r="Q1328" s="171">
        <f t="shared" si="702"/>
        <v>3822187.9080926185</v>
      </c>
      <c r="R1328" s="171">
        <f t="shared" si="703"/>
        <v>458081.63374211604</v>
      </c>
      <c r="S1328" s="171">
        <f t="shared" si="704"/>
        <v>129590.17821178895</v>
      </c>
      <c r="T1328" s="171">
        <f t="shared" si="705"/>
        <v>0</v>
      </c>
      <c r="U1328" s="171">
        <f t="shared" si="693"/>
        <v>4409859.720046523</v>
      </c>
      <c r="V1328" s="171">
        <f t="shared" si="706"/>
        <v>0</v>
      </c>
      <c r="W1328" s="171">
        <f>IF(OR(A1328&gt;=$C$13,B1328="Retired"),IF(V1328&gt;0,-V1328,U1328-'Model Inputs'!$B$18),"")</f>
        <v>3409859.720046523</v>
      </c>
      <c r="X1328" s="171">
        <f t="shared" si="694"/>
        <v>2825427.883987959</v>
      </c>
      <c r="Y1328" s="171">
        <f t="shared" si="695"/>
        <v>1176711.5976047725</v>
      </c>
      <c r="Z1328" s="171">
        <f t="shared" si="696"/>
        <v>1648716.2863831865</v>
      </c>
      <c r="AA1328" s="175">
        <f t="shared" si="697"/>
        <v>6058576.0064297095</v>
      </c>
      <c r="AB1328" s="5"/>
      <c r="AC1328" s="5"/>
      <c r="AD1328" s="5"/>
      <c r="AE1328" s="5"/>
      <c r="AF1328" s="5"/>
      <c r="AG1328" s="5"/>
    </row>
    <row r="1329" spans="1:33" x14ac:dyDescent="0.2">
      <c r="A1329" s="169">
        <v>17</v>
      </c>
      <c r="B1329" s="100" t="str">
        <f t="shared" si="683"/>
        <v>Retired</v>
      </c>
      <c r="C1329" s="170">
        <f t="shared" si="684"/>
        <v>0</v>
      </c>
      <c r="D1329" s="170">
        <f t="shared" si="685"/>
        <v>0</v>
      </c>
      <c r="E1329" s="170">
        <f t="shared" si="686"/>
        <v>0</v>
      </c>
      <c r="F1329" s="170">
        <f t="shared" si="687"/>
        <v>0</v>
      </c>
      <c r="G1329" s="171">
        <f t="shared" si="688"/>
        <v>0</v>
      </c>
      <c r="H1329" s="171">
        <f t="shared" si="689"/>
        <v>162735.89645322954</v>
      </c>
      <c r="I1329" s="171">
        <f>IF(B1329="Working",MIN(MAX(D1329-E1329-F1329-G1329-H1329,0),'Tax Assumptions'!$B$20),0)</f>
        <v>0</v>
      </c>
      <c r="J1329" s="171">
        <f t="shared" si="690"/>
        <v>-422735.89645322954</v>
      </c>
      <c r="K1329" s="170">
        <f t="shared" si="691"/>
        <v>422735.89645322954</v>
      </c>
      <c r="L1329" s="170">
        <f t="shared" si="692"/>
        <v>422735.89645322954</v>
      </c>
      <c r="M1329" s="170">
        <f t="shared" si="698"/>
        <v>422735.89645322954</v>
      </c>
      <c r="N1329" s="170">
        <f t="shared" si="699"/>
        <v>0</v>
      </c>
      <c r="O1329" s="170">
        <f t="shared" si="700"/>
        <v>0</v>
      </c>
      <c r="P1329" s="170">
        <f t="shared" si="701"/>
        <v>0</v>
      </c>
      <c r="Q1329" s="171">
        <f t="shared" si="702"/>
        <v>3628783.2861249461</v>
      </c>
      <c r="R1329" s="171">
        <f t="shared" si="703"/>
        <v>485566.53176664305</v>
      </c>
      <c r="S1329" s="171">
        <f t="shared" si="704"/>
        <v>137365.58890449628</v>
      </c>
      <c r="T1329" s="171">
        <f t="shared" si="705"/>
        <v>0</v>
      </c>
      <c r="U1329" s="171">
        <f t="shared" si="693"/>
        <v>4251715.4067960856</v>
      </c>
      <c r="V1329" s="171">
        <f t="shared" si="706"/>
        <v>0</v>
      </c>
      <c r="W1329" s="171">
        <f>IF(OR(A1329&gt;=$C$13,B1329="Retired"),IF(V1329&gt;0,-V1329,U1329-'Model Inputs'!$B$18),"")</f>
        <v>3251715.4067960856</v>
      </c>
      <c r="X1329" s="171">
        <f t="shared" si="694"/>
        <v>2910190.720507598</v>
      </c>
      <c r="Y1329" s="171">
        <f t="shared" si="695"/>
        <v>1153811.9155901484</v>
      </c>
      <c r="Z1329" s="171">
        <f t="shared" si="696"/>
        <v>1756378.8049174496</v>
      </c>
      <c r="AA1329" s="172">
        <f t="shared" si="697"/>
        <v>6008094.2117135357</v>
      </c>
      <c r="AB1329" s="5"/>
      <c r="AC1329" s="5"/>
      <c r="AD1329" s="5"/>
      <c r="AE1329" s="5"/>
      <c r="AF1329" s="5"/>
      <c r="AG1329" s="5"/>
    </row>
    <row r="1330" spans="1:33" x14ac:dyDescent="0.2">
      <c r="A1330" s="173">
        <v>18</v>
      </c>
      <c r="B1330" s="65" t="str">
        <f t="shared" si="683"/>
        <v>Retired</v>
      </c>
      <c r="C1330" s="174">
        <f t="shared" si="684"/>
        <v>0</v>
      </c>
      <c r="D1330" s="174">
        <f t="shared" si="685"/>
        <v>0</v>
      </c>
      <c r="E1330" s="174">
        <f t="shared" si="686"/>
        <v>0</v>
      </c>
      <c r="F1330" s="174">
        <f t="shared" si="687"/>
        <v>0</v>
      </c>
      <c r="G1330" s="171">
        <f t="shared" si="688"/>
        <v>0</v>
      </c>
      <c r="H1330" s="171">
        <f t="shared" si="689"/>
        <v>164656.62232876453</v>
      </c>
      <c r="I1330" s="171">
        <f>IF(B1330="Working",MIN(MAX(D1330-E1330-F1330-G1330-H1330,0),'Tax Assumptions'!$B$20),0)</f>
        <v>0</v>
      </c>
      <c r="J1330" s="171">
        <f t="shared" si="690"/>
        <v>-424656.62232876453</v>
      </c>
      <c r="K1330" s="174">
        <f t="shared" si="691"/>
        <v>424656.62232876453</v>
      </c>
      <c r="L1330" s="174">
        <f t="shared" si="692"/>
        <v>424656.62232876453</v>
      </c>
      <c r="M1330" s="174">
        <f t="shared" si="698"/>
        <v>424656.62232876453</v>
      </c>
      <c r="N1330" s="174">
        <f t="shared" si="699"/>
        <v>0</v>
      </c>
      <c r="O1330" s="174">
        <f t="shared" si="700"/>
        <v>0</v>
      </c>
      <c r="P1330" s="174">
        <f t="shared" si="701"/>
        <v>0</v>
      </c>
      <c r="Q1330" s="171">
        <f t="shared" si="702"/>
        <v>3421853.6609636787</v>
      </c>
      <c r="R1330" s="171">
        <f t="shared" si="703"/>
        <v>514700.52367264166</v>
      </c>
      <c r="S1330" s="171">
        <f t="shared" si="704"/>
        <v>145607.52423876605</v>
      </c>
      <c r="T1330" s="171">
        <f t="shared" si="705"/>
        <v>0</v>
      </c>
      <c r="U1330" s="171">
        <f t="shared" si="693"/>
        <v>4082161.7088750866</v>
      </c>
      <c r="V1330" s="171">
        <f t="shared" si="706"/>
        <v>0</v>
      </c>
      <c r="W1330" s="171">
        <f>IF(OR(A1330&gt;=$C$13,B1330="Retired"),IF(V1330&gt;0,-V1330,U1330-'Model Inputs'!$B$18),"")</f>
        <v>3082161.7088750866</v>
      </c>
      <c r="X1330" s="171">
        <f t="shared" si="694"/>
        <v>2997496.4421228254</v>
      </c>
      <c r="Y1330" s="171">
        <f t="shared" si="695"/>
        <v>1129378.5994607357</v>
      </c>
      <c r="Z1330" s="171">
        <f t="shared" si="696"/>
        <v>1868117.8426620897</v>
      </c>
      <c r="AA1330" s="175">
        <f t="shared" si="697"/>
        <v>5950279.5515371766</v>
      </c>
      <c r="AB1330" s="5"/>
      <c r="AC1330" s="5"/>
      <c r="AD1330" s="5"/>
      <c r="AE1330" s="5"/>
      <c r="AF1330" s="5"/>
      <c r="AG1330" s="5"/>
    </row>
    <row r="1331" spans="1:33" x14ac:dyDescent="0.2">
      <c r="A1331" s="169">
        <v>19</v>
      </c>
      <c r="B1331" s="100" t="str">
        <f t="shared" si="683"/>
        <v>Retired</v>
      </c>
      <c r="C1331" s="170">
        <f t="shared" si="684"/>
        <v>0</v>
      </c>
      <c r="D1331" s="170">
        <f t="shared" si="685"/>
        <v>0</v>
      </c>
      <c r="E1331" s="170">
        <f t="shared" si="686"/>
        <v>0</v>
      </c>
      <c r="F1331" s="170">
        <f t="shared" si="687"/>
        <v>0</v>
      </c>
      <c r="G1331" s="171">
        <f t="shared" si="688"/>
        <v>0</v>
      </c>
      <c r="H1331" s="171">
        <f t="shared" si="689"/>
        <v>166634.9699805656</v>
      </c>
      <c r="I1331" s="171">
        <f>IF(B1331="Working",MIN(MAX(D1331-E1331-F1331-G1331-H1331,0),'Tax Assumptions'!$B$20),0)</f>
        <v>0</v>
      </c>
      <c r="J1331" s="171">
        <f t="shared" si="690"/>
        <v>-426634.9699805656</v>
      </c>
      <c r="K1331" s="170">
        <f t="shared" si="691"/>
        <v>426634.9699805656</v>
      </c>
      <c r="L1331" s="170">
        <f t="shared" si="692"/>
        <v>426634.9699805656</v>
      </c>
      <c r="M1331" s="170">
        <f t="shared" si="698"/>
        <v>426634.9699805656</v>
      </c>
      <c r="N1331" s="170">
        <f t="shared" si="699"/>
        <v>0</v>
      </c>
      <c r="O1331" s="170">
        <f t="shared" si="700"/>
        <v>0</v>
      </c>
      <c r="P1331" s="170">
        <f t="shared" si="701"/>
        <v>0</v>
      </c>
      <c r="Q1331" s="171">
        <f t="shared" si="702"/>
        <v>3200529.9106409345</v>
      </c>
      <c r="R1331" s="171">
        <f t="shared" si="703"/>
        <v>545582.55509300018</v>
      </c>
      <c r="S1331" s="171">
        <f t="shared" si="704"/>
        <v>154343.97569309201</v>
      </c>
      <c r="T1331" s="171">
        <f t="shared" si="705"/>
        <v>0</v>
      </c>
      <c r="U1331" s="171">
        <f t="shared" si="693"/>
        <v>3900456.4414270269</v>
      </c>
      <c r="V1331" s="171">
        <f t="shared" si="706"/>
        <v>0</v>
      </c>
      <c r="W1331" s="171">
        <f>IF(OR(A1331&gt;=$C$13,B1331="Retired"),IF(V1331&gt;0,-V1331,U1331-'Model Inputs'!$B$18),"")</f>
        <v>2900456.4414270269</v>
      </c>
      <c r="X1331" s="171">
        <f t="shared" si="694"/>
        <v>3087421.3353865105</v>
      </c>
      <c r="Y1331" s="171">
        <f t="shared" si="695"/>
        <v>1103308.9388995722</v>
      </c>
      <c r="Z1331" s="171">
        <f t="shared" si="696"/>
        <v>1984112.3964869382</v>
      </c>
      <c r="AA1331" s="172">
        <f t="shared" si="697"/>
        <v>5884568.8379139649</v>
      </c>
      <c r="AB1331" s="5"/>
      <c r="AC1331" s="5"/>
      <c r="AD1331" s="5"/>
      <c r="AE1331" s="5"/>
      <c r="AF1331" s="5"/>
      <c r="AG1331" s="5"/>
    </row>
    <row r="1332" spans="1:33" x14ac:dyDescent="0.2">
      <c r="A1332" s="173">
        <v>20</v>
      </c>
      <c r="B1332" s="65" t="str">
        <f t="shared" si="683"/>
        <v>Retired</v>
      </c>
      <c r="C1332" s="174">
        <f t="shared" si="684"/>
        <v>0</v>
      </c>
      <c r="D1332" s="174">
        <f t="shared" si="685"/>
        <v>0</v>
      </c>
      <c r="E1332" s="174">
        <f t="shared" si="686"/>
        <v>0</v>
      </c>
      <c r="F1332" s="174">
        <f t="shared" si="687"/>
        <v>0</v>
      </c>
      <c r="G1332" s="171">
        <f t="shared" si="688"/>
        <v>0</v>
      </c>
      <c r="H1332" s="171">
        <f t="shared" si="689"/>
        <v>168672.66806192067</v>
      </c>
      <c r="I1332" s="171">
        <f>IF(B1332="Working",MIN(MAX(D1332-E1332-F1332-G1332-H1332,0),'Tax Assumptions'!$B$20),0)</f>
        <v>0</v>
      </c>
      <c r="J1332" s="171">
        <f t="shared" si="690"/>
        <v>-428672.66806192067</v>
      </c>
      <c r="K1332" s="174">
        <f t="shared" si="691"/>
        <v>428672.66806192067</v>
      </c>
      <c r="L1332" s="174">
        <f t="shared" si="692"/>
        <v>428672.66806192067</v>
      </c>
      <c r="M1332" s="174">
        <f t="shared" si="698"/>
        <v>428672.66806192067</v>
      </c>
      <c r="N1332" s="174">
        <f t="shared" si="699"/>
        <v>0</v>
      </c>
      <c r="O1332" s="174">
        <f t="shared" si="700"/>
        <v>0</v>
      </c>
      <c r="P1332" s="174">
        <f t="shared" si="701"/>
        <v>0</v>
      </c>
      <c r="Q1332" s="171">
        <f t="shared" si="702"/>
        <v>2963889.0372174699</v>
      </c>
      <c r="R1332" s="171">
        <f t="shared" si="703"/>
        <v>578317.50839858025</v>
      </c>
      <c r="S1332" s="171">
        <f t="shared" si="704"/>
        <v>163604.61423467755</v>
      </c>
      <c r="T1332" s="171">
        <f t="shared" si="705"/>
        <v>0</v>
      </c>
      <c r="U1332" s="171">
        <f t="shared" si="693"/>
        <v>3705811.1598507278</v>
      </c>
      <c r="V1332" s="171">
        <f t="shared" si="706"/>
        <v>0</v>
      </c>
      <c r="W1332" s="171">
        <f>IF(OR(A1332&gt;=$C$13,B1332="Retired"),IF(V1332&gt;0,-V1332,U1332-'Model Inputs'!$B$18),"")</f>
        <v>2705811.1598507278</v>
      </c>
      <c r="X1332" s="171">
        <f t="shared" si="694"/>
        <v>3180043.9754481055</v>
      </c>
      <c r="Y1332" s="171">
        <f t="shared" si="695"/>
        <v>1075493.3448895502</v>
      </c>
      <c r="Z1332" s="171">
        <f t="shared" si="696"/>
        <v>2104550.630558555</v>
      </c>
      <c r="AA1332" s="175">
        <f t="shared" si="697"/>
        <v>5810361.7904092828</v>
      </c>
      <c r="AB1332" s="5"/>
      <c r="AC1332" s="5"/>
      <c r="AD1332" s="5"/>
      <c r="AE1332" s="5"/>
      <c r="AF1332" s="5"/>
      <c r="AG1332" s="5"/>
    </row>
    <row r="1333" spans="1:33" x14ac:dyDescent="0.2">
      <c r="A1333" s="169">
        <v>21</v>
      </c>
      <c r="B1333" s="100" t="str">
        <f t="shared" si="683"/>
        <v>Retired</v>
      </c>
      <c r="C1333" s="170">
        <f t="shared" si="684"/>
        <v>0</v>
      </c>
      <c r="D1333" s="170">
        <f t="shared" si="685"/>
        <v>0</v>
      </c>
      <c r="E1333" s="170">
        <f t="shared" si="686"/>
        <v>0</v>
      </c>
      <c r="F1333" s="170">
        <f t="shared" si="687"/>
        <v>0</v>
      </c>
      <c r="G1333" s="171">
        <f t="shared" si="688"/>
        <v>0</v>
      </c>
      <c r="H1333" s="171">
        <f t="shared" si="689"/>
        <v>170771.49708571643</v>
      </c>
      <c r="I1333" s="171">
        <f>IF(B1333="Working",MIN(MAX(D1333-E1333-F1333-G1333-H1333,0),'Tax Assumptions'!$B$20),0)</f>
        <v>0</v>
      </c>
      <c r="J1333" s="171">
        <f t="shared" si="690"/>
        <v>-430771.49708571646</v>
      </c>
      <c r="K1333" s="170">
        <f t="shared" si="691"/>
        <v>430771.49708571646</v>
      </c>
      <c r="L1333" s="170">
        <f t="shared" si="692"/>
        <v>430771.49708571646</v>
      </c>
      <c r="M1333" s="170">
        <f t="shared" si="698"/>
        <v>430771.49708571646</v>
      </c>
      <c r="N1333" s="170">
        <f t="shared" si="699"/>
        <v>0</v>
      </c>
      <c r="O1333" s="170">
        <f t="shared" si="700"/>
        <v>0</v>
      </c>
      <c r="P1333" s="170">
        <f t="shared" si="701"/>
        <v>0</v>
      </c>
      <c r="Q1333" s="171">
        <f t="shared" si="702"/>
        <v>2710950.8823648016</v>
      </c>
      <c r="R1333" s="171">
        <f t="shared" si="703"/>
        <v>613016.55890249508</v>
      </c>
      <c r="S1333" s="171">
        <f t="shared" si="704"/>
        <v>173420.89108875822</v>
      </c>
      <c r="T1333" s="171">
        <f t="shared" si="705"/>
        <v>0</v>
      </c>
      <c r="U1333" s="171">
        <f t="shared" si="693"/>
        <v>3497388.3323560548</v>
      </c>
      <c r="V1333" s="171">
        <f t="shared" si="706"/>
        <v>0</v>
      </c>
      <c r="W1333" s="171">
        <f>IF(OR(A1333&gt;=$C$13,B1333="Retired"),IF(V1333&gt;0,-V1333,U1333-'Model Inputs'!$B$18),"")</f>
        <v>2497388.3323560548</v>
      </c>
      <c r="X1333" s="171">
        <f t="shared" si="694"/>
        <v>3275445.2947115488</v>
      </c>
      <c r="Y1333" s="171">
        <f t="shared" si="695"/>
        <v>1045814.889034126</v>
      </c>
      <c r="Z1333" s="171">
        <f t="shared" si="696"/>
        <v>2229630.4056774229</v>
      </c>
      <c r="AA1333" s="172">
        <f t="shared" si="697"/>
        <v>5727018.7380334772</v>
      </c>
      <c r="AB1333" s="5"/>
      <c r="AC1333" s="5"/>
      <c r="AD1333" s="5"/>
      <c r="AE1333" s="5"/>
      <c r="AF1333" s="5"/>
      <c r="AG1333" s="5"/>
    </row>
    <row r="1334" spans="1:33" x14ac:dyDescent="0.2">
      <c r="A1334" s="173">
        <v>22</v>
      </c>
      <c r="B1334" s="65" t="str">
        <f t="shared" si="683"/>
        <v>Retired</v>
      </c>
      <c r="C1334" s="174">
        <f t="shared" si="684"/>
        <v>0</v>
      </c>
      <c r="D1334" s="174">
        <f t="shared" si="685"/>
        <v>0</v>
      </c>
      <c r="E1334" s="174">
        <f t="shared" si="686"/>
        <v>0</v>
      </c>
      <c r="F1334" s="174">
        <f t="shared" si="687"/>
        <v>0</v>
      </c>
      <c r="G1334" s="171">
        <f t="shared" si="688"/>
        <v>0</v>
      </c>
      <c r="H1334" s="171">
        <f t="shared" si="689"/>
        <v>172933.29098022607</v>
      </c>
      <c r="I1334" s="171">
        <f>IF(B1334="Working",MIN(MAX(D1334-E1334-F1334-G1334-H1334,0),'Tax Assumptions'!$B$20),0)</f>
        <v>0</v>
      </c>
      <c r="J1334" s="171">
        <f t="shared" si="690"/>
        <v>-432933.29098022607</v>
      </c>
      <c r="K1334" s="174">
        <f t="shared" si="691"/>
        <v>432933.29098022607</v>
      </c>
      <c r="L1334" s="174">
        <f t="shared" si="692"/>
        <v>432933.29098022607</v>
      </c>
      <c r="M1334" s="174">
        <f t="shared" si="698"/>
        <v>432933.29098022607</v>
      </c>
      <c r="N1334" s="174">
        <f t="shared" si="699"/>
        <v>0</v>
      </c>
      <c r="O1334" s="174">
        <f t="shared" si="700"/>
        <v>0</v>
      </c>
      <c r="P1334" s="174">
        <f t="shared" si="701"/>
        <v>0</v>
      </c>
      <c r="Q1334" s="171">
        <f t="shared" si="702"/>
        <v>2440674.6443264638</v>
      </c>
      <c r="R1334" s="171">
        <f t="shared" si="703"/>
        <v>649797.55243664479</v>
      </c>
      <c r="S1334" s="171">
        <f t="shared" si="704"/>
        <v>183826.14455408373</v>
      </c>
      <c r="T1334" s="171">
        <f t="shared" si="705"/>
        <v>0</v>
      </c>
      <c r="U1334" s="171">
        <f t="shared" si="693"/>
        <v>3274298.3413171922</v>
      </c>
      <c r="V1334" s="171">
        <f t="shared" si="706"/>
        <v>0</v>
      </c>
      <c r="W1334" s="171">
        <f>IF(OR(A1334&gt;=$C$13,B1334="Retired"),IF(V1334&gt;0,-V1334,U1334-'Model Inputs'!$B$18),"")</f>
        <v>2274298.3413171922</v>
      </c>
      <c r="X1334" s="171">
        <f t="shared" si="694"/>
        <v>3373708.6535528949</v>
      </c>
      <c r="Y1334" s="171">
        <f t="shared" si="695"/>
        <v>1014148.8120254884</v>
      </c>
      <c r="Z1334" s="171">
        <f t="shared" si="696"/>
        <v>2359559.8415274066</v>
      </c>
      <c r="AA1334" s="175">
        <f t="shared" si="697"/>
        <v>5633858.1828445988</v>
      </c>
      <c r="AB1334" s="5"/>
      <c r="AC1334" s="5"/>
      <c r="AD1334" s="5"/>
      <c r="AE1334" s="5"/>
      <c r="AF1334" s="5"/>
      <c r="AG1334" s="5"/>
    </row>
    <row r="1335" spans="1:33" x14ac:dyDescent="0.2">
      <c r="A1335" s="169">
        <v>23</v>
      </c>
      <c r="B1335" s="100" t="str">
        <f t="shared" si="683"/>
        <v>Retired</v>
      </c>
      <c r="C1335" s="170">
        <f t="shared" si="684"/>
        <v>0</v>
      </c>
      <c r="D1335" s="170">
        <f t="shared" si="685"/>
        <v>0</v>
      </c>
      <c r="E1335" s="170">
        <f t="shared" si="686"/>
        <v>0</v>
      </c>
      <c r="F1335" s="170">
        <f t="shared" si="687"/>
        <v>0</v>
      </c>
      <c r="G1335" s="171">
        <f t="shared" si="688"/>
        <v>0</v>
      </c>
      <c r="H1335" s="171">
        <f t="shared" si="689"/>
        <v>175159.93869157095</v>
      </c>
      <c r="I1335" s="171">
        <f>IF(B1335="Working",MIN(MAX(D1335-E1335-F1335-G1335-H1335,0),'Tax Assumptions'!$B$20),0)</f>
        <v>0</v>
      </c>
      <c r="J1335" s="171">
        <f t="shared" si="690"/>
        <v>-435159.93869157095</v>
      </c>
      <c r="K1335" s="170">
        <f t="shared" si="691"/>
        <v>435159.93869157095</v>
      </c>
      <c r="L1335" s="170">
        <f t="shared" si="692"/>
        <v>435159.93869157095</v>
      </c>
      <c r="M1335" s="170">
        <f t="shared" si="698"/>
        <v>435159.93869157095</v>
      </c>
      <c r="N1335" s="170">
        <f t="shared" si="699"/>
        <v>0</v>
      </c>
      <c r="O1335" s="170">
        <f t="shared" si="700"/>
        <v>0</v>
      </c>
      <c r="P1335" s="170">
        <f t="shared" si="701"/>
        <v>0</v>
      </c>
      <c r="Q1335" s="171">
        <f t="shared" si="702"/>
        <v>2151955.1842944808</v>
      </c>
      <c r="R1335" s="171">
        <f t="shared" si="703"/>
        <v>688785.40558284346</v>
      </c>
      <c r="S1335" s="171">
        <f t="shared" si="704"/>
        <v>194855.71322732876</v>
      </c>
      <c r="T1335" s="171">
        <f t="shared" si="705"/>
        <v>0</v>
      </c>
      <c r="U1335" s="171">
        <f t="shared" si="693"/>
        <v>3035596.303104653</v>
      </c>
      <c r="V1335" s="171">
        <f t="shared" si="706"/>
        <v>0</v>
      </c>
      <c r="W1335" s="171">
        <f>IF(OR(A1335&gt;=$C$13,B1335="Retired"),IF(V1335&gt;0,-V1335,U1335-'Model Inputs'!$B$18),"")</f>
        <v>2035596.303104653</v>
      </c>
      <c r="X1335" s="171">
        <f t="shared" si="694"/>
        <v>3474919.9131594817</v>
      </c>
      <c r="Y1335" s="171">
        <f t="shared" si="695"/>
        <v>980361.99919392681</v>
      </c>
      <c r="Z1335" s="171">
        <f t="shared" si="696"/>
        <v>2494557.9139655549</v>
      </c>
      <c r="AA1335" s="172">
        <f t="shared" si="697"/>
        <v>5530154.2170702079</v>
      </c>
      <c r="AB1335" s="5"/>
      <c r="AC1335" s="5"/>
      <c r="AD1335" s="5"/>
      <c r="AE1335" s="5"/>
      <c r="AF1335" s="5"/>
      <c r="AG1335" s="5"/>
    </row>
    <row r="1336" spans="1:33" x14ac:dyDescent="0.2">
      <c r="A1336" s="173">
        <v>24</v>
      </c>
      <c r="B1336" s="65" t="str">
        <f t="shared" si="683"/>
        <v>Retired</v>
      </c>
      <c r="C1336" s="174">
        <f t="shared" si="684"/>
        <v>0</v>
      </c>
      <c r="D1336" s="174">
        <f t="shared" si="685"/>
        <v>0</v>
      </c>
      <c r="E1336" s="174">
        <f t="shared" si="686"/>
        <v>0</v>
      </c>
      <c r="F1336" s="174">
        <f t="shared" si="687"/>
        <v>0</v>
      </c>
      <c r="G1336" s="171">
        <f t="shared" si="688"/>
        <v>0</v>
      </c>
      <c r="H1336" s="171">
        <f t="shared" si="689"/>
        <v>177453.38583425625</v>
      </c>
      <c r="I1336" s="171">
        <f>IF(B1336="Working",MIN(MAX(D1336-E1336-F1336-G1336-H1336,0),'Tax Assumptions'!$B$20),0)</f>
        <v>0</v>
      </c>
      <c r="J1336" s="171">
        <f t="shared" si="690"/>
        <v>-437453.38583425625</v>
      </c>
      <c r="K1336" s="174">
        <f t="shared" si="691"/>
        <v>437453.38583425625</v>
      </c>
      <c r="L1336" s="174">
        <f t="shared" si="692"/>
        <v>437453.38583425625</v>
      </c>
      <c r="M1336" s="174">
        <f t="shared" si="698"/>
        <v>437453.38583425625</v>
      </c>
      <c r="N1336" s="174">
        <f t="shared" si="699"/>
        <v>0</v>
      </c>
      <c r="O1336" s="174">
        <f t="shared" si="700"/>
        <v>0</v>
      </c>
      <c r="P1336" s="174">
        <f t="shared" si="701"/>
        <v>0</v>
      </c>
      <c r="Q1336" s="171">
        <f t="shared" si="702"/>
        <v>1843619.1095178938</v>
      </c>
      <c r="R1336" s="171">
        <f t="shared" si="703"/>
        <v>730112.52991781407</v>
      </c>
      <c r="S1336" s="171">
        <f t="shared" si="704"/>
        <v>206547.05602096851</v>
      </c>
      <c r="T1336" s="171">
        <f t="shared" si="705"/>
        <v>0</v>
      </c>
      <c r="U1336" s="171">
        <f t="shared" si="693"/>
        <v>2780278.6954566762</v>
      </c>
      <c r="V1336" s="171">
        <f t="shared" si="706"/>
        <v>0</v>
      </c>
      <c r="W1336" s="171">
        <f>IF(OR(A1336&gt;=$C$13,B1336="Retired"),IF(V1336&gt;0,-V1336,U1336-'Model Inputs'!$B$18),"")</f>
        <v>1780278.6954566762</v>
      </c>
      <c r="X1336" s="171">
        <f t="shared" si="694"/>
        <v>3579167.5105542666</v>
      </c>
      <c r="Y1336" s="171">
        <f t="shared" si="695"/>
        <v>944312.42093377281</v>
      </c>
      <c r="Z1336" s="171">
        <f t="shared" si="696"/>
        <v>2634855.0896204938</v>
      </c>
      <c r="AA1336" s="175">
        <f t="shared" si="697"/>
        <v>5415133.7850771695</v>
      </c>
      <c r="AB1336" s="5"/>
      <c r="AC1336" s="5"/>
      <c r="AD1336" s="5"/>
      <c r="AE1336" s="5"/>
      <c r="AF1336" s="5"/>
      <c r="AG1336" s="5"/>
    </row>
    <row r="1337" spans="1:33" x14ac:dyDescent="0.2">
      <c r="A1337" s="169">
        <v>25</v>
      </c>
      <c r="B1337" s="100" t="str">
        <f t="shared" si="683"/>
        <v>Retired</v>
      </c>
      <c r="C1337" s="170">
        <f t="shared" si="684"/>
        <v>0</v>
      </c>
      <c r="D1337" s="170">
        <f t="shared" si="685"/>
        <v>0</v>
      </c>
      <c r="E1337" s="170">
        <f t="shared" si="686"/>
        <v>0</v>
      </c>
      <c r="F1337" s="170">
        <f t="shared" si="687"/>
        <v>0</v>
      </c>
      <c r="G1337" s="171">
        <f t="shared" si="688"/>
        <v>0</v>
      </c>
      <c r="H1337" s="171">
        <f t="shared" si="689"/>
        <v>179815.63639122204</v>
      </c>
      <c r="I1337" s="171">
        <f>IF(B1337="Working",MIN(MAX(D1337-E1337-F1337-G1337-H1337,0),'Tax Assumptions'!$B$20),0)</f>
        <v>0</v>
      </c>
      <c r="J1337" s="171">
        <f t="shared" si="690"/>
        <v>-439815.63639122201</v>
      </c>
      <c r="K1337" s="170">
        <f t="shared" si="691"/>
        <v>439815.63639122201</v>
      </c>
      <c r="L1337" s="170">
        <f t="shared" si="692"/>
        <v>439815.63639122201</v>
      </c>
      <c r="M1337" s="170">
        <f t="shared" si="698"/>
        <v>439815.63639122201</v>
      </c>
      <c r="N1337" s="170">
        <f t="shared" si="699"/>
        <v>0</v>
      </c>
      <c r="O1337" s="170">
        <f t="shared" si="700"/>
        <v>0</v>
      </c>
      <c r="P1337" s="170">
        <f t="shared" si="701"/>
        <v>0</v>
      </c>
      <c r="Q1337" s="171">
        <f t="shared" si="702"/>
        <v>1514420.6196977454</v>
      </c>
      <c r="R1337" s="171">
        <f t="shared" si="703"/>
        <v>773919.28171288292</v>
      </c>
      <c r="S1337" s="171">
        <f t="shared" si="704"/>
        <v>218939.87938222662</v>
      </c>
      <c r="T1337" s="171">
        <f t="shared" si="705"/>
        <v>0</v>
      </c>
      <c r="U1337" s="171">
        <f t="shared" si="693"/>
        <v>2507279.7807928547</v>
      </c>
      <c r="V1337" s="171">
        <f t="shared" si="706"/>
        <v>0</v>
      </c>
      <c r="W1337" s="171">
        <f>IF(OR(A1337&gt;=$C$13,B1337="Retired"),IF(V1337&gt;0,-V1337,U1337-'Model Inputs'!$B$18),"")</f>
        <v>1507279.7807928547</v>
      </c>
      <c r="X1337" s="171">
        <f t="shared" si="694"/>
        <v>3686542.5358708948</v>
      </c>
      <c r="Y1337" s="171">
        <f t="shared" si="695"/>
        <v>905848.53565362561</v>
      </c>
      <c r="Z1337" s="171">
        <f t="shared" si="696"/>
        <v>2780694.0002172692</v>
      </c>
      <c r="AA1337" s="172">
        <f t="shared" si="697"/>
        <v>5287973.7810101239</v>
      </c>
      <c r="AB1337" s="5"/>
      <c r="AC1337" s="5"/>
      <c r="AD1337" s="5"/>
      <c r="AE1337" s="5"/>
      <c r="AF1337" s="5"/>
      <c r="AG1337" s="5"/>
    </row>
    <row r="1338" spans="1:33" x14ac:dyDescent="0.2">
      <c r="A1338" s="173">
        <v>26</v>
      </c>
      <c r="B1338" s="65" t="str">
        <f t="shared" si="683"/>
        <v>Retired</v>
      </c>
      <c r="C1338" s="174">
        <f t="shared" si="684"/>
        <v>0</v>
      </c>
      <c r="D1338" s="174">
        <f t="shared" si="685"/>
        <v>0</v>
      </c>
      <c r="E1338" s="174">
        <f t="shared" si="686"/>
        <v>0</v>
      </c>
      <c r="F1338" s="174">
        <f t="shared" si="687"/>
        <v>0</v>
      </c>
      <c r="G1338" s="171">
        <f t="shared" si="688"/>
        <v>0</v>
      </c>
      <c r="H1338" s="171">
        <f t="shared" si="689"/>
        <v>182248.7544648968</v>
      </c>
      <c r="I1338" s="171">
        <f>IF(B1338="Working",MIN(MAX(D1338-E1338-F1338-G1338-H1338,0),'Tax Assumptions'!$B$20),0)</f>
        <v>0</v>
      </c>
      <c r="J1338" s="171">
        <f t="shared" si="690"/>
        <v>-442248.7544648968</v>
      </c>
      <c r="K1338" s="174">
        <f t="shared" si="691"/>
        <v>442248.7544648968</v>
      </c>
      <c r="L1338" s="174">
        <f t="shared" si="692"/>
        <v>442248.7544648968</v>
      </c>
      <c r="M1338" s="174">
        <f t="shared" si="698"/>
        <v>442248.7544648968</v>
      </c>
      <c r="N1338" s="174">
        <f t="shared" si="699"/>
        <v>0</v>
      </c>
      <c r="O1338" s="174">
        <f t="shared" si="700"/>
        <v>0</v>
      </c>
      <c r="P1338" s="174">
        <f t="shared" si="701"/>
        <v>0</v>
      </c>
      <c r="Q1338" s="171">
        <f t="shared" si="702"/>
        <v>1163037.1024147135</v>
      </c>
      <c r="R1338" s="171">
        <f t="shared" si="703"/>
        <v>820354.43861565599</v>
      </c>
      <c r="S1338" s="171">
        <f t="shared" si="704"/>
        <v>232076.27214516021</v>
      </c>
      <c r="T1338" s="171">
        <f t="shared" si="705"/>
        <v>0</v>
      </c>
      <c r="U1338" s="171">
        <f t="shared" si="693"/>
        <v>2215467.8131755297</v>
      </c>
      <c r="V1338" s="171">
        <f t="shared" si="706"/>
        <v>0</v>
      </c>
      <c r="W1338" s="171">
        <f>IF(OR(A1338&gt;=$C$13,B1338="Retired"),IF(V1338&gt;0,-V1338,U1338-'Model Inputs'!$B$18),"")</f>
        <v>1215467.8131755297</v>
      </c>
      <c r="X1338" s="171">
        <f t="shared" si="694"/>
        <v>3797138.8119470207</v>
      </c>
      <c r="Y1338" s="171">
        <f t="shared" si="695"/>
        <v>864808.65274105361</v>
      </c>
      <c r="Z1338" s="171">
        <f t="shared" si="696"/>
        <v>2932330.1592059671</v>
      </c>
      <c r="AA1338" s="175">
        <f t="shared" si="697"/>
        <v>5147797.9723814968</v>
      </c>
      <c r="AB1338" s="5"/>
      <c r="AC1338" s="5"/>
      <c r="AD1338" s="5"/>
      <c r="AE1338" s="5"/>
      <c r="AF1338" s="5"/>
      <c r="AG1338" s="5"/>
    </row>
    <row r="1339" spans="1:33" x14ac:dyDescent="0.2">
      <c r="A1339" s="169">
        <v>27</v>
      </c>
      <c r="B1339" s="100" t="str">
        <f t="shared" si="683"/>
        <v>Retired</v>
      </c>
      <c r="C1339" s="170">
        <f t="shared" si="684"/>
        <v>0</v>
      </c>
      <c r="D1339" s="170">
        <f t="shared" si="685"/>
        <v>0</v>
      </c>
      <c r="E1339" s="170">
        <f t="shared" si="686"/>
        <v>0</v>
      </c>
      <c r="F1339" s="170">
        <f t="shared" si="687"/>
        <v>0</v>
      </c>
      <c r="G1339" s="171">
        <f t="shared" si="688"/>
        <v>0</v>
      </c>
      <c r="H1339" s="171">
        <f t="shared" si="689"/>
        <v>184754.86608078185</v>
      </c>
      <c r="I1339" s="171">
        <f>IF(B1339="Working",MIN(MAX(D1339-E1339-F1339-G1339-H1339,0),'Tax Assumptions'!$B$20),0)</f>
        <v>0</v>
      </c>
      <c r="J1339" s="171">
        <f t="shared" si="690"/>
        <v>-444754.86608078185</v>
      </c>
      <c r="K1339" s="170">
        <f t="shared" si="691"/>
        <v>444754.86608078185</v>
      </c>
      <c r="L1339" s="170">
        <f t="shared" si="692"/>
        <v>444754.86608078185</v>
      </c>
      <c r="M1339" s="170">
        <f t="shared" si="698"/>
        <v>444754.86608078185</v>
      </c>
      <c r="N1339" s="170">
        <f t="shared" si="699"/>
        <v>0</v>
      </c>
      <c r="O1339" s="170">
        <f t="shared" si="700"/>
        <v>0</v>
      </c>
      <c r="P1339" s="170">
        <f t="shared" si="701"/>
        <v>0</v>
      </c>
      <c r="Q1339" s="171">
        <f t="shared" si="702"/>
        <v>788064.46247881441</v>
      </c>
      <c r="R1339" s="171">
        <f t="shared" si="703"/>
        <v>869575.70493259537</v>
      </c>
      <c r="S1339" s="171">
        <f t="shared" si="704"/>
        <v>246000.84847386985</v>
      </c>
      <c r="T1339" s="171">
        <f t="shared" si="705"/>
        <v>0</v>
      </c>
      <c r="U1339" s="171">
        <f t="shared" si="693"/>
        <v>1903641.0158852795</v>
      </c>
      <c r="V1339" s="171">
        <f t="shared" si="706"/>
        <v>0</v>
      </c>
      <c r="W1339" s="171">
        <f>IF(OR(A1339&gt;=$C$13,B1339="Retired"),IF(V1339&gt;0,-V1339,U1339-'Model Inputs'!$B$18),"")</f>
        <v>903641.01588527951</v>
      </c>
      <c r="X1339" s="171">
        <f t="shared" si="694"/>
        <v>3911052.9763054312</v>
      </c>
      <c r="Y1339" s="171">
        <f t="shared" si="695"/>
        <v>821020.25286385883</v>
      </c>
      <c r="Z1339" s="171">
        <f t="shared" si="696"/>
        <v>3090032.7234415724</v>
      </c>
      <c r="AA1339" s="172">
        <f t="shared" si="697"/>
        <v>4993673.7393268514</v>
      </c>
      <c r="AB1339" s="5"/>
      <c r="AC1339" s="5"/>
      <c r="AD1339" s="5"/>
      <c r="AE1339" s="5"/>
      <c r="AF1339" s="5"/>
      <c r="AG1339" s="5"/>
    </row>
    <row r="1340" spans="1:33" x14ac:dyDescent="0.2">
      <c r="A1340" s="173">
        <v>28</v>
      </c>
      <c r="B1340" s="65" t="str">
        <f t="shared" si="683"/>
        <v>Retired</v>
      </c>
      <c r="C1340" s="174">
        <f t="shared" si="684"/>
        <v>0</v>
      </c>
      <c r="D1340" s="174">
        <f t="shared" si="685"/>
        <v>0</v>
      </c>
      <c r="E1340" s="174">
        <f t="shared" si="686"/>
        <v>0</v>
      </c>
      <c r="F1340" s="174">
        <f t="shared" si="687"/>
        <v>0</v>
      </c>
      <c r="G1340" s="171">
        <f t="shared" si="688"/>
        <v>0</v>
      </c>
      <c r="H1340" s="171">
        <f t="shared" si="689"/>
        <v>187336.16104514344</v>
      </c>
      <c r="I1340" s="171">
        <f>IF(B1340="Working",MIN(MAX(D1340-E1340-F1340-G1340-H1340,0),'Tax Assumptions'!$B$20),0)</f>
        <v>0</v>
      </c>
      <c r="J1340" s="171">
        <f t="shared" si="690"/>
        <v>-447336.16104514344</v>
      </c>
      <c r="K1340" s="174">
        <f t="shared" si="691"/>
        <v>447336.16104514344</v>
      </c>
      <c r="L1340" s="174">
        <f t="shared" si="692"/>
        <v>447336.16104514344</v>
      </c>
      <c r="M1340" s="174">
        <f t="shared" si="698"/>
        <v>447336.16104514344</v>
      </c>
      <c r="N1340" s="174">
        <f t="shared" si="699"/>
        <v>0</v>
      </c>
      <c r="O1340" s="174">
        <f t="shared" si="700"/>
        <v>0</v>
      </c>
      <c r="P1340" s="174">
        <f t="shared" si="701"/>
        <v>0</v>
      </c>
      <c r="Q1340" s="171">
        <f t="shared" si="702"/>
        <v>388012.16918239993</v>
      </c>
      <c r="R1340" s="171">
        <f t="shared" si="703"/>
        <v>921750.24722855119</v>
      </c>
      <c r="S1340" s="171">
        <f t="shared" si="704"/>
        <v>260760.89938230204</v>
      </c>
      <c r="T1340" s="171">
        <f t="shared" si="705"/>
        <v>0</v>
      </c>
      <c r="U1340" s="171">
        <f t="shared" si="693"/>
        <v>1570523.3157932532</v>
      </c>
      <c r="V1340" s="171">
        <f t="shared" si="706"/>
        <v>0</v>
      </c>
      <c r="W1340" s="171">
        <f>IF(OR(A1340&gt;=$C$13,B1340="Retired"),IF(V1340&gt;0,-V1340,U1340-'Model Inputs'!$B$18),"")</f>
        <v>570523.31579325325</v>
      </c>
      <c r="X1340" s="171">
        <f t="shared" si="694"/>
        <v>4028384.5655945945</v>
      </c>
      <c r="Y1340" s="171">
        <f t="shared" si="695"/>
        <v>774299.26275066007</v>
      </c>
      <c r="Z1340" s="171">
        <f t="shared" si="696"/>
        <v>3254085.3028439344</v>
      </c>
      <c r="AA1340" s="175">
        <f t="shared" si="697"/>
        <v>4824608.6186371874</v>
      </c>
      <c r="AB1340" s="5"/>
      <c r="AC1340" s="5"/>
      <c r="AD1340" s="5"/>
      <c r="AE1340" s="5"/>
      <c r="AF1340" s="5"/>
      <c r="AG1340" s="5"/>
    </row>
    <row r="1341" spans="1:33" x14ac:dyDescent="0.2">
      <c r="A1341" s="169">
        <v>29</v>
      </c>
      <c r="B1341" s="100" t="str">
        <f t="shared" si="683"/>
        <v>Retired</v>
      </c>
      <c r="C1341" s="170">
        <f t="shared" si="684"/>
        <v>0</v>
      </c>
      <c r="D1341" s="170">
        <f t="shared" si="685"/>
        <v>0</v>
      </c>
      <c r="E1341" s="170">
        <f t="shared" si="686"/>
        <v>0</v>
      </c>
      <c r="F1341" s="170">
        <f t="shared" si="687"/>
        <v>0</v>
      </c>
      <c r="G1341" s="171">
        <f t="shared" si="688"/>
        <v>0</v>
      </c>
      <c r="H1341" s="171">
        <f t="shared" si="689"/>
        <v>189994.89485843587</v>
      </c>
      <c r="I1341" s="171">
        <f>IF(B1341="Working",MIN(MAX(D1341-E1341-F1341-G1341-H1341,0),'Tax Assumptions'!$B$20),0)</f>
        <v>0</v>
      </c>
      <c r="J1341" s="171">
        <f t="shared" si="690"/>
        <v>-449994.89485843584</v>
      </c>
      <c r="K1341" s="170">
        <f t="shared" si="691"/>
        <v>449994.89485843584</v>
      </c>
      <c r="L1341" s="170">
        <f t="shared" si="692"/>
        <v>449994.89485843584</v>
      </c>
      <c r="M1341" s="170">
        <f t="shared" si="698"/>
        <v>411292.89933334396</v>
      </c>
      <c r="N1341" s="170">
        <f t="shared" si="699"/>
        <v>38701.995525091887</v>
      </c>
      <c r="O1341" s="170">
        <f t="shared" si="700"/>
        <v>0</v>
      </c>
      <c r="P1341" s="170">
        <f t="shared" si="701"/>
        <v>0</v>
      </c>
      <c r="Q1341" s="171">
        <f t="shared" si="702"/>
        <v>0</v>
      </c>
      <c r="R1341" s="171">
        <f t="shared" si="703"/>
        <v>938353.26653717237</v>
      </c>
      <c r="S1341" s="171">
        <f t="shared" si="704"/>
        <v>276406.55334524019</v>
      </c>
      <c r="T1341" s="171">
        <f t="shared" si="705"/>
        <v>0</v>
      </c>
      <c r="U1341" s="171">
        <f t="shared" si="693"/>
        <v>1214759.8198824124</v>
      </c>
      <c r="V1341" s="171">
        <f t="shared" si="706"/>
        <v>0</v>
      </c>
      <c r="W1341" s="171">
        <f>IF(OR(A1341&gt;=$C$13,B1341="Retired"),IF(V1341&gt;0,-V1341,U1341-'Model Inputs'!$B$18),"")</f>
        <v>214759.81988241244</v>
      </c>
      <c r="X1341" s="171">
        <f t="shared" si="694"/>
        <v>4149236.1025624322</v>
      </c>
      <c r="Y1341" s="171">
        <f t="shared" si="695"/>
        <v>724449.28140218835</v>
      </c>
      <c r="Z1341" s="171">
        <f t="shared" si="696"/>
        <v>3424786.8211602438</v>
      </c>
      <c r="AA1341" s="172">
        <f t="shared" si="697"/>
        <v>4639546.6410426563</v>
      </c>
      <c r="AB1341" s="5"/>
      <c r="AC1341" s="5"/>
      <c r="AD1341" s="5"/>
      <c r="AE1341" s="5"/>
      <c r="AF1341" s="5"/>
      <c r="AG1341" s="5"/>
    </row>
    <row r="1342" spans="1:33" x14ac:dyDescent="0.2">
      <c r="A1342" s="173">
        <v>30</v>
      </c>
      <c r="B1342" s="65" t="str">
        <f t="shared" si="683"/>
        <v>Retired</v>
      </c>
      <c r="C1342" s="174">
        <f t="shared" si="684"/>
        <v>0</v>
      </c>
      <c r="D1342" s="174">
        <f t="shared" si="685"/>
        <v>0</v>
      </c>
      <c r="E1342" s="174">
        <f t="shared" si="686"/>
        <v>0</v>
      </c>
      <c r="F1342" s="174">
        <f t="shared" si="687"/>
        <v>0</v>
      </c>
      <c r="G1342" s="171">
        <f t="shared" si="688"/>
        <v>0</v>
      </c>
      <c r="H1342" s="171">
        <f t="shared" si="689"/>
        <v>192733.39068612707</v>
      </c>
      <c r="I1342" s="171">
        <f>IF(B1342="Working",MIN(MAX(D1342-E1342-F1342-G1342-H1342,0),'Tax Assumptions'!$B$20),0)</f>
        <v>0</v>
      </c>
      <c r="J1342" s="171">
        <f t="shared" si="690"/>
        <v>-452733.39068612707</v>
      </c>
      <c r="K1342" s="174">
        <f t="shared" si="691"/>
        <v>452733.39068612707</v>
      </c>
      <c r="L1342" s="174">
        <f t="shared" si="692"/>
        <v>452733.39068612707</v>
      </c>
      <c r="M1342" s="174">
        <f t="shared" si="698"/>
        <v>0</v>
      </c>
      <c r="N1342" s="174">
        <f t="shared" si="699"/>
        <v>452733.39068612707</v>
      </c>
      <c r="O1342" s="174">
        <f t="shared" si="700"/>
        <v>0</v>
      </c>
      <c r="P1342" s="174">
        <f t="shared" si="701"/>
        <v>0</v>
      </c>
      <c r="Q1342" s="171">
        <f t="shared" si="702"/>
        <v>0</v>
      </c>
      <c r="R1342" s="171">
        <f t="shared" si="703"/>
        <v>541921.0718432758</v>
      </c>
      <c r="S1342" s="171">
        <f t="shared" si="704"/>
        <v>292990.94654595462</v>
      </c>
      <c r="T1342" s="171">
        <f t="shared" si="705"/>
        <v>0</v>
      </c>
      <c r="U1342" s="171">
        <f t="shared" si="693"/>
        <v>834912.01838923036</v>
      </c>
      <c r="V1342" s="171">
        <f t="shared" si="706"/>
        <v>0</v>
      </c>
      <c r="W1342" s="171">
        <f>IF(OR(A1342&gt;=$C$13,B1342="Retired"),IF(V1342&gt;0,-V1342,U1342-'Model Inputs'!$B$18),"")</f>
        <v>-165087.98161076964</v>
      </c>
      <c r="X1342" s="171">
        <f t="shared" si="694"/>
        <v>4273713.185639305</v>
      </c>
      <c r="Y1342" s="171">
        <f t="shared" si="695"/>
        <v>671260.75448051747</v>
      </c>
      <c r="Z1342" s="171">
        <f t="shared" si="696"/>
        <v>3602452.4311587876</v>
      </c>
      <c r="AA1342" s="175">
        <f t="shared" si="697"/>
        <v>4437364.4495480182</v>
      </c>
      <c r="AB1342" s="5"/>
      <c r="AC1342" s="5"/>
      <c r="AD1342" s="5"/>
      <c r="AE1342" s="5"/>
      <c r="AF1342" s="5"/>
      <c r="AG1342" s="5"/>
    </row>
    <row r="1343" spans="1:33" x14ac:dyDescent="0.2">
      <c r="A1343" s="169">
        <v>31</v>
      </c>
      <c r="B1343" s="100" t="str">
        <f t="shared" si="683"/>
        <v>Retired</v>
      </c>
      <c r="C1343" s="170">
        <f t="shared" si="684"/>
        <v>0</v>
      </c>
      <c r="D1343" s="170">
        <f t="shared" si="685"/>
        <v>0</v>
      </c>
      <c r="E1343" s="170">
        <f t="shared" si="686"/>
        <v>0</v>
      </c>
      <c r="F1343" s="170">
        <f t="shared" si="687"/>
        <v>0</v>
      </c>
      <c r="G1343" s="171">
        <f t="shared" si="688"/>
        <v>0</v>
      </c>
      <c r="H1343" s="171">
        <f t="shared" si="689"/>
        <v>195554.041388649</v>
      </c>
      <c r="I1343" s="171">
        <f>IF(B1343="Working",MIN(MAX(D1343-E1343-F1343-G1343-H1343,0),'Tax Assumptions'!$B$20),0)</f>
        <v>0</v>
      </c>
      <c r="J1343" s="171">
        <f t="shared" si="690"/>
        <v>-455554.04138864903</v>
      </c>
      <c r="K1343" s="170">
        <f t="shared" si="691"/>
        <v>455554.04138864903</v>
      </c>
      <c r="L1343" s="170">
        <f t="shared" si="692"/>
        <v>455554.04138864903</v>
      </c>
      <c r="M1343" s="170">
        <f t="shared" si="698"/>
        <v>0</v>
      </c>
      <c r="N1343" s="170">
        <f t="shared" si="699"/>
        <v>455554.04138864903</v>
      </c>
      <c r="O1343" s="170">
        <f t="shared" si="700"/>
        <v>0</v>
      </c>
      <c r="P1343" s="170">
        <f t="shared" si="701"/>
        <v>0</v>
      </c>
      <c r="Q1343" s="171">
        <f t="shared" si="702"/>
        <v>0</v>
      </c>
      <c r="R1343" s="171">
        <f t="shared" si="703"/>
        <v>118882.2947652234</v>
      </c>
      <c r="S1343" s="171">
        <f t="shared" si="704"/>
        <v>310570.40333871188</v>
      </c>
      <c r="T1343" s="171">
        <f t="shared" si="705"/>
        <v>0</v>
      </c>
      <c r="U1343" s="171">
        <f t="shared" si="693"/>
        <v>429452.69810393528</v>
      </c>
      <c r="V1343" s="171">
        <f t="shared" si="706"/>
        <v>0</v>
      </c>
      <c r="W1343" s="171">
        <f>IF(OR(A1343&gt;=$C$13,B1343="Retired"),IF(V1343&gt;0,-V1343,U1343-'Model Inputs'!$B$18),"")</f>
        <v>-570547.30189606478</v>
      </c>
      <c r="X1343" s="171">
        <f t="shared" si="694"/>
        <v>4401924.5812084833</v>
      </c>
      <c r="Y1343" s="171">
        <f t="shared" si="695"/>
        <v>614510.09340561554</v>
      </c>
      <c r="Z1343" s="171">
        <f t="shared" si="696"/>
        <v>3787414.4878028678</v>
      </c>
      <c r="AA1343" s="172">
        <f t="shared" si="697"/>
        <v>4216867.1859068032</v>
      </c>
      <c r="AB1343" s="5"/>
      <c r="AC1343" s="5"/>
      <c r="AD1343" s="5"/>
      <c r="AE1343" s="5"/>
      <c r="AF1343" s="5"/>
      <c r="AG1343" s="5"/>
    </row>
    <row r="1344" spans="1:33" x14ac:dyDescent="0.2">
      <c r="A1344" s="173">
        <v>32</v>
      </c>
      <c r="B1344" s="65" t="str">
        <f t="shared" si="683"/>
        <v>Retired</v>
      </c>
      <c r="C1344" s="174">
        <f t="shared" si="684"/>
        <v>0</v>
      </c>
      <c r="D1344" s="174">
        <f t="shared" si="685"/>
        <v>0</v>
      </c>
      <c r="E1344" s="174">
        <f t="shared" si="686"/>
        <v>0</v>
      </c>
      <c r="F1344" s="174">
        <f t="shared" si="687"/>
        <v>0</v>
      </c>
      <c r="G1344" s="171">
        <f t="shared" si="688"/>
        <v>0</v>
      </c>
      <c r="H1344" s="171">
        <f t="shared" si="689"/>
        <v>198459.31161224662</v>
      </c>
      <c r="I1344" s="171">
        <f>IF(B1344="Working",MIN(MAX(D1344-E1344-F1344-G1344-H1344,0),'Tax Assumptions'!$B$20),0)</f>
        <v>0</v>
      </c>
      <c r="J1344" s="171">
        <f t="shared" si="690"/>
        <v>-455219.85999017145</v>
      </c>
      <c r="K1344" s="174">
        <f t="shared" si="691"/>
        <v>458459.31161224662</v>
      </c>
      <c r="L1344" s="174">
        <f t="shared" si="692"/>
        <v>455219.85999017145</v>
      </c>
      <c r="M1344" s="174">
        <f t="shared" si="698"/>
        <v>0</v>
      </c>
      <c r="N1344" s="174">
        <f t="shared" si="699"/>
        <v>126015.23245113681</v>
      </c>
      <c r="O1344" s="174">
        <f t="shared" si="700"/>
        <v>329204.62753903464</v>
      </c>
      <c r="P1344" s="174">
        <f t="shared" si="701"/>
        <v>0</v>
      </c>
      <c r="Q1344" s="171">
        <f t="shared" si="702"/>
        <v>0</v>
      </c>
      <c r="R1344" s="171">
        <f t="shared" si="703"/>
        <v>0</v>
      </c>
      <c r="S1344" s="171">
        <f t="shared" si="704"/>
        <v>0</v>
      </c>
      <c r="T1344" s="171">
        <f t="shared" si="705"/>
        <v>0</v>
      </c>
      <c r="U1344" s="171">
        <f t="shared" si="693"/>
        <v>0</v>
      </c>
      <c r="V1344" s="171">
        <f t="shared" si="706"/>
        <v>3239.4516220751684</v>
      </c>
      <c r="W1344" s="171">
        <f>IF(OR(A1344&gt;=$C$13,B1344="Retired"),IF(V1344&gt;0,-V1344,U1344-'Model Inputs'!$B$18),"")</f>
        <v>-3239.4516220751684</v>
      </c>
      <c r="X1344" s="171">
        <f t="shared" si="694"/>
        <v>4533982.3186447388</v>
      </c>
      <c r="Y1344" s="171">
        <f t="shared" si="695"/>
        <v>553958.73545615748</v>
      </c>
      <c r="Z1344" s="171">
        <f t="shared" si="696"/>
        <v>3980023.5831885813</v>
      </c>
      <c r="AA1344" s="175">
        <f t="shared" si="697"/>
        <v>3980023.5831885813</v>
      </c>
      <c r="AB1344" s="5"/>
      <c r="AC1344" s="5"/>
      <c r="AD1344" s="5"/>
      <c r="AE1344" s="5"/>
      <c r="AF1344" s="5"/>
      <c r="AG1344" s="5"/>
    </row>
    <row r="1345" spans="1:33" x14ac:dyDescent="0.2">
      <c r="A1345" s="169">
        <v>33</v>
      </c>
      <c r="B1345" s="100" t="str">
        <f t="shared" si="683"/>
        <v>Retired</v>
      </c>
      <c r="C1345" s="170">
        <f t="shared" si="684"/>
        <v>0</v>
      </c>
      <c r="D1345" s="170">
        <f t="shared" si="685"/>
        <v>0</v>
      </c>
      <c r="E1345" s="170">
        <f t="shared" si="686"/>
        <v>0</v>
      </c>
      <c r="F1345" s="170">
        <f t="shared" si="687"/>
        <v>0</v>
      </c>
      <c r="G1345" s="171">
        <f t="shared" si="688"/>
        <v>0</v>
      </c>
      <c r="H1345" s="171">
        <f t="shared" si="689"/>
        <v>201451.73994255214</v>
      </c>
      <c r="I1345" s="171">
        <f>IF(B1345="Working",MIN(MAX(D1345-E1345-F1345-G1345-H1345,0),'Tax Assumptions'!$B$20),0)</f>
        <v>0</v>
      </c>
      <c r="J1345" s="171">
        <f t="shared" si="690"/>
        <v>0</v>
      </c>
      <c r="K1345" s="170">
        <f t="shared" si="691"/>
        <v>461451.73994255217</v>
      </c>
      <c r="L1345" s="170">
        <f t="shared" si="692"/>
        <v>0</v>
      </c>
      <c r="M1345" s="170">
        <f t="shared" si="698"/>
        <v>0</v>
      </c>
      <c r="N1345" s="170">
        <f t="shared" si="699"/>
        <v>0</v>
      </c>
      <c r="O1345" s="170">
        <f t="shared" si="700"/>
        <v>0</v>
      </c>
      <c r="P1345" s="170">
        <f t="shared" si="701"/>
        <v>0</v>
      </c>
      <c r="Q1345" s="171">
        <f t="shared" si="702"/>
        <v>0</v>
      </c>
      <c r="R1345" s="171">
        <f t="shared" si="703"/>
        <v>0</v>
      </c>
      <c r="S1345" s="171">
        <f t="shared" si="704"/>
        <v>0</v>
      </c>
      <c r="T1345" s="171">
        <f t="shared" si="705"/>
        <v>0</v>
      </c>
      <c r="U1345" s="171">
        <f t="shared" si="693"/>
        <v>0</v>
      </c>
      <c r="V1345" s="171">
        <f t="shared" si="706"/>
        <v>461451.73994255217</v>
      </c>
      <c r="W1345" s="171">
        <f>IF(OR(A1345&gt;=$C$13,B1345="Retired"),IF(V1345&gt;0,-V1345,U1345-'Model Inputs'!$B$18),"")</f>
        <v>-461451.73994255217</v>
      </c>
      <c r="X1345" s="171">
        <f t="shared" si="694"/>
        <v>4670001.7882040814</v>
      </c>
      <c r="Y1345" s="171">
        <f t="shared" si="695"/>
        <v>489352.14092355594</v>
      </c>
      <c r="Z1345" s="171">
        <f t="shared" si="696"/>
        <v>4180649.6472805254</v>
      </c>
      <c r="AA1345" s="172">
        <f t="shared" si="697"/>
        <v>4180649.6472805254</v>
      </c>
      <c r="AB1345" s="5"/>
      <c r="AC1345" s="5"/>
      <c r="AD1345" s="5"/>
      <c r="AE1345" s="5"/>
      <c r="AF1345" s="5"/>
      <c r="AG1345" s="5"/>
    </row>
    <row r="1346" spans="1:33" x14ac:dyDescent="0.2">
      <c r="A1346" s="173">
        <v>34</v>
      </c>
      <c r="B1346" s="65" t="str">
        <f t="shared" si="683"/>
        <v>Retired</v>
      </c>
      <c r="C1346" s="174">
        <f t="shared" si="684"/>
        <v>0</v>
      </c>
      <c r="D1346" s="174">
        <f t="shared" si="685"/>
        <v>0</v>
      </c>
      <c r="E1346" s="174">
        <f t="shared" si="686"/>
        <v>0</v>
      </c>
      <c r="F1346" s="174">
        <f t="shared" si="687"/>
        <v>0</v>
      </c>
      <c r="G1346" s="171">
        <f t="shared" si="688"/>
        <v>0</v>
      </c>
      <c r="H1346" s="171">
        <f t="shared" si="689"/>
        <v>204533.94112276682</v>
      </c>
      <c r="I1346" s="171">
        <f>IF(B1346="Working",MIN(MAX(D1346-E1346-F1346-G1346-H1346,0),'Tax Assumptions'!$B$20),0)</f>
        <v>0</v>
      </c>
      <c r="J1346" s="171">
        <f t="shared" si="690"/>
        <v>0</v>
      </c>
      <c r="K1346" s="174">
        <f t="shared" si="691"/>
        <v>464533.94112276682</v>
      </c>
      <c r="L1346" s="174">
        <f t="shared" si="692"/>
        <v>0</v>
      </c>
      <c r="M1346" s="174">
        <f t="shared" si="698"/>
        <v>0</v>
      </c>
      <c r="N1346" s="174">
        <f t="shared" si="699"/>
        <v>0</v>
      </c>
      <c r="O1346" s="174">
        <f t="shared" si="700"/>
        <v>0</v>
      </c>
      <c r="P1346" s="174">
        <f t="shared" si="701"/>
        <v>0</v>
      </c>
      <c r="Q1346" s="171">
        <f t="shared" si="702"/>
        <v>0</v>
      </c>
      <c r="R1346" s="171">
        <f t="shared" si="703"/>
        <v>0</v>
      </c>
      <c r="S1346" s="171">
        <f t="shared" si="704"/>
        <v>0</v>
      </c>
      <c r="T1346" s="171">
        <f t="shared" si="705"/>
        <v>0</v>
      </c>
      <c r="U1346" s="171">
        <f t="shared" si="693"/>
        <v>0</v>
      </c>
      <c r="V1346" s="171">
        <f t="shared" si="706"/>
        <v>464533.94112276682</v>
      </c>
      <c r="W1346" s="171">
        <f>IF(OR(A1346&gt;=$C$13,B1346="Retired"),IF(V1346&gt;0,-V1346,U1346-'Model Inputs'!$B$18),"")</f>
        <v>-464533.94112276682</v>
      </c>
      <c r="X1346" s="171">
        <f t="shared" si="694"/>
        <v>4810101.8418502025</v>
      </c>
      <c r="Y1346" s="171">
        <f t="shared" si="695"/>
        <v>420418.72310352977</v>
      </c>
      <c r="Z1346" s="171">
        <f t="shared" si="696"/>
        <v>4389683.1187466728</v>
      </c>
      <c r="AA1346" s="175">
        <f t="shared" si="697"/>
        <v>4389683.1187466728</v>
      </c>
      <c r="AB1346" s="5"/>
      <c r="AC1346" s="5"/>
      <c r="AD1346" s="5"/>
      <c r="AE1346" s="5"/>
      <c r="AF1346" s="5"/>
      <c r="AG1346" s="5"/>
    </row>
    <row r="1347" spans="1:33" x14ac:dyDescent="0.2">
      <c r="A1347" s="169">
        <v>35</v>
      </c>
      <c r="B1347" s="100" t="str">
        <f t="shared" si="683"/>
        <v>Retired</v>
      </c>
      <c r="C1347" s="170">
        <f t="shared" si="684"/>
        <v>0</v>
      </c>
      <c r="D1347" s="170">
        <f t="shared" si="685"/>
        <v>0</v>
      </c>
      <c r="E1347" s="170">
        <f t="shared" si="686"/>
        <v>0</v>
      </c>
      <c r="F1347" s="170">
        <f t="shared" si="687"/>
        <v>0</v>
      </c>
      <c r="G1347" s="171">
        <f t="shared" si="688"/>
        <v>0</v>
      </c>
      <c r="H1347" s="171">
        <f t="shared" si="689"/>
        <v>207708.60833838794</v>
      </c>
      <c r="I1347" s="171">
        <f>IF(B1347="Working",MIN(MAX(D1347-E1347-F1347-G1347-H1347,0),'Tax Assumptions'!$B$20),0)</f>
        <v>0</v>
      </c>
      <c r="J1347" s="171">
        <f t="shared" si="690"/>
        <v>0</v>
      </c>
      <c r="K1347" s="170">
        <f t="shared" si="691"/>
        <v>467708.60833838792</v>
      </c>
      <c r="L1347" s="170">
        <f t="shared" si="692"/>
        <v>0</v>
      </c>
      <c r="M1347" s="170">
        <f t="shared" si="698"/>
        <v>0</v>
      </c>
      <c r="N1347" s="170">
        <f t="shared" si="699"/>
        <v>0</v>
      </c>
      <c r="O1347" s="170">
        <f t="shared" si="700"/>
        <v>0</v>
      </c>
      <c r="P1347" s="170">
        <f t="shared" si="701"/>
        <v>0</v>
      </c>
      <c r="Q1347" s="171">
        <f t="shared" si="702"/>
        <v>0</v>
      </c>
      <c r="R1347" s="171">
        <f t="shared" si="703"/>
        <v>0</v>
      </c>
      <c r="S1347" s="171">
        <f t="shared" si="704"/>
        <v>0</v>
      </c>
      <c r="T1347" s="171">
        <f t="shared" si="705"/>
        <v>0</v>
      </c>
      <c r="U1347" s="171">
        <f t="shared" si="693"/>
        <v>0</v>
      </c>
      <c r="V1347" s="171">
        <f t="shared" si="706"/>
        <v>467708.60833838792</v>
      </c>
      <c r="W1347" s="171">
        <f>IF(OR(A1347&gt;=$C$13,B1347="Retired"),IF(V1347&gt;0,-V1347,U1347-'Model Inputs'!$B$18),"")</f>
        <v>-467708.60833838792</v>
      </c>
      <c r="X1347" s="171">
        <f t="shared" si="694"/>
        <v>4954404.8971057087</v>
      </c>
      <c r="Y1347" s="171">
        <f t="shared" si="695"/>
        <v>346868.70662722923</v>
      </c>
      <c r="Z1347" s="171">
        <f t="shared" si="696"/>
        <v>4607536.1904784795</v>
      </c>
      <c r="AA1347" s="172">
        <f t="shared" si="697"/>
        <v>4607536.1904784795</v>
      </c>
      <c r="AB1347" s="5"/>
      <c r="AC1347" s="5"/>
      <c r="AD1347" s="5"/>
      <c r="AE1347" s="5"/>
      <c r="AF1347" s="5"/>
      <c r="AG1347" s="5"/>
    </row>
    <row r="1348" spans="1:33" x14ac:dyDescent="0.2">
      <c r="A1348" s="173">
        <v>36</v>
      </c>
      <c r="B1348" s="65" t="str">
        <f t="shared" si="683"/>
        <v>Retired</v>
      </c>
      <c r="C1348" s="174">
        <f t="shared" si="684"/>
        <v>0</v>
      </c>
      <c r="D1348" s="174">
        <f t="shared" si="685"/>
        <v>0</v>
      </c>
      <c r="E1348" s="174">
        <f t="shared" si="686"/>
        <v>0</v>
      </c>
      <c r="F1348" s="174">
        <f t="shared" si="687"/>
        <v>0</v>
      </c>
      <c r="G1348" s="171">
        <f t="shared" si="688"/>
        <v>0</v>
      </c>
      <c r="H1348" s="171">
        <f t="shared" si="689"/>
        <v>210978.51557047773</v>
      </c>
      <c r="I1348" s="171">
        <f>IF(B1348="Working",MIN(MAX(D1348-E1348-F1348-G1348-H1348,0),'Tax Assumptions'!$B$20),0)</f>
        <v>0</v>
      </c>
      <c r="J1348" s="171">
        <f t="shared" si="690"/>
        <v>0</v>
      </c>
      <c r="K1348" s="174">
        <f t="shared" si="691"/>
        <v>470978.5155704777</v>
      </c>
      <c r="L1348" s="174">
        <f t="shared" si="692"/>
        <v>0</v>
      </c>
      <c r="M1348" s="174">
        <f t="shared" si="698"/>
        <v>0</v>
      </c>
      <c r="N1348" s="174">
        <f t="shared" si="699"/>
        <v>0</v>
      </c>
      <c r="O1348" s="174">
        <f t="shared" si="700"/>
        <v>0</v>
      </c>
      <c r="P1348" s="174">
        <f t="shared" si="701"/>
        <v>0</v>
      </c>
      <c r="Q1348" s="171">
        <f t="shared" si="702"/>
        <v>0</v>
      </c>
      <c r="R1348" s="171">
        <f t="shared" si="703"/>
        <v>0</v>
      </c>
      <c r="S1348" s="171">
        <f t="shared" si="704"/>
        <v>0</v>
      </c>
      <c r="T1348" s="171">
        <f t="shared" si="705"/>
        <v>0</v>
      </c>
      <c r="U1348" s="171">
        <f t="shared" si="693"/>
        <v>0</v>
      </c>
      <c r="V1348" s="171">
        <f t="shared" si="706"/>
        <v>470978.5155704777</v>
      </c>
      <c r="W1348" s="171">
        <f>IF(OR(A1348&gt;=$C$13,B1348="Retired"),IF(V1348&gt;0,-V1348,U1348-'Model Inputs'!$B$18),"")</f>
        <v>-470978.5155704777</v>
      </c>
      <c r="X1348" s="171">
        <f t="shared" si="694"/>
        <v>5103037.0440188805</v>
      </c>
      <c r="Y1348" s="171">
        <f t="shared" si="695"/>
        <v>268392.90933269542</v>
      </c>
      <c r="Z1348" s="171">
        <f t="shared" si="696"/>
        <v>4834644.134686185</v>
      </c>
      <c r="AA1348" s="175">
        <f t="shared" si="697"/>
        <v>4834644.134686185</v>
      </c>
      <c r="AB1348" s="5"/>
      <c r="AC1348" s="5"/>
      <c r="AD1348" s="5"/>
      <c r="AE1348" s="5"/>
      <c r="AF1348" s="5"/>
      <c r="AG1348" s="5"/>
    </row>
    <row r="1349" spans="1:33" x14ac:dyDescent="0.2">
      <c r="A1349" s="169">
        <v>37</v>
      </c>
      <c r="B1349" s="100" t="str">
        <f t="shared" si="683"/>
        <v>Retired</v>
      </c>
      <c r="C1349" s="170">
        <f t="shared" si="684"/>
        <v>0</v>
      </c>
      <c r="D1349" s="170">
        <f t="shared" si="685"/>
        <v>0</v>
      </c>
      <c r="E1349" s="170">
        <f t="shared" si="686"/>
        <v>0</v>
      </c>
      <c r="F1349" s="170">
        <f t="shared" si="687"/>
        <v>0</v>
      </c>
      <c r="G1349" s="171">
        <f t="shared" si="688"/>
        <v>0</v>
      </c>
      <c r="H1349" s="171">
        <f t="shared" si="689"/>
        <v>214346.5200195302</v>
      </c>
      <c r="I1349" s="171">
        <f>IF(B1349="Working",MIN(MAX(D1349-E1349-F1349-G1349-H1349,0),'Tax Assumptions'!$B$20),0)</f>
        <v>0</v>
      </c>
      <c r="J1349" s="171">
        <f t="shared" si="690"/>
        <v>0</v>
      </c>
      <c r="K1349" s="170">
        <f t="shared" si="691"/>
        <v>474346.5200195302</v>
      </c>
      <c r="L1349" s="170">
        <f t="shared" si="692"/>
        <v>0</v>
      </c>
      <c r="M1349" s="170">
        <f t="shared" si="698"/>
        <v>0</v>
      </c>
      <c r="N1349" s="170">
        <f t="shared" si="699"/>
        <v>0</v>
      </c>
      <c r="O1349" s="170">
        <f t="shared" si="700"/>
        <v>0</v>
      </c>
      <c r="P1349" s="170">
        <f t="shared" si="701"/>
        <v>0</v>
      </c>
      <c r="Q1349" s="171">
        <f t="shared" si="702"/>
        <v>0</v>
      </c>
      <c r="R1349" s="171">
        <f t="shared" si="703"/>
        <v>0</v>
      </c>
      <c r="S1349" s="171">
        <f t="shared" si="704"/>
        <v>0</v>
      </c>
      <c r="T1349" s="171">
        <f t="shared" si="705"/>
        <v>0</v>
      </c>
      <c r="U1349" s="171">
        <f t="shared" si="693"/>
        <v>0</v>
      </c>
      <c r="V1349" s="171">
        <f t="shared" si="706"/>
        <v>474346.5200195302</v>
      </c>
      <c r="W1349" s="171">
        <f>IF(OR(A1349&gt;=$C$13,B1349="Retired"),IF(V1349&gt;0,-V1349,U1349-'Model Inputs'!$B$18),"")</f>
        <v>-474346.5200195302</v>
      </c>
      <c r="X1349" s="171">
        <f t="shared" si="694"/>
        <v>5256128.1553394469</v>
      </c>
      <c r="Y1349" s="171">
        <f t="shared" si="695"/>
        <v>184661.44255596958</v>
      </c>
      <c r="Z1349" s="171">
        <f t="shared" si="696"/>
        <v>5071466.7127834773</v>
      </c>
      <c r="AA1349" s="172">
        <f t="shared" si="697"/>
        <v>5071466.7127834773</v>
      </c>
      <c r="AB1349" s="5"/>
      <c r="AC1349" s="5"/>
      <c r="AD1349" s="5"/>
      <c r="AE1349" s="5"/>
      <c r="AF1349" s="5"/>
      <c r="AG1349" s="5"/>
    </row>
    <row r="1350" spans="1:33" x14ac:dyDescent="0.2">
      <c r="A1350" s="173">
        <v>38</v>
      </c>
      <c r="B1350" s="65" t="str">
        <f t="shared" si="683"/>
        <v>Retired</v>
      </c>
      <c r="C1350" s="174">
        <f t="shared" si="684"/>
        <v>0</v>
      </c>
      <c r="D1350" s="174">
        <f t="shared" si="685"/>
        <v>0</v>
      </c>
      <c r="E1350" s="174">
        <f t="shared" si="686"/>
        <v>0</v>
      </c>
      <c r="F1350" s="174">
        <f t="shared" si="687"/>
        <v>0</v>
      </c>
      <c r="G1350" s="171">
        <f t="shared" si="688"/>
        <v>0</v>
      </c>
      <c r="H1350" s="171">
        <f t="shared" si="689"/>
        <v>217815.56460205422</v>
      </c>
      <c r="I1350" s="171">
        <f>IF(B1350="Working",MIN(MAX(D1350-E1350-F1350-G1350-H1350,0),'Tax Assumptions'!$B$20),0)</f>
        <v>0</v>
      </c>
      <c r="J1350" s="171">
        <f t="shared" si="690"/>
        <v>0</v>
      </c>
      <c r="K1350" s="174">
        <f t="shared" si="691"/>
        <v>477815.56460205419</v>
      </c>
      <c r="L1350" s="174">
        <f t="shared" si="692"/>
        <v>0</v>
      </c>
      <c r="M1350" s="174">
        <f t="shared" si="698"/>
        <v>0</v>
      </c>
      <c r="N1350" s="174">
        <f t="shared" si="699"/>
        <v>0</v>
      </c>
      <c r="O1350" s="174">
        <f t="shared" si="700"/>
        <v>0</v>
      </c>
      <c r="P1350" s="174">
        <f t="shared" si="701"/>
        <v>0</v>
      </c>
      <c r="Q1350" s="171">
        <f t="shared" si="702"/>
        <v>0</v>
      </c>
      <c r="R1350" s="171">
        <f t="shared" si="703"/>
        <v>0</v>
      </c>
      <c r="S1350" s="171">
        <f t="shared" si="704"/>
        <v>0</v>
      </c>
      <c r="T1350" s="171">
        <f t="shared" si="705"/>
        <v>0</v>
      </c>
      <c r="U1350" s="171">
        <f t="shared" si="693"/>
        <v>0</v>
      </c>
      <c r="V1350" s="171">
        <f t="shared" si="706"/>
        <v>477815.56460205419</v>
      </c>
      <c r="W1350" s="171">
        <f>IF(OR(A1350&gt;=$C$13,B1350="Retired"),IF(V1350&gt;0,-V1350,U1350-'Model Inputs'!$B$18),"")</f>
        <v>-477815.56460205419</v>
      </c>
      <c r="X1350" s="171">
        <f t="shared" si="694"/>
        <v>5413811.9999996303</v>
      </c>
      <c r="Y1350" s="171">
        <f t="shared" si="695"/>
        <v>95322.324378317222</v>
      </c>
      <c r="Z1350" s="171">
        <f t="shared" si="696"/>
        <v>5318489.675621313</v>
      </c>
      <c r="AA1350" s="175">
        <f t="shared" si="697"/>
        <v>5318489.675621313</v>
      </c>
      <c r="AB1350" s="5"/>
      <c r="AC1350" s="5"/>
      <c r="AD1350" s="5"/>
      <c r="AE1350" s="5"/>
      <c r="AF1350" s="5"/>
      <c r="AG1350" s="5"/>
    </row>
    <row r="1351" spans="1:33" x14ac:dyDescent="0.2">
      <c r="A1351" s="169">
        <v>39</v>
      </c>
      <c r="B1351" s="100" t="str">
        <f t="shared" si="683"/>
        <v>Retired</v>
      </c>
      <c r="C1351" s="170">
        <f t="shared" si="684"/>
        <v>0</v>
      </c>
      <c r="D1351" s="170">
        <f t="shared" si="685"/>
        <v>0</v>
      </c>
      <c r="E1351" s="170">
        <f t="shared" si="686"/>
        <v>0</v>
      </c>
      <c r="F1351" s="170">
        <f t="shared" si="687"/>
        <v>0</v>
      </c>
      <c r="G1351" s="171">
        <f t="shared" si="688"/>
        <v>0</v>
      </c>
      <c r="H1351" s="171">
        <f t="shared" si="689"/>
        <v>221388.68052205397</v>
      </c>
      <c r="I1351" s="171">
        <f>IF(B1351="Working",MIN(MAX(D1351-E1351-F1351-G1351-H1351,0),'Tax Assumptions'!$B$20),0)</f>
        <v>0</v>
      </c>
      <c r="J1351" s="171">
        <f t="shared" si="690"/>
        <v>0</v>
      </c>
      <c r="K1351" s="170">
        <f t="shared" si="691"/>
        <v>481388.68052205397</v>
      </c>
      <c r="L1351" s="170">
        <f t="shared" si="692"/>
        <v>0</v>
      </c>
      <c r="M1351" s="170">
        <f t="shared" si="698"/>
        <v>0</v>
      </c>
      <c r="N1351" s="170">
        <f t="shared" si="699"/>
        <v>0</v>
      </c>
      <c r="O1351" s="170">
        <f t="shared" si="700"/>
        <v>0</v>
      </c>
      <c r="P1351" s="170">
        <f t="shared" si="701"/>
        <v>0</v>
      </c>
      <c r="Q1351" s="171">
        <f t="shared" si="702"/>
        <v>0</v>
      </c>
      <c r="R1351" s="171">
        <f t="shared" si="703"/>
        <v>0</v>
      </c>
      <c r="S1351" s="171">
        <f t="shared" si="704"/>
        <v>0</v>
      </c>
      <c r="T1351" s="171">
        <f t="shared" si="705"/>
        <v>0</v>
      </c>
      <c r="U1351" s="171">
        <f t="shared" si="693"/>
        <v>0</v>
      </c>
      <c r="V1351" s="171">
        <f t="shared" si="706"/>
        <v>481388.68052205397</v>
      </c>
      <c r="W1351" s="171">
        <f>IF(OR(A1351&gt;=$C$13,B1351="Retired"),IF(V1351&gt;0,-V1351,U1351-'Model Inputs'!$B$18),"")</f>
        <v>-481388.68052205397</v>
      </c>
      <c r="X1351" s="171">
        <f t="shared" si="694"/>
        <v>5576226.3599996185</v>
      </c>
      <c r="Y1351" s="171">
        <f t="shared" si="695"/>
        <v>0</v>
      </c>
      <c r="Z1351" s="171">
        <f t="shared" si="696"/>
        <v>5576226.3599996185</v>
      </c>
      <c r="AA1351" s="172">
        <f t="shared" si="697"/>
        <v>5576226.3599996185</v>
      </c>
      <c r="AB1351" s="5"/>
      <c r="AC1351" s="5"/>
      <c r="AD1351" s="5"/>
      <c r="AE1351" s="5"/>
      <c r="AF1351" s="5"/>
      <c r="AG1351" s="5"/>
    </row>
    <row r="1352" spans="1:33" x14ac:dyDescent="0.2">
      <c r="A1352" s="173">
        <v>40</v>
      </c>
      <c r="B1352" s="65" t="str">
        <f t="shared" si="683"/>
        <v>Retired</v>
      </c>
      <c r="C1352" s="174">
        <f t="shared" si="684"/>
        <v>0</v>
      </c>
      <c r="D1352" s="174">
        <f t="shared" si="685"/>
        <v>0</v>
      </c>
      <c r="E1352" s="174">
        <f t="shared" si="686"/>
        <v>0</v>
      </c>
      <c r="F1352" s="174">
        <f t="shared" si="687"/>
        <v>0</v>
      </c>
      <c r="G1352" s="171">
        <f t="shared" si="688"/>
        <v>0</v>
      </c>
      <c r="H1352" s="171">
        <f t="shared" si="689"/>
        <v>126357.28931759135</v>
      </c>
      <c r="I1352" s="171">
        <f>IF(B1352="Working",MIN(MAX(D1352-E1352-F1352-G1352-H1352,0),'Tax Assumptions'!$B$20),0)</f>
        <v>0</v>
      </c>
      <c r="J1352" s="171">
        <f t="shared" si="690"/>
        <v>0</v>
      </c>
      <c r="K1352" s="174">
        <f t="shared" si="691"/>
        <v>386357.28931759135</v>
      </c>
      <c r="L1352" s="174">
        <f t="shared" si="692"/>
        <v>0</v>
      </c>
      <c r="M1352" s="174">
        <f t="shared" si="698"/>
        <v>0</v>
      </c>
      <c r="N1352" s="174">
        <f t="shared" si="699"/>
        <v>0</v>
      </c>
      <c r="O1352" s="174">
        <f t="shared" si="700"/>
        <v>0</v>
      </c>
      <c r="P1352" s="174">
        <f t="shared" si="701"/>
        <v>0</v>
      </c>
      <c r="Q1352" s="171">
        <f t="shared" si="702"/>
        <v>0</v>
      </c>
      <c r="R1352" s="171">
        <f t="shared" si="703"/>
        <v>0</v>
      </c>
      <c r="S1352" s="171">
        <f t="shared" si="704"/>
        <v>0</v>
      </c>
      <c r="T1352" s="171">
        <f t="shared" si="705"/>
        <v>0</v>
      </c>
      <c r="U1352" s="171">
        <f t="shared" si="693"/>
        <v>0</v>
      </c>
      <c r="V1352" s="171">
        <f t="shared" si="706"/>
        <v>386357.28931759135</v>
      </c>
      <c r="W1352" s="171">
        <f>IF(OR(A1352&gt;=$C$13,B1352="Retired"),IF(V1352&gt;0,-V1352,U1352-'Model Inputs'!$B$18),"")</f>
        <v>-386357.28931759135</v>
      </c>
      <c r="X1352" s="171">
        <f t="shared" si="694"/>
        <v>5743513.1507996069</v>
      </c>
      <c r="Y1352" s="171">
        <f t="shared" si="695"/>
        <v>0</v>
      </c>
      <c r="Z1352" s="171">
        <f t="shared" si="696"/>
        <v>5743513.1507996069</v>
      </c>
      <c r="AA1352" s="175">
        <f t="shared" si="697"/>
        <v>5743513.1507996069</v>
      </c>
      <c r="AB1352" s="5"/>
      <c r="AC1352" s="5"/>
      <c r="AD1352" s="5"/>
      <c r="AE1352" s="5"/>
      <c r="AF1352" s="5"/>
      <c r="AG1352" s="5"/>
    </row>
    <row r="1353" spans="1:33" x14ac:dyDescent="0.2">
      <c r="A1353" s="176" t="s">
        <v>369</v>
      </c>
      <c r="B1353" s="177"/>
      <c r="C1353" s="177"/>
      <c r="D1353" s="177"/>
      <c r="E1353" s="177"/>
      <c r="F1353" s="177"/>
      <c r="G1353" s="178">
        <f t="shared" ref="G1353:P1353" si="707">SUM(G1313:G1352)</f>
        <v>1123969.4013365901</v>
      </c>
      <c r="H1353" s="178">
        <f t="shared" si="707"/>
        <v>5564366.9457268957</v>
      </c>
      <c r="I1353" s="178">
        <f t="shared" si="707"/>
        <v>67500</v>
      </c>
      <c r="J1353" s="178">
        <f t="shared" si="707"/>
        <v>-5945423.7959654732</v>
      </c>
      <c r="K1353" s="178">
        <f t="shared" si="707"/>
        <v>13213597.714957668</v>
      </c>
      <c r="L1353" s="178">
        <f t="shared" si="707"/>
        <v>9525777.4039001781</v>
      </c>
      <c r="M1353" s="178">
        <f t="shared" si="707"/>
        <v>8123568.1163101373</v>
      </c>
      <c r="N1353" s="178">
        <f t="shared" si="707"/>
        <v>1073004.660051005</v>
      </c>
      <c r="O1353" s="178">
        <f t="shared" si="707"/>
        <v>329204.62753903464</v>
      </c>
      <c r="P1353" s="178">
        <f t="shared" si="707"/>
        <v>0</v>
      </c>
      <c r="Q1353" s="178">
        <f>Q1352</f>
        <v>0</v>
      </c>
      <c r="R1353" s="178">
        <f>R1352</f>
        <v>0</v>
      </c>
      <c r="S1353" s="178">
        <f>S1352</f>
        <v>0</v>
      </c>
      <c r="T1353" s="178">
        <f>T1352</f>
        <v>0</v>
      </c>
      <c r="U1353" s="178">
        <f>U1352</f>
        <v>0</v>
      </c>
      <c r="V1353" s="178">
        <f>SUM(V1313:V1352)</f>
        <v>3687820.3110574894</v>
      </c>
      <c r="W1353" s="178">
        <f>MIN(W1313:W1352)</f>
        <v>-570547.30189606478</v>
      </c>
      <c r="X1353" s="178">
        <f>X1352</f>
        <v>5743513.1507996069</v>
      </c>
      <c r="Y1353" s="178">
        <f>Y1352</f>
        <v>0</v>
      </c>
      <c r="Z1353" s="178">
        <f>Z1352</f>
        <v>5743513.1507996069</v>
      </c>
      <c r="AA1353" s="179">
        <f>AA1352</f>
        <v>5743513.1507996069</v>
      </c>
      <c r="AB1353" s="5"/>
      <c r="AC1353" s="5"/>
      <c r="AD1353" s="5"/>
      <c r="AE1353" s="5"/>
      <c r="AF1353" s="5"/>
      <c r="AG1353" s="5"/>
    </row>
    <row r="1354" spans="1:33" x14ac:dyDescent="0.2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</row>
    <row r="1355" spans="1:33" x14ac:dyDescent="0.2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</row>
    <row r="1356" spans="1:33" x14ac:dyDescent="0.2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</row>
    <row r="1357" spans="1:33" x14ac:dyDescent="0.2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</row>
    <row r="1358" spans="1:33" x14ac:dyDescent="0.2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</row>
    <row r="1359" spans="1:33" x14ac:dyDescent="0.2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</row>
    <row r="1360" spans="1:33" x14ac:dyDescent="0.2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</row>
    <row r="1361" spans="1:33" x14ac:dyDescent="0.2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</row>
    <row r="1362" spans="1:33" x14ac:dyDescent="0.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</row>
    <row r="1363" spans="1:33" x14ac:dyDescent="0.2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</row>
    <row r="1364" spans="1:33" x14ac:dyDescent="0.2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</row>
    <row r="1365" spans="1:33" x14ac:dyDescent="0.2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</row>
    <row r="1366" spans="1:33" x14ac:dyDescent="0.2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</row>
    <row r="1367" spans="1:33" x14ac:dyDescent="0.2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</row>
    <row r="1368" spans="1:33" x14ac:dyDescent="0.2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</row>
    <row r="1369" spans="1:33" x14ac:dyDescent="0.2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</row>
    <row r="1370" spans="1:33" x14ac:dyDescent="0.2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</row>
    <row r="1371" spans="1:33" x14ac:dyDescent="0.2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</row>
    <row r="1372" spans="1:33" x14ac:dyDescent="0.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</row>
    <row r="1373" spans="1:33" x14ac:dyDescent="0.2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</row>
    <row r="1374" spans="1:33" x14ac:dyDescent="0.2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</row>
    <row r="1375" spans="1:33" x14ac:dyDescent="0.2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</row>
    <row r="1376" spans="1:33" x14ac:dyDescent="0.2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</row>
    <row r="1377" spans="1:33" x14ac:dyDescent="0.2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</row>
    <row r="1378" spans="1:33" x14ac:dyDescent="0.2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</row>
    <row r="1379" spans="1:33" x14ac:dyDescent="0.2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</row>
    <row r="1380" spans="1:33" x14ac:dyDescent="0.2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</row>
    <row r="1381" spans="1:33" x14ac:dyDescent="0.2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</row>
    <row r="1382" spans="1:33" x14ac:dyDescent="0.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</row>
    <row r="1383" spans="1:33" x14ac:dyDescent="0.2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</row>
    <row r="1384" spans="1:33" x14ac:dyDescent="0.2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</row>
    <row r="1385" spans="1:33" x14ac:dyDescent="0.2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</row>
    <row r="1386" spans="1:33" x14ac:dyDescent="0.2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</row>
    <row r="1387" spans="1:33" x14ac:dyDescent="0.2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</row>
    <row r="1388" spans="1:33" x14ac:dyDescent="0.2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</row>
    <row r="1389" spans="1:33" x14ac:dyDescent="0.2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</row>
    <row r="1390" spans="1:33" x14ac:dyDescent="0.2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</row>
    <row r="1391" spans="1:33" x14ac:dyDescent="0.2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</row>
    <row r="1392" spans="1:33" x14ac:dyDescent="0.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</row>
    <row r="1393" spans="1:33" x14ac:dyDescent="0.2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</row>
    <row r="1394" spans="1:33" x14ac:dyDescent="0.2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</row>
    <row r="1395" spans="1:33" x14ac:dyDescent="0.2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</row>
    <row r="1396" spans="1:33" x14ac:dyDescent="0.2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</row>
    <row r="1397" spans="1:33" x14ac:dyDescent="0.2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</row>
    <row r="1398" spans="1:33" x14ac:dyDescent="0.2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</row>
    <row r="1399" spans="1:33" x14ac:dyDescent="0.2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</row>
    <row r="1400" spans="1:33" x14ac:dyDescent="0.2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</row>
  </sheetData>
  <mergeCells count="50">
    <mergeCell ref="A1:AA1"/>
    <mergeCell ref="A343:AA343"/>
    <mergeCell ref="A2:AA2"/>
    <mergeCell ref="A217:B217"/>
    <mergeCell ref="A607:AA607"/>
    <mergeCell ref="N218:Q218"/>
    <mergeCell ref="A651:AA651"/>
    <mergeCell ref="J216:Q216"/>
    <mergeCell ref="N221:Q221"/>
    <mergeCell ref="A126:AG126"/>
    <mergeCell ref="J220:M220"/>
    <mergeCell ref="N223:Q223"/>
    <mergeCell ref="A563:AA563"/>
    <mergeCell ref="A299:AA299"/>
    <mergeCell ref="J222:M222"/>
    <mergeCell ref="A475:AA475"/>
    <mergeCell ref="A216:I216"/>
    <mergeCell ref="N219:Q219"/>
    <mergeCell ref="A1311:AA1311"/>
    <mergeCell ref="A1047:AA1047"/>
    <mergeCell ref="J219:M219"/>
    <mergeCell ref="A695:AA695"/>
    <mergeCell ref="A959:AA959"/>
    <mergeCell ref="A827:AA827"/>
    <mergeCell ref="A783:AA783"/>
    <mergeCell ref="A739:AA739"/>
    <mergeCell ref="A1003:AA1003"/>
    <mergeCell ref="A387:AA387"/>
    <mergeCell ref="A431:AA431"/>
    <mergeCell ref="A915:AA915"/>
    <mergeCell ref="J221:M221"/>
    <mergeCell ref="A1267:AA1267"/>
    <mergeCell ref="A255:AA255"/>
    <mergeCell ref="A1223:AA1223"/>
    <mergeCell ref="N222:Q222"/>
    <mergeCell ref="A519:AA519"/>
    <mergeCell ref="A1179:AA1179"/>
    <mergeCell ref="J217:M217"/>
    <mergeCell ref="N220:Q220"/>
    <mergeCell ref="P4:AG10"/>
    <mergeCell ref="A1135:AA1135"/>
    <mergeCell ref="J224:Q224"/>
    <mergeCell ref="A871:AA871"/>
    <mergeCell ref="J223:M223"/>
    <mergeCell ref="A78:AG78"/>
    <mergeCell ref="A1091:AA1091"/>
    <mergeCell ref="N217:Q217"/>
    <mergeCell ref="A30:AG30"/>
    <mergeCell ref="C217:G217"/>
    <mergeCell ref="J218:M218"/>
  </mergeCells>
  <conditionalFormatting sqref="C220:G224">
    <cfRule type="cellIs" dxfId="2" priority="1" stopIfTrue="1" operator="greaterThan">
      <formula>250000</formula>
    </cfRule>
    <cfRule type="cellIs" dxfId="1" priority="2" stopIfTrue="1" operator="between">
      <formula>-250000</formula>
      <formula>250000</formula>
    </cfRule>
    <cfRule type="cellIs" dxfId="0" priority="3" stopIfTrue="1" operator="lessThan">
      <formula>-250000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AB305"/>
  <sheetViews>
    <sheetView showGridLines="0" tabSelected="1" workbookViewId="0">
      <pane ySplit="19" topLeftCell="A20" activePane="bottomLeft" state="frozen"/>
      <selection pane="bottomLeft" sqref="A1:O1"/>
    </sheetView>
  </sheetViews>
  <sheetFormatPr baseColWidth="10" defaultColWidth="8.83203125" defaultRowHeight="15" x14ac:dyDescent="0.2"/>
  <cols>
    <col min="1" max="1" width="16" customWidth="1"/>
    <col min="2" max="2" width="15" customWidth="1"/>
    <col min="3" max="3" width="11" customWidth="1"/>
    <col min="4" max="5" width="14" customWidth="1"/>
    <col min="6" max="6" width="15" customWidth="1"/>
    <col min="7" max="10" width="14" customWidth="1"/>
    <col min="11" max="14" width="15" customWidth="1"/>
    <col min="15" max="15" width="34" customWidth="1"/>
    <col min="16" max="17" width="15" customWidth="1"/>
    <col min="18" max="18" width="14" customWidth="1"/>
    <col min="19" max="19" width="15" customWidth="1"/>
    <col min="20" max="20" width="12" customWidth="1"/>
    <col min="21" max="22" width="15" customWidth="1"/>
    <col min="23" max="23" width="16" customWidth="1"/>
    <col min="24" max="28" width="15" customWidth="1"/>
  </cols>
  <sheetData>
    <row r="1" spans="1:15" ht="21" customHeight="1" x14ac:dyDescent="0.2">
      <c r="A1" s="242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15" x14ac:dyDescent="0.2">
      <c r="A2" s="241" t="s">
        <v>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4" spans="1:15" x14ac:dyDescent="0.2">
      <c r="A4" s="240" t="s">
        <v>2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</row>
    <row r="5" spans="1:15" x14ac:dyDescent="0.2">
      <c r="A5" s="213" t="s">
        <v>3</v>
      </c>
      <c r="B5" s="238" t="s">
        <v>4</v>
      </c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</row>
    <row r="6" spans="1:15" x14ac:dyDescent="0.2">
      <c r="A6" s="213" t="s">
        <v>5</v>
      </c>
      <c r="B6" s="238" t="s">
        <v>6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</row>
    <row r="7" spans="1:15" x14ac:dyDescent="0.2">
      <c r="A7" s="213" t="s">
        <v>7</v>
      </c>
      <c r="B7" s="238" t="s">
        <v>8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</row>
    <row r="8" spans="1:15" x14ac:dyDescent="0.2">
      <c r="A8" s="213" t="s">
        <v>9</v>
      </c>
      <c r="B8" s="238" t="s">
        <v>10</v>
      </c>
      <c r="C8" s="239"/>
      <c r="D8" s="239"/>
      <c r="E8" s="239"/>
      <c r="F8" s="239"/>
      <c r="G8" s="239"/>
      <c r="H8" s="239"/>
      <c r="I8" s="239"/>
      <c r="J8" s="239"/>
      <c r="K8" s="239"/>
      <c r="L8" s="239"/>
      <c r="M8" s="239"/>
      <c r="N8" s="239"/>
      <c r="O8" s="239"/>
    </row>
    <row r="9" spans="1:15" x14ac:dyDescent="0.2">
      <c r="A9" s="213" t="s">
        <v>11</v>
      </c>
      <c r="B9" s="238" t="s">
        <v>12</v>
      </c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39"/>
      <c r="O9" s="239"/>
    </row>
    <row r="12" spans="1:15" x14ac:dyDescent="0.2">
      <c r="A12" s="240" t="s">
        <v>13</v>
      </c>
      <c r="B12" s="239"/>
      <c r="C12" s="239"/>
      <c r="D12" s="239"/>
      <c r="E12" s="239"/>
      <c r="F12" s="239"/>
      <c r="G12" s="239"/>
    </row>
    <row r="13" spans="1:15" x14ac:dyDescent="0.2">
      <c r="A13" s="215" t="s">
        <v>14</v>
      </c>
      <c r="B13" s="215" t="s">
        <v>15</v>
      </c>
      <c r="C13" s="215" t="s">
        <v>16</v>
      </c>
      <c r="D13" s="215" t="s">
        <v>17</v>
      </c>
      <c r="E13" s="215" t="s">
        <v>18</v>
      </c>
      <c r="F13" s="215" t="s">
        <v>19</v>
      </c>
      <c r="G13" s="215" t="s">
        <v>20</v>
      </c>
    </row>
    <row r="14" spans="1:15" x14ac:dyDescent="0.2">
      <c r="A14" s="214" t="s">
        <v>21</v>
      </c>
      <c r="B14" s="216">
        <v>5000000</v>
      </c>
      <c r="C14" s="217">
        <v>1</v>
      </c>
      <c r="D14" s="218">
        <f>B14*C14+B14*'Model Inputs'!$G$18</f>
        <v>5125000</v>
      </c>
      <c r="E14" s="218">
        <f>IF(C14&gt;=1,0,-PMT('Model Inputs'!$G$16/12,'Model Inputs'!$G$17*12,B14*(1-C14))*12)+B14*SUM('Model Inputs'!$G$19:$G$21)+'Model Inputs'!$G$22+'Model Inputs'!$G$23</f>
        <v>110000</v>
      </c>
      <c r="F14" s="218">
        <f>D14+('Model Inputs'!$B$11+E14)/'Model Inputs'!$B$16</f>
        <v>13982142.857142856</v>
      </c>
      <c r="G14" s="212" t="s">
        <v>22</v>
      </c>
    </row>
    <row r="15" spans="1:15" x14ac:dyDescent="0.2">
      <c r="A15" s="214" t="s">
        <v>23</v>
      </c>
      <c r="B15" s="216">
        <v>5000000</v>
      </c>
      <c r="C15" s="217">
        <v>0.5</v>
      </c>
      <c r="D15" s="218">
        <f>B15*C15+B15*'Model Inputs'!$G$18</f>
        <v>2625000</v>
      </c>
      <c r="E15" s="218">
        <f>IF(C15&gt;=1,0,-PMT('Model Inputs'!$G$16/12,'Model Inputs'!$G$17*12,B15*(1-C15))*12)+B15*SUM('Model Inputs'!$G$19:$G$21)+'Model Inputs'!$G$22+'Model Inputs'!$G$23</f>
        <v>299620.40704788914</v>
      </c>
      <c r="F15" s="218">
        <f>D15+('Model Inputs'!$B$11+E15)/'Model Inputs'!$B$16</f>
        <v>16899868.772796832</v>
      </c>
      <c r="G15" s="212" t="s">
        <v>22</v>
      </c>
    </row>
    <row r="16" spans="1:15" x14ac:dyDescent="0.2">
      <c r="A16" s="214" t="s">
        <v>24</v>
      </c>
      <c r="B16" s="216">
        <v>7000000</v>
      </c>
      <c r="C16" s="217">
        <v>1</v>
      </c>
      <c r="D16" s="218">
        <f>B16*C16+B16*'Model Inputs'!$G$18</f>
        <v>7175000</v>
      </c>
      <c r="E16" s="218">
        <f>IF(C16&gt;=1,0,-PMT('Model Inputs'!$G$16/12,'Model Inputs'!$G$17*12,B16*(1-C16))*12)+B16*SUM('Model Inputs'!$G$19:$G$21)+'Model Inputs'!$G$22+'Model Inputs'!$G$23</f>
        <v>154000</v>
      </c>
      <c r="F16" s="218">
        <f>D16+('Model Inputs'!$B$11+E16)/'Model Inputs'!$B$16</f>
        <v>17289285.714285713</v>
      </c>
      <c r="G16" s="212" t="s">
        <v>22</v>
      </c>
    </row>
    <row r="17" spans="1:15" x14ac:dyDescent="0.2">
      <c r="A17" s="214" t="s">
        <v>25</v>
      </c>
      <c r="B17" s="216">
        <v>7000000</v>
      </c>
      <c r="C17" s="217">
        <v>0.5</v>
      </c>
      <c r="D17" s="218">
        <f>B17*C17+B17*'Model Inputs'!$G$18</f>
        <v>3675000</v>
      </c>
      <c r="E17" s="218">
        <f>IF(C17&gt;=1,0,-PMT('Model Inputs'!$G$16/12,'Model Inputs'!$G$17*12,B17*(1-C17))*12)+B17*SUM('Model Inputs'!$G$19:$G$21)+'Model Inputs'!$G$22+'Model Inputs'!$G$23</f>
        <v>419468.5698670448</v>
      </c>
      <c r="F17" s="218">
        <f>D17+('Model Inputs'!$B$11+E17)/'Model Inputs'!$B$16</f>
        <v>21374101.996201277</v>
      </c>
      <c r="G17" s="212" t="s">
        <v>22</v>
      </c>
    </row>
    <row r="20" spans="1:15" x14ac:dyDescent="0.2">
      <c r="A20" s="240" t="s">
        <v>26</v>
      </c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</row>
    <row r="21" spans="1:15" x14ac:dyDescent="0.2">
      <c r="A21" s="215" t="s">
        <v>27</v>
      </c>
      <c r="B21" s="215" t="s">
        <v>28</v>
      </c>
      <c r="C21" s="215" t="s">
        <v>29</v>
      </c>
      <c r="D21" s="215" t="s">
        <v>30</v>
      </c>
      <c r="E21" s="215" t="s">
        <v>31</v>
      </c>
      <c r="F21" s="215" t="s">
        <v>32</v>
      </c>
      <c r="G21" s="215" t="s">
        <v>33</v>
      </c>
      <c r="H21" s="215" t="s">
        <v>34</v>
      </c>
      <c r="I21" s="215" t="s">
        <v>35</v>
      </c>
      <c r="J21" s="215" t="s">
        <v>36</v>
      </c>
      <c r="K21" s="215" t="s">
        <v>37</v>
      </c>
      <c r="L21" s="215" t="s">
        <v>38</v>
      </c>
      <c r="M21" s="215" t="s">
        <v>39</v>
      </c>
      <c r="N21" s="215" t="s">
        <v>40</v>
      </c>
      <c r="O21" s="215" t="s">
        <v>41</v>
      </c>
    </row>
    <row r="22" spans="1:15" x14ac:dyDescent="0.2">
      <c r="A22" s="214" t="s">
        <v>42</v>
      </c>
      <c r="B22" s="219">
        <v>3</v>
      </c>
      <c r="C22" s="220">
        <v>2</v>
      </c>
      <c r="D22" s="218">
        <f>INDEX('Savings Projection'!$BK$19:$BK$58,B22)</f>
        <v>562500</v>
      </c>
      <c r="E22" s="218">
        <f t="shared" ref="E22:E30" si="0">SUMIFS($L$36:$L$305,$A$36:$A$305,$A22,$D$36:$D$305,10)</f>
        <v>5190991.5252820114</v>
      </c>
      <c r="F22" s="218">
        <f t="shared" ref="F22:F30" si="1">SUMIFS($X$36:$X$305,$A$36:$A$305,$A22,$D$36:$D$305,10)</f>
        <v>12244333.674937716</v>
      </c>
      <c r="G22" s="221">
        <f t="shared" ref="G22:G30" si="2">F22-$F$14</f>
        <v>-1737809.1822051406</v>
      </c>
      <c r="H22" s="221">
        <f t="shared" ref="H22:H30" si="3">F22-$F$15</f>
        <v>-4655535.0978591163</v>
      </c>
      <c r="I22" s="221">
        <f t="shared" ref="I22:I30" si="4">F22-$F$16</f>
        <v>-5044952.0393479969</v>
      </c>
      <c r="J22" s="221">
        <f t="shared" ref="J22:J30" si="5">F22-$F$17</f>
        <v>-9129768.321263561</v>
      </c>
      <c r="K22" s="214" t="str">
        <f t="shared" ref="K22:K30" si="6">IF(SUMIFS($Y$36:$Y$305,$A$36:$A$305,$A22)=0,"Not by Y30","Y"&amp;SUMIFS($Y$36:$Y$305,$A$36:$A$305,$A22)&amp;" / "&amp;(2025+SUMIFS($Y$36:$Y$305,$A$36:$A$305,$A22)))</f>
        <v>Y11 / 2036</v>
      </c>
      <c r="L22" s="214" t="str">
        <f t="shared" ref="L22:L30" si="7">IF(SUMIFS($Z$36:$Z$305,$A$36:$A$305,$A22)=0,"Not by Y30","Y"&amp;SUMIFS($Z$36:$Z$305,$A$36:$A$305,$A22)&amp;" / "&amp;(2025+SUMIFS($Z$36:$Z$305,$A$36:$A$305,$A22)))</f>
        <v>Y12 / 2037</v>
      </c>
      <c r="M22" s="214" t="str">
        <f t="shared" ref="M22:M30" si="8">IF(SUMIFS($AA$36:$AA$305,$A$36:$A$305,$A22)=0,"Not by Y30","Y"&amp;SUMIFS($AA$36:$AA$305,$A$36:$A$305,$A22)&amp;" / "&amp;(2025+SUMIFS($AA$36:$AA$305,$A$36:$A$305,$A22)))</f>
        <v>Y12 / 2037</v>
      </c>
      <c r="N22" s="214" t="str">
        <f t="shared" ref="N22:N30" si="9">IF(SUMIFS($AB$36:$AB$305,$A$36:$A$305,$A22)=0,"Not by Y30","Y"&amp;SUMIFS($AB$36:$AB$305,$A$36:$A$305,$A22)&amp;" / "&amp;(2025+SUMIFS($AB$36:$AB$305,$A$36:$A$305,$A22)))</f>
        <v>Y13 / 2038</v>
      </c>
      <c r="O22" s="222" t="str">
        <f t="shared" ref="O22:O30" si="10">IF(F22&gt;=$F$17,"Clears $7M 50% by Y10",IF(F22&gt;=$F$16,"Clears $7M cash by Y10",IF(F22&gt;=$F$15,"Clears $5M 50% by Y10",IF(F22&gt;=$F$14,"Clears $5M cash by Y10","Short of $5M retire+house by Y10"))))</f>
        <v>Short of $5M retire+house by Y10</v>
      </c>
    </row>
    <row r="23" spans="1:15" x14ac:dyDescent="0.2">
      <c r="A23" s="214" t="s">
        <v>43</v>
      </c>
      <c r="B23" s="219">
        <v>3</v>
      </c>
      <c r="C23" s="220">
        <v>3</v>
      </c>
      <c r="D23" s="218">
        <f>INDEX('Savings Projection'!$BK$19:$BK$58,B23)</f>
        <v>562500</v>
      </c>
      <c r="E23" s="218">
        <f t="shared" si="0"/>
        <v>7786487.2879230175</v>
      </c>
      <c r="F23" s="218">
        <f t="shared" si="1"/>
        <v>18010791.818899103</v>
      </c>
      <c r="G23" s="221">
        <f t="shared" si="2"/>
        <v>4028648.9617562462</v>
      </c>
      <c r="H23" s="221">
        <f t="shared" si="3"/>
        <v>1110923.0461022705</v>
      </c>
      <c r="I23" s="221">
        <f t="shared" si="4"/>
        <v>721506.10461338982</v>
      </c>
      <c r="J23" s="221">
        <f t="shared" si="5"/>
        <v>-3363310.1773021743</v>
      </c>
      <c r="K23" s="214" t="str">
        <f t="shared" si="6"/>
        <v>Y10 / 2035</v>
      </c>
      <c r="L23" s="214" t="str">
        <f t="shared" si="7"/>
        <v>Y10 / 2035</v>
      </c>
      <c r="M23" s="214" t="str">
        <f t="shared" si="8"/>
        <v>Y10 / 2035</v>
      </c>
      <c r="N23" s="214" t="str">
        <f t="shared" si="9"/>
        <v>Y11 / 2036</v>
      </c>
      <c r="O23" s="222" t="str">
        <f t="shared" si="10"/>
        <v>Clears $7M cash by Y10</v>
      </c>
    </row>
    <row r="24" spans="1:15" x14ac:dyDescent="0.2">
      <c r="A24" s="214" t="s">
        <v>44</v>
      </c>
      <c r="B24" s="219">
        <v>3</v>
      </c>
      <c r="C24" s="220">
        <v>4</v>
      </c>
      <c r="D24" s="218">
        <f>INDEX('Savings Projection'!$BK$19:$BK$58,B24)</f>
        <v>562500</v>
      </c>
      <c r="E24" s="218">
        <f t="shared" si="0"/>
        <v>10381983.050564023</v>
      </c>
      <c r="F24" s="218">
        <f t="shared" si="1"/>
        <v>23756239.231856413</v>
      </c>
      <c r="G24" s="221">
        <f t="shared" si="2"/>
        <v>9774096.3747135568</v>
      </c>
      <c r="H24" s="221">
        <f t="shared" si="3"/>
        <v>6856370.4590595812</v>
      </c>
      <c r="I24" s="221">
        <f t="shared" si="4"/>
        <v>6466953.5175707005</v>
      </c>
      <c r="J24" s="221">
        <f t="shared" si="5"/>
        <v>2382137.2356551364</v>
      </c>
      <c r="K24" s="214" t="str">
        <f t="shared" si="6"/>
        <v>Y9 / 2034</v>
      </c>
      <c r="L24" s="214" t="str">
        <f t="shared" si="7"/>
        <v>Y9 / 2034</v>
      </c>
      <c r="M24" s="214" t="str">
        <f t="shared" si="8"/>
        <v>Y9 / 2034</v>
      </c>
      <c r="N24" s="214" t="str">
        <f t="shared" si="9"/>
        <v>Y10 / 2035</v>
      </c>
      <c r="O24" s="222" t="str">
        <f t="shared" si="10"/>
        <v>Clears $7M 50% by Y10</v>
      </c>
    </row>
    <row r="25" spans="1:15" x14ac:dyDescent="0.2">
      <c r="A25" s="214" t="s">
        <v>45</v>
      </c>
      <c r="B25" s="219">
        <v>4</v>
      </c>
      <c r="C25" s="220">
        <v>2</v>
      </c>
      <c r="D25" s="218">
        <f>INDEX('Savings Projection'!$BK$19:$BK$58,B25)</f>
        <v>834283.35144853778</v>
      </c>
      <c r="E25" s="218">
        <f t="shared" si="0"/>
        <v>5190991.5252820114</v>
      </c>
      <c r="F25" s="218">
        <f t="shared" si="1"/>
        <v>11728685.104347821</v>
      </c>
      <c r="G25" s="221">
        <f t="shared" si="2"/>
        <v>-2253457.752795035</v>
      </c>
      <c r="H25" s="221">
        <f t="shared" si="3"/>
        <v>-5171183.6684490107</v>
      </c>
      <c r="I25" s="221">
        <f t="shared" si="4"/>
        <v>-5560600.6099378914</v>
      </c>
      <c r="J25" s="221">
        <f t="shared" si="5"/>
        <v>-9645416.8918534555</v>
      </c>
      <c r="K25" s="214" t="str">
        <f t="shared" si="6"/>
        <v>Y11 / 2036</v>
      </c>
      <c r="L25" s="214" t="str">
        <f t="shared" si="7"/>
        <v>Y12 / 2037</v>
      </c>
      <c r="M25" s="214" t="str">
        <f t="shared" si="8"/>
        <v>Y12 / 2037</v>
      </c>
      <c r="N25" s="214" t="str">
        <f t="shared" si="9"/>
        <v>Y13 / 2038</v>
      </c>
      <c r="O25" s="222" t="str">
        <f t="shared" si="10"/>
        <v>Short of $5M retire+house by Y10</v>
      </c>
    </row>
    <row r="26" spans="1:15" x14ac:dyDescent="0.2">
      <c r="A26" s="214" t="s">
        <v>46</v>
      </c>
      <c r="B26" s="219">
        <v>4</v>
      </c>
      <c r="C26" s="220">
        <v>3</v>
      </c>
      <c r="D26" s="218">
        <f>INDEX('Savings Projection'!$BK$19:$BK$58,B26)</f>
        <v>834283.35144853778</v>
      </c>
      <c r="E26" s="218">
        <f t="shared" si="0"/>
        <v>7786487.2879230175</v>
      </c>
      <c r="F26" s="218">
        <f t="shared" si="1"/>
        <v>16993796.038464569</v>
      </c>
      <c r="G26" s="221">
        <f t="shared" si="2"/>
        <v>3011653.1813217122</v>
      </c>
      <c r="H26" s="221">
        <f t="shared" si="3"/>
        <v>93927.26566773653</v>
      </c>
      <c r="I26" s="221">
        <f t="shared" si="4"/>
        <v>-295489.67582114413</v>
      </c>
      <c r="J26" s="221">
        <f t="shared" si="5"/>
        <v>-4380305.9577367082</v>
      </c>
      <c r="K26" s="214" t="str">
        <f t="shared" si="6"/>
        <v>Y10 / 2035</v>
      </c>
      <c r="L26" s="214" t="str">
        <f t="shared" si="7"/>
        <v>Y10 / 2035</v>
      </c>
      <c r="M26" s="214" t="str">
        <f t="shared" si="8"/>
        <v>Y11 / 2036</v>
      </c>
      <c r="N26" s="214" t="str">
        <f t="shared" si="9"/>
        <v>Y11 / 2036</v>
      </c>
      <c r="O26" s="222" t="str">
        <f t="shared" si="10"/>
        <v>Clears $5M 50% by Y10</v>
      </c>
    </row>
    <row r="27" spans="1:15" x14ac:dyDescent="0.2">
      <c r="A27" s="214" t="s">
        <v>47</v>
      </c>
      <c r="B27" s="219">
        <v>4</v>
      </c>
      <c r="C27" s="220">
        <v>4</v>
      </c>
      <c r="D27" s="218">
        <f>INDEX('Savings Projection'!$BK$19:$BK$58,B27)</f>
        <v>834283.35144853778</v>
      </c>
      <c r="E27" s="218">
        <f t="shared" si="0"/>
        <v>10381983.050564023</v>
      </c>
      <c r="F27" s="218">
        <f t="shared" si="1"/>
        <v>22237896.241577242</v>
      </c>
      <c r="G27" s="221">
        <f t="shared" si="2"/>
        <v>8255753.3844343852</v>
      </c>
      <c r="H27" s="221">
        <f t="shared" si="3"/>
        <v>5338027.4687804095</v>
      </c>
      <c r="I27" s="221">
        <f t="shared" si="4"/>
        <v>4948610.5272915289</v>
      </c>
      <c r="J27" s="221">
        <f t="shared" si="5"/>
        <v>863794.24537596479</v>
      </c>
      <c r="K27" s="214" t="str">
        <f t="shared" si="6"/>
        <v>Y9 / 2034</v>
      </c>
      <c r="L27" s="214" t="str">
        <f t="shared" si="7"/>
        <v>Y10 / 2035</v>
      </c>
      <c r="M27" s="214" t="str">
        <f t="shared" si="8"/>
        <v>Y10 / 2035</v>
      </c>
      <c r="N27" s="214" t="str">
        <f t="shared" si="9"/>
        <v>Y10 / 2035</v>
      </c>
      <c r="O27" s="222" t="str">
        <f t="shared" si="10"/>
        <v>Clears $7M 50% by Y10</v>
      </c>
    </row>
    <row r="28" spans="1:15" x14ac:dyDescent="0.2">
      <c r="A28" s="214" t="s">
        <v>48</v>
      </c>
      <c r="B28" s="219">
        <v>5</v>
      </c>
      <c r="C28" s="220">
        <v>2</v>
      </c>
      <c r="D28" s="218">
        <f>INDEX('Savings Projection'!$BK$19:$BK$58,B28)</f>
        <v>1031718.9418307085</v>
      </c>
      <c r="E28" s="218">
        <f t="shared" si="0"/>
        <v>5190991.5252820114</v>
      </c>
      <c r="F28" s="218">
        <f t="shared" si="1"/>
        <v>11121316.92691955</v>
      </c>
      <c r="G28" s="221">
        <f t="shared" si="2"/>
        <v>-2860825.9302233066</v>
      </c>
      <c r="H28" s="221">
        <f t="shared" si="3"/>
        <v>-5778551.8458772823</v>
      </c>
      <c r="I28" s="221">
        <f t="shared" si="4"/>
        <v>-6167968.787366163</v>
      </c>
      <c r="J28" s="221">
        <f t="shared" si="5"/>
        <v>-10252785.069281727</v>
      </c>
      <c r="K28" s="214" t="str">
        <f t="shared" si="6"/>
        <v>Y11 / 2036</v>
      </c>
      <c r="L28" s="214" t="str">
        <f t="shared" si="7"/>
        <v>Y12 / 2037</v>
      </c>
      <c r="M28" s="214" t="str">
        <f t="shared" si="8"/>
        <v>Y12 / 2037</v>
      </c>
      <c r="N28" s="214" t="str">
        <f t="shared" si="9"/>
        <v>Y13 / 2038</v>
      </c>
      <c r="O28" s="222" t="str">
        <f t="shared" si="10"/>
        <v>Short of $5M retire+house by Y10</v>
      </c>
    </row>
    <row r="29" spans="1:15" x14ac:dyDescent="0.2">
      <c r="A29" s="214" t="s">
        <v>49</v>
      </c>
      <c r="B29" s="219">
        <v>5</v>
      </c>
      <c r="C29" s="220">
        <v>3</v>
      </c>
      <c r="D29" s="218">
        <f>INDEX('Savings Projection'!$BK$19:$BK$58,B29)</f>
        <v>1031718.9418307085</v>
      </c>
      <c r="E29" s="218">
        <f t="shared" si="0"/>
        <v>7786487.2879230175</v>
      </c>
      <c r="F29" s="218">
        <f t="shared" si="1"/>
        <v>15784913.677285744</v>
      </c>
      <c r="G29" s="221">
        <f t="shared" si="2"/>
        <v>1802770.8201428875</v>
      </c>
      <c r="H29" s="221">
        <f t="shared" si="3"/>
        <v>-1114955.0955110881</v>
      </c>
      <c r="I29" s="221">
        <f t="shared" si="4"/>
        <v>-1504372.0369999688</v>
      </c>
      <c r="J29" s="221">
        <f t="shared" si="5"/>
        <v>-5589188.3189155329</v>
      </c>
      <c r="K29" s="214" t="str">
        <f t="shared" si="6"/>
        <v>Y10 / 2035</v>
      </c>
      <c r="L29" s="214" t="str">
        <f t="shared" si="7"/>
        <v>Y11 / 2036</v>
      </c>
      <c r="M29" s="214" t="str">
        <f t="shared" si="8"/>
        <v>Y11 / 2036</v>
      </c>
      <c r="N29" s="214" t="str">
        <f t="shared" si="9"/>
        <v>Y11 / 2036</v>
      </c>
      <c r="O29" s="222" t="str">
        <f t="shared" si="10"/>
        <v>Clears $5M cash by Y10</v>
      </c>
    </row>
    <row r="30" spans="1:15" x14ac:dyDescent="0.2">
      <c r="A30" s="214" t="s">
        <v>50</v>
      </c>
      <c r="B30" s="219">
        <v>5</v>
      </c>
      <c r="C30" s="220">
        <v>4</v>
      </c>
      <c r="D30" s="218">
        <f>INDEX('Savings Projection'!$BK$19:$BK$58,B30)</f>
        <v>1031718.9418307085</v>
      </c>
      <c r="E30" s="218">
        <f t="shared" si="0"/>
        <v>10381983.050564023</v>
      </c>
      <c r="F30" s="218">
        <f t="shared" si="1"/>
        <v>20427499.69664786</v>
      </c>
      <c r="G30" s="221">
        <f t="shared" si="2"/>
        <v>6445356.8395050038</v>
      </c>
      <c r="H30" s="221">
        <f t="shared" si="3"/>
        <v>3527630.9238510281</v>
      </c>
      <c r="I30" s="221">
        <f t="shared" si="4"/>
        <v>3138213.9823621474</v>
      </c>
      <c r="J30" s="221">
        <f t="shared" si="5"/>
        <v>-946602.29955341667</v>
      </c>
      <c r="K30" s="214" t="str">
        <f t="shared" si="6"/>
        <v>Y9 / 2034</v>
      </c>
      <c r="L30" s="214" t="str">
        <f t="shared" si="7"/>
        <v>Y10 / 2035</v>
      </c>
      <c r="M30" s="214" t="str">
        <f t="shared" si="8"/>
        <v>Y10 / 2035</v>
      </c>
      <c r="N30" s="214" t="str">
        <f t="shared" si="9"/>
        <v>Y11 / 2036</v>
      </c>
      <c r="O30" s="222" t="str">
        <f t="shared" si="10"/>
        <v>Clears $7M cash by Y10</v>
      </c>
    </row>
    <row r="33" spans="1:28" x14ac:dyDescent="0.2">
      <c r="A33" s="240" t="s">
        <v>51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</row>
    <row r="34" spans="1:28" x14ac:dyDescent="0.2">
      <c r="A34" s="241" t="s">
        <v>52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</row>
    <row r="35" spans="1:28" ht="16" customHeight="1" x14ac:dyDescent="0.2">
      <c r="A35" s="215" t="s">
        <v>27</v>
      </c>
      <c r="B35" s="215" t="s">
        <v>28</v>
      </c>
      <c r="C35" s="215" t="s">
        <v>29</v>
      </c>
      <c r="D35" s="215" t="s">
        <v>53</v>
      </c>
      <c r="E35" s="215" t="s">
        <v>54</v>
      </c>
      <c r="F35" s="215" t="s">
        <v>55</v>
      </c>
      <c r="G35" s="215" t="s">
        <v>56</v>
      </c>
      <c r="H35" s="215" t="s">
        <v>57</v>
      </c>
      <c r="I35" s="215" t="s">
        <v>58</v>
      </c>
      <c r="J35" s="215" t="s">
        <v>59</v>
      </c>
      <c r="K35" s="215" t="s">
        <v>60</v>
      </c>
      <c r="L35" s="215" t="s">
        <v>61</v>
      </c>
      <c r="M35" s="215" t="s">
        <v>62</v>
      </c>
      <c r="N35" s="215" t="s">
        <v>63</v>
      </c>
      <c r="O35" s="215" t="s">
        <v>64</v>
      </c>
      <c r="P35" s="215" t="s">
        <v>65</v>
      </c>
      <c r="Q35" s="215" t="s">
        <v>66</v>
      </c>
      <c r="R35" s="215" t="s">
        <v>67</v>
      </c>
      <c r="S35" s="215" t="s">
        <v>68</v>
      </c>
      <c r="T35" s="215" t="s">
        <v>69</v>
      </c>
      <c r="U35" s="215" t="s">
        <v>70</v>
      </c>
      <c r="V35" s="215" t="s">
        <v>71</v>
      </c>
      <c r="W35" s="215" t="s">
        <v>72</v>
      </c>
      <c r="X35" s="215" t="s">
        <v>73</v>
      </c>
      <c r="Y35" s="225" t="s">
        <v>74</v>
      </c>
      <c r="Z35" s="225" t="s">
        <v>75</v>
      </c>
      <c r="AA35" s="225" t="s">
        <v>76</v>
      </c>
      <c r="AB35" s="225" t="s">
        <v>77</v>
      </c>
    </row>
    <row r="36" spans="1:28" x14ac:dyDescent="0.2">
      <c r="A36" s="214" t="str">
        <f t="shared" ref="A36:A65" si="11">$A$22</f>
        <v>3Y 2x</v>
      </c>
      <c r="B36" s="214">
        <f t="shared" ref="B36:B65" si="12">$B$22</f>
        <v>3</v>
      </c>
      <c r="C36" s="223">
        <f t="shared" ref="C36:C65" si="13">$C$22</f>
        <v>2</v>
      </c>
      <c r="D36" s="214">
        <v>1</v>
      </c>
      <c r="E36" s="214">
        <f t="shared" ref="E36:E99" si="14">2025+D36</f>
        <v>2026</v>
      </c>
      <c r="F36" s="218">
        <f>IF(D36=1,'Model Inputs'!$B$25*(13-'Model Inputs'!$B$23)/12,'Model Inputs'!$B$25)</f>
        <v>100000</v>
      </c>
      <c r="G36" s="218">
        <f>IF(D36=1,'Model Inputs'!$B$27*(13-'Model Inputs'!$B$23)/12,IF(D36=2,'Model Inputs'!$B$27,IF(D36&lt;=MAX(3,'Model Inputs'!$B$30+1),'Model Inputs'!$B$27*(1+'Model Inputs'!$B$28)^(D36-3),'Model Inputs'!$B$27*(1+'Model Inputs'!$B$28)^(MAX(3,'Model Inputs'!$B$30+1)-3)*(1+'Model Inputs'!$B$29)^(D36-MAX(3,'Model Inputs'!$B$30+1)))))</f>
        <v>150000</v>
      </c>
      <c r="H36" s="224">
        <f>IF(D36&lt;=2,0,'Model Inputs'!$B$32*SIN(2*PI()*(D36-3+'Model Inputs'!$B$34)/MAX(1,'Model Inputs'!$B$33)))</f>
        <v>0</v>
      </c>
      <c r="I36" s="218">
        <f t="shared" ref="I36:I99" si="15">G36*(1+H36)</f>
        <v>150000</v>
      </c>
      <c r="J36" s="218">
        <f>0</f>
        <v>0</v>
      </c>
      <c r="K36" s="218">
        <f>F36+J36+IF(D36=1,'Model Inputs'!$B$26,0)</f>
        <v>550000</v>
      </c>
      <c r="L36" s="218">
        <f t="shared" ref="L36:L99" si="16">IF(D36&lt;=B36,K36,K36*C36)</f>
        <v>550000</v>
      </c>
      <c r="M36" s="218">
        <f>MIN(L36,'Tax Assumptions'!$B$19)</f>
        <v>24500</v>
      </c>
      <c r="N36" s="218">
        <f>MAX(L36-M36-'Tax Assumptions'!$B$8,0)</f>
        <v>509400</v>
      </c>
      <c r="O36" s="218">
        <f>MAX(L36-M36-'Tax Assumptions'!$B$9,0)</f>
        <v>517500</v>
      </c>
      <c r="P36" s="218">
        <f>IF(N36=0,0,LOOKUP(N36,'Tax Assumptions'!$F$9:$F$15,'Tax Assumptions'!$I$9:$I$15)+(N36-LOOKUP(N36,'Tax Assumptions'!$F$9:$F$15,'Tax Assumptions'!$F$9:$F$15))*LOOKUP(N36,'Tax Assumptions'!$F$9:$F$15,'Tax Assumptions'!$H$9:$H$15))+MIN(MAX(L36,0),'Tax Assumptions'!$B$11)*'Tax Assumptions'!$B$10+MAX(L36,0)*'Tax Assumptions'!$B$12+MAX(MAX(L36,0)-'Tax Assumptions'!$B$14,0)*'Tax Assumptions'!$B$13+MIN(L36*'Tax Assumptions'!$B$15,'Tax Assumptions'!$B$16)+MIN(L36*'Tax Assumptions'!$B$17,'Tax Assumptions'!$B$18)+IF(O36=0,0,LOOKUP(O36,'Tax Assumptions'!$K$9:$K$17,'Tax Assumptions'!$N$9:$N$17)+(O36-LOOKUP(O36,'Tax Assumptions'!$K$9:$K$17,'Tax Assumptions'!$K$9:$K$17))*LOOKUP(O36,'Tax Assumptions'!$K$9:$K$17,'Tax Assumptions'!$M$9:$M$17))+IF(O36=0,0,LOOKUP(O36,'Tax Assumptions'!$P$9:$P$12,'Tax Assumptions'!$S$9:$S$12)+(O36-LOOKUP(O36,'Tax Assumptions'!$P$9:$P$12,'Tax Assumptions'!$P$9:$P$12))*LOOKUP(O36,'Tax Assumptions'!$P$9:$P$12,'Tax Assumptions'!$R$9:$R$12))</f>
        <v>222834.53000000003</v>
      </c>
      <c r="Q36" s="218">
        <f t="shared" ref="Q36:Q99" si="17">L36-M36-P36</f>
        <v>302665.46999999997</v>
      </c>
      <c r="R36" s="218">
        <f>IF(D36&lt;=10,INDEX('Savings Projection'!$BL$19:$BL$28,D36),LOOKUP(2,1/('Savings Projection'!$BL$19:$BL$28&lt;&gt;""),'Savings Projection'!$BL$19:$BL$28))*(1+'Model Inputs'!$B$35)^(D36-1)+IF(D36&lt;=10,INDEX('Savings Projection'!$BM$19:$BM$28,D36),LOOKUP(2,1/('Savings Projection'!$BM$19:$BM$28&lt;&gt;""),'Savings Projection'!$BM$19:$BM$28))*(1+'Model Inputs'!$B$36)^(D36-1)</f>
        <v>118000</v>
      </c>
      <c r="S36" s="218">
        <f t="shared" ref="S36:S99" si="18">Q36-R36</f>
        <v>184665.46999999997</v>
      </c>
      <c r="T36" s="218">
        <f>MIN(MAX(S36,0),'Tax Assumptions'!$B$20)</f>
        <v>7500</v>
      </c>
      <c r="U36" s="218">
        <f t="shared" ref="U36:U99" si="19">S36-T36</f>
        <v>177165.46999999997</v>
      </c>
      <c r="V36" s="218">
        <f>MAX('Model Inputs'!$B$7*(1+'Model Inputs'!$B$13)+U36,0)</f>
        <v>336165.47</v>
      </c>
      <c r="W36" s="218">
        <f>MAX(('Model Inputs'!$B$8+'Model Inputs'!$B$9+'Model Inputs'!$B$10)*(1+'Model Inputs'!$B$13)+M36+T36,0)</f>
        <v>32000</v>
      </c>
      <c r="X36" s="218">
        <f t="shared" ref="X36:X99" si="20">V36+W36</f>
        <v>368165.47</v>
      </c>
      <c r="Y36" s="226" t="str">
        <f>IF(AND(X36&gt;=$F$14,0&lt;$F$14),D36,"")</f>
        <v/>
      </c>
      <c r="Z36" s="226" t="str">
        <f>IF(AND(X36&gt;=$F$15,0&lt;$F$15),D36,"")</f>
        <v/>
      </c>
      <c r="AA36" s="226" t="str">
        <f>IF(AND(X36&gt;=$F$16,0&lt;$F$16),D36,"")</f>
        <v/>
      </c>
      <c r="AB36" s="226" t="str">
        <f>IF(AND(X36&gt;=$F$17,0&lt;$F$17),D36,"")</f>
        <v/>
      </c>
    </row>
    <row r="37" spans="1:28" x14ac:dyDescent="0.2">
      <c r="A37" s="214" t="str">
        <f t="shared" si="11"/>
        <v>3Y 2x</v>
      </c>
      <c r="B37" s="214">
        <f t="shared" si="12"/>
        <v>3</v>
      </c>
      <c r="C37" s="223">
        <f t="shared" si="13"/>
        <v>2</v>
      </c>
      <c r="D37" s="214">
        <v>2</v>
      </c>
      <c r="E37" s="214">
        <f t="shared" si="14"/>
        <v>2027</v>
      </c>
      <c r="F37" s="218">
        <f>IF(D37=1,'Model Inputs'!$B$25*(13-'Model Inputs'!$B$23)/12,'Model Inputs'!$B$25)</f>
        <v>300000</v>
      </c>
      <c r="G37" s="218">
        <f>IF(D37=1,'Model Inputs'!$B$27*(13-'Model Inputs'!$B$23)/12,IF(D37=2,'Model Inputs'!$B$27,IF(D37&lt;=MAX(3,'Model Inputs'!$B$30+1),'Model Inputs'!$B$27*(1+'Model Inputs'!$B$28)^(D37-3),'Model Inputs'!$B$27*(1+'Model Inputs'!$B$28)^(MAX(3,'Model Inputs'!$B$30+1)-3)*(1+'Model Inputs'!$B$29)^(D37-MAX(3,'Model Inputs'!$B$30+1)))))</f>
        <v>450000</v>
      </c>
      <c r="H37" s="224">
        <f>IF(D37&lt;=2,0,'Model Inputs'!$B$32*SIN(2*PI()*(D37-3+'Model Inputs'!$B$34)/MAX(1,'Model Inputs'!$B$33)))</f>
        <v>0</v>
      </c>
      <c r="I37" s="218">
        <f t="shared" si="15"/>
        <v>450000</v>
      </c>
      <c r="J37" s="218">
        <f>0.75*I36</f>
        <v>112500</v>
      </c>
      <c r="K37" s="218">
        <f>F37+J37+IF(D37=1,'Model Inputs'!$B$26,0)</f>
        <v>412500</v>
      </c>
      <c r="L37" s="218">
        <f t="shared" si="16"/>
        <v>412500</v>
      </c>
      <c r="M37" s="218">
        <f>MIN(L37,'Tax Assumptions'!$B$19)</f>
        <v>24500</v>
      </c>
      <c r="N37" s="218">
        <f>MAX(L37-M37-'Tax Assumptions'!$B$8,0)</f>
        <v>371900</v>
      </c>
      <c r="O37" s="218">
        <f>MAX(L37-M37-'Tax Assumptions'!$B$9,0)</f>
        <v>380000</v>
      </c>
      <c r="P37" s="218">
        <f>IF(N37=0,0,LOOKUP(N37,'Tax Assumptions'!$F$9:$F$15,'Tax Assumptions'!$I$9:$I$15)+(N37-LOOKUP(N37,'Tax Assumptions'!$F$9:$F$15,'Tax Assumptions'!$F$9:$F$15))*LOOKUP(N37,'Tax Assumptions'!$F$9:$F$15,'Tax Assumptions'!$H$9:$H$15))+MIN(MAX(L37,0),'Tax Assumptions'!$B$11)*'Tax Assumptions'!$B$10+MAX(L37,0)*'Tax Assumptions'!$B$12+MAX(MAX(L37,0)-'Tax Assumptions'!$B$14,0)*'Tax Assumptions'!$B$13+MIN(L37*'Tax Assumptions'!$B$15,'Tax Assumptions'!$B$16)+MIN(L37*'Tax Assumptions'!$B$17,'Tax Assumptions'!$B$18)+IF(O37=0,0,LOOKUP(O37,'Tax Assumptions'!$K$9:$K$17,'Tax Assumptions'!$N$9:$N$17)+(O37-LOOKUP(O37,'Tax Assumptions'!$K$9:$K$17,'Tax Assumptions'!$K$9:$K$17))*LOOKUP(O37,'Tax Assumptions'!$K$9:$K$17,'Tax Assumptions'!$M$9:$M$17))+IF(O37=0,0,LOOKUP(O37,'Tax Assumptions'!$P$9:$P$12,'Tax Assumptions'!$S$9:$S$12)+(O37-LOOKUP(O37,'Tax Assumptions'!$P$9:$P$12,'Tax Assumptions'!$P$9:$P$12))*LOOKUP(O37,'Tax Assumptions'!$P$9:$P$12,'Tax Assumptions'!$R$9:$R$12))</f>
        <v>156730.03</v>
      </c>
      <c r="Q37" s="218">
        <f t="shared" si="17"/>
        <v>231269.97</v>
      </c>
      <c r="R37" s="218">
        <f>IF(D37&lt;=10,INDEX('Savings Projection'!$BL$19:$BL$28,D37),LOOKUP(2,1/('Savings Projection'!$BL$19:$BL$28&lt;&gt;""),'Savings Projection'!$BL$19:$BL$28))*(1+'Model Inputs'!$B$35)^(D37-1)+IF(D37&lt;=10,INDEX('Savings Projection'!$BM$19:$BM$28,D37),LOOKUP(2,1/('Savings Projection'!$BM$19:$BM$28&lt;&gt;""),'Savings Projection'!$BM$19:$BM$28))*(1+'Model Inputs'!$B$36)^(D37-1)</f>
        <v>121540</v>
      </c>
      <c r="S37" s="218">
        <f t="shared" si="18"/>
        <v>109729.97</v>
      </c>
      <c r="T37" s="218">
        <f>MIN(MAX(S37,0),'Tax Assumptions'!$B$20)</f>
        <v>7500</v>
      </c>
      <c r="U37" s="218">
        <f t="shared" si="19"/>
        <v>102229.97</v>
      </c>
      <c r="V37" s="218">
        <f>MAX(V36*(1+'Model Inputs'!$B$13)+U37,0)</f>
        <v>458565.36820000003</v>
      </c>
      <c r="W37" s="218">
        <f>MAX(W36*(1+'Model Inputs'!$B$13)+M37+T37,0)</f>
        <v>65920</v>
      </c>
      <c r="X37" s="218">
        <f t="shared" si="20"/>
        <v>524485.36820000003</v>
      </c>
      <c r="Y37" s="226" t="str">
        <f t="shared" ref="Y37:Y100" si="21">IF(AND(X37&gt;=$F$14,IF(D37=1,0,X36)&lt;$F$14),D37,"")</f>
        <v/>
      </c>
      <c r="Z37" s="226" t="str">
        <f t="shared" ref="Z37:Z100" si="22">IF(AND(X37&gt;=$F$15,IF(D37=1,0,X36)&lt;$F$15),D37,"")</f>
        <v/>
      </c>
      <c r="AA37" s="226" t="str">
        <f t="shared" ref="AA37:AA100" si="23">IF(AND(X37&gt;=$F$16,IF(D37=1,0,X36)&lt;$F$16),D37,"")</f>
        <v/>
      </c>
      <c r="AB37" s="226" t="str">
        <f t="shared" ref="AB37:AB100" si="24">IF(AND(X37&gt;=$F$17,IF(D37=1,0,X36)&lt;$F$17),D37,"")</f>
        <v/>
      </c>
    </row>
    <row r="38" spans="1:28" x14ac:dyDescent="0.2">
      <c r="A38" s="214" t="str">
        <f t="shared" si="11"/>
        <v>3Y 2x</v>
      </c>
      <c r="B38" s="214">
        <f t="shared" si="12"/>
        <v>3</v>
      </c>
      <c r="C38" s="223">
        <f t="shared" si="13"/>
        <v>2</v>
      </c>
      <c r="D38" s="214">
        <v>3</v>
      </c>
      <c r="E38" s="214">
        <f t="shared" si="14"/>
        <v>2028</v>
      </c>
      <c r="F38" s="218">
        <f>IF(D38=1,'Model Inputs'!$B$25*(13-'Model Inputs'!$B$23)/12,'Model Inputs'!$B$25)</f>
        <v>300000</v>
      </c>
      <c r="G38" s="218">
        <f>IF(D38=1,'Model Inputs'!$B$27*(13-'Model Inputs'!$B$23)/12,IF(D38=2,'Model Inputs'!$B$27,IF(D38&lt;=MAX(3,'Model Inputs'!$B$30+1),'Model Inputs'!$B$27*(1+'Model Inputs'!$B$28)^(D38-3),'Model Inputs'!$B$27*(1+'Model Inputs'!$B$28)^(MAX(3,'Model Inputs'!$B$30+1)-3)*(1+'Model Inputs'!$B$29)^(D38-MAX(3,'Model Inputs'!$B$30+1)))))</f>
        <v>450000</v>
      </c>
      <c r="H38" s="224">
        <f>IF(D38&lt;=2,0,'Model Inputs'!$B$32*SIN(2*PI()*(D38-3+'Model Inputs'!$B$34)/MAX(1,'Model Inputs'!$B$33)))</f>
        <v>0</v>
      </c>
      <c r="I38" s="218">
        <f t="shared" si="15"/>
        <v>450000</v>
      </c>
      <c r="J38" s="218">
        <f t="shared" ref="J38:J65" si="25">0.75*I37+0.25*I36</f>
        <v>375000</v>
      </c>
      <c r="K38" s="218">
        <f>F38+J38+IF(D38=1,'Model Inputs'!$B$26,0)</f>
        <v>675000</v>
      </c>
      <c r="L38" s="218">
        <f t="shared" si="16"/>
        <v>675000</v>
      </c>
      <c r="M38" s="218">
        <f>MIN(L38,'Tax Assumptions'!$B$19)</f>
        <v>24500</v>
      </c>
      <c r="N38" s="218">
        <f>MAX(L38-M38-'Tax Assumptions'!$B$8,0)</f>
        <v>634400</v>
      </c>
      <c r="O38" s="218">
        <f>MAX(L38-M38-'Tax Assumptions'!$B$9,0)</f>
        <v>642500</v>
      </c>
      <c r="P38" s="218">
        <f>IF(N38=0,0,LOOKUP(N38,'Tax Assumptions'!$F$9:$F$15,'Tax Assumptions'!$I$9:$I$15)+(N38-LOOKUP(N38,'Tax Assumptions'!$F$9:$F$15,'Tax Assumptions'!$F$9:$F$15))*LOOKUP(N38,'Tax Assumptions'!$F$9:$F$15,'Tax Assumptions'!$H$9:$H$15))+MIN(MAX(L38,0),'Tax Assumptions'!$B$11)*'Tax Assumptions'!$B$10+MAX(L38,0)*'Tax Assumptions'!$B$12+MAX(MAX(L38,0)-'Tax Assumptions'!$B$14,0)*'Tax Assumptions'!$B$13+MIN(L38*'Tax Assumptions'!$B$15,'Tax Assumptions'!$B$16)+MIN(L38*'Tax Assumptions'!$B$17,'Tax Assumptions'!$B$18)+IF(O38=0,0,LOOKUP(O38,'Tax Assumptions'!$K$9:$K$17,'Tax Assumptions'!$N$9:$N$17)+(O38-LOOKUP(O38,'Tax Assumptions'!$K$9:$K$17,'Tax Assumptions'!$K$9:$K$17))*LOOKUP(O38,'Tax Assumptions'!$K$9:$K$17,'Tax Assumptions'!$M$9:$M$17))+IF(O38=0,0,LOOKUP(O38,'Tax Assumptions'!$P$9:$P$12,'Tax Assumptions'!$S$9:$S$12)+(O38-LOOKUP(O38,'Tax Assumptions'!$P$9:$P$12,'Tax Assumptions'!$P$9:$P$12))*LOOKUP(O38,'Tax Assumptions'!$P$9:$P$12,'Tax Assumptions'!$R$9:$R$12))</f>
        <v>282929.53000000003</v>
      </c>
      <c r="Q38" s="218">
        <f t="shared" si="17"/>
        <v>367570.47</v>
      </c>
      <c r="R38" s="218">
        <f>IF(D38&lt;=10,INDEX('Savings Projection'!$BL$19:$BL$28,D38),LOOKUP(2,1/('Savings Projection'!$BL$19:$BL$28&lt;&gt;""),'Savings Projection'!$BL$19:$BL$28))*(1+'Model Inputs'!$B$35)^(D38-1)+IF(D38&lt;=10,INDEX('Savings Projection'!$BM$19:$BM$28,D38),LOOKUP(2,1/('Savings Projection'!$BM$19:$BM$28&lt;&gt;""),'Savings Projection'!$BM$19:$BM$28))*(1+'Model Inputs'!$B$36)^(D38-1)</f>
        <v>135795.20000000001</v>
      </c>
      <c r="S38" s="218">
        <f t="shared" si="18"/>
        <v>231775.26999999996</v>
      </c>
      <c r="T38" s="218">
        <f>MIN(MAX(S38,0),'Tax Assumptions'!$B$20)</f>
        <v>7500</v>
      </c>
      <c r="U38" s="218">
        <f t="shared" si="19"/>
        <v>224275.26999999996</v>
      </c>
      <c r="V38" s="218">
        <f>MAX(V37*(1+'Model Inputs'!$B$13)+U38,0)</f>
        <v>710354.56029199995</v>
      </c>
      <c r="W38" s="218">
        <f>MAX(W37*(1+'Model Inputs'!$B$13)+M38+T38,0)</f>
        <v>101875.2</v>
      </c>
      <c r="X38" s="218">
        <f t="shared" si="20"/>
        <v>812229.7602919999</v>
      </c>
      <c r="Y38" s="226" t="str">
        <f t="shared" si="21"/>
        <v/>
      </c>
      <c r="Z38" s="226" t="str">
        <f t="shared" si="22"/>
        <v/>
      </c>
      <c r="AA38" s="226" t="str">
        <f t="shared" si="23"/>
        <v/>
      </c>
      <c r="AB38" s="226" t="str">
        <f t="shared" si="24"/>
        <v/>
      </c>
    </row>
    <row r="39" spans="1:28" x14ac:dyDescent="0.2">
      <c r="A39" s="214" t="str">
        <f t="shared" si="11"/>
        <v>3Y 2x</v>
      </c>
      <c r="B39" s="214">
        <f t="shared" si="12"/>
        <v>3</v>
      </c>
      <c r="C39" s="223">
        <f t="shared" si="13"/>
        <v>2</v>
      </c>
      <c r="D39" s="214">
        <v>4</v>
      </c>
      <c r="E39" s="214">
        <f t="shared" si="14"/>
        <v>2029</v>
      </c>
      <c r="F39" s="218">
        <f>IF(D39=1,'Model Inputs'!$B$25*(13-'Model Inputs'!$B$23)/12,'Model Inputs'!$B$25)</f>
        <v>300000</v>
      </c>
      <c r="G39" s="218">
        <f>IF(D39=1,'Model Inputs'!$B$27*(13-'Model Inputs'!$B$23)/12,IF(D39=2,'Model Inputs'!$B$27,IF(D39&lt;=MAX(3,'Model Inputs'!$B$30+1),'Model Inputs'!$B$27*(1+'Model Inputs'!$B$28)^(D39-3),'Model Inputs'!$B$27*(1+'Model Inputs'!$B$28)^(MAX(3,'Model Inputs'!$B$30+1)-3)*(1+'Model Inputs'!$B$29)^(D39-MAX(3,'Model Inputs'!$B$30+1)))))</f>
        <v>653834.84153110103</v>
      </c>
      <c r="H39" s="224">
        <f>IF(D39&lt;=2,0,'Model Inputs'!$B$32*SIN(2*PI()*(D39-3+'Model Inputs'!$B$34)/MAX(1,'Model Inputs'!$B$33)))</f>
        <v>0.10392304845413264</v>
      </c>
      <c r="I39" s="218">
        <f t="shared" si="15"/>
        <v>721783.35144853778</v>
      </c>
      <c r="J39" s="218">
        <f t="shared" si="25"/>
        <v>450000</v>
      </c>
      <c r="K39" s="218">
        <f>F39+J39+IF(D39=1,'Model Inputs'!$B$26,0)</f>
        <v>750000</v>
      </c>
      <c r="L39" s="218">
        <f t="shared" si="16"/>
        <v>1500000</v>
      </c>
      <c r="M39" s="218">
        <f>MIN(L39,'Tax Assumptions'!$B$19)</f>
        <v>24500</v>
      </c>
      <c r="N39" s="218">
        <f>MAX(L39-M39-'Tax Assumptions'!$B$8,0)</f>
        <v>1459400</v>
      </c>
      <c r="O39" s="218">
        <f>MAX(L39-M39-'Tax Assumptions'!$B$9,0)</f>
        <v>1467500</v>
      </c>
      <c r="P39" s="218">
        <f>IF(N39=0,0,LOOKUP(N39,'Tax Assumptions'!$F$9:$F$15,'Tax Assumptions'!$I$9:$I$15)+(N39-LOOKUP(N39,'Tax Assumptions'!$F$9:$F$15,'Tax Assumptions'!$F$9:$F$15))*LOOKUP(N39,'Tax Assumptions'!$F$9:$F$15,'Tax Assumptions'!$H$9:$H$15))+MIN(MAX(L39,0),'Tax Assumptions'!$B$11)*'Tax Assumptions'!$B$10+MAX(L39,0)*'Tax Assumptions'!$B$12+MAX(MAX(L39,0)-'Tax Assumptions'!$B$14,0)*'Tax Assumptions'!$B$13+MIN(L39*'Tax Assumptions'!$B$15,'Tax Assumptions'!$B$16)+MIN(L39*'Tax Assumptions'!$B$17,'Tax Assumptions'!$B$18)+IF(O39=0,0,LOOKUP(O39,'Tax Assumptions'!$K$9:$K$17,'Tax Assumptions'!$N$9:$N$17)+(O39-LOOKUP(O39,'Tax Assumptions'!$K$9:$K$17,'Tax Assumptions'!$K$9:$K$17))*LOOKUP(O39,'Tax Assumptions'!$K$9:$K$17,'Tax Assumptions'!$M$9:$M$17))+IF(O39=0,0,LOOKUP(O39,'Tax Assumptions'!$P$9:$P$12,'Tax Assumptions'!$S$9:$S$12)+(O39-LOOKUP(O39,'Tax Assumptions'!$P$9:$P$12,'Tax Assumptions'!$P$9:$P$12))*LOOKUP(O39,'Tax Assumptions'!$P$9:$P$12,'Tax Assumptions'!$R$9:$R$12))</f>
        <v>706850.63500000001</v>
      </c>
      <c r="Q39" s="218">
        <f t="shared" si="17"/>
        <v>768649.36499999999</v>
      </c>
      <c r="R39" s="218">
        <f>IF(D39&lt;=10,INDEX('Savings Projection'!$BL$19:$BL$28,D39),LOOKUP(2,1/('Savings Projection'!$BL$19:$BL$28&lt;&gt;""),'Savings Projection'!$BL$19:$BL$28))*(1+'Model Inputs'!$B$35)^(D39-1)+IF(D39&lt;=10,INDEX('Savings Projection'!$BM$19:$BM$28,D39),LOOKUP(2,1/('Savings Projection'!$BM$19:$BM$28&lt;&gt;""),'Savings Projection'!$BM$19:$BM$28))*(1+'Model Inputs'!$B$36)^(D39-1)</f>
        <v>139869.05600000001</v>
      </c>
      <c r="S39" s="218">
        <f t="shared" si="18"/>
        <v>628780.30900000001</v>
      </c>
      <c r="T39" s="218">
        <f>MIN(MAX(S39,0),'Tax Assumptions'!$B$20)</f>
        <v>7500</v>
      </c>
      <c r="U39" s="218">
        <f t="shared" si="19"/>
        <v>621280.30900000001</v>
      </c>
      <c r="V39" s="218">
        <f>MAX(V38*(1+'Model Inputs'!$B$13)+U39,0)</f>
        <v>1374256.1429095198</v>
      </c>
      <c r="W39" s="218">
        <f>MAX(W38*(1+'Model Inputs'!$B$13)+M39+T39,0)</f>
        <v>139987.712</v>
      </c>
      <c r="X39" s="218">
        <f t="shared" si="20"/>
        <v>1514243.8549095199</v>
      </c>
      <c r="Y39" s="226" t="str">
        <f t="shared" si="21"/>
        <v/>
      </c>
      <c r="Z39" s="226" t="str">
        <f t="shared" si="22"/>
        <v/>
      </c>
      <c r="AA39" s="226" t="str">
        <f t="shared" si="23"/>
        <v/>
      </c>
      <c r="AB39" s="226" t="str">
        <f t="shared" si="24"/>
        <v/>
      </c>
    </row>
    <row r="40" spans="1:28" x14ac:dyDescent="0.2">
      <c r="A40" s="214" t="str">
        <f t="shared" si="11"/>
        <v>3Y 2x</v>
      </c>
      <c r="B40" s="214">
        <f t="shared" si="12"/>
        <v>3</v>
      </c>
      <c r="C40" s="223">
        <f t="shared" si="13"/>
        <v>2</v>
      </c>
      <c r="D40" s="214">
        <v>5</v>
      </c>
      <c r="E40" s="214">
        <f t="shared" si="14"/>
        <v>2030</v>
      </c>
      <c r="F40" s="218">
        <f>IF(D40=1,'Model Inputs'!$B$25*(13-'Model Inputs'!$B$23)/12,'Model Inputs'!$B$25)</f>
        <v>300000</v>
      </c>
      <c r="G40" s="218">
        <f>IF(D40=1,'Model Inputs'!$B$27*(13-'Model Inputs'!$B$23)/12,IF(D40=2,'Model Inputs'!$B$27,IF(D40&lt;=MAX(3,'Model Inputs'!$B$30+1),'Model Inputs'!$B$27*(1+'Model Inputs'!$B$28)^(D40-3),'Model Inputs'!$B$27*(1+'Model Inputs'!$B$28)^(MAX(3,'Model Inputs'!$B$30+1)-3)*(1+'Model Inputs'!$B$29)^(D40-MAX(3,'Model Inputs'!$B$30+1)))))</f>
        <v>950000</v>
      </c>
      <c r="H40" s="224">
        <f>IF(D40&lt;=2,0,'Model Inputs'!$B$32*SIN(2*PI()*(D40-3+'Model Inputs'!$B$34)/MAX(1,'Model Inputs'!$B$33)))</f>
        <v>-0.1039230484541326</v>
      </c>
      <c r="I40" s="218">
        <f t="shared" si="15"/>
        <v>851273.10396857408</v>
      </c>
      <c r="J40" s="218">
        <f t="shared" si="25"/>
        <v>653837.51358640334</v>
      </c>
      <c r="K40" s="218">
        <f>F40+J40+IF(D40=1,'Model Inputs'!$B$26,0)</f>
        <v>953837.51358640334</v>
      </c>
      <c r="L40" s="218">
        <f t="shared" si="16"/>
        <v>1907675.0271728067</v>
      </c>
      <c r="M40" s="218">
        <f>MIN(L40,'Tax Assumptions'!$B$19)</f>
        <v>24500</v>
      </c>
      <c r="N40" s="218">
        <f>MAX(L40-M40-'Tax Assumptions'!$B$8,0)</f>
        <v>1867075.0271728067</v>
      </c>
      <c r="O40" s="218">
        <f>MAX(L40-M40-'Tax Assumptions'!$B$9,0)</f>
        <v>1875175.0271728067</v>
      </c>
      <c r="P40" s="218">
        <f>IF(N40=0,0,LOOKUP(N40,'Tax Assumptions'!$F$9:$F$15,'Tax Assumptions'!$I$9:$I$15)+(N40-LOOKUP(N40,'Tax Assumptions'!$F$9:$F$15,'Tax Assumptions'!$F$9:$F$15))*LOOKUP(N40,'Tax Assumptions'!$F$9:$F$15,'Tax Assumptions'!$H$9:$H$15))+MIN(MAX(L40,0),'Tax Assumptions'!$B$11)*'Tax Assumptions'!$B$10+MAX(L40,0)*'Tax Assumptions'!$B$12+MAX(MAX(L40,0)-'Tax Assumptions'!$B$14,0)*'Tax Assumptions'!$B$13+MIN(L40*'Tax Assumptions'!$B$15,'Tax Assumptions'!$B$16)+MIN(L40*'Tax Assumptions'!$B$17,'Tax Assumptions'!$B$18)+IF(O40=0,0,LOOKUP(O40,'Tax Assumptions'!$K$9:$K$17,'Tax Assumptions'!$N$9:$N$17)+(O40-LOOKUP(O40,'Tax Assumptions'!$K$9:$K$17,'Tax Assumptions'!$K$9:$K$17))*LOOKUP(O40,'Tax Assumptions'!$K$9:$K$17,'Tax Assumptions'!$M$9:$M$17))+IF(O40=0,0,LOOKUP(O40,'Tax Assumptions'!$P$9:$P$12,'Tax Assumptions'!$S$9:$S$12)+(O40-LOOKUP(O40,'Tax Assumptions'!$P$9:$P$12,'Tax Assumptions'!$P$9:$P$12))*LOOKUP(O40,'Tax Assumptions'!$P$9:$P$12,'Tax Assumptions'!$R$9:$R$12))</f>
        <v>922412.88236789324</v>
      </c>
      <c r="Q40" s="218">
        <f t="shared" si="17"/>
        <v>960762.14480491343</v>
      </c>
      <c r="R40" s="218">
        <f>IF(D40&lt;=10,INDEX('Savings Projection'!$BL$19:$BL$28,D40),LOOKUP(2,1/('Savings Projection'!$BL$19:$BL$28&lt;&gt;""),'Savings Projection'!$BL$19:$BL$28))*(1+'Model Inputs'!$B$35)^(D40-1)+IF(D40&lt;=10,INDEX('Savings Projection'!$BM$19:$BM$28,D40),LOOKUP(2,1/('Savings Projection'!$BM$19:$BM$28&lt;&gt;""),'Savings Projection'!$BM$19:$BM$28))*(1+'Model Inputs'!$B$36)^(D40-1)</f>
        <v>144065.12767999998</v>
      </c>
      <c r="S40" s="218">
        <f t="shared" si="18"/>
        <v>816697.0171249134</v>
      </c>
      <c r="T40" s="218">
        <f>MIN(MAX(S40,0),'Tax Assumptions'!$B$20)</f>
        <v>7500</v>
      </c>
      <c r="U40" s="218">
        <f t="shared" si="19"/>
        <v>809197.0171249134</v>
      </c>
      <c r="V40" s="218">
        <f>MAX(V39*(1+'Model Inputs'!$B$13)+U40,0)</f>
        <v>2265908.5286090048</v>
      </c>
      <c r="W40" s="218">
        <f>MAX(W39*(1+'Model Inputs'!$B$13)+M40+T40,0)</f>
        <v>180386.97472</v>
      </c>
      <c r="X40" s="218">
        <f t="shared" si="20"/>
        <v>2446295.5033290046</v>
      </c>
      <c r="Y40" s="226" t="str">
        <f t="shared" si="21"/>
        <v/>
      </c>
      <c r="Z40" s="226" t="str">
        <f t="shared" si="22"/>
        <v/>
      </c>
      <c r="AA40" s="226" t="str">
        <f t="shared" si="23"/>
        <v/>
      </c>
      <c r="AB40" s="226" t="str">
        <f t="shared" si="24"/>
        <v/>
      </c>
    </row>
    <row r="41" spans="1:28" x14ac:dyDescent="0.2">
      <c r="A41" s="214" t="str">
        <f t="shared" si="11"/>
        <v>3Y 2x</v>
      </c>
      <c r="B41" s="214">
        <f t="shared" si="12"/>
        <v>3</v>
      </c>
      <c r="C41" s="223">
        <f t="shared" si="13"/>
        <v>2</v>
      </c>
      <c r="D41" s="214">
        <v>6</v>
      </c>
      <c r="E41" s="214">
        <f t="shared" si="14"/>
        <v>2031</v>
      </c>
      <c r="F41" s="218">
        <f>IF(D41=1,'Model Inputs'!$B$25*(13-'Model Inputs'!$B$23)/12,'Model Inputs'!$B$25)</f>
        <v>300000</v>
      </c>
      <c r="G41" s="218">
        <f>IF(D41=1,'Model Inputs'!$B$27*(13-'Model Inputs'!$B$23)/12,IF(D41=2,'Model Inputs'!$B$27,IF(D41&lt;=MAX(3,'Model Inputs'!$B$30+1),'Model Inputs'!$B$27*(1+'Model Inputs'!$B$28)^(D41-3),'Model Inputs'!$B$27*(1+'Model Inputs'!$B$28)^(MAX(3,'Model Inputs'!$B$30+1)-3)*(1+'Model Inputs'!$B$29)^(D41-MAX(3,'Model Inputs'!$B$30+1)))))</f>
        <v>1207333.5632986501</v>
      </c>
      <c r="H41" s="224">
        <f>IF(D41&lt;=2,0,'Model Inputs'!$B$32*SIN(2*PI()*(D41-3+'Model Inputs'!$B$34)/MAX(1,'Model Inputs'!$B$33)))</f>
        <v>-2.9391523179536474E-17</v>
      </c>
      <c r="I41" s="218">
        <f t="shared" si="15"/>
        <v>1207333.5632986501</v>
      </c>
      <c r="J41" s="218">
        <f t="shared" si="25"/>
        <v>818900.66583856498</v>
      </c>
      <c r="K41" s="218">
        <f>F41+J41+IF(D41=1,'Model Inputs'!$B$26,0)</f>
        <v>1118900.665838565</v>
      </c>
      <c r="L41" s="218">
        <f t="shared" si="16"/>
        <v>2237801.33167713</v>
      </c>
      <c r="M41" s="218">
        <f>MIN(L41,'Tax Assumptions'!$B$19)</f>
        <v>24500</v>
      </c>
      <c r="N41" s="218">
        <f>MAX(L41-M41-'Tax Assumptions'!$B$8,0)</f>
        <v>2197201.33167713</v>
      </c>
      <c r="O41" s="218">
        <f>MAX(L41-M41-'Tax Assumptions'!$B$9,0)</f>
        <v>2205301.33167713</v>
      </c>
      <c r="P41" s="218">
        <f>IF(N41=0,0,LOOKUP(N41,'Tax Assumptions'!$F$9:$F$15,'Tax Assumptions'!$I$9:$I$15)+(N41-LOOKUP(N41,'Tax Assumptions'!$F$9:$F$15,'Tax Assumptions'!$F$9:$F$15))*LOOKUP(N41,'Tax Assumptions'!$F$9:$F$15,'Tax Assumptions'!$H$9:$H$15))+MIN(MAX(L41,0),'Tax Assumptions'!$B$11)*'Tax Assumptions'!$B$10+MAX(L41,0)*'Tax Assumptions'!$B$12+MAX(MAX(L41,0)-'Tax Assumptions'!$B$14,0)*'Tax Assumptions'!$B$13+MIN(L41*'Tax Assumptions'!$B$15,'Tax Assumptions'!$B$16)+MIN(L41*'Tax Assumptions'!$B$17,'Tax Assumptions'!$B$18)+IF(O41=0,0,LOOKUP(O41,'Tax Assumptions'!$K$9:$K$17,'Tax Assumptions'!$N$9:$N$17)+(O41-LOOKUP(O41,'Tax Assumptions'!$K$9:$K$17,'Tax Assumptions'!$K$9:$K$17))*LOOKUP(O41,'Tax Assumptions'!$K$9:$K$17,'Tax Assumptions'!$M$9:$M$17))+IF(O41=0,0,LOOKUP(O41,'Tax Assumptions'!$P$9:$P$12,'Tax Assumptions'!$S$9:$S$12)+(O41-LOOKUP(O41,'Tax Assumptions'!$P$9:$P$12,'Tax Assumptions'!$P$9:$P$12))*LOOKUP(O41,'Tax Assumptions'!$P$9:$P$12,'Tax Assumptions'!$R$9:$R$12))</f>
        <v>1096970.4671375991</v>
      </c>
      <c r="Q41" s="218">
        <f t="shared" si="17"/>
        <v>1116330.8645395308</v>
      </c>
      <c r="R41" s="218">
        <f>IF(D41&lt;=10,INDEX('Savings Projection'!$BL$19:$BL$28,D41),LOOKUP(2,1/('Savings Projection'!$BL$19:$BL$28&lt;&gt;""),'Savings Projection'!$BL$19:$BL$28))*(1+'Model Inputs'!$B$35)^(D41-1)+IF(D41&lt;=10,INDEX('Savings Projection'!$BM$19:$BM$28,D41),LOOKUP(2,1/('Savings Projection'!$BM$19:$BM$28&lt;&gt;""),'Savings Projection'!$BM$19:$BM$28))*(1+'Model Inputs'!$B$36)^(D41-1)</f>
        <v>150705.62965899997</v>
      </c>
      <c r="S41" s="218">
        <f t="shared" si="18"/>
        <v>965625.23488053086</v>
      </c>
      <c r="T41" s="218">
        <f>MIN(MAX(S41,0),'Tax Assumptions'!$B$20)</f>
        <v>7500</v>
      </c>
      <c r="U41" s="218">
        <f t="shared" si="19"/>
        <v>958125.23488053086</v>
      </c>
      <c r="V41" s="218">
        <f>MAX(V40*(1+'Model Inputs'!$B$13)+U41,0)</f>
        <v>3359988.275206076</v>
      </c>
      <c r="W41" s="218">
        <f>MAX(W40*(1+'Model Inputs'!$B$13)+M41+T41,0)</f>
        <v>223210.1932032</v>
      </c>
      <c r="X41" s="218">
        <f t="shared" si="20"/>
        <v>3583198.4684092761</v>
      </c>
      <c r="Y41" s="226" t="str">
        <f t="shared" si="21"/>
        <v/>
      </c>
      <c r="Z41" s="226" t="str">
        <f t="shared" si="22"/>
        <v/>
      </c>
      <c r="AA41" s="226" t="str">
        <f t="shared" si="23"/>
        <v/>
      </c>
      <c r="AB41" s="226" t="str">
        <f t="shared" si="24"/>
        <v/>
      </c>
    </row>
    <row r="42" spans="1:28" x14ac:dyDescent="0.2">
      <c r="A42" s="214" t="str">
        <f t="shared" si="11"/>
        <v>3Y 2x</v>
      </c>
      <c r="B42" s="214">
        <f t="shared" si="12"/>
        <v>3</v>
      </c>
      <c r="C42" s="223">
        <f t="shared" si="13"/>
        <v>2</v>
      </c>
      <c r="D42" s="214">
        <v>7</v>
      </c>
      <c r="E42" s="214">
        <f t="shared" si="14"/>
        <v>2032</v>
      </c>
      <c r="F42" s="218">
        <f>IF(D42=1,'Model Inputs'!$B$25*(13-'Model Inputs'!$B$23)/12,'Model Inputs'!$B$25)</f>
        <v>300000</v>
      </c>
      <c r="G42" s="218">
        <f>IF(D42=1,'Model Inputs'!$B$27*(13-'Model Inputs'!$B$23)/12,IF(D42=2,'Model Inputs'!$B$27,IF(D42&lt;=MAX(3,'Model Inputs'!$B$30+1),'Model Inputs'!$B$27*(1+'Model Inputs'!$B$28)^(D42-3),'Model Inputs'!$B$27*(1+'Model Inputs'!$B$28)^(MAX(3,'Model Inputs'!$B$30+1)-3)*(1+'Model Inputs'!$B$29)^(D42-MAX(3,'Model Inputs'!$B$30+1)))))</f>
        <v>1534372.9821762268</v>
      </c>
      <c r="H42" s="224">
        <f>IF(D42&lt;=2,0,'Model Inputs'!$B$32*SIN(2*PI()*(D42-3+'Model Inputs'!$B$34)/MAX(1,'Model Inputs'!$B$33)))</f>
        <v>0.10392304845413269</v>
      </c>
      <c r="I42" s="218">
        <f t="shared" si="15"/>
        <v>1693829.6999496389</v>
      </c>
      <c r="J42" s="218">
        <f t="shared" si="25"/>
        <v>1118318.448466131</v>
      </c>
      <c r="K42" s="218">
        <f>F42+J42+IF(D42=1,'Model Inputs'!$B$26,0)</f>
        <v>1418318.448466131</v>
      </c>
      <c r="L42" s="218">
        <f t="shared" si="16"/>
        <v>2836636.896932262</v>
      </c>
      <c r="M42" s="218">
        <f>MIN(L42,'Tax Assumptions'!$B$19)</f>
        <v>24500</v>
      </c>
      <c r="N42" s="218">
        <f>MAX(L42-M42-'Tax Assumptions'!$B$8,0)</f>
        <v>2796036.896932262</v>
      </c>
      <c r="O42" s="218">
        <f>MAX(L42-M42-'Tax Assumptions'!$B$9,0)</f>
        <v>2804136.896932262</v>
      </c>
      <c r="P42" s="218">
        <f>IF(N42=0,0,LOOKUP(N42,'Tax Assumptions'!$F$9:$F$15,'Tax Assumptions'!$I$9:$I$15)+(N42-LOOKUP(N42,'Tax Assumptions'!$F$9:$F$15,'Tax Assumptions'!$F$9:$F$15))*LOOKUP(N42,'Tax Assumptions'!$F$9:$F$15,'Tax Assumptions'!$H$9:$H$15))+MIN(MAX(L42,0),'Tax Assumptions'!$B$11)*'Tax Assumptions'!$B$10+MAX(L42,0)*'Tax Assumptions'!$B$12+MAX(MAX(L42,0)-'Tax Assumptions'!$B$14,0)*'Tax Assumptions'!$B$13+MIN(L42*'Tax Assumptions'!$B$15,'Tax Assumptions'!$B$16)+MIN(L42*'Tax Assumptions'!$B$17,'Tax Assumptions'!$B$18)+IF(O42=0,0,LOOKUP(O42,'Tax Assumptions'!$K$9:$K$17,'Tax Assumptions'!$N$9:$N$17)+(O42-LOOKUP(O42,'Tax Assumptions'!$K$9:$K$17,'Tax Assumptions'!$K$9:$K$17))*LOOKUP(O42,'Tax Assumptions'!$K$9:$K$17,'Tax Assumptions'!$M$9:$M$17))+IF(O42=0,0,LOOKUP(O42,'Tax Assumptions'!$P$9:$P$12,'Tax Assumptions'!$S$9:$S$12)+(O42-LOOKUP(O42,'Tax Assumptions'!$P$9:$P$12,'Tax Assumptions'!$P$9:$P$12))*LOOKUP(O42,'Tax Assumptions'!$P$9:$P$12,'Tax Assumptions'!$R$9:$R$12))</f>
        <v>1413610.7606219028</v>
      </c>
      <c r="Q42" s="218">
        <f t="shared" si="17"/>
        <v>1398526.1363103592</v>
      </c>
      <c r="R42" s="218">
        <f>IF(D42&lt;=10,INDEX('Savings Projection'!$BL$19:$BL$28,D42),LOOKUP(2,1/('Savings Projection'!$BL$19:$BL$28&lt;&gt;""),'Savings Projection'!$BL$19:$BL$28))*(1+'Model Inputs'!$B$35)^(D42-1)+IF(D42&lt;=10,INDEX('Savings Projection'!$BM$19:$BM$28,D42),LOOKUP(2,1/('Savings Projection'!$BM$19:$BM$28&lt;&gt;""),'Savings Projection'!$BM$19:$BM$28))*(1+'Model Inputs'!$B$36)^(D42-1)</f>
        <v>155226.79854876999</v>
      </c>
      <c r="S42" s="218">
        <f t="shared" si="18"/>
        <v>1243299.3377615893</v>
      </c>
      <c r="T42" s="218">
        <f>MIN(MAX(S42,0),'Tax Assumptions'!$B$20)</f>
        <v>7500</v>
      </c>
      <c r="U42" s="218">
        <f t="shared" si="19"/>
        <v>1235799.3377615893</v>
      </c>
      <c r="V42" s="218">
        <f>MAX(V41*(1+'Model Inputs'!$B$13)+U42,0)</f>
        <v>4797386.9094800297</v>
      </c>
      <c r="W42" s="218">
        <f>MAX(W41*(1+'Model Inputs'!$B$13)+M42+T42,0)</f>
        <v>268602.80479539197</v>
      </c>
      <c r="X42" s="218">
        <f t="shared" si="20"/>
        <v>5065989.7142754216</v>
      </c>
      <c r="Y42" s="226" t="str">
        <f t="shared" si="21"/>
        <v/>
      </c>
      <c r="Z42" s="226" t="str">
        <f t="shared" si="22"/>
        <v/>
      </c>
      <c r="AA42" s="226" t="str">
        <f t="shared" si="23"/>
        <v/>
      </c>
      <c r="AB42" s="226" t="str">
        <f t="shared" si="24"/>
        <v/>
      </c>
    </row>
    <row r="43" spans="1:28" x14ac:dyDescent="0.2">
      <c r="A43" s="214" t="str">
        <f t="shared" si="11"/>
        <v>3Y 2x</v>
      </c>
      <c r="B43" s="214">
        <f t="shared" si="12"/>
        <v>3</v>
      </c>
      <c r="C43" s="223">
        <f t="shared" si="13"/>
        <v>2</v>
      </c>
      <c r="D43" s="214">
        <v>8</v>
      </c>
      <c r="E43" s="214">
        <f t="shared" si="14"/>
        <v>2033</v>
      </c>
      <c r="F43" s="218">
        <f>IF(D43=1,'Model Inputs'!$B$25*(13-'Model Inputs'!$B$23)/12,'Model Inputs'!$B$25)</f>
        <v>300000</v>
      </c>
      <c r="G43" s="218">
        <f>IF(D43=1,'Model Inputs'!$B$27*(13-'Model Inputs'!$B$23)/12,IF(D43=2,'Model Inputs'!$B$27,IF(D43&lt;=MAX(3,'Model Inputs'!$B$30+1),'Model Inputs'!$B$27*(1+'Model Inputs'!$B$28)^(D43-3),'Model Inputs'!$B$27*(1+'Model Inputs'!$B$28)^(MAX(3,'Model Inputs'!$B$30+1)-3)*(1+'Model Inputs'!$B$29)^(D43-MAX(3,'Model Inputs'!$B$30+1)))))</f>
        <v>1950000.0000000002</v>
      </c>
      <c r="H43" s="224">
        <f>IF(D43&lt;=2,0,'Model Inputs'!$B$32*SIN(2*PI()*(D43-3+'Model Inputs'!$B$34)/MAX(1,'Model Inputs'!$B$33)))</f>
        <v>-0.10392304845413264</v>
      </c>
      <c r="I43" s="218">
        <f t="shared" si="15"/>
        <v>1747350.0555144416</v>
      </c>
      <c r="J43" s="218">
        <f t="shared" si="25"/>
        <v>1572205.6657868917</v>
      </c>
      <c r="K43" s="218">
        <f>F43+J43+IF(D43=1,'Model Inputs'!$B$26,0)</f>
        <v>1872205.6657868917</v>
      </c>
      <c r="L43" s="218">
        <f t="shared" si="16"/>
        <v>3744411.3315737834</v>
      </c>
      <c r="M43" s="218">
        <f>MIN(L43,'Tax Assumptions'!$B$19)</f>
        <v>24500</v>
      </c>
      <c r="N43" s="218">
        <f>MAX(L43-M43-'Tax Assumptions'!$B$8,0)</f>
        <v>3703811.3315737834</v>
      </c>
      <c r="O43" s="218">
        <f>MAX(L43-M43-'Tax Assumptions'!$B$9,0)</f>
        <v>3711911.3315737834</v>
      </c>
      <c r="P43" s="218">
        <f>IF(N43=0,0,LOOKUP(N43,'Tax Assumptions'!$F$9:$F$15,'Tax Assumptions'!$I$9:$I$15)+(N43-LOOKUP(N43,'Tax Assumptions'!$F$9:$F$15,'Tax Assumptions'!$F$9:$F$15))*LOOKUP(N43,'Tax Assumptions'!$F$9:$F$15,'Tax Assumptions'!$H$9:$H$15))+MIN(MAX(L43,0),'Tax Assumptions'!$B$11)*'Tax Assumptions'!$B$10+MAX(L43,0)*'Tax Assumptions'!$B$12+MAX(MAX(L43,0)-'Tax Assumptions'!$B$14,0)*'Tax Assumptions'!$B$13+MIN(L43*'Tax Assumptions'!$B$15,'Tax Assumptions'!$B$16)+MIN(L43*'Tax Assumptions'!$B$17,'Tax Assumptions'!$B$18)+IF(O43=0,0,LOOKUP(O43,'Tax Assumptions'!$K$9:$K$17,'Tax Assumptions'!$N$9:$N$17)+(O43-LOOKUP(O43,'Tax Assumptions'!$K$9:$K$17,'Tax Assumptions'!$K$9:$K$17))*LOOKUP(O43,'Tax Assumptions'!$K$9:$K$17,'Tax Assumptions'!$M$9:$M$17))+IF(O43=0,0,LOOKUP(O43,'Tax Assumptions'!$P$9:$P$12,'Tax Assumptions'!$S$9:$S$12)+(O43-LOOKUP(O43,'Tax Assumptions'!$P$9:$P$12,'Tax Assumptions'!$P$9:$P$12))*LOOKUP(O43,'Tax Assumptions'!$P$9:$P$12,'Tax Assumptions'!$R$9:$R$12))</f>
        <v>1893605.5706829536</v>
      </c>
      <c r="Q43" s="218">
        <f t="shared" si="17"/>
        <v>1826305.7608908298</v>
      </c>
      <c r="R43" s="218">
        <f>IF(D43&lt;=10,INDEX('Savings Projection'!$BL$19:$BL$28,D43),LOOKUP(2,1/('Savings Projection'!$BL$19:$BL$28&lt;&gt;""),'Savings Projection'!$BL$19:$BL$28))*(1+'Model Inputs'!$B$35)^(D43-1)+IF(D43&lt;=10,INDEX('Savings Projection'!$BM$19:$BM$28,D43),LOOKUP(2,1/('Savings Projection'!$BM$19:$BM$28&lt;&gt;""),'Savings Projection'!$BM$19:$BM$28))*(1+'Model Inputs'!$B$36)^(D43-1)</f>
        <v>159883.60250523311</v>
      </c>
      <c r="S43" s="218">
        <f t="shared" si="18"/>
        <v>1666422.1583855967</v>
      </c>
      <c r="T43" s="218">
        <f>MIN(MAX(S43,0),'Tax Assumptions'!$B$20)</f>
        <v>7500</v>
      </c>
      <c r="U43" s="218">
        <f t="shared" si="19"/>
        <v>1658922.1583855967</v>
      </c>
      <c r="V43" s="218">
        <f>MAX(V42*(1+'Model Inputs'!$B$13)+U43,0)</f>
        <v>6744152.2824344281</v>
      </c>
      <c r="W43" s="218">
        <f>MAX(W42*(1+'Model Inputs'!$B$13)+M43+T43,0)</f>
        <v>316718.97308311553</v>
      </c>
      <c r="X43" s="218">
        <f t="shared" si="20"/>
        <v>7060871.2555175433</v>
      </c>
      <c r="Y43" s="226" t="str">
        <f t="shared" si="21"/>
        <v/>
      </c>
      <c r="Z43" s="226" t="str">
        <f t="shared" si="22"/>
        <v/>
      </c>
      <c r="AA43" s="226" t="str">
        <f t="shared" si="23"/>
        <v/>
      </c>
      <c r="AB43" s="226" t="str">
        <f t="shared" si="24"/>
        <v/>
      </c>
    </row>
    <row r="44" spans="1:28" x14ac:dyDescent="0.2">
      <c r="A44" s="214" t="str">
        <f t="shared" si="11"/>
        <v>3Y 2x</v>
      </c>
      <c r="B44" s="214">
        <f t="shared" si="12"/>
        <v>3</v>
      </c>
      <c r="C44" s="223">
        <f t="shared" si="13"/>
        <v>2</v>
      </c>
      <c r="D44" s="214">
        <v>9</v>
      </c>
      <c r="E44" s="214">
        <f t="shared" si="14"/>
        <v>2034</v>
      </c>
      <c r="F44" s="218">
        <f>IF(D44=1,'Model Inputs'!$B$25*(13-'Model Inputs'!$B$23)/12,'Model Inputs'!$B$25)</f>
        <v>300000</v>
      </c>
      <c r="G44" s="218">
        <f>IF(D44=1,'Model Inputs'!$B$27*(13-'Model Inputs'!$B$23)/12,IF(D44=2,'Model Inputs'!$B$27,IF(D44&lt;=MAX(3,'Model Inputs'!$B$30+1),'Model Inputs'!$B$27*(1+'Model Inputs'!$B$28)^(D44-3),'Model Inputs'!$B$27*(1+'Model Inputs'!$B$28)^(MAX(3,'Model Inputs'!$B$30+1)-3)*(1+'Model Inputs'!$B$29)^(D44-MAX(3,'Model Inputs'!$B$30+1)))))</f>
        <v>2478210.9983498608</v>
      </c>
      <c r="H44" s="224">
        <f>IF(D44&lt;=2,0,'Model Inputs'!$B$32*SIN(2*PI()*(D44-3+'Model Inputs'!$B$34)/MAX(1,'Model Inputs'!$B$33)))</f>
        <v>-5.8783046359072947E-17</v>
      </c>
      <c r="I44" s="218">
        <f t="shared" si="15"/>
        <v>2478210.9983498603</v>
      </c>
      <c r="J44" s="218">
        <f t="shared" si="25"/>
        <v>1733969.9666232408</v>
      </c>
      <c r="K44" s="218">
        <f>F44+J44+IF(D44=1,'Model Inputs'!$B$26,0)</f>
        <v>2033969.9666232408</v>
      </c>
      <c r="L44" s="218">
        <f t="shared" si="16"/>
        <v>4067939.9332464817</v>
      </c>
      <c r="M44" s="218">
        <f>MIN(L44,'Tax Assumptions'!$B$19)</f>
        <v>24500</v>
      </c>
      <c r="N44" s="218">
        <f>MAX(L44-M44-'Tax Assumptions'!$B$8,0)</f>
        <v>4027339.9332464817</v>
      </c>
      <c r="O44" s="218">
        <f>MAX(L44-M44-'Tax Assumptions'!$B$9,0)</f>
        <v>4035439.9332464817</v>
      </c>
      <c r="P44" s="218">
        <f>IF(N44=0,0,LOOKUP(N44,'Tax Assumptions'!$F$9:$F$15,'Tax Assumptions'!$I$9:$I$15)+(N44-LOOKUP(N44,'Tax Assumptions'!$F$9:$F$15,'Tax Assumptions'!$F$9:$F$15))*LOOKUP(N44,'Tax Assumptions'!$F$9:$F$15,'Tax Assumptions'!$H$9:$H$15))+MIN(MAX(L44,0),'Tax Assumptions'!$B$11)*'Tax Assumptions'!$B$10+MAX(L44,0)*'Tax Assumptions'!$B$12+MAX(MAX(L44,0)-'Tax Assumptions'!$B$14,0)*'Tax Assumptions'!$B$13+MIN(L44*'Tax Assumptions'!$B$15,'Tax Assumptions'!$B$16)+MIN(L44*'Tax Assumptions'!$B$17,'Tax Assumptions'!$B$18)+IF(O44=0,0,LOOKUP(O44,'Tax Assumptions'!$K$9:$K$17,'Tax Assumptions'!$N$9:$N$17)+(O44-LOOKUP(O44,'Tax Assumptions'!$K$9:$K$17,'Tax Assumptions'!$K$9:$K$17))*LOOKUP(O44,'Tax Assumptions'!$K$9:$K$17,'Tax Assumptions'!$M$9:$M$17))+IF(O44=0,0,LOOKUP(O44,'Tax Assumptions'!$P$9:$P$12,'Tax Assumptions'!$S$9:$S$12)+(O44-LOOKUP(O44,'Tax Assumptions'!$P$9:$P$12,'Tax Assumptions'!$P$9:$P$12))*LOOKUP(O44,'Tax Assumptions'!$P$9:$P$12,'Tax Assumptions'!$R$9:$R$12))</f>
        <v>2064674.5541034096</v>
      </c>
      <c r="Q44" s="218">
        <f t="shared" si="17"/>
        <v>1978765.3791430721</v>
      </c>
      <c r="R44" s="218">
        <f>IF(D44&lt;=10,INDEX('Savings Projection'!$BL$19:$BL$28,D44),LOOKUP(2,1/('Savings Projection'!$BL$19:$BL$28&lt;&gt;""),'Savings Projection'!$BL$19:$BL$28))*(1+'Model Inputs'!$B$35)^(D44-1)+IF(D44&lt;=10,INDEX('Savings Projection'!$BM$19:$BM$28,D44),LOOKUP(2,1/('Savings Projection'!$BM$19:$BM$28&lt;&gt;""),'Savings Projection'!$BM$19:$BM$28))*(1+'Model Inputs'!$B$36)^(D44-1)</f>
        <v>164680.11058039009</v>
      </c>
      <c r="S44" s="218">
        <f t="shared" si="18"/>
        <v>1814085.268562682</v>
      </c>
      <c r="T44" s="218">
        <f>MIN(MAX(S44,0),'Tax Assumptions'!$B$20)</f>
        <v>7500</v>
      </c>
      <c r="U44" s="218">
        <f t="shared" si="19"/>
        <v>1806585.268562682</v>
      </c>
      <c r="V44" s="218">
        <f>MAX(V43*(1+'Model Inputs'!$B$13)+U44,0)</f>
        <v>8955386.6879431754</v>
      </c>
      <c r="W44" s="218">
        <f>MAX(W43*(1+'Model Inputs'!$B$13)+M44+T44,0)</f>
        <v>367722.11146810249</v>
      </c>
      <c r="X44" s="218">
        <f t="shared" si="20"/>
        <v>9323108.7994112782</v>
      </c>
      <c r="Y44" s="226" t="str">
        <f t="shared" si="21"/>
        <v/>
      </c>
      <c r="Z44" s="226" t="str">
        <f t="shared" si="22"/>
        <v/>
      </c>
      <c r="AA44" s="226" t="str">
        <f t="shared" si="23"/>
        <v/>
      </c>
      <c r="AB44" s="226" t="str">
        <f t="shared" si="24"/>
        <v/>
      </c>
    </row>
    <row r="45" spans="1:28" x14ac:dyDescent="0.2">
      <c r="A45" s="214" t="str">
        <f t="shared" si="11"/>
        <v>3Y 2x</v>
      </c>
      <c r="B45" s="214">
        <f t="shared" si="12"/>
        <v>3</v>
      </c>
      <c r="C45" s="223">
        <f t="shared" si="13"/>
        <v>2</v>
      </c>
      <c r="D45" s="214">
        <v>10</v>
      </c>
      <c r="E45" s="214">
        <f t="shared" si="14"/>
        <v>2035</v>
      </c>
      <c r="F45" s="218">
        <f>IF(D45=1,'Model Inputs'!$B$25*(13-'Model Inputs'!$B$23)/12,'Model Inputs'!$B$25)</f>
        <v>300000</v>
      </c>
      <c r="G45" s="218">
        <f>IF(D45=1,'Model Inputs'!$B$27*(13-'Model Inputs'!$B$23)/12,IF(D45=2,'Model Inputs'!$B$27,IF(D45&lt;=MAX(3,'Model Inputs'!$B$30+1),'Model Inputs'!$B$27*(1+'Model Inputs'!$B$28)^(D45-3),'Model Inputs'!$B$27*(1+'Model Inputs'!$B$28)^(MAX(3,'Model Inputs'!$B$30+1)-3)*(1+'Model Inputs'!$B$29)^(D45-MAX(3,'Model Inputs'!$B$30+1)))))</f>
        <v>3149502.4370985711</v>
      </c>
      <c r="H45" s="224">
        <f>IF(D45&lt;=2,0,'Model Inputs'!$B$32*SIN(2*PI()*(D45-3+'Model Inputs'!$B$34)/MAX(1,'Model Inputs'!$B$33)))</f>
        <v>0.10392304845413271</v>
      </c>
      <c r="I45" s="218">
        <f t="shared" si="15"/>
        <v>3476808.331475575</v>
      </c>
      <c r="J45" s="218">
        <f t="shared" si="25"/>
        <v>2295495.7626410057</v>
      </c>
      <c r="K45" s="218">
        <f>F45+J45+IF(D45=1,'Model Inputs'!$B$26,0)</f>
        <v>2595495.7626410057</v>
      </c>
      <c r="L45" s="218">
        <f t="shared" si="16"/>
        <v>5190991.5252820114</v>
      </c>
      <c r="M45" s="218">
        <f>MIN(L45,'Tax Assumptions'!$B$19)</f>
        <v>24500</v>
      </c>
      <c r="N45" s="218">
        <f>MAX(L45-M45-'Tax Assumptions'!$B$8,0)</f>
        <v>5150391.5252820114</v>
      </c>
      <c r="O45" s="218">
        <f>MAX(L45-M45-'Tax Assumptions'!$B$9,0)</f>
        <v>5158491.5252820114</v>
      </c>
      <c r="P45" s="218">
        <f>IF(N45=0,0,LOOKUP(N45,'Tax Assumptions'!$F$9:$F$15,'Tax Assumptions'!$I$9:$I$15)+(N45-LOOKUP(N45,'Tax Assumptions'!$F$9:$F$15,'Tax Assumptions'!$F$9:$F$15))*LOOKUP(N45,'Tax Assumptions'!$F$9:$F$15,'Tax Assumptions'!$H$9:$H$15))+MIN(MAX(L45,0),'Tax Assumptions'!$B$11)*'Tax Assumptions'!$B$10+MAX(L45,0)*'Tax Assumptions'!$B$12+MAX(MAX(L45,0)-'Tax Assumptions'!$B$14,0)*'Tax Assumptions'!$B$13+MIN(L45*'Tax Assumptions'!$B$15,'Tax Assumptions'!$B$16)+MIN(L45*'Tax Assumptions'!$B$17,'Tax Assumptions'!$B$18)+IF(O45=0,0,LOOKUP(O45,'Tax Assumptions'!$K$9:$K$17,'Tax Assumptions'!$N$9:$N$17)+(O45-LOOKUP(O45,'Tax Assumptions'!$K$9:$K$17,'Tax Assumptions'!$K$9:$K$17))*LOOKUP(O45,'Tax Assumptions'!$K$9:$K$17,'Tax Assumptions'!$M$9:$M$17))+IF(O45=0,0,LOOKUP(O45,'Tax Assumptions'!$P$9:$P$12,'Tax Assumptions'!$S$9:$S$12)+(O45-LOOKUP(O45,'Tax Assumptions'!$P$9:$P$12,'Tax Assumptions'!$P$9:$P$12))*LOOKUP(O45,'Tax Assumptions'!$P$9:$P$12,'Tax Assumptions'!$R$9:$R$12))</f>
        <v>2659532.6638224493</v>
      </c>
      <c r="Q45" s="218">
        <f t="shared" si="17"/>
        <v>2506958.8614595621</v>
      </c>
      <c r="R45" s="218">
        <f>IF(D45&lt;=10,INDEX('Savings Projection'!$BL$19:$BL$28,D45),LOOKUP(2,1/('Savings Projection'!$BL$19:$BL$28&lt;&gt;""),'Savings Projection'!$BL$19:$BL$28))*(1+'Model Inputs'!$B$35)^(D45-1)+IF(D45&lt;=10,INDEX('Savings Projection'!$BM$19:$BM$28,D45),LOOKUP(2,1/('Savings Projection'!$BM$19:$BM$28&lt;&gt;""),'Savings Projection'!$BM$19:$BM$28))*(1+'Model Inputs'!$B$36)^(D45-1)</f>
        <v>169620.51389780178</v>
      </c>
      <c r="S45" s="218">
        <f t="shared" si="18"/>
        <v>2337338.3475617603</v>
      </c>
      <c r="T45" s="218">
        <f>MIN(MAX(S45,0),'Tax Assumptions'!$B$20)</f>
        <v>7500</v>
      </c>
      <c r="U45" s="218">
        <f t="shared" si="19"/>
        <v>2329838.3475617603</v>
      </c>
      <c r="V45" s="218">
        <f>MAX(V44*(1+'Model Inputs'!$B$13)+U45,0)</f>
        <v>11822548.236781526</v>
      </c>
      <c r="W45" s="218">
        <f>MAX(W44*(1+'Model Inputs'!$B$13)+M45+T45,0)</f>
        <v>421785.43815618864</v>
      </c>
      <c r="X45" s="218">
        <f t="shared" si="20"/>
        <v>12244333.674937716</v>
      </c>
      <c r="Y45" s="226" t="str">
        <f t="shared" si="21"/>
        <v/>
      </c>
      <c r="Z45" s="226" t="str">
        <f t="shared" si="22"/>
        <v/>
      </c>
      <c r="AA45" s="226" t="str">
        <f t="shared" si="23"/>
        <v/>
      </c>
      <c r="AB45" s="226" t="str">
        <f t="shared" si="24"/>
        <v/>
      </c>
    </row>
    <row r="46" spans="1:28" x14ac:dyDescent="0.2">
      <c r="A46" s="214" t="str">
        <f t="shared" si="11"/>
        <v>3Y 2x</v>
      </c>
      <c r="B46" s="214">
        <f t="shared" si="12"/>
        <v>3</v>
      </c>
      <c r="C46" s="223">
        <f t="shared" si="13"/>
        <v>2</v>
      </c>
      <c r="D46" s="214">
        <v>11</v>
      </c>
      <c r="E46" s="214">
        <f t="shared" si="14"/>
        <v>2036</v>
      </c>
      <c r="F46" s="218">
        <f>IF(D46=1,'Model Inputs'!$B$25*(13-'Model Inputs'!$B$23)/12,'Model Inputs'!$B$25)</f>
        <v>300000</v>
      </c>
      <c r="G46" s="218">
        <f>IF(D46=1,'Model Inputs'!$B$27*(13-'Model Inputs'!$B$23)/12,IF(D46=2,'Model Inputs'!$B$27,IF(D46&lt;=MAX(3,'Model Inputs'!$B$30+1),'Model Inputs'!$B$27*(1+'Model Inputs'!$B$28)^(D46-3),'Model Inputs'!$B$27*(1+'Model Inputs'!$B$28)^(MAX(3,'Model Inputs'!$B$30+1)-3)*(1+'Model Inputs'!$B$29)^(D46-MAX(3,'Model Inputs'!$B$30+1)))))</f>
        <v>4002631.578947369</v>
      </c>
      <c r="H46" s="224">
        <f>IF(D46&lt;=2,0,'Model Inputs'!$B$32*SIN(2*PI()*(D46-3+'Model Inputs'!$B$34)/MAX(1,'Model Inputs'!$B$33)))</f>
        <v>-0.10392304845413253</v>
      </c>
      <c r="I46" s="218">
        <f t="shared" si="15"/>
        <v>3586665.9034243808</v>
      </c>
      <c r="J46" s="218">
        <f t="shared" si="25"/>
        <v>3227158.9981941464</v>
      </c>
      <c r="K46" s="218">
        <f>F46+J46+IF(D46=1,'Model Inputs'!$B$26,0)</f>
        <v>3527158.9981941464</v>
      </c>
      <c r="L46" s="218">
        <f t="shared" si="16"/>
        <v>7054317.9963882929</v>
      </c>
      <c r="M46" s="218">
        <f>MIN(L46,'Tax Assumptions'!$B$19)</f>
        <v>24500</v>
      </c>
      <c r="N46" s="218">
        <f>MAX(L46-M46-'Tax Assumptions'!$B$8,0)</f>
        <v>7013717.9963882929</v>
      </c>
      <c r="O46" s="218">
        <f>MAX(L46-M46-'Tax Assumptions'!$B$9,0)</f>
        <v>7021817.9963882929</v>
      </c>
      <c r="P46" s="218">
        <f>IF(N46=0,0,LOOKUP(N46,'Tax Assumptions'!$F$9:$F$15,'Tax Assumptions'!$I$9:$I$15)+(N46-LOOKUP(N46,'Tax Assumptions'!$F$9:$F$15,'Tax Assumptions'!$F$9:$F$15))*LOOKUP(N46,'Tax Assumptions'!$F$9:$F$15,'Tax Assumptions'!$H$9:$H$15))+MIN(MAX(L46,0),'Tax Assumptions'!$B$11)*'Tax Assumptions'!$B$10+MAX(L46,0)*'Tax Assumptions'!$B$12+MAX(MAX(L46,0)-'Tax Assumptions'!$B$14,0)*'Tax Assumptions'!$B$13+MIN(L46*'Tax Assumptions'!$B$15,'Tax Assumptions'!$B$16)+MIN(L46*'Tax Assumptions'!$B$17,'Tax Assumptions'!$B$18)+IF(O46=0,0,LOOKUP(O46,'Tax Assumptions'!$K$9:$K$17,'Tax Assumptions'!$N$9:$N$17)+(O46-LOOKUP(O46,'Tax Assumptions'!$K$9:$K$17,'Tax Assumptions'!$K$9:$K$17))*LOOKUP(O46,'Tax Assumptions'!$K$9:$K$17,'Tax Assumptions'!$M$9:$M$17))+IF(O46=0,0,LOOKUP(O46,'Tax Assumptions'!$P$9:$P$12,'Tax Assumptions'!$S$9:$S$12)+(O46-LOOKUP(O46,'Tax Assumptions'!$P$9:$P$12,'Tax Assumptions'!$P$9:$P$12))*LOOKUP(O46,'Tax Assumptions'!$P$9:$P$12,'Tax Assumptions'!$R$9:$R$12))</f>
        <v>3656896.7907467978</v>
      </c>
      <c r="Q46" s="218">
        <f t="shared" si="17"/>
        <v>3372921.2056414951</v>
      </c>
      <c r="R46" s="218">
        <f>IF(D46&lt;=10,INDEX('Savings Projection'!$BL$19:$BL$28,D46),LOOKUP(2,1/('Savings Projection'!$BL$19:$BL$28&lt;&gt;""),'Savings Projection'!$BL$19:$BL$28))*(1+'Model Inputs'!$B$35)^(D46-1)+IF(D46&lt;=10,INDEX('Savings Projection'!$BM$19:$BM$28,D46),LOOKUP(2,1/('Savings Projection'!$BM$19:$BM$28&lt;&gt;""),'Savings Projection'!$BM$19:$BM$28))*(1+'Model Inputs'!$B$36)^(D46-1)</f>
        <v>174709.12931473582</v>
      </c>
      <c r="S46" s="218">
        <f t="shared" si="18"/>
        <v>3198212.0763267591</v>
      </c>
      <c r="T46" s="218">
        <f>MIN(MAX(S46,0),'Tax Assumptions'!$B$20)</f>
        <v>7500</v>
      </c>
      <c r="U46" s="218">
        <f t="shared" si="19"/>
        <v>3190712.0763267591</v>
      </c>
      <c r="V46" s="218">
        <f>MAX(V45*(1+'Model Inputs'!$B$13)+U46,0)</f>
        <v>15722613.207315179</v>
      </c>
      <c r="W46" s="218">
        <f>MAX(W45*(1+'Model Inputs'!$B$13)+M46+T46,0)</f>
        <v>479092.56444555998</v>
      </c>
      <c r="X46" s="218">
        <f t="shared" si="20"/>
        <v>16201705.771760739</v>
      </c>
      <c r="Y46" s="226">
        <f t="shared" si="21"/>
        <v>11</v>
      </c>
      <c r="Z46" s="226" t="str">
        <f t="shared" si="22"/>
        <v/>
      </c>
      <c r="AA46" s="226" t="str">
        <f t="shared" si="23"/>
        <v/>
      </c>
      <c r="AB46" s="226" t="str">
        <f t="shared" si="24"/>
        <v/>
      </c>
    </row>
    <row r="47" spans="1:28" x14ac:dyDescent="0.2">
      <c r="A47" s="214" t="str">
        <f t="shared" si="11"/>
        <v>3Y 2x</v>
      </c>
      <c r="B47" s="214">
        <f t="shared" si="12"/>
        <v>3</v>
      </c>
      <c r="C47" s="223">
        <f t="shared" si="13"/>
        <v>2</v>
      </c>
      <c r="D47" s="214">
        <v>12</v>
      </c>
      <c r="E47" s="214">
        <f t="shared" si="14"/>
        <v>2037</v>
      </c>
      <c r="F47" s="218">
        <f>IF(D47=1,'Model Inputs'!$B$25*(13-'Model Inputs'!$B$23)/12,'Model Inputs'!$B$25)</f>
        <v>300000</v>
      </c>
      <c r="G47" s="218">
        <f>IF(D47=1,'Model Inputs'!$B$27*(13-'Model Inputs'!$B$23)/12,IF(D47=2,'Model Inputs'!$B$27,IF(D47&lt;=MAX(3,'Model Inputs'!$B$30+1),'Model Inputs'!$B$27*(1+'Model Inputs'!$B$28)^(D47-3),'Model Inputs'!$B$27*(1+'Model Inputs'!$B$28)^(MAX(3,'Model Inputs'!$B$30+1)-3)*(1+'Model Inputs'!$B$29)^(D47-MAX(3,'Model Inputs'!$B$30+1)))))</f>
        <v>5086854.15450761</v>
      </c>
      <c r="H47" s="224">
        <f>IF(D47&lt;=2,0,'Model Inputs'!$B$32*SIN(2*PI()*(D47-3+'Model Inputs'!$B$34)/MAX(1,'Model Inputs'!$B$33)))</f>
        <v>-8.8174569538609421E-17</v>
      </c>
      <c r="I47" s="218">
        <f t="shared" si="15"/>
        <v>5086854.1545076091</v>
      </c>
      <c r="J47" s="218">
        <f t="shared" si="25"/>
        <v>3559201.5104371794</v>
      </c>
      <c r="K47" s="218">
        <f>F47+J47+IF(D47=1,'Model Inputs'!$B$26,0)</f>
        <v>3859201.5104371794</v>
      </c>
      <c r="L47" s="218">
        <f t="shared" si="16"/>
        <v>7718403.0208743587</v>
      </c>
      <c r="M47" s="218">
        <f>MIN(L47,'Tax Assumptions'!$B$19)</f>
        <v>24500</v>
      </c>
      <c r="N47" s="218">
        <f>MAX(L47-M47-'Tax Assumptions'!$B$8,0)</f>
        <v>7677803.0208743587</v>
      </c>
      <c r="O47" s="218">
        <f>MAX(L47-M47-'Tax Assumptions'!$B$9,0)</f>
        <v>7685903.0208743587</v>
      </c>
      <c r="P47" s="218">
        <f>IF(N47=0,0,LOOKUP(N47,'Tax Assumptions'!$F$9:$F$15,'Tax Assumptions'!$I$9:$I$15)+(N47-LOOKUP(N47,'Tax Assumptions'!$F$9:$F$15,'Tax Assumptions'!$F$9:$F$15))*LOOKUP(N47,'Tax Assumptions'!$F$9:$F$15,'Tax Assumptions'!$H$9:$H$15))+MIN(MAX(L47,0),'Tax Assumptions'!$B$11)*'Tax Assumptions'!$B$10+MAX(L47,0)*'Tax Assumptions'!$B$12+MAX(MAX(L47,0)-'Tax Assumptions'!$B$14,0)*'Tax Assumptions'!$B$13+MIN(L47*'Tax Assumptions'!$B$15,'Tax Assumptions'!$B$16)+MIN(L47*'Tax Assumptions'!$B$17,'Tax Assumptions'!$B$18)+IF(O47=0,0,LOOKUP(O47,'Tax Assumptions'!$K$9:$K$17,'Tax Assumptions'!$N$9:$N$17)+(O47-LOOKUP(O47,'Tax Assumptions'!$K$9:$K$17,'Tax Assumptions'!$K$9:$K$17))*LOOKUP(O47,'Tax Assumptions'!$K$9:$K$17,'Tax Assumptions'!$M$9:$M$17))+IF(O47=0,0,LOOKUP(O47,'Tax Assumptions'!$P$9:$P$12,'Tax Assumptions'!$S$9:$S$12)+(O47-LOOKUP(O47,'Tax Assumptions'!$P$9:$P$12,'Tax Assumptions'!$P$9:$P$12))*LOOKUP(O47,'Tax Assumptions'!$P$9:$P$12,'Tax Assumptions'!$R$9:$R$12))</f>
        <v>4012354.9409532091</v>
      </c>
      <c r="Q47" s="218">
        <f t="shared" si="17"/>
        <v>3681548.0799211496</v>
      </c>
      <c r="R47" s="218">
        <f>IF(D47&lt;=10,INDEX('Savings Projection'!$BL$19:$BL$28,D47),LOOKUP(2,1/('Savings Projection'!$BL$19:$BL$28&lt;&gt;""),'Savings Projection'!$BL$19:$BL$28))*(1+'Model Inputs'!$B$35)^(D47-1)+IF(D47&lt;=10,INDEX('Savings Projection'!$BM$19:$BM$28,D47),LOOKUP(2,1/('Savings Projection'!$BM$19:$BM$28&lt;&gt;""),'Savings Projection'!$BM$19:$BM$28))*(1+'Model Inputs'!$B$36)^(D47-1)</f>
        <v>179950.4031941779</v>
      </c>
      <c r="S47" s="218">
        <f t="shared" si="18"/>
        <v>3501597.6767269718</v>
      </c>
      <c r="T47" s="218">
        <f>MIN(MAX(S47,0),'Tax Assumptions'!$B$20)</f>
        <v>7500</v>
      </c>
      <c r="U47" s="218">
        <f t="shared" si="19"/>
        <v>3494097.6767269718</v>
      </c>
      <c r="V47" s="218">
        <f>MAX(V46*(1+'Model Inputs'!$B$13)+U47,0)</f>
        <v>20160067.676481061</v>
      </c>
      <c r="W47" s="218">
        <f>MAX(W46*(1+'Model Inputs'!$B$13)+M47+T47,0)</f>
        <v>539838.11831229366</v>
      </c>
      <c r="X47" s="218">
        <f t="shared" si="20"/>
        <v>20699905.794793352</v>
      </c>
      <c r="Y47" s="226" t="str">
        <f t="shared" si="21"/>
        <v/>
      </c>
      <c r="Z47" s="226">
        <f t="shared" si="22"/>
        <v>12</v>
      </c>
      <c r="AA47" s="226">
        <f t="shared" si="23"/>
        <v>12</v>
      </c>
      <c r="AB47" s="226" t="str">
        <f t="shared" si="24"/>
        <v/>
      </c>
    </row>
    <row r="48" spans="1:28" x14ac:dyDescent="0.2">
      <c r="A48" s="214" t="str">
        <f t="shared" si="11"/>
        <v>3Y 2x</v>
      </c>
      <c r="B48" s="214">
        <f t="shared" si="12"/>
        <v>3</v>
      </c>
      <c r="C48" s="223">
        <f t="shared" si="13"/>
        <v>2</v>
      </c>
      <c r="D48" s="214">
        <v>13</v>
      </c>
      <c r="E48" s="214">
        <f t="shared" si="14"/>
        <v>2038</v>
      </c>
      <c r="F48" s="218">
        <f>IF(D48=1,'Model Inputs'!$B$25*(13-'Model Inputs'!$B$23)/12,'Model Inputs'!$B$25)</f>
        <v>300000</v>
      </c>
      <c r="G48" s="218">
        <f>IF(D48=1,'Model Inputs'!$B$27*(13-'Model Inputs'!$B$23)/12,IF(D48=2,'Model Inputs'!$B$27,IF(D48&lt;=MAX(3,'Model Inputs'!$B$30+1),'Model Inputs'!$B$27*(1+'Model Inputs'!$B$28)^(D48-3),'Model Inputs'!$B$27*(1+'Model Inputs'!$B$28)^(MAX(3,'Model Inputs'!$B$30+1)-3)*(1+'Model Inputs'!$B$29)^(D48-MAX(3,'Model Inputs'!$B$30+1)))))</f>
        <v>6464768.1603602255</v>
      </c>
      <c r="H48" s="224">
        <f>IF(D48&lt;=2,0,'Model Inputs'!$B$32*SIN(2*PI()*(D48-3+'Model Inputs'!$B$34)/MAX(1,'Model Inputs'!$B$33)))</f>
        <v>0.10392304845413261</v>
      </c>
      <c r="I48" s="218">
        <f t="shared" si="15"/>
        <v>7136606.5751340752</v>
      </c>
      <c r="J48" s="218">
        <f t="shared" si="25"/>
        <v>4711807.0917368019</v>
      </c>
      <c r="K48" s="218">
        <f>F48+J48+IF(D48=1,'Model Inputs'!$B$26,0)</f>
        <v>5011807.0917368019</v>
      </c>
      <c r="L48" s="218">
        <f t="shared" si="16"/>
        <v>10023614.183473604</v>
      </c>
      <c r="M48" s="218">
        <f>MIN(L48,'Tax Assumptions'!$B$19)</f>
        <v>24500</v>
      </c>
      <c r="N48" s="218">
        <f>MAX(L48-M48-'Tax Assumptions'!$B$8,0)</f>
        <v>9983014.1834736038</v>
      </c>
      <c r="O48" s="218">
        <f>MAX(L48-M48-'Tax Assumptions'!$B$9,0)</f>
        <v>9991114.1834736038</v>
      </c>
      <c r="P48" s="218">
        <f>IF(N48=0,0,LOOKUP(N48,'Tax Assumptions'!$F$9:$F$15,'Tax Assumptions'!$I$9:$I$15)+(N48-LOOKUP(N48,'Tax Assumptions'!$F$9:$F$15,'Tax Assumptions'!$F$9:$F$15))*LOOKUP(N48,'Tax Assumptions'!$F$9:$F$15,'Tax Assumptions'!$H$9:$H$15))+MIN(MAX(L48,0),'Tax Assumptions'!$B$11)*'Tax Assumptions'!$B$10+MAX(L48,0)*'Tax Assumptions'!$B$12+MAX(MAX(L48,0)-'Tax Assumptions'!$B$14,0)*'Tax Assumptions'!$B$13+MIN(L48*'Tax Assumptions'!$B$15,'Tax Assumptions'!$B$16)+MIN(L48*'Tax Assumptions'!$B$17,'Tax Assumptions'!$B$18)+IF(O48=0,0,LOOKUP(O48,'Tax Assumptions'!$K$9:$K$17,'Tax Assumptions'!$N$9:$N$17)+(O48-LOOKUP(O48,'Tax Assumptions'!$K$9:$K$17,'Tax Assumptions'!$K$9:$K$17))*LOOKUP(O48,'Tax Assumptions'!$K$9:$K$17,'Tax Assumptions'!$M$9:$M$17))+IF(O48=0,0,LOOKUP(O48,'Tax Assumptions'!$P$9:$P$12,'Tax Assumptions'!$S$9:$S$12)+(O48-LOOKUP(O48,'Tax Assumptions'!$P$9:$P$12,'Tax Assumptions'!$P$9:$P$12))*LOOKUP(O48,'Tax Assumptions'!$P$9:$P$12,'Tax Assumptions'!$R$9:$R$12))</f>
        <v>5246242.2678460814</v>
      </c>
      <c r="Q48" s="218">
        <f t="shared" si="17"/>
        <v>4752871.9156275224</v>
      </c>
      <c r="R48" s="218">
        <f>IF(D48&lt;=10,INDEX('Savings Projection'!$BL$19:$BL$28,D48),LOOKUP(2,1/('Savings Projection'!$BL$19:$BL$28&lt;&gt;""),'Savings Projection'!$BL$19:$BL$28))*(1+'Model Inputs'!$B$35)^(D48-1)+IF(D48&lt;=10,INDEX('Savings Projection'!$BM$19:$BM$28,D48),LOOKUP(2,1/('Savings Projection'!$BM$19:$BM$28&lt;&gt;""),'Savings Projection'!$BM$19:$BM$28))*(1+'Model Inputs'!$B$36)^(D48-1)</f>
        <v>185348.91529000323</v>
      </c>
      <c r="S48" s="218">
        <f t="shared" si="18"/>
        <v>4567523.0003375188</v>
      </c>
      <c r="T48" s="218">
        <f>MIN(MAX(S48,0),'Tax Assumptions'!$B$20)</f>
        <v>7500</v>
      </c>
      <c r="U48" s="218">
        <f t="shared" si="19"/>
        <v>4560023.0003375188</v>
      </c>
      <c r="V48" s="218">
        <f>MAX(V47*(1+'Model Inputs'!$B$13)+U48,0)</f>
        <v>25929694.737407446</v>
      </c>
      <c r="W48" s="218">
        <f>MAX(W47*(1+'Model Inputs'!$B$13)+M48+T48,0)</f>
        <v>604228.40541103133</v>
      </c>
      <c r="X48" s="218">
        <f t="shared" si="20"/>
        <v>26533923.142818477</v>
      </c>
      <c r="Y48" s="226" t="str">
        <f t="shared" si="21"/>
        <v/>
      </c>
      <c r="Z48" s="226" t="str">
        <f t="shared" si="22"/>
        <v/>
      </c>
      <c r="AA48" s="226" t="str">
        <f t="shared" si="23"/>
        <v/>
      </c>
      <c r="AB48" s="226">
        <f t="shared" si="24"/>
        <v>13</v>
      </c>
    </row>
    <row r="49" spans="1:28" x14ac:dyDescent="0.2">
      <c r="A49" s="214" t="str">
        <f t="shared" si="11"/>
        <v>3Y 2x</v>
      </c>
      <c r="B49" s="214">
        <f t="shared" si="12"/>
        <v>3</v>
      </c>
      <c r="C49" s="223">
        <f t="shared" si="13"/>
        <v>2</v>
      </c>
      <c r="D49" s="214">
        <v>14</v>
      </c>
      <c r="E49" s="214">
        <f t="shared" si="14"/>
        <v>2039</v>
      </c>
      <c r="F49" s="218">
        <f>IF(D49=1,'Model Inputs'!$B$25*(13-'Model Inputs'!$B$23)/12,'Model Inputs'!$B$25)</f>
        <v>300000</v>
      </c>
      <c r="G49" s="218">
        <f>IF(D49=1,'Model Inputs'!$B$27*(13-'Model Inputs'!$B$23)/12,IF(D49=2,'Model Inputs'!$B$27,IF(D49&lt;=MAX(3,'Model Inputs'!$B$30+1),'Model Inputs'!$B$27*(1+'Model Inputs'!$B$28)^(D49-3),'Model Inputs'!$B$27*(1+'Model Inputs'!$B$28)^(MAX(3,'Model Inputs'!$B$30+1)-3)*(1+'Model Inputs'!$B$29)^(D49-MAX(3,'Model Inputs'!$B$30+1)))))</f>
        <v>8215927.9778393377</v>
      </c>
      <c r="H49" s="224">
        <f>IF(D49&lt;=2,0,'Model Inputs'!$B$32*SIN(2*PI()*(D49-3+'Model Inputs'!$B$34)/MAX(1,'Model Inputs'!$B$33)))</f>
        <v>-0.10392304845413251</v>
      </c>
      <c r="I49" s="218">
        <f t="shared" si="15"/>
        <v>7362103.6965026772</v>
      </c>
      <c r="J49" s="218">
        <f t="shared" si="25"/>
        <v>6624168.4699774589</v>
      </c>
      <c r="K49" s="218">
        <f>F49+J49+IF(D49=1,'Model Inputs'!$B$26,0)</f>
        <v>6924168.4699774589</v>
      </c>
      <c r="L49" s="218">
        <f t="shared" si="16"/>
        <v>13848336.939954918</v>
      </c>
      <c r="M49" s="218">
        <f>MIN(L49,'Tax Assumptions'!$B$19)</f>
        <v>24500</v>
      </c>
      <c r="N49" s="218">
        <f>MAX(L49-M49-'Tax Assumptions'!$B$8,0)</f>
        <v>13807736.939954918</v>
      </c>
      <c r="O49" s="218">
        <f>MAX(L49-M49-'Tax Assumptions'!$B$9,0)</f>
        <v>13815836.939954918</v>
      </c>
      <c r="P49" s="218">
        <f>IF(N49=0,0,LOOKUP(N49,'Tax Assumptions'!$F$9:$F$15,'Tax Assumptions'!$I$9:$I$15)+(N49-LOOKUP(N49,'Tax Assumptions'!$F$9:$F$15,'Tax Assumptions'!$F$9:$F$15))*LOOKUP(N49,'Tax Assumptions'!$F$9:$F$15,'Tax Assumptions'!$H$9:$H$15))+MIN(MAX(L49,0),'Tax Assumptions'!$B$11)*'Tax Assumptions'!$B$10+MAX(L49,0)*'Tax Assumptions'!$B$12+MAX(MAX(L49,0)-'Tax Assumptions'!$B$14,0)*'Tax Assumptions'!$B$13+MIN(L49*'Tax Assumptions'!$B$15,'Tax Assumptions'!$B$16)+MIN(L49*'Tax Assumptions'!$B$17,'Tax Assumptions'!$B$18)+IF(O49=0,0,LOOKUP(O49,'Tax Assumptions'!$K$9:$K$17,'Tax Assumptions'!$N$9:$N$17)+(O49-LOOKUP(O49,'Tax Assumptions'!$K$9:$K$17,'Tax Assumptions'!$K$9:$K$17))*LOOKUP(O49,'Tax Assumptions'!$K$9:$K$17,'Tax Assumptions'!$M$9:$M$17))+IF(O49=0,0,LOOKUP(O49,'Tax Assumptions'!$P$9:$P$12,'Tax Assumptions'!$S$9:$S$12)+(O49-LOOKUP(O49,'Tax Assumptions'!$P$9:$P$12,'Tax Assumptions'!$P$9:$P$12))*LOOKUP(O49,'Tax Assumptions'!$P$9:$P$12,'Tax Assumptions'!$R$9:$R$12))</f>
        <v>7293463.3704802701</v>
      </c>
      <c r="Q49" s="218">
        <f t="shared" si="17"/>
        <v>6530373.5694746478</v>
      </c>
      <c r="R49" s="218">
        <f>IF(D49&lt;=10,INDEX('Savings Projection'!$BL$19:$BL$28,D49),LOOKUP(2,1/('Savings Projection'!$BL$19:$BL$28&lt;&gt;""),'Savings Projection'!$BL$19:$BL$28))*(1+'Model Inputs'!$B$35)^(D49-1)+IF(D49&lt;=10,INDEX('Savings Projection'!$BM$19:$BM$28,D49),LOOKUP(2,1/('Savings Projection'!$BM$19:$BM$28&lt;&gt;""),'Savings Projection'!$BM$19:$BM$28))*(1+'Model Inputs'!$B$36)^(D49-1)</f>
        <v>190909.3827487033</v>
      </c>
      <c r="S49" s="218">
        <f t="shared" si="18"/>
        <v>6339464.1867259443</v>
      </c>
      <c r="T49" s="218">
        <f>MIN(MAX(S49,0),'Tax Assumptions'!$B$20)</f>
        <v>7500</v>
      </c>
      <c r="U49" s="218">
        <f t="shared" si="19"/>
        <v>6331964.1867259443</v>
      </c>
      <c r="V49" s="218">
        <f>MAX(V48*(1+'Model Inputs'!$B$13)+U49,0)</f>
        <v>33817440.608377837</v>
      </c>
      <c r="W49" s="218">
        <f>MAX(W48*(1+'Model Inputs'!$B$13)+M49+T49,0)</f>
        <v>672482.1097356932</v>
      </c>
      <c r="X49" s="218">
        <f t="shared" si="20"/>
        <v>34489922.718113527</v>
      </c>
      <c r="Y49" s="226" t="str">
        <f t="shared" si="21"/>
        <v/>
      </c>
      <c r="Z49" s="226" t="str">
        <f t="shared" si="22"/>
        <v/>
      </c>
      <c r="AA49" s="226" t="str">
        <f t="shared" si="23"/>
        <v/>
      </c>
      <c r="AB49" s="226" t="str">
        <f t="shared" si="24"/>
        <v/>
      </c>
    </row>
    <row r="50" spans="1:28" x14ac:dyDescent="0.2">
      <c r="A50" s="214" t="str">
        <f t="shared" si="11"/>
        <v>3Y 2x</v>
      </c>
      <c r="B50" s="214">
        <f t="shared" si="12"/>
        <v>3</v>
      </c>
      <c r="C50" s="223">
        <f t="shared" si="13"/>
        <v>2</v>
      </c>
      <c r="D50" s="214">
        <v>15</v>
      </c>
      <c r="E50" s="214">
        <f t="shared" si="14"/>
        <v>2040</v>
      </c>
      <c r="F50" s="218">
        <f>IF(D50=1,'Model Inputs'!$B$25*(13-'Model Inputs'!$B$23)/12,'Model Inputs'!$B$25)</f>
        <v>300000</v>
      </c>
      <c r="G50" s="218">
        <f>IF(D50=1,'Model Inputs'!$B$27*(13-'Model Inputs'!$B$23)/12,IF(D50=2,'Model Inputs'!$B$27,IF(D50&lt;=MAX(3,'Model Inputs'!$B$30+1),'Model Inputs'!$B$27*(1+'Model Inputs'!$B$28)^(D50-3),'Model Inputs'!$B$27*(1+'Model Inputs'!$B$28)^(MAX(3,'Model Inputs'!$B$30+1)-3)*(1+'Model Inputs'!$B$29)^(D50-MAX(3,'Model Inputs'!$B$30+1)))))</f>
        <v>10441437.475041937</v>
      </c>
      <c r="H50" s="224">
        <f>IF(D50&lt;=2,0,'Model Inputs'!$B$32*SIN(2*PI()*(D50-3+'Model Inputs'!$B$34)/MAX(1,'Model Inputs'!$B$33)))</f>
        <v>-1.1756609271814589E-16</v>
      </c>
      <c r="I50" s="218">
        <f t="shared" si="15"/>
        <v>10441437.475041935</v>
      </c>
      <c r="J50" s="218">
        <f t="shared" si="25"/>
        <v>7305729.4161605267</v>
      </c>
      <c r="K50" s="218">
        <f>F50+J50+IF(D50=1,'Model Inputs'!$B$26,0)</f>
        <v>7605729.4161605267</v>
      </c>
      <c r="L50" s="218">
        <f t="shared" si="16"/>
        <v>15211458.832321053</v>
      </c>
      <c r="M50" s="218">
        <f>MIN(L50,'Tax Assumptions'!$B$19)</f>
        <v>24500</v>
      </c>
      <c r="N50" s="218">
        <f>MAX(L50-M50-'Tax Assumptions'!$B$8,0)</f>
        <v>15170858.832321053</v>
      </c>
      <c r="O50" s="218">
        <f>MAX(L50-M50-'Tax Assumptions'!$B$9,0)</f>
        <v>15178958.832321053</v>
      </c>
      <c r="P50" s="218">
        <f>IF(N50=0,0,LOOKUP(N50,'Tax Assumptions'!$F$9:$F$15,'Tax Assumptions'!$I$9:$I$15)+(N50-LOOKUP(N50,'Tax Assumptions'!$F$9:$F$15,'Tax Assumptions'!$F$9:$F$15))*LOOKUP(N50,'Tax Assumptions'!$F$9:$F$15,'Tax Assumptions'!$H$9:$H$15))+MIN(MAX(L50,0),'Tax Assumptions'!$B$11)*'Tax Assumptions'!$B$10+MAX(L50,0)*'Tax Assumptions'!$B$12+MAX(MAX(L50,0)-'Tax Assumptions'!$B$14,0)*'Tax Assumptions'!$B$13+MIN(L50*'Tax Assumptions'!$B$15,'Tax Assumptions'!$B$16)+MIN(L50*'Tax Assumptions'!$B$17,'Tax Assumptions'!$B$18)+IF(O50=0,0,LOOKUP(O50,'Tax Assumptions'!$K$9:$K$17,'Tax Assumptions'!$N$9:$N$17)+(O50-LOOKUP(O50,'Tax Assumptions'!$K$9:$K$17,'Tax Assumptions'!$K$9:$K$17))*LOOKUP(O50,'Tax Assumptions'!$K$9:$K$17,'Tax Assumptions'!$M$9:$M$17))+IF(O50=0,0,LOOKUP(O50,'Tax Assumptions'!$P$9:$P$12,'Tax Assumptions'!$S$9:$S$12)+(O50-LOOKUP(O50,'Tax Assumptions'!$P$9:$P$12,'Tax Assumptions'!$P$9:$P$12))*LOOKUP(O50,'Tax Assumptions'!$P$9:$P$12,'Tax Assumptions'!$R$9:$R$12))</f>
        <v>8023087.9945881683</v>
      </c>
      <c r="Q50" s="218">
        <f t="shared" si="17"/>
        <v>7163870.837732885</v>
      </c>
      <c r="R50" s="218">
        <f>IF(D50&lt;=10,INDEX('Savings Projection'!$BL$19:$BL$28,D50),LOOKUP(2,1/('Savings Projection'!$BL$19:$BL$28&lt;&gt;""),'Savings Projection'!$BL$19:$BL$28))*(1+'Model Inputs'!$B$35)^(D50-1)+IF(D50&lt;=10,INDEX('Savings Projection'!$BM$19:$BM$28,D50),LOOKUP(2,1/('Savings Projection'!$BM$19:$BM$28&lt;&gt;""),'Savings Projection'!$BM$19:$BM$28))*(1+'Model Inputs'!$B$36)^(D50-1)</f>
        <v>196636.66423116444</v>
      </c>
      <c r="S50" s="218">
        <f t="shared" si="18"/>
        <v>6967234.1735017207</v>
      </c>
      <c r="T50" s="218">
        <f>MIN(MAX(S50,0),'Tax Assumptions'!$B$20)</f>
        <v>7500</v>
      </c>
      <c r="U50" s="218">
        <f t="shared" si="19"/>
        <v>6959734.1735017207</v>
      </c>
      <c r="V50" s="218">
        <f>MAX(V49*(1+'Model Inputs'!$B$13)+U50,0)</f>
        <v>42806221.218382232</v>
      </c>
      <c r="W50" s="218">
        <f>MAX(W49*(1+'Model Inputs'!$B$13)+M50+T50,0)</f>
        <v>744831.03631983488</v>
      </c>
      <c r="X50" s="218">
        <f t="shared" si="20"/>
        <v>43551052.254702069</v>
      </c>
      <c r="Y50" s="226" t="str">
        <f t="shared" si="21"/>
        <v/>
      </c>
      <c r="Z50" s="226" t="str">
        <f t="shared" si="22"/>
        <v/>
      </c>
      <c r="AA50" s="226" t="str">
        <f t="shared" si="23"/>
        <v/>
      </c>
      <c r="AB50" s="226" t="str">
        <f t="shared" si="24"/>
        <v/>
      </c>
    </row>
    <row r="51" spans="1:28" x14ac:dyDescent="0.2">
      <c r="A51" s="214" t="str">
        <f t="shared" si="11"/>
        <v>3Y 2x</v>
      </c>
      <c r="B51" s="214">
        <f t="shared" si="12"/>
        <v>3</v>
      </c>
      <c r="C51" s="223">
        <f t="shared" si="13"/>
        <v>2</v>
      </c>
      <c r="D51" s="214">
        <v>16</v>
      </c>
      <c r="E51" s="214">
        <f t="shared" si="14"/>
        <v>2041</v>
      </c>
      <c r="F51" s="218">
        <f>IF(D51=1,'Model Inputs'!$B$25*(13-'Model Inputs'!$B$23)/12,'Model Inputs'!$B$25)</f>
        <v>300000</v>
      </c>
      <c r="G51" s="218">
        <f>IF(D51=1,'Model Inputs'!$B$27*(13-'Model Inputs'!$B$23)/12,IF(D51=2,'Model Inputs'!$B$27,IF(D51&lt;=MAX(3,'Model Inputs'!$B$30+1),'Model Inputs'!$B$27*(1+'Model Inputs'!$B$28)^(D51-3),'Model Inputs'!$B$27*(1+'Model Inputs'!$B$28)^(MAX(3,'Model Inputs'!$B$30+1)-3)*(1+'Model Inputs'!$B$29)^(D51-MAX(3,'Model Inputs'!$B$30+1)))))</f>
        <v>13269787.276528884</v>
      </c>
      <c r="H51" s="224">
        <f>IF(D51&lt;=2,0,'Model Inputs'!$B$32*SIN(2*PI()*(D51-3+'Model Inputs'!$B$34)/MAX(1,'Model Inputs'!$B$33)))</f>
        <v>0.10392304845413262</v>
      </c>
      <c r="I51" s="218">
        <f t="shared" si="15"/>
        <v>14648824.022643628</v>
      </c>
      <c r="J51" s="218">
        <f t="shared" si="25"/>
        <v>9671604.0304071214</v>
      </c>
      <c r="K51" s="218">
        <f>F51+J51+IF(D51=1,'Model Inputs'!$B$26,0)</f>
        <v>9971604.0304071214</v>
      </c>
      <c r="L51" s="218">
        <f t="shared" si="16"/>
        <v>19943208.060814243</v>
      </c>
      <c r="M51" s="218">
        <f>MIN(L51,'Tax Assumptions'!$B$19)</f>
        <v>24500</v>
      </c>
      <c r="N51" s="218">
        <f>MAX(L51-M51-'Tax Assumptions'!$B$8,0)</f>
        <v>19902608.060814243</v>
      </c>
      <c r="O51" s="218">
        <f>MAX(L51-M51-'Tax Assumptions'!$B$9,0)</f>
        <v>19910708.060814243</v>
      </c>
      <c r="P51" s="218">
        <f>IF(N51=0,0,LOOKUP(N51,'Tax Assumptions'!$F$9:$F$15,'Tax Assumptions'!$I$9:$I$15)+(N51-LOOKUP(N51,'Tax Assumptions'!$F$9:$F$15,'Tax Assumptions'!$F$9:$F$15))*LOOKUP(N51,'Tax Assumptions'!$F$9:$F$15,'Tax Assumptions'!$H$9:$H$15))+MIN(MAX(L51,0),'Tax Assumptions'!$B$11)*'Tax Assumptions'!$B$10+MAX(L51,0)*'Tax Assumptions'!$B$12+MAX(MAX(L51,0)-'Tax Assumptions'!$B$14,0)*'Tax Assumptions'!$B$13+MIN(L51*'Tax Assumptions'!$B$15,'Tax Assumptions'!$B$16)+MIN(L51*'Tax Assumptions'!$B$17,'Tax Assumptions'!$B$18)+IF(O51=0,0,LOOKUP(O51,'Tax Assumptions'!$K$9:$K$17,'Tax Assumptions'!$N$9:$N$17)+(O51-LOOKUP(O51,'Tax Assumptions'!$K$9:$K$17,'Tax Assumptions'!$K$9:$K$17))*LOOKUP(O51,'Tax Assumptions'!$K$9:$K$17,'Tax Assumptions'!$M$9:$M$17))+IF(O51=0,0,LOOKUP(O51,'Tax Assumptions'!$P$9:$P$12,'Tax Assumptions'!$S$9:$S$12)+(O51-LOOKUP(O51,'Tax Assumptions'!$P$9:$P$12,'Tax Assumptions'!$P$9:$P$12))*LOOKUP(O51,'Tax Assumptions'!$P$9:$P$12,'Tax Assumptions'!$R$9:$R$12))</f>
        <v>10555804.086631432</v>
      </c>
      <c r="Q51" s="218">
        <f t="shared" si="17"/>
        <v>9362903.9741828106</v>
      </c>
      <c r="R51" s="218">
        <f>IF(D51&lt;=10,INDEX('Savings Projection'!$BL$19:$BL$28,D51),LOOKUP(2,1/('Savings Projection'!$BL$19:$BL$28&lt;&gt;""),'Savings Projection'!$BL$19:$BL$28))*(1+'Model Inputs'!$B$35)^(D51-1)+IF(D51&lt;=10,INDEX('Savings Projection'!$BM$19:$BM$28,D51),LOOKUP(2,1/('Savings Projection'!$BM$19:$BM$28&lt;&gt;""),'Savings Projection'!$BM$19:$BM$28))*(1+'Model Inputs'!$B$36)^(D51-1)</f>
        <v>202535.76415809937</v>
      </c>
      <c r="S51" s="218">
        <f t="shared" si="18"/>
        <v>9160368.2100247107</v>
      </c>
      <c r="T51" s="218">
        <f>MIN(MAX(S51,0),'Tax Assumptions'!$B$20)</f>
        <v>7500</v>
      </c>
      <c r="U51" s="218">
        <f t="shared" si="19"/>
        <v>9152868.2100247107</v>
      </c>
      <c r="V51" s="218">
        <f>MAX(V50*(1+'Model Inputs'!$B$13)+U51,0)</f>
        <v>54527462.701509878</v>
      </c>
      <c r="W51" s="218">
        <f>MAX(W50*(1+'Model Inputs'!$B$13)+M51+T51,0)</f>
        <v>821520.89849902503</v>
      </c>
      <c r="X51" s="218">
        <f t="shared" si="20"/>
        <v>55348983.600008905</v>
      </c>
      <c r="Y51" s="226" t="str">
        <f t="shared" si="21"/>
        <v/>
      </c>
      <c r="Z51" s="226" t="str">
        <f t="shared" si="22"/>
        <v/>
      </c>
      <c r="AA51" s="226" t="str">
        <f t="shared" si="23"/>
        <v/>
      </c>
      <c r="AB51" s="226" t="str">
        <f t="shared" si="24"/>
        <v/>
      </c>
    </row>
    <row r="52" spans="1:28" x14ac:dyDescent="0.2">
      <c r="A52" s="214" t="str">
        <f t="shared" si="11"/>
        <v>3Y 2x</v>
      </c>
      <c r="B52" s="214">
        <f t="shared" si="12"/>
        <v>3</v>
      </c>
      <c r="C52" s="223">
        <f t="shared" si="13"/>
        <v>2</v>
      </c>
      <c r="D52" s="214">
        <v>17</v>
      </c>
      <c r="E52" s="214">
        <f t="shared" si="14"/>
        <v>2042</v>
      </c>
      <c r="F52" s="218">
        <f>IF(D52=1,'Model Inputs'!$B$25*(13-'Model Inputs'!$B$23)/12,'Model Inputs'!$B$25)</f>
        <v>300000</v>
      </c>
      <c r="G52" s="218">
        <f>IF(D52=1,'Model Inputs'!$B$27*(13-'Model Inputs'!$B$23)/12,IF(D52=2,'Model Inputs'!$B$27,IF(D52&lt;=MAX(3,'Model Inputs'!$B$30+1),'Model Inputs'!$B$27*(1+'Model Inputs'!$B$28)^(D52-3),'Model Inputs'!$B$27*(1+'Model Inputs'!$B$28)^(MAX(3,'Model Inputs'!$B$30+1)-3)*(1+'Model Inputs'!$B$29)^(D52-MAX(3,'Model Inputs'!$B$30+1)))))</f>
        <v>16864273.217670217</v>
      </c>
      <c r="H52" s="224">
        <f>IF(D52&lt;=2,0,'Model Inputs'!$B$32*SIN(2*PI()*(D52-3+'Model Inputs'!$B$34)/MAX(1,'Model Inputs'!$B$33)))</f>
        <v>-0.1039230484541325</v>
      </c>
      <c r="I52" s="218">
        <f t="shared" si="15"/>
        <v>15111686.534926547</v>
      </c>
      <c r="J52" s="218">
        <f t="shared" si="25"/>
        <v>13596977.385743205</v>
      </c>
      <c r="K52" s="218">
        <f>F52+J52+IF(D52=1,'Model Inputs'!$B$26,0)</f>
        <v>13896977.385743205</v>
      </c>
      <c r="L52" s="218">
        <f t="shared" si="16"/>
        <v>27793954.771486409</v>
      </c>
      <c r="M52" s="218">
        <f>MIN(L52,'Tax Assumptions'!$B$19)</f>
        <v>24500</v>
      </c>
      <c r="N52" s="218">
        <f>MAX(L52-M52-'Tax Assumptions'!$B$8,0)</f>
        <v>27753354.771486409</v>
      </c>
      <c r="O52" s="218">
        <f>MAX(L52-M52-'Tax Assumptions'!$B$9,0)</f>
        <v>27761454.771486409</v>
      </c>
      <c r="P52" s="218">
        <f>IF(N52=0,0,LOOKUP(N52,'Tax Assumptions'!$F$9:$F$15,'Tax Assumptions'!$I$9:$I$15)+(N52-LOOKUP(N52,'Tax Assumptions'!$F$9:$F$15,'Tax Assumptions'!$F$9:$F$15))*LOOKUP(N52,'Tax Assumptions'!$F$9:$F$15,'Tax Assumptions'!$H$9:$H$15))+MIN(MAX(L52,0),'Tax Assumptions'!$B$11)*'Tax Assumptions'!$B$10+MAX(L52,0)*'Tax Assumptions'!$B$12+MAX(MAX(L52,0)-'Tax Assumptions'!$B$14,0)*'Tax Assumptions'!$B$13+MIN(L52*'Tax Assumptions'!$B$15,'Tax Assumptions'!$B$16)+MIN(L52*'Tax Assumptions'!$B$17,'Tax Assumptions'!$B$18)+IF(O52=0,0,LOOKUP(O52,'Tax Assumptions'!$K$9:$K$17,'Tax Assumptions'!$N$9:$N$17)+(O52-LOOKUP(O52,'Tax Assumptions'!$K$9:$K$17,'Tax Assumptions'!$K$9:$K$17))*LOOKUP(O52,'Tax Assumptions'!$K$9:$K$17,'Tax Assumptions'!$M$9:$M$17))+IF(O52=0,0,LOOKUP(O52,'Tax Assumptions'!$P$9:$P$12,'Tax Assumptions'!$S$9:$S$12)+(O52-LOOKUP(O52,'Tax Assumptions'!$P$9:$P$12,'Tax Assumptions'!$P$9:$P$12))*LOOKUP(O52,'Tax Assumptions'!$P$9:$P$12,'Tax Assumptions'!$R$9:$R$12))</f>
        <v>14774563.499614732</v>
      </c>
      <c r="Q52" s="218">
        <f t="shared" si="17"/>
        <v>12994891.271871677</v>
      </c>
      <c r="R52" s="218">
        <f>IF(D52&lt;=10,INDEX('Savings Projection'!$BL$19:$BL$28,D52),LOOKUP(2,1/('Savings Projection'!$BL$19:$BL$28&lt;&gt;""),'Savings Projection'!$BL$19:$BL$28))*(1+'Model Inputs'!$B$35)^(D52-1)+IF(D52&lt;=10,INDEX('Savings Projection'!$BM$19:$BM$28,D52),LOOKUP(2,1/('Savings Projection'!$BM$19:$BM$28&lt;&gt;""),'Savings Projection'!$BM$19:$BM$28))*(1+'Model Inputs'!$B$36)^(D52-1)</f>
        <v>208611.83708284231</v>
      </c>
      <c r="S52" s="218">
        <f t="shared" si="18"/>
        <v>12786279.434788834</v>
      </c>
      <c r="T52" s="218">
        <f>MIN(MAX(S52,0),'Tax Assumptions'!$B$20)</f>
        <v>7500</v>
      </c>
      <c r="U52" s="218">
        <f t="shared" si="19"/>
        <v>12778779.434788834</v>
      </c>
      <c r="V52" s="218">
        <f>MAX(V51*(1+'Model Inputs'!$B$13)+U52,0)</f>
        <v>70577889.89838931</v>
      </c>
      <c r="W52" s="218">
        <f>MAX(W51*(1+'Model Inputs'!$B$13)+M52+T52,0)</f>
        <v>902812.15240896656</v>
      </c>
      <c r="X52" s="218">
        <f t="shared" si="20"/>
        <v>71480702.050798282</v>
      </c>
      <c r="Y52" s="226" t="str">
        <f t="shared" si="21"/>
        <v/>
      </c>
      <c r="Z52" s="226" t="str">
        <f t="shared" si="22"/>
        <v/>
      </c>
      <c r="AA52" s="226" t="str">
        <f t="shared" si="23"/>
        <v/>
      </c>
      <c r="AB52" s="226" t="str">
        <f t="shared" si="24"/>
        <v/>
      </c>
    </row>
    <row r="53" spans="1:28" x14ac:dyDescent="0.2">
      <c r="A53" s="214" t="str">
        <f t="shared" si="11"/>
        <v>3Y 2x</v>
      </c>
      <c r="B53" s="214">
        <f t="shared" si="12"/>
        <v>3</v>
      </c>
      <c r="C53" s="223">
        <f t="shared" si="13"/>
        <v>2</v>
      </c>
      <c r="D53" s="214">
        <v>18</v>
      </c>
      <c r="E53" s="214">
        <f t="shared" si="14"/>
        <v>2043</v>
      </c>
      <c r="F53" s="218">
        <f>IF(D53=1,'Model Inputs'!$B$25*(13-'Model Inputs'!$B$23)/12,'Model Inputs'!$B$25)</f>
        <v>300000</v>
      </c>
      <c r="G53" s="218">
        <f>IF(D53=1,'Model Inputs'!$B$27*(13-'Model Inputs'!$B$23)/12,IF(D53=2,'Model Inputs'!$B$27,IF(D53&lt;=MAX(3,'Model Inputs'!$B$30+1),'Model Inputs'!$B$27*(1+'Model Inputs'!$B$28)^(D53-3),'Model Inputs'!$B$27*(1+'Model Inputs'!$B$28)^(MAX(3,'Model Inputs'!$B$30+1)-3)*(1+'Model Inputs'!$B$29)^(D53-MAX(3,'Model Inputs'!$B$30+1)))))</f>
        <v>21432424.290875554</v>
      </c>
      <c r="H53" s="224">
        <f>IF(D53&lt;=2,0,'Model Inputs'!$B$32*SIN(2*PI()*(D53-3+'Model Inputs'!$B$34)/MAX(1,'Model Inputs'!$B$33)))</f>
        <v>-5.7328325735374245E-16</v>
      </c>
      <c r="I53" s="218">
        <f t="shared" si="15"/>
        <v>21432424.290875543</v>
      </c>
      <c r="J53" s="218">
        <f t="shared" si="25"/>
        <v>14995970.906855816</v>
      </c>
      <c r="K53" s="218">
        <f>F53+J53+IF(D53=1,'Model Inputs'!$B$26,0)</f>
        <v>15295970.906855816</v>
      </c>
      <c r="L53" s="218">
        <f t="shared" si="16"/>
        <v>30591941.813711632</v>
      </c>
      <c r="M53" s="218">
        <f>MIN(L53,'Tax Assumptions'!$B$19)</f>
        <v>24500</v>
      </c>
      <c r="N53" s="218">
        <f>MAX(L53-M53-'Tax Assumptions'!$B$8,0)</f>
        <v>30551341.813711632</v>
      </c>
      <c r="O53" s="218">
        <f>MAX(L53-M53-'Tax Assumptions'!$B$9,0)</f>
        <v>30559441.813711632</v>
      </c>
      <c r="P53" s="218">
        <f>IF(N53=0,0,LOOKUP(N53,'Tax Assumptions'!$F$9:$F$15,'Tax Assumptions'!$I$9:$I$15)+(N53-LOOKUP(N53,'Tax Assumptions'!$F$9:$F$15,'Tax Assumptions'!$F$9:$F$15))*LOOKUP(N53,'Tax Assumptions'!$F$9:$F$15,'Tax Assumptions'!$H$9:$H$15))+MIN(MAX(L53,0),'Tax Assumptions'!$B$11)*'Tax Assumptions'!$B$10+MAX(L53,0)*'Tax Assumptions'!$B$12+MAX(MAX(L53,0)-'Tax Assumptions'!$B$14,0)*'Tax Assumptions'!$B$13+MIN(L53*'Tax Assumptions'!$B$15,'Tax Assumptions'!$B$16)+MIN(L53*'Tax Assumptions'!$B$17,'Tax Assumptions'!$B$18)+IF(O53=0,0,LOOKUP(O53,'Tax Assumptions'!$K$9:$K$17,'Tax Assumptions'!$N$9:$N$17)+(O53-LOOKUP(O53,'Tax Assumptions'!$K$9:$K$17,'Tax Assumptions'!$K$9:$K$17))*LOOKUP(O53,'Tax Assumptions'!$K$9:$K$17,'Tax Assumptions'!$M$9:$M$17))+IF(O53=0,0,LOOKUP(O53,'Tax Assumptions'!$P$9:$P$12,'Tax Assumptions'!$S$9:$S$12)+(O53-LOOKUP(O53,'Tax Assumptions'!$P$9:$P$12,'Tax Assumptions'!$P$9:$P$12))*LOOKUP(O53,'Tax Assumptions'!$P$9:$P$12,'Tax Assumptions'!$R$9:$R$12))</f>
        <v>16289001.966089558</v>
      </c>
      <c r="Q53" s="218">
        <f t="shared" si="17"/>
        <v>14278439.847622074</v>
      </c>
      <c r="R53" s="218">
        <f>IF(D53&lt;=10,INDEX('Savings Projection'!$BL$19:$BL$28,D53),LOOKUP(2,1/('Savings Projection'!$BL$19:$BL$28&lt;&gt;""),'Savings Projection'!$BL$19:$BL$28))*(1+'Model Inputs'!$B$35)^(D53-1)+IF(D53&lt;=10,INDEX('Savings Projection'!$BM$19:$BM$28,D53),LOOKUP(2,1/('Savings Projection'!$BM$19:$BM$28&lt;&gt;""),'Savings Projection'!$BM$19:$BM$28))*(1+'Model Inputs'!$B$36)^(D53-1)</f>
        <v>214870.1921953276</v>
      </c>
      <c r="S53" s="218">
        <f t="shared" si="18"/>
        <v>14063569.655426746</v>
      </c>
      <c r="T53" s="218">
        <f>MIN(MAX(S53,0),'Tax Assumptions'!$B$20)</f>
        <v>7500</v>
      </c>
      <c r="U53" s="218">
        <f t="shared" si="19"/>
        <v>14056069.655426746</v>
      </c>
      <c r="V53" s="218">
        <f>MAX(V52*(1+'Model Inputs'!$B$13)+U53,0)</f>
        <v>88868632.94771941</v>
      </c>
      <c r="W53" s="218">
        <f>MAX(W52*(1+'Model Inputs'!$B$13)+M53+T53,0)</f>
        <v>988980.88155350462</v>
      </c>
      <c r="X53" s="218">
        <f t="shared" si="20"/>
        <v>89857613.829272911</v>
      </c>
      <c r="Y53" s="226" t="str">
        <f t="shared" si="21"/>
        <v/>
      </c>
      <c r="Z53" s="226" t="str">
        <f t="shared" si="22"/>
        <v/>
      </c>
      <c r="AA53" s="226" t="str">
        <f t="shared" si="23"/>
        <v/>
      </c>
      <c r="AB53" s="226" t="str">
        <f t="shared" si="24"/>
        <v/>
      </c>
    </row>
    <row r="54" spans="1:28" x14ac:dyDescent="0.2">
      <c r="A54" s="214" t="str">
        <f t="shared" si="11"/>
        <v>3Y 2x</v>
      </c>
      <c r="B54" s="214">
        <f t="shared" si="12"/>
        <v>3</v>
      </c>
      <c r="C54" s="223">
        <f t="shared" si="13"/>
        <v>2</v>
      </c>
      <c r="D54" s="214">
        <v>19</v>
      </c>
      <c r="E54" s="214">
        <f t="shared" si="14"/>
        <v>2044</v>
      </c>
      <c r="F54" s="218">
        <f>IF(D54=1,'Model Inputs'!$B$25*(13-'Model Inputs'!$B$23)/12,'Model Inputs'!$B$25)</f>
        <v>300000</v>
      </c>
      <c r="G54" s="218">
        <f>IF(D54=1,'Model Inputs'!$B$27*(13-'Model Inputs'!$B$23)/12,IF(D54=2,'Model Inputs'!$B$27,IF(D54&lt;=MAX(3,'Model Inputs'!$B$30+1),'Model Inputs'!$B$27*(1+'Model Inputs'!$B$28)^(D54-3),'Model Inputs'!$B$27*(1+'Model Inputs'!$B$28)^(MAX(3,'Model Inputs'!$B$30+1)-3)*(1+'Model Inputs'!$B$29)^(D54-MAX(3,'Model Inputs'!$B$30+1)))))</f>
        <v>27237984.409717187</v>
      </c>
      <c r="H54" s="224">
        <f>IF(D54&lt;=2,0,'Model Inputs'!$B$32*SIN(2*PI()*(D54-3+'Model Inputs'!$B$34)/MAX(1,'Model Inputs'!$B$33)))</f>
        <v>0.10392304845413286</v>
      </c>
      <c r="I54" s="218">
        <f t="shared" si="15"/>
        <v>30068638.783321142</v>
      </c>
      <c r="J54" s="218">
        <f t="shared" si="25"/>
        <v>19852239.851888295</v>
      </c>
      <c r="K54" s="218">
        <f>F54+J54+IF(D54=1,'Model Inputs'!$B$26,0)</f>
        <v>20152239.851888295</v>
      </c>
      <c r="L54" s="218">
        <f t="shared" si="16"/>
        <v>40304479.703776591</v>
      </c>
      <c r="M54" s="218">
        <f>MIN(L54,'Tax Assumptions'!$B$19)</f>
        <v>24500</v>
      </c>
      <c r="N54" s="218">
        <f>MAX(L54-M54-'Tax Assumptions'!$B$8,0)</f>
        <v>40263879.703776591</v>
      </c>
      <c r="O54" s="218">
        <f>MAX(L54-M54-'Tax Assumptions'!$B$9,0)</f>
        <v>40271979.703776591</v>
      </c>
      <c r="P54" s="218">
        <f>IF(N54=0,0,LOOKUP(N54,'Tax Assumptions'!$F$9:$F$15,'Tax Assumptions'!$I$9:$I$15)+(N54-LOOKUP(N54,'Tax Assumptions'!$F$9:$F$15,'Tax Assumptions'!$F$9:$F$15))*LOOKUP(N54,'Tax Assumptions'!$F$9:$F$15,'Tax Assumptions'!$H$9:$H$15))+MIN(MAX(L54,0),'Tax Assumptions'!$B$11)*'Tax Assumptions'!$B$10+MAX(L54,0)*'Tax Assumptions'!$B$12+MAX(MAX(L54,0)-'Tax Assumptions'!$B$14,0)*'Tax Assumptions'!$B$13+MIN(L54*'Tax Assumptions'!$B$15,'Tax Assumptions'!$B$16)+MIN(L54*'Tax Assumptions'!$B$17,'Tax Assumptions'!$B$18)+IF(O54=0,0,LOOKUP(O54,'Tax Assumptions'!$K$9:$K$17,'Tax Assumptions'!$N$9:$N$17)+(O54-LOOKUP(O54,'Tax Assumptions'!$K$9:$K$17,'Tax Assumptions'!$K$9:$K$17))*LOOKUP(O54,'Tax Assumptions'!$K$9:$K$17,'Tax Assumptions'!$M$9:$M$17))+IF(O54=0,0,LOOKUP(O54,'Tax Assumptions'!$P$9:$P$12,'Tax Assumptions'!$S$9:$S$12)+(O54-LOOKUP(O54,'Tax Assumptions'!$P$9:$P$12,'Tax Assumptions'!$P$9:$P$12))*LOOKUP(O54,'Tax Assumptions'!$P$9:$P$12,'Tax Assumptions'!$R$9:$R$12))</f>
        <v>21546010.224466115</v>
      </c>
      <c r="Q54" s="218">
        <f t="shared" si="17"/>
        <v>18733969.479310475</v>
      </c>
      <c r="R54" s="218">
        <f>IF(D54&lt;=10,INDEX('Savings Projection'!$BL$19:$BL$28,D54),LOOKUP(2,1/('Savings Projection'!$BL$19:$BL$28&lt;&gt;""),'Savings Projection'!$BL$19:$BL$28))*(1+'Model Inputs'!$B$35)^(D54-1)+IF(D54&lt;=10,INDEX('Savings Projection'!$BM$19:$BM$28,D54),LOOKUP(2,1/('Savings Projection'!$BM$19:$BM$28&lt;&gt;""),'Savings Projection'!$BM$19:$BM$28))*(1+'Model Inputs'!$B$36)^(D54-1)</f>
        <v>221316.29796118743</v>
      </c>
      <c r="S54" s="218">
        <f t="shared" si="18"/>
        <v>18512653.181349289</v>
      </c>
      <c r="T54" s="218">
        <f>MIN(MAX(S54,0),'Tax Assumptions'!$B$20)</f>
        <v>7500</v>
      </c>
      <c r="U54" s="218">
        <f t="shared" si="19"/>
        <v>18505153.181349289</v>
      </c>
      <c r="V54" s="218">
        <f>MAX(V53*(1+'Model Inputs'!$B$13)+U54,0)</f>
        <v>112705904.10593188</v>
      </c>
      <c r="W54" s="218">
        <f>MAX(W53*(1+'Model Inputs'!$B$13)+M54+T54,0)</f>
        <v>1080319.7344467151</v>
      </c>
      <c r="X54" s="218">
        <f t="shared" si="20"/>
        <v>113786223.8403786</v>
      </c>
      <c r="Y54" s="226" t="str">
        <f t="shared" si="21"/>
        <v/>
      </c>
      <c r="Z54" s="226" t="str">
        <f t="shared" si="22"/>
        <v/>
      </c>
      <c r="AA54" s="226" t="str">
        <f t="shared" si="23"/>
        <v/>
      </c>
      <c r="AB54" s="226" t="str">
        <f t="shared" si="24"/>
        <v/>
      </c>
    </row>
    <row r="55" spans="1:28" x14ac:dyDescent="0.2">
      <c r="A55" s="214" t="str">
        <f t="shared" si="11"/>
        <v>3Y 2x</v>
      </c>
      <c r="B55" s="214">
        <f t="shared" si="12"/>
        <v>3</v>
      </c>
      <c r="C55" s="223">
        <f t="shared" si="13"/>
        <v>2</v>
      </c>
      <c r="D55" s="214">
        <v>20</v>
      </c>
      <c r="E55" s="214">
        <f t="shared" si="14"/>
        <v>2045</v>
      </c>
      <c r="F55" s="218">
        <f>IF(D55=1,'Model Inputs'!$B$25*(13-'Model Inputs'!$B$23)/12,'Model Inputs'!$B$25)</f>
        <v>300000</v>
      </c>
      <c r="G55" s="218">
        <f>IF(D55=1,'Model Inputs'!$B$27*(13-'Model Inputs'!$B$23)/12,IF(D55=2,'Model Inputs'!$B$27,IF(D55&lt;=MAX(3,'Model Inputs'!$B$30+1),'Model Inputs'!$B$27*(1+'Model Inputs'!$B$28)^(D55-3),'Model Inputs'!$B$27*(1+'Model Inputs'!$B$28)^(MAX(3,'Model Inputs'!$B$30+1)-3)*(1+'Model Inputs'!$B$29)^(D55-MAX(3,'Model Inputs'!$B$30+1)))))</f>
        <v>34616139.762586243</v>
      </c>
      <c r="H55" s="224">
        <f>IF(D55&lt;=2,0,'Model Inputs'!$B$32*SIN(2*PI()*(D55-3+'Model Inputs'!$B$34)/MAX(1,'Model Inputs'!$B$33)))</f>
        <v>-0.10392304845413269</v>
      </c>
      <c r="I55" s="218">
        <f t="shared" si="15"/>
        <v>31018724.992743965</v>
      </c>
      <c r="J55" s="218">
        <f t="shared" si="25"/>
        <v>27909585.160209741</v>
      </c>
      <c r="K55" s="218">
        <f>F55+J55+IF(D55=1,'Model Inputs'!$B$26,0)</f>
        <v>28209585.160209741</v>
      </c>
      <c r="L55" s="218">
        <f t="shared" si="16"/>
        <v>56419170.320419483</v>
      </c>
      <c r="M55" s="218">
        <f>MIN(L55,'Tax Assumptions'!$B$19)</f>
        <v>24500</v>
      </c>
      <c r="N55" s="218">
        <f>MAX(L55-M55-'Tax Assumptions'!$B$8,0)</f>
        <v>56378570.320419483</v>
      </c>
      <c r="O55" s="218">
        <f>MAX(L55-M55-'Tax Assumptions'!$B$9,0)</f>
        <v>56386670.320419483</v>
      </c>
      <c r="P55" s="218">
        <f>IF(N55=0,0,LOOKUP(N55,'Tax Assumptions'!$F$9:$F$15,'Tax Assumptions'!$I$9:$I$15)+(N55-LOOKUP(N55,'Tax Assumptions'!$F$9:$F$15,'Tax Assumptions'!$F$9:$F$15))*LOOKUP(N55,'Tax Assumptions'!$F$9:$F$15,'Tax Assumptions'!$H$9:$H$15))+MIN(MAX(L55,0),'Tax Assumptions'!$B$11)*'Tax Assumptions'!$B$10+MAX(L55,0)*'Tax Assumptions'!$B$12+MAX(MAX(L55,0)-'Tax Assumptions'!$B$14,0)*'Tax Assumptions'!$B$13+MIN(L55*'Tax Assumptions'!$B$15,'Tax Assumptions'!$B$16)+MIN(L55*'Tax Assumptions'!$B$17,'Tax Assumptions'!$B$18)+IF(O55=0,0,LOOKUP(O55,'Tax Assumptions'!$K$9:$K$17,'Tax Assumptions'!$N$9:$N$17)+(O55-LOOKUP(O55,'Tax Assumptions'!$K$9:$K$17,'Tax Assumptions'!$K$9:$K$17))*LOOKUP(O55,'Tax Assumptions'!$K$9:$K$17,'Tax Assumptions'!$M$9:$M$17))+IF(O55=0,0,LOOKUP(O55,'Tax Assumptions'!$P$9:$P$12,'Tax Assumptions'!$S$9:$S$12)+(O55-LOOKUP(O55,'Tax Assumptions'!$P$9:$P$12,'Tax Assumptions'!$P$9:$P$12))*LOOKUP(O55,'Tax Assumptions'!$P$9:$P$12,'Tax Assumptions'!$R$9:$R$12))</f>
        <v>30268247.667630248</v>
      </c>
      <c r="Q55" s="218">
        <f t="shared" si="17"/>
        <v>26126422.652789235</v>
      </c>
      <c r="R55" s="218">
        <f>IF(D55&lt;=10,INDEX('Savings Projection'!$BL$19:$BL$28,D55),LOOKUP(2,1/('Savings Projection'!$BL$19:$BL$28&lt;&gt;""),'Savings Projection'!$BL$19:$BL$28))*(1+'Model Inputs'!$B$35)^(D55-1)+IF(D55&lt;=10,INDEX('Savings Projection'!$BM$19:$BM$28,D55),LOOKUP(2,1/('Savings Projection'!$BM$19:$BM$28&lt;&gt;""),'Savings Projection'!$BM$19:$BM$28))*(1+'Model Inputs'!$B$36)^(D55-1)</f>
        <v>227955.78690002306</v>
      </c>
      <c r="S55" s="218">
        <f t="shared" si="18"/>
        <v>25898466.86588921</v>
      </c>
      <c r="T55" s="218">
        <f>MIN(MAX(S55,0),'Tax Assumptions'!$B$20)</f>
        <v>7500</v>
      </c>
      <c r="U55" s="218">
        <f t="shared" si="19"/>
        <v>25890966.86588921</v>
      </c>
      <c r="V55" s="218">
        <f>MAX(V54*(1+'Model Inputs'!$B$13)+U55,0)</f>
        <v>145359225.21817702</v>
      </c>
      <c r="W55" s="218">
        <f>MAX(W54*(1+'Model Inputs'!$B$13)+M55+T55,0)</f>
        <v>1177138.9185135181</v>
      </c>
      <c r="X55" s="218">
        <f t="shared" si="20"/>
        <v>146536364.13669053</v>
      </c>
      <c r="Y55" s="226" t="str">
        <f t="shared" si="21"/>
        <v/>
      </c>
      <c r="Z55" s="226" t="str">
        <f t="shared" si="22"/>
        <v/>
      </c>
      <c r="AA55" s="226" t="str">
        <f t="shared" si="23"/>
        <v/>
      </c>
      <c r="AB55" s="226" t="str">
        <f t="shared" si="24"/>
        <v/>
      </c>
    </row>
    <row r="56" spans="1:28" x14ac:dyDescent="0.2">
      <c r="A56" s="214" t="str">
        <f t="shared" si="11"/>
        <v>3Y 2x</v>
      </c>
      <c r="B56" s="214">
        <f t="shared" si="12"/>
        <v>3</v>
      </c>
      <c r="C56" s="223">
        <f t="shared" si="13"/>
        <v>2</v>
      </c>
      <c r="D56" s="214">
        <v>21</v>
      </c>
      <c r="E56" s="214">
        <f t="shared" si="14"/>
        <v>2046</v>
      </c>
      <c r="F56" s="218">
        <f>IF(D56=1,'Model Inputs'!$B$25*(13-'Model Inputs'!$B$23)/12,'Model Inputs'!$B$25)</f>
        <v>300000</v>
      </c>
      <c r="G56" s="218">
        <f>IF(D56=1,'Model Inputs'!$B$27*(13-'Model Inputs'!$B$23)/12,IF(D56=2,'Model Inputs'!$B$27,IF(D56&lt;=MAX(3,'Model Inputs'!$B$30+1),'Model Inputs'!$B$27*(1+'Model Inputs'!$B$28)^(D56-3),'Model Inputs'!$B$27*(1+'Model Inputs'!$B$28)^(MAX(3,'Model Inputs'!$B$30+1)-3)*(1+'Model Inputs'!$B$29)^(D56-MAX(3,'Model Inputs'!$B$30+1)))))</f>
        <v>43992870.912849829</v>
      </c>
      <c r="H56" s="224">
        <f>IF(D56&lt;=2,0,'Model Inputs'!$B$32*SIN(2*PI()*(D56-3+'Model Inputs'!$B$34)/MAX(1,'Model Inputs'!$B$33)))</f>
        <v>-1.7634913907721884E-16</v>
      </c>
      <c r="I56" s="218">
        <f t="shared" si="15"/>
        <v>43992870.912849821</v>
      </c>
      <c r="J56" s="218">
        <f t="shared" si="25"/>
        <v>30781203.440388259</v>
      </c>
      <c r="K56" s="218">
        <f>F56+J56+IF(D56=1,'Model Inputs'!$B$26,0)</f>
        <v>31081203.440388259</v>
      </c>
      <c r="L56" s="218">
        <f t="shared" si="16"/>
        <v>62162406.880776517</v>
      </c>
      <c r="M56" s="218">
        <f>MIN(L56,'Tax Assumptions'!$B$19)</f>
        <v>24500</v>
      </c>
      <c r="N56" s="218">
        <f>MAX(L56-M56-'Tax Assumptions'!$B$8,0)</f>
        <v>62121806.880776517</v>
      </c>
      <c r="O56" s="218">
        <f>MAX(L56-M56-'Tax Assumptions'!$B$9,0)</f>
        <v>62129906.880776517</v>
      </c>
      <c r="P56" s="218">
        <f>IF(N56=0,0,LOOKUP(N56,'Tax Assumptions'!$F$9:$F$15,'Tax Assumptions'!$I$9:$I$15)+(N56-LOOKUP(N56,'Tax Assumptions'!$F$9:$F$15,'Tax Assumptions'!$F$9:$F$15))*LOOKUP(N56,'Tax Assumptions'!$F$9:$F$15,'Tax Assumptions'!$H$9:$H$15))+MIN(MAX(L56,0),'Tax Assumptions'!$B$11)*'Tax Assumptions'!$B$10+MAX(L56,0)*'Tax Assumptions'!$B$12+MAX(MAX(L56,0)-'Tax Assumptions'!$B$14,0)*'Tax Assumptions'!$B$13+MIN(L56*'Tax Assumptions'!$B$15,'Tax Assumptions'!$B$16)+MIN(L56*'Tax Assumptions'!$B$17,'Tax Assumptions'!$B$18)+IF(O56=0,0,LOOKUP(O56,'Tax Assumptions'!$K$9:$K$17,'Tax Assumptions'!$N$9:$N$17)+(O56-LOOKUP(O56,'Tax Assumptions'!$K$9:$K$17,'Tax Assumptions'!$K$9:$K$17))*LOOKUP(O56,'Tax Assumptions'!$K$9:$K$17,'Tax Assumptions'!$M$9:$M$17))+IF(O56=0,0,LOOKUP(O56,'Tax Assumptions'!$P$9:$P$12,'Tax Assumptions'!$S$9:$S$12)+(O56-LOOKUP(O56,'Tax Assumptions'!$P$9:$P$12,'Tax Assumptions'!$P$9:$P$12))*LOOKUP(O56,'Tax Assumptions'!$P$9:$P$12,'Tax Assumptions'!$R$9:$R$12))</f>
        <v>33376831.888289094</v>
      </c>
      <c r="Q56" s="218">
        <f t="shared" si="17"/>
        <v>28761074.992487423</v>
      </c>
      <c r="R56" s="218">
        <f>IF(D56&lt;=10,INDEX('Savings Projection'!$BL$19:$BL$28,D56),LOOKUP(2,1/('Savings Projection'!$BL$19:$BL$28&lt;&gt;""),'Savings Projection'!$BL$19:$BL$28))*(1+'Model Inputs'!$B$35)^(D56-1)+IF(D56&lt;=10,INDEX('Savings Projection'!$BM$19:$BM$28,D56),LOOKUP(2,1/('Savings Projection'!$BM$19:$BM$28&lt;&gt;""),'Savings Projection'!$BM$19:$BM$28))*(1+'Model Inputs'!$B$36)^(D56-1)</f>
        <v>234794.46050702373</v>
      </c>
      <c r="S56" s="218">
        <f t="shared" si="18"/>
        <v>28526280.531980399</v>
      </c>
      <c r="T56" s="218">
        <f>MIN(MAX(S56,0),'Tax Assumptions'!$B$20)</f>
        <v>7500</v>
      </c>
      <c r="U56" s="218">
        <f t="shared" si="19"/>
        <v>28518780.531980399</v>
      </c>
      <c r="V56" s="218">
        <f>MAX(V55*(1+'Model Inputs'!$B$13)+U56,0)</f>
        <v>182599559.26324806</v>
      </c>
      <c r="W56" s="218">
        <f>MAX(W55*(1+'Model Inputs'!$B$13)+M56+T56,0)</f>
        <v>1279767.2536243291</v>
      </c>
      <c r="X56" s="218">
        <f t="shared" si="20"/>
        <v>183879326.51687238</v>
      </c>
      <c r="Y56" s="226" t="str">
        <f t="shared" si="21"/>
        <v/>
      </c>
      <c r="Z56" s="226" t="str">
        <f t="shared" si="22"/>
        <v/>
      </c>
      <c r="AA56" s="226" t="str">
        <f t="shared" si="23"/>
        <v/>
      </c>
      <c r="AB56" s="226" t="str">
        <f t="shared" si="24"/>
        <v/>
      </c>
    </row>
    <row r="57" spans="1:28" x14ac:dyDescent="0.2">
      <c r="A57" s="214" t="str">
        <f t="shared" si="11"/>
        <v>3Y 2x</v>
      </c>
      <c r="B57" s="214">
        <f t="shared" si="12"/>
        <v>3</v>
      </c>
      <c r="C57" s="223">
        <f t="shared" si="13"/>
        <v>2</v>
      </c>
      <c r="D57" s="214">
        <v>22</v>
      </c>
      <c r="E57" s="214">
        <f t="shared" si="14"/>
        <v>2047</v>
      </c>
      <c r="F57" s="218">
        <f>IF(D57=1,'Model Inputs'!$B$25*(13-'Model Inputs'!$B$23)/12,'Model Inputs'!$B$25)</f>
        <v>300000</v>
      </c>
      <c r="G57" s="218">
        <f>IF(D57=1,'Model Inputs'!$B$27*(13-'Model Inputs'!$B$23)/12,IF(D57=2,'Model Inputs'!$B$27,IF(D57&lt;=MAX(3,'Model Inputs'!$B$30+1),'Model Inputs'!$B$27*(1+'Model Inputs'!$B$28)^(D57-3),'Model Inputs'!$B$27*(1+'Model Inputs'!$B$28)^(MAX(3,'Model Inputs'!$B$30+1)-3)*(1+'Model Inputs'!$B$29)^(D57-MAX(3,'Model Inputs'!$B$30+1)))))</f>
        <v>55909546.9462616</v>
      </c>
      <c r="H57" s="224">
        <f>IF(D57&lt;=2,0,'Model Inputs'!$B$32*SIN(2*PI()*(D57-3+'Model Inputs'!$B$34)/MAX(1,'Model Inputs'!$B$33)))</f>
        <v>0.10392304845413287</v>
      </c>
      <c r="I57" s="218">
        <f t="shared" si="15"/>
        <v>61719837.502606563</v>
      </c>
      <c r="J57" s="218">
        <f t="shared" si="25"/>
        <v>40749334.43282336</v>
      </c>
      <c r="K57" s="218">
        <f>F57+J57+IF(D57=1,'Model Inputs'!$B$26,0)</f>
        <v>41049334.43282336</v>
      </c>
      <c r="L57" s="218">
        <f t="shared" si="16"/>
        <v>82098668.86564672</v>
      </c>
      <c r="M57" s="218">
        <f>MIN(L57,'Tax Assumptions'!$B$19)</f>
        <v>24500</v>
      </c>
      <c r="N57" s="218">
        <f>MAX(L57-M57-'Tax Assumptions'!$B$8,0)</f>
        <v>82058068.86564672</v>
      </c>
      <c r="O57" s="218">
        <f>MAX(L57-M57-'Tax Assumptions'!$B$9,0)</f>
        <v>82066168.86564672</v>
      </c>
      <c r="P57" s="218">
        <f>IF(N57=0,0,LOOKUP(N57,'Tax Assumptions'!$F$9:$F$15,'Tax Assumptions'!$I$9:$I$15)+(N57-LOOKUP(N57,'Tax Assumptions'!$F$9:$F$15,'Tax Assumptions'!$F$9:$F$15))*LOOKUP(N57,'Tax Assumptions'!$F$9:$F$15,'Tax Assumptions'!$H$9:$H$15))+MIN(MAX(L57,0),'Tax Assumptions'!$B$11)*'Tax Assumptions'!$B$10+MAX(L57,0)*'Tax Assumptions'!$B$12+MAX(MAX(L57,0)-'Tax Assumptions'!$B$14,0)*'Tax Assumptions'!$B$13+MIN(L57*'Tax Assumptions'!$B$15,'Tax Assumptions'!$B$16)+MIN(L57*'Tax Assumptions'!$B$17,'Tax Assumptions'!$B$18)+IF(O57=0,0,LOOKUP(O57,'Tax Assumptions'!$K$9:$K$17,'Tax Assumptions'!$N$9:$N$17)+(O57-LOOKUP(O57,'Tax Assumptions'!$K$9:$K$17,'Tax Assumptions'!$K$9:$K$17))*LOOKUP(O57,'Tax Assumptions'!$K$9:$K$17,'Tax Assumptions'!$M$9:$M$17))+IF(O57=0,0,LOOKUP(O57,'Tax Assumptions'!$P$9:$P$12,'Tax Assumptions'!$S$9:$S$12)+(O57-LOOKUP(O57,'Tax Assumptions'!$P$9:$P$12,'Tax Assumptions'!$P$9:$P$12))*LOOKUP(O57,'Tax Assumptions'!$P$9:$P$12,'Tax Assumptions'!$R$9:$R$12))</f>
        <v>44167533.050219946</v>
      </c>
      <c r="Q57" s="218">
        <f t="shared" si="17"/>
        <v>37906635.815426774</v>
      </c>
      <c r="R57" s="218">
        <f>IF(D57&lt;=10,INDEX('Savings Projection'!$BL$19:$BL$28,D57),LOOKUP(2,1/('Savings Projection'!$BL$19:$BL$28&lt;&gt;""),'Savings Projection'!$BL$19:$BL$28))*(1+'Model Inputs'!$B$35)^(D57-1)+IF(D57&lt;=10,INDEX('Savings Projection'!$BM$19:$BM$28,D57),LOOKUP(2,1/('Savings Projection'!$BM$19:$BM$28&lt;&gt;""),'Savings Projection'!$BM$19:$BM$28))*(1+'Model Inputs'!$B$36)^(D57-1)</f>
        <v>241838.2943222344</v>
      </c>
      <c r="S57" s="218">
        <f t="shared" si="18"/>
        <v>37664797.521104537</v>
      </c>
      <c r="T57" s="218">
        <f>MIN(MAX(S57,0),'Tax Assumptions'!$B$20)</f>
        <v>7500</v>
      </c>
      <c r="U57" s="218">
        <f t="shared" si="19"/>
        <v>37657297.521104537</v>
      </c>
      <c r="V57" s="218">
        <f>MAX(V56*(1+'Model Inputs'!$B$13)+U57,0)</f>
        <v>231212830.3401475</v>
      </c>
      <c r="W57" s="218">
        <f>MAX(W56*(1+'Model Inputs'!$B$13)+M57+T57,0)</f>
        <v>1388553.2888417889</v>
      </c>
      <c r="X57" s="218">
        <f t="shared" si="20"/>
        <v>232601383.62898928</v>
      </c>
      <c r="Y57" s="226" t="str">
        <f t="shared" si="21"/>
        <v/>
      </c>
      <c r="Z57" s="226" t="str">
        <f t="shared" si="22"/>
        <v/>
      </c>
      <c r="AA57" s="226" t="str">
        <f t="shared" si="23"/>
        <v/>
      </c>
      <c r="AB57" s="226" t="str">
        <f t="shared" si="24"/>
        <v/>
      </c>
    </row>
    <row r="58" spans="1:28" x14ac:dyDescent="0.2">
      <c r="A58" s="214" t="str">
        <f t="shared" si="11"/>
        <v>3Y 2x</v>
      </c>
      <c r="B58" s="214">
        <f t="shared" si="12"/>
        <v>3</v>
      </c>
      <c r="C58" s="223">
        <f t="shared" si="13"/>
        <v>2</v>
      </c>
      <c r="D58" s="214">
        <v>23</v>
      </c>
      <c r="E58" s="214">
        <f t="shared" si="14"/>
        <v>2048</v>
      </c>
      <c r="F58" s="218">
        <f>IF(D58=1,'Model Inputs'!$B$25*(13-'Model Inputs'!$B$23)/12,'Model Inputs'!$B$25)</f>
        <v>300000</v>
      </c>
      <c r="G58" s="218">
        <f>IF(D58=1,'Model Inputs'!$B$27*(13-'Model Inputs'!$B$23)/12,IF(D58=2,'Model Inputs'!$B$27,IF(D58&lt;=MAX(3,'Model Inputs'!$B$30+1),'Model Inputs'!$B$27*(1+'Model Inputs'!$B$28)^(D58-3),'Model Inputs'!$B$27*(1+'Model Inputs'!$B$28)^(MAX(3,'Model Inputs'!$B$30+1)-3)*(1+'Model Inputs'!$B$29)^(D58-MAX(3,'Model Inputs'!$B$30+1)))))</f>
        <v>71054181.617940187</v>
      </c>
      <c r="H58" s="224">
        <f>IF(D58&lt;=2,0,'Model Inputs'!$B$32*SIN(2*PI()*(D58-3+'Model Inputs'!$B$34)/MAX(1,'Model Inputs'!$B$33)))</f>
        <v>-0.10392304845413268</v>
      </c>
      <c r="I58" s="218">
        <f t="shared" si="15"/>
        <v>63670014.458790243</v>
      </c>
      <c r="J58" s="218">
        <f t="shared" si="25"/>
        <v>57288095.855167374</v>
      </c>
      <c r="K58" s="218">
        <f>F58+J58+IF(D58=1,'Model Inputs'!$B$26,0)</f>
        <v>57588095.855167374</v>
      </c>
      <c r="L58" s="218">
        <f t="shared" si="16"/>
        <v>115176191.71033475</v>
      </c>
      <c r="M58" s="218">
        <f>MIN(L58,'Tax Assumptions'!$B$19)</f>
        <v>24500</v>
      </c>
      <c r="N58" s="218">
        <f>MAX(L58-M58-'Tax Assumptions'!$B$8,0)</f>
        <v>115135591.71033475</v>
      </c>
      <c r="O58" s="218">
        <f>MAX(L58-M58-'Tax Assumptions'!$B$9,0)</f>
        <v>115143691.71033475</v>
      </c>
      <c r="P58" s="218">
        <f>IF(N58=0,0,LOOKUP(N58,'Tax Assumptions'!$F$9:$F$15,'Tax Assumptions'!$I$9:$I$15)+(N58-LOOKUP(N58,'Tax Assumptions'!$F$9:$F$15,'Tax Assumptions'!$F$9:$F$15))*LOOKUP(N58,'Tax Assumptions'!$F$9:$F$15,'Tax Assumptions'!$H$9:$H$15))+MIN(MAX(L58,0),'Tax Assumptions'!$B$11)*'Tax Assumptions'!$B$10+MAX(L58,0)*'Tax Assumptions'!$B$12+MAX(MAX(L58,0)-'Tax Assumptions'!$B$14,0)*'Tax Assumptions'!$B$13+MIN(L58*'Tax Assumptions'!$B$15,'Tax Assumptions'!$B$16)+MIN(L58*'Tax Assumptions'!$B$17,'Tax Assumptions'!$B$18)+IF(O58=0,0,LOOKUP(O58,'Tax Assumptions'!$K$9:$K$17,'Tax Assumptions'!$N$9:$N$17)+(O58-LOOKUP(O58,'Tax Assumptions'!$K$9:$K$17,'Tax Assumptions'!$K$9:$K$17))*LOOKUP(O58,'Tax Assumptions'!$K$9:$K$17,'Tax Assumptions'!$M$9:$M$17))+IF(O58=0,0,LOOKUP(O58,'Tax Assumptions'!$P$9:$P$12,'Tax Assumptions'!$S$9:$S$12)+(O58-LOOKUP(O58,'Tax Assumptions'!$P$9:$P$12,'Tax Assumptions'!$P$9:$P$12))*LOOKUP(O58,'Tax Assumptions'!$P$9:$P$12,'Tax Assumptions'!$R$9:$R$12))</f>
        <v>62071073.065135792</v>
      </c>
      <c r="Q58" s="218">
        <f t="shared" si="17"/>
        <v>53080618.645198956</v>
      </c>
      <c r="R58" s="218">
        <f>IF(D58&lt;=10,INDEX('Savings Projection'!$BL$19:$BL$28,D58),LOOKUP(2,1/('Savings Projection'!$BL$19:$BL$28&lt;&gt;""),'Savings Projection'!$BL$19:$BL$28))*(1+'Model Inputs'!$B$35)^(D58-1)+IF(D58&lt;=10,INDEX('Savings Projection'!$BM$19:$BM$28,D58),LOOKUP(2,1/('Savings Projection'!$BM$19:$BM$28&lt;&gt;""),'Savings Projection'!$BM$19:$BM$28))*(1+'Model Inputs'!$B$36)^(D58-1)</f>
        <v>249093.44315190148</v>
      </c>
      <c r="S58" s="218">
        <f t="shared" si="18"/>
        <v>52831525.202047057</v>
      </c>
      <c r="T58" s="218">
        <f>MIN(MAX(S58,0),'Tax Assumptions'!$B$20)</f>
        <v>7500</v>
      </c>
      <c r="U58" s="218">
        <f t="shared" si="19"/>
        <v>52824025.202047057</v>
      </c>
      <c r="V58" s="218">
        <f>MAX(V57*(1+'Model Inputs'!$B$13)+U58,0)</f>
        <v>297909625.36260343</v>
      </c>
      <c r="W58" s="218">
        <f>MAX(W57*(1+'Model Inputs'!$B$13)+M58+T58,0)</f>
        <v>1503866.4861722963</v>
      </c>
      <c r="X58" s="218">
        <f t="shared" si="20"/>
        <v>299413491.84877574</v>
      </c>
      <c r="Y58" s="226" t="str">
        <f t="shared" si="21"/>
        <v/>
      </c>
      <c r="Z58" s="226" t="str">
        <f t="shared" si="22"/>
        <v/>
      </c>
      <c r="AA58" s="226" t="str">
        <f t="shared" si="23"/>
        <v/>
      </c>
      <c r="AB58" s="226" t="str">
        <f t="shared" si="24"/>
        <v/>
      </c>
    </row>
    <row r="59" spans="1:28" x14ac:dyDescent="0.2">
      <c r="A59" s="214" t="str">
        <f t="shared" si="11"/>
        <v>3Y 2x</v>
      </c>
      <c r="B59" s="214">
        <f t="shared" si="12"/>
        <v>3</v>
      </c>
      <c r="C59" s="223">
        <f t="shared" si="13"/>
        <v>2</v>
      </c>
      <c r="D59" s="214">
        <v>24</v>
      </c>
      <c r="E59" s="214">
        <f t="shared" si="14"/>
        <v>2049</v>
      </c>
      <c r="F59" s="218">
        <f>IF(D59=1,'Model Inputs'!$B$25*(13-'Model Inputs'!$B$23)/12,'Model Inputs'!$B$25)</f>
        <v>300000</v>
      </c>
      <c r="G59" s="218">
        <f>IF(D59=1,'Model Inputs'!$B$27*(13-'Model Inputs'!$B$23)/12,IF(D59=2,'Model Inputs'!$B$27,IF(D59&lt;=MAX(3,'Model Inputs'!$B$30+1),'Model Inputs'!$B$27*(1+'Model Inputs'!$B$28)^(D59-3),'Model Inputs'!$B$27*(1+'Model Inputs'!$B$28)^(MAX(3,'Model Inputs'!$B$30+1)-3)*(1+'Model Inputs'!$B$29)^(D59-MAX(3,'Model Inputs'!$B$30+1)))))</f>
        <v>90301156.084270701</v>
      </c>
      <c r="H59" s="224">
        <f>IF(D59&lt;=2,0,'Model Inputs'!$B$32*SIN(2*PI()*(D59-3+'Model Inputs'!$B$34)/MAX(1,'Model Inputs'!$B$33)))</f>
        <v>-2.0574066225675533E-16</v>
      </c>
      <c r="I59" s="218">
        <f t="shared" si="15"/>
        <v>90301156.084270686</v>
      </c>
      <c r="J59" s="218">
        <f t="shared" si="25"/>
        <v>63182470.219744325</v>
      </c>
      <c r="K59" s="218">
        <f>F59+J59+IF(D59=1,'Model Inputs'!$B$26,0)</f>
        <v>63482470.219744325</v>
      </c>
      <c r="L59" s="218">
        <f t="shared" si="16"/>
        <v>126964940.43948865</v>
      </c>
      <c r="M59" s="218">
        <f>MIN(L59,'Tax Assumptions'!$B$19)</f>
        <v>24500</v>
      </c>
      <c r="N59" s="218">
        <f>MAX(L59-M59-'Tax Assumptions'!$B$8,0)</f>
        <v>126924340.43948865</v>
      </c>
      <c r="O59" s="218">
        <f>MAX(L59-M59-'Tax Assumptions'!$B$9,0)</f>
        <v>126932440.43948865</v>
      </c>
      <c r="P59" s="218">
        <f>IF(N59=0,0,LOOKUP(N59,'Tax Assumptions'!$F$9:$F$15,'Tax Assumptions'!$I$9:$I$15)+(N59-LOOKUP(N59,'Tax Assumptions'!$F$9:$F$15,'Tax Assumptions'!$F$9:$F$15))*LOOKUP(N59,'Tax Assumptions'!$F$9:$F$15,'Tax Assumptions'!$H$9:$H$15))+MIN(MAX(L59,0),'Tax Assumptions'!$B$11)*'Tax Assumptions'!$B$10+MAX(L59,0)*'Tax Assumptions'!$B$12+MAX(MAX(L59,0)-'Tax Assumptions'!$B$14,0)*'Tax Assumptions'!$B$13+MIN(L59*'Tax Assumptions'!$B$15,'Tax Assumptions'!$B$16)+MIN(L59*'Tax Assumptions'!$B$17,'Tax Assumptions'!$B$18)+IF(O59=0,0,LOOKUP(O59,'Tax Assumptions'!$K$9:$K$17,'Tax Assumptions'!$N$9:$N$17)+(O59-LOOKUP(O59,'Tax Assumptions'!$K$9:$K$17,'Tax Assumptions'!$K$9:$K$17))*LOOKUP(O59,'Tax Assumptions'!$K$9:$K$17,'Tax Assumptions'!$M$9:$M$17))+IF(O59=0,0,LOOKUP(O59,'Tax Assumptions'!$P$9:$P$12,'Tax Assumptions'!$S$9:$S$12)+(O59-LOOKUP(O59,'Tax Assumptions'!$P$9:$P$12,'Tax Assumptions'!$P$9:$P$12))*LOOKUP(O59,'Tax Assumptions'!$P$9:$P$12,'Tax Assumptions'!$R$9:$R$12))</f>
        <v>68451851.202277616</v>
      </c>
      <c r="Q59" s="218">
        <f t="shared" si="17"/>
        <v>58488589.237211034</v>
      </c>
      <c r="R59" s="218">
        <f>IF(D59&lt;=10,INDEX('Savings Projection'!$BL$19:$BL$28,D59),LOOKUP(2,1/('Savings Projection'!$BL$19:$BL$28&lt;&gt;""),'Savings Projection'!$BL$19:$BL$28))*(1+'Model Inputs'!$B$35)^(D59-1)+IF(D59&lt;=10,INDEX('Savings Projection'!$BM$19:$BM$28,D59),LOOKUP(2,1/('Savings Projection'!$BM$19:$BM$28&lt;&gt;""),'Savings Projection'!$BM$19:$BM$28))*(1+'Model Inputs'!$B$36)^(D59-1)</f>
        <v>256566.24644645851</v>
      </c>
      <c r="S59" s="218">
        <f t="shared" si="18"/>
        <v>58232022.990764573</v>
      </c>
      <c r="T59" s="218">
        <f>MIN(MAX(S59,0),'Tax Assumptions'!$B$20)</f>
        <v>7500</v>
      </c>
      <c r="U59" s="218">
        <f t="shared" si="19"/>
        <v>58224522.990764573</v>
      </c>
      <c r="V59" s="218">
        <f>MAX(V58*(1+'Model Inputs'!$B$13)+U59,0)</f>
        <v>374008725.87512422</v>
      </c>
      <c r="W59" s="218">
        <f>MAX(W58*(1+'Model Inputs'!$B$13)+M59+T59,0)</f>
        <v>1626098.4753426341</v>
      </c>
      <c r="X59" s="218">
        <f t="shared" si="20"/>
        <v>375634824.35046685</v>
      </c>
      <c r="Y59" s="226" t="str">
        <f t="shared" si="21"/>
        <v/>
      </c>
      <c r="Z59" s="226" t="str">
        <f t="shared" si="22"/>
        <v/>
      </c>
      <c r="AA59" s="226" t="str">
        <f t="shared" si="23"/>
        <v/>
      </c>
      <c r="AB59" s="226" t="str">
        <f t="shared" si="24"/>
        <v/>
      </c>
    </row>
    <row r="60" spans="1:28" x14ac:dyDescent="0.2">
      <c r="A60" s="214" t="str">
        <f t="shared" si="11"/>
        <v>3Y 2x</v>
      </c>
      <c r="B60" s="214">
        <f t="shared" si="12"/>
        <v>3</v>
      </c>
      <c r="C60" s="223">
        <f t="shared" si="13"/>
        <v>2</v>
      </c>
      <c r="D60" s="214">
        <v>25</v>
      </c>
      <c r="E60" s="214">
        <f t="shared" si="14"/>
        <v>2050</v>
      </c>
      <c r="F60" s="218">
        <f>IF(D60=1,'Model Inputs'!$B$25*(13-'Model Inputs'!$B$23)/12,'Model Inputs'!$B$25)</f>
        <v>300000</v>
      </c>
      <c r="G60" s="218">
        <f>IF(D60=1,'Model Inputs'!$B$27*(13-'Model Inputs'!$B$23)/12,IF(D60=2,'Model Inputs'!$B$27,IF(D60&lt;=MAX(3,'Model Inputs'!$B$30+1),'Model Inputs'!$B$27*(1+'Model Inputs'!$B$28)^(D60-3),'Model Inputs'!$B$27*(1+'Model Inputs'!$B$28)^(MAX(3,'Model Inputs'!$B$30+1)-3)*(1+'Model Inputs'!$B$29)^(D60-MAX(3,'Model Inputs'!$B$30+1)))))</f>
        <v>114761701.62653697</v>
      </c>
      <c r="H60" s="224">
        <f>IF(D60&lt;=2,0,'Model Inputs'!$B$32*SIN(2*PI()*(D60-3+'Model Inputs'!$B$34)/MAX(1,'Model Inputs'!$B$33)))</f>
        <v>0.10392304845413287</v>
      </c>
      <c r="I60" s="218">
        <f t="shared" si="15"/>
        <v>126688087.50535031</v>
      </c>
      <c r="J60" s="218">
        <f t="shared" si="25"/>
        <v>83643370.677900568</v>
      </c>
      <c r="K60" s="218">
        <f>F60+J60+IF(D60=1,'Model Inputs'!$B$26,0)</f>
        <v>83943370.677900568</v>
      </c>
      <c r="L60" s="218">
        <f t="shared" si="16"/>
        <v>167886741.35580114</v>
      </c>
      <c r="M60" s="218">
        <f>MIN(L60,'Tax Assumptions'!$B$19)</f>
        <v>24500</v>
      </c>
      <c r="N60" s="218">
        <f>MAX(L60-M60-'Tax Assumptions'!$B$8,0)</f>
        <v>167846141.35580114</v>
      </c>
      <c r="O60" s="218">
        <f>MAX(L60-M60-'Tax Assumptions'!$B$9,0)</f>
        <v>167854241.35580114</v>
      </c>
      <c r="P60" s="218">
        <f>IF(N60=0,0,LOOKUP(N60,'Tax Assumptions'!$F$9:$F$15,'Tax Assumptions'!$I$9:$I$15)+(N60-LOOKUP(N60,'Tax Assumptions'!$F$9:$F$15,'Tax Assumptions'!$F$9:$F$15))*LOOKUP(N60,'Tax Assumptions'!$F$9:$F$15,'Tax Assumptions'!$H$9:$H$15))+MIN(MAX(L60,0),'Tax Assumptions'!$B$11)*'Tax Assumptions'!$B$10+MAX(L60,0)*'Tax Assumptions'!$B$12+MAX(MAX(L60,0)-'Tax Assumptions'!$B$14,0)*'Tax Assumptions'!$B$13+MIN(L60*'Tax Assumptions'!$B$15,'Tax Assumptions'!$B$16)+MIN(L60*'Tax Assumptions'!$B$17,'Tax Assumptions'!$B$18)+IF(O60=0,0,LOOKUP(O60,'Tax Assumptions'!$K$9:$K$17,'Tax Assumptions'!$N$9:$N$17)+(O60-LOOKUP(O60,'Tax Assumptions'!$K$9:$K$17,'Tax Assumptions'!$K$9:$K$17))*LOOKUP(O60,'Tax Assumptions'!$K$9:$K$17,'Tax Assumptions'!$M$9:$M$17))+IF(O60=0,0,LOOKUP(O60,'Tax Assumptions'!$P$9:$P$12,'Tax Assumptions'!$S$9:$S$12)+(O60-LOOKUP(O60,'Tax Assumptions'!$P$9:$P$12,'Tax Assumptions'!$P$9:$P$12))*LOOKUP(O60,'Tax Assumptions'!$P$9:$P$12,'Tax Assumptions'!$R$9:$R$12))</f>
        <v>90601185.166240916</v>
      </c>
      <c r="Q60" s="218">
        <f t="shared" si="17"/>
        <v>77261056.18956022</v>
      </c>
      <c r="R60" s="218">
        <f>IF(D60&lt;=10,INDEX('Savings Projection'!$BL$19:$BL$28,D60),LOOKUP(2,1/('Savings Projection'!$BL$19:$BL$28&lt;&gt;""),'Savings Projection'!$BL$19:$BL$28))*(1+'Model Inputs'!$B$35)^(D60-1)+IF(D60&lt;=10,INDEX('Savings Projection'!$BM$19:$BM$28,D60),LOOKUP(2,1/('Savings Projection'!$BM$19:$BM$28&lt;&gt;""),'Savings Projection'!$BM$19:$BM$28))*(1+'Model Inputs'!$B$36)^(D60-1)</f>
        <v>264263.23383985227</v>
      </c>
      <c r="S60" s="218">
        <f t="shared" si="18"/>
        <v>76996792.955720365</v>
      </c>
      <c r="T60" s="218">
        <f>MIN(MAX(S60,0),'Tax Assumptions'!$B$20)</f>
        <v>7500</v>
      </c>
      <c r="U60" s="218">
        <f t="shared" si="19"/>
        <v>76989292.955720365</v>
      </c>
      <c r="V60" s="218">
        <f>MAX(V59*(1+'Model Inputs'!$B$13)+U60,0)</f>
        <v>473438542.38335204</v>
      </c>
      <c r="W60" s="218">
        <f>MAX(W59*(1+'Model Inputs'!$B$13)+M60+T60,0)</f>
        <v>1755664.3838631923</v>
      </c>
      <c r="X60" s="218">
        <f t="shared" si="20"/>
        <v>475194206.76721525</v>
      </c>
      <c r="Y60" s="226" t="str">
        <f t="shared" si="21"/>
        <v/>
      </c>
      <c r="Z60" s="226" t="str">
        <f t="shared" si="22"/>
        <v/>
      </c>
      <c r="AA60" s="226" t="str">
        <f t="shared" si="23"/>
        <v/>
      </c>
      <c r="AB60" s="226" t="str">
        <f t="shared" si="24"/>
        <v/>
      </c>
    </row>
    <row r="61" spans="1:28" x14ac:dyDescent="0.2">
      <c r="A61" s="214" t="str">
        <f t="shared" si="11"/>
        <v>3Y 2x</v>
      </c>
      <c r="B61" s="214">
        <f t="shared" si="12"/>
        <v>3</v>
      </c>
      <c r="C61" s="223">
        <f t="shared" si="13"/>
        <v>2</v>
      </c>
      <c r="D61" s="214">
        <v>26</v>
      </c>
      <c r="E61" s="214">
        <f t="shared" si="14"/>
        <v>2051</v>
      </c>
      <c r="F61" s="218">
        <f>IF(D61=1,'Model Inputs'!$B$25*(13-'Model Inputs'!$B$23)/12,'Model Inputs'!$B$25)</f>
        <v>300000</v>
      </c>
      <c r="G61" s="218">
        <f>IF(D61=1,'Model Inputs'!$B$27*(13-'Model Inputs'!$B$23)/12,IF(D61=2,'Model Inputs'!$B$27,IF(D61&lt;=MAX(3,'Model Inputs'!$B$30+1),'Model Inputs'!$B$27*(1+'Model Inputs'!$B$28)^(D61-3),'Model Inputs'!$B$27*(1+'Model Inputs'!$B$28)^(MAX(3,'Model Inputs'!$B$30+1)-3)*(1+'Model Inputs'!$B$29)^(D61-MAX(3,'Model Inputs'!$B$30+1)))))</f>
        <v>145848057.00524563</v>
      </c>
      <c r="H61" s="224">
        <f>IF(D61&lt;=2,0,'Model Inputs'!$B$32*SIN(2*PI()*(D61-3+'Model Inputs'!$B$34)/MAX(1,'Model Inputs'!$B$33)))</f>
        <v>-0.10392304845413224</v>
      </c>
      <c r="I61" s="218">
        <f t="shared" si="15"/>
        <v>130691082.31014845</v>
      </c>
      <c r="J61" s="218">
        <f t="shared" si="25"/>
        <v>117591354.65008041</v>
      </c>
      <c r="K61" s="218">
        <f>F61+J61+IF(D61=1,'Model Inputs'!$B$26,0)</f>
        <v>117891354.65008041</v>
      </c>
      <c r="L61" s="218">
        <f t="shared" si="16"/>
        <v>235782709.30016083</v>
      </c>
      <c r="M61" s="218">
        <f>MIN(L61,'Tax Assumptions'!$B$19)</f>
        <v>24500</v>
      </c>
      <c r="N61" s="218">
        <f>MAX(L61-M61-'Tax Assumptions'!$B$8,0)</f>
        <v>235742109.30016083</v>
      </c>
      <c r="O61" s="218">
        <f>MAX(L61-M61-'Tax Assumptions'!$B$9,0)</f>
        <v>235750209.30016083</v>
      </c>
      <c r="P61" s="218">
        <f>IF(N61=0,0,LOOKUP(N61,'Tax Assumptions'!$F$9:$F$15,'Tax Assumptions'!$I$9:$I$15)+(N61-LOOKUP(N61,'Tax Assumptions'!$F$9:$F$15,'Tax Assumptions'!$F$9:$F$15))*LOOKUP(N61,'Tax Assumptions'!$F$9:$F$15,'Tax Assumptions'!$H$9:$H$15))+MIN(MAX(L61,0),'Tax Assumptions'!$B$11)*'Tax Assumptions'!$B$10+MAX(L61,0)*'Tax Assumptions'!$B$12+MAX(MAX(L61,0)-'Tax Assumptions'!$B$14,0)*'Tax Assumptions'!$B$13+MIN(L61*'Tax Assumptions'!$B$15,'Tax Assumptions'!$B$16)+MIN(L61*'Tax Assumptions'!$B$17,'Tax Assumptions'!$B$18)+IF(O61=0,0,LOOKUP(O61,'Tax Assumptions'!$K$9:$K$17,'Tax Assumptions'!$N$9:$N$17)+(O61-LOOKUP(O61,'Tax Assumptions'!$K$9:$K$17,'Tax Assumptions'!$K$9:$K$17))*LOOKUP(O61,'Tax Assumptions'!$K$9:$K$17,'Tax Assumptions'!$M$9:$M$17))+IF(O61=0,0,LOOKUP(O61,'Tax Assumptions'!$P$9:$P$12,'Tax Assumptions'!$S$9:$S$12)+(O61-LOOKUP(O61,'Tax Assumptions'!$P$9:$P$12,'Tax Assumptions'!$P$9:$P$12))*LOOKUP(O61,'Tax Assumptions'!$P$9:$P$12,'Tax Assumptions'!$R$9:$R$12))</f>
        <v>127350556.77580504</v>
      </c>
      <c r="Q61" s="218">
        <f t="shared" si="17"/>
        <v>108407652.52435578</v>
      </c>
      <c r="R61" s="218">
        <f>IF(D61&lt;=10,INDEX('Savings Projection'!$BL$19:$BL$28,D61),LOOKUP(2,1/('Savings Projection'!$BL$19:$BL$28&lt;&gt;""),'Savings Projection'!$BL$19:$BL$28))*(1+'Model Inputs'!$B$35)^(D61-1)+IF(D61&lt;=10,INDEX('Savings Projection'!$BM$19:$BM$28,D61),LOOKUP(2,1/('Savings Projection'!$BM$19:$BM$28&lt;&gt;""),'Savings Projection'!$BM$19:$BM$28))*(1+'Model Inputs'!$B$36)^(D61-1)</f>
        <v>272191.13085504784</v>
      </c>
      <c r="S61" s="218">
        <f t="shared" si="18"/>
        <v>108135461.39350073</v>
      </c>
      <c r="T61" s="218">
        <f>MIN(MAX(S61,0),'Tax Assumptions'!$B$20)</f>
        <v>7500</v>
      </c>
      <c r="U61" s="218">
        <f t="shared" si="19"/>
        <v>108127961.39350073</v>
      </c>
      <c r="V61" s="218">
        <f>MAX(V60*(1+'Model Inputs'!$B$13)+U61,0)</f>
        <v>609972816.3198539</v>
      </c>
      <c r="W61" s="218">
        <f>MAX(W60*(1+'Model Inputs'!$B$13)+M61+T61,0)</f>
        <v>1893004.2468949838</v>
      </c>
      <c r="X61" s="218">
        <f t="shared" si="20"/>
        <v>611865820.56674886</v>
      </c>
      <c r="Y61" s="226" t="str">
        <f t="shared" si="21"/>
        <v/>
      </c>
      <c r="Z61" s="226" t="str">
        <f t="shared" si="22"/>
        <v/>
      </c>
      <c r="AA61" s="226" t="str">
        <f t="shared" si="23"/>
        <v/>
      </c>
      <c r="AB61" s="226" t="str">
        <f t="shared" si="24"/>
        <v/>
      </c>
    </row>
    <row r="62" spans="1:28" x14ac:dyDescent="0.2">
      <c r="A62" s="214" t="str">
        <f t="shared" si="11"/>
        <v>3Y 2x</v>
      </c>
      <c r="B62" s="214">
        <f t="shared" si="12"/>
        <v>3</v>
      </c>
      <c r="C62" s="223">
        <f t="shared" si="13"/>
        <v>2</v>
      </c>
      <c r="D62" s="214">
        <v>27</v>
      </c>
      <c r="E62" s="214">
        <f t="shared" si="14"/>
        <v>2052</v>
      </c>
      <c r="F62" s="218">
        <f>IF(D62=1,'Model Inputs'!$B$25*(13-'Model Inputs'!$B$23)/12,'Model Inputs'!$B$25)</f>
        <v>300000</v>
      </c>
      <c r="G62" s="218">
        <f>IF(D62=1,'Model Inputs'!$B$27*(13-'Model Inputs'!$B$23)/12,IF(D62=2,'Model Inputs'!$B$27,IF(D62&lt;=MAX(3,'Model Inputs'!$B$30+1),'Model Inputs'!$B$27*(1+'Model Inputs'!$B$28)^(D62-3),'Model Inputs'!$B$27*(1+'Model Inputs'!$B$28)^(MAX(3,'Model Inputs'!$B$30+1)-3)*(1+'Model Inputs'!$B$29)^(D62-MAX(3,'Model Inputs'!$B$30+1)))))</f>
        <v>185355004.59402937</v>
      </c>
      <c r="H62" s="224">
        <f>IF(D62&lt;=2,0,'Model Inputs'!$B$32*SIN(2*PI()*(D62-3+'Model Inputs'!$B$34)/MAX(1,'Model Inputs'!$B$33)))</f>
        <v>-2.3513218543629179E-16</v>
      </c>
      <c r="I62" s="218">
        <f t="shared" si="15"/>
        <v>185355004.59402934</v>
      </c>
      <c r="J62" s="218">
        <f t="shared" si="25"/>
        <v>129690333.6089489</v>
      </c>
      <c r="K62" s="218">
        <f>F62+J62+IF(D62=1,'Model Inputs'!$B$26,0)</f>
        <v>129990333.6089489</v>
      </c>
      <c r="L62" s="218">
        <f t="shared" si="16"/>
        <v>259980667.2178978</v>
      </c>
      <c r="M62" s="218">
        <f>MIN(L62,'Tax Assumptions'!$B$19)</f>
        <v>24500</v>
      </c>
      <c r="N62" s="218">
        <f>MAX(L62-M62-'Tax Assumptions'!$B$8,0)</f>
        <v>259940067.2178978</v>
      </c>
      <c r="O62" s="218">
        <f>MAX(L62-M62-'Tax Assumptions'!$B$9,0)</f>
        <v>259948167.2178978</v>
      </c>
      <c r="P62" s="218">
        <f>IF(N62=0,0,LOOKUP(N62,'Tax Assumptions'!$F$9:$F$15,'Tax Assumptions'!$I$9:$I$15)+(N62-LOOKUP(N62,'Tax Assumptions'!$F$9:$F$15,'Tax Assumptions'!$F$9:$F$15))*LOOKUP(N62,'Tax Assumptions'!$F$9:$F$15,'Tax Assumptions'!$H$9:$H$15))+MIN(MAX(L62,0),'Tax Assumptions'!$B$11)*'Tax Assumptions'!$B$10+MAX(L62,0)*'Tax Assumptions'!$B$12+MAX(MAX(L62,0)-'Tax Assumptions'!$B$14,0)*'Tax Assumptions'!$B$13+MIN(L62*'Tax Assumptions'!$B$15,'Tax Assumptions'!$B$16)+MIN(L62*'Tax Assumptions'!$B$17,'Tax Assumptions'!$B$18)+IF(O62=0,0,LOOKUP(O62,'Tax Assumptions'!$K$9:$K$17,'Tax Assumptions'!$N$9:$N$17)+(O62-LOOKUP(O62,'Tax Assumptions'!$K$9:$K$17,'Tax Assumptions'!$K$9:$K$17))*LOOKUP(O62,'Tax Assumptions'!$K$9:$K$17,'Tax Assumptions'!$M$9:$M$17))+IF(O62=0,0,LOOKUP(O62,'Tax Assumptions'!$P$9:$P$12,'Tax Assumptions'!$S$9:$S$12)+(O62-LOOKUP(O62,'Tax Assumptions'!$P$9:$P$12,'Tax Assumptions'!$P$9:$P$12))*LOOKUP(O62,'Tax Assumptions'!$P$9:$P$12,'Tax Assumptions'!$R$9:$R$12))</f>
        <v>140447943.47835937</v>
      </c>
      <c r="Q62" s="218">
        <f t="shared" si="17"/>
        <v>119508223.73953843</v>
      </c>
      <c r="R62" s="218">
        <f>IF(D62&lt;=10,INDEX('Savings Projection'!$BL$19:$BL$28,D62),LOOKUP(2,1/('Savings Projection'!$BL$19:$BL$28&lt;&gt;""),'Savings Projection'!$BL$19:$BL$28))*(1+'Model Inputs'!$B$35)^(D62-1)+IF(D62&lt;=10,INDEX('Savings Projection'!$BM$19:$BM$28,D62),LOOKUP(2,1/('Savings Projection'!$BM$19:$BM$28&lt;&gt;""),'Savings Projection'!$BM$19:$BM$28))*(1+'Model Inputs'!$B$36)^(D62-1)</f>
        <v>280356.86478069925</v>
      </c>
      <c r="S62" s="218">
        <f t="shared" si="18"/>
        <v>119227866.87475774</v>
      </c>
      <c r="T62" s="218">
        <f>MIN(MAX(S62,0),'Tax Assumptions'!$B$20)</f>
        <v>7500</v>
      </c>
      <c r="U62" s="218">
        <f t="shared" si="19"/>
        <v>119220366.87475774</v>
      </c>
      <c r="V62" s="218">
        <f>MAX(V61*(1+'Model Inputs'!$B$13)+U62,0)</f>
        <v>765791552.17380297</v>
      </c>
      <c r="W62" s="218">
        <f>MAX(W61*(1+'Model Inputs'!$B$13)+M62+T62,0)</f>
        <v>2038584.5017086829</v>
      </c>
      <c r="X62" s="218">
        <f t="shared" si="20"/>
        <v>767830136.6755116</v>
      </c>
      <c r="Y62" s="226" t="str">
        <f t="shared" si="21"/>
        <v/>
      </c>
      <c r="Z62" s="226" t="str">
        <f t="shared" si="22"/>
        <v/>
      </c>
      <c r="AA62" s="226" t="str">
        <f t="shared" si="23"/>
        <v/>
      </c>
      <c r="AB62" s="226" t="str">
        <f t="shared" si="24"/>
        <v/>
      </c>
    </row>
    <row r="63" spans="1:28" x14ac:dyDescent="0.2">
      <c r="A63" s="214" t="str">
        <f t="shared" si="11"/>
        <v>3Y 2x</v>
      </c>
      <c r="B63" s="214">
        <f t="shared" si="12"/>
        <v>3</v>
      </c>
      <c r="C63" s="223">
        <f t="shared" si="13"/>
        <v>2</v>
      </c>
      <c r="D63" s="214">
        <v>28</v>
      </c>
      <c r="E63" s="214">
        <f t="shared" si="14"/>
        <v>2053</v>
      </c>
      <c r="F63" s="218">
        <f>IF(D63=1,'Model Inputs'!$B$25*(13-'Model Inputs'!$B$23)/12,'Model Inputs'!$B$25)</f>
        <v>300000</v>
      </c>
      <c r="G63" s="218">
        <f>IF(D63=1,'Model Inputs'!$B$27*(13-'Model Inputs'!$B$23)/12,IF(D63=2,'Model Inputs'!$B$27,IF(D63&lt;=MAX(3,'Model Inputs'!$B$30+1),'Model Inputs'!$B$27*(1+'Model Inputs'!$B$28)^(D63-3),'Model Inputs'!$B$27*(1+'Model Inputs'!$B$28)^(MAX(3,'Model Inputs'!$B$30+1)-3)*(1+'Model Inputs'!$B$29)^(D63-MAX(3,'Model Inputs'!$B$30+1)))))</f>
        <v>235563492.81236541</v>
      </c>
      <c r="H63" s="224">
        <f>IF(D63&lt;=2,0,'Model Inputs'!$B$32*SIN(2*PI()*(D63-3+'Model Inputs'!$B$34)/MAX(1,'Model Inputs'!$B$33)))</f>
        <v>0.10392304845413247</v>
      </c>
      <c r="I63" s="218">
        <f t="shared" si="15"/>
        <v>260043969.08992955</v>
      </c>
      <c r="J63" s="218">
        <f t="shared" si="25"/>
        <v>171689024.02305913</v>
      </c>
      <c r="K63" s="218">
        <f>F63+J63+IF(D63=1,'Model Inputs'!$B$26,0)</f>
        <v>171989024.02305913</v>
      </c>
      <c r="L63" s="218">
        <f t="shared" si="16"/>
        <v>343978048.04611826</v>
      </c>
      <c r="M63" s="218">
        <f>MIN(L63,'Tax Assumptions'!$B$19)</f>
        <v>24500</v>
      </c>
      <c r="N63" s="218">
        <f>MAX(L63-M63-'Tax Assumptions'!$B$8,0)</f>
        <v>343937448.04611826</v>
      </c>
      <c r="O63" s="218">
        <f>MAX(L63-M63-'Tax Assumptions'!$B$9,0)</f>
        <v>343945548.04611826</v>
      </c>
      <c r="P63" s="218">
        <f>IF(N63=0,0,LOOKUP(N63,'Tax Assumptions'!$F$9:$F$15,'Tax Assumptions'!$I$9:$I$15)+(N63-LOOKUP(N63,'Tax Assumptions'!$F$9:$F$15,'Tax Assumptions'!$F$9:$F$15))*LOOKUP(N63,'Tax Assumptions'!$F$9:$F$15,'Tax Assumptions'!$H$9:$H$15))+MIN(MAX(L63,0),'Tax Assumptions'!$B$11)*'Tax Assumptions'!$B$10+MAX(L63,0)*'Tax Assumptions'!$B$12+MAX(MAX(L63,0)-'Tax Assumptions'!$B$14,0)*'Tax Assumptions'!$B$13+MIN(L63*'Tax Assumptions'!$B$15,'Tax Assumptions'!$B$16)+MIN(L63*'Tax Assumptions'!$B$17,'Tax Assumptions'!$B$18)+IF(O63=0,0,LOOKUP(O63,'Tax Assumptions'!$K$9:$K$17,'Tax Assumptions'!$N$9:$N$17)+(O63-LOOKUP(O63,'Tax Assumptions'!$K$9:$K$17,'Tax Assumptions'!$K$9:$K$17))*LOOKUP(O63,'Tax Assumptions'!$K$9:$K$17,'Tax Assumptions'!$M$9:$M$17))+IF(O63=0,0,LOOKUP(O63,'Tax Assumptions'!$P$9:$P$12,'Tax Assumptions'!$S$9:$S$12)+(O63-LOOKUP(O63,'Tax Assumptions'!$P$9:$P$12,'Tax Assumptions'!$P$9:$P$12))*LOOKUP(O63,'Tax Assumptions'!$P$9:$P$12,'Tax Assumptions'!$R$9:$R$12))</f>
        <v>185912365.82544196</v>
      </c>
      <c r="Q63" s="218">
        <f t="shared" si="17"/>
        <v>158041182.2206763</v>
      </c>
      <c r="R63" s="218">
        <f>IF(D63&lt;=10,INDEX('Savings Projection'!$BL$19:$BL$28,D63),LOOKUP(2,1/('Savings Projection'!$BL$19:$BL$28&lt;&gt;""),'Savings Projection'!$BL$19:$BL$28))*(1+'Model Inputs'!$B$35)^(D63-1)+IF(D63&lt;=10,INDEX('Savings Projection'!$BM$19:$BM$28,D63),LOOKUP(2,1/('Savings Projection'!$BM$19:$BM$28&lt;&gt;""),'Savings Projection'!$BM$19:$BM$28))*(1+'Model Inputs'!$B$36)^(D63-1)</f>
        <v>288767.57072412025</v>
      </c>
      <c r="S63" s="218">
        <f t="shared" si="18"/>
        <v>157752414.64995217</v>
      </c>
      <c r="T63" s="218">
        <f>MIN(MAX(S63,0),'Tax Assumptions'!$B$20)</f>
        <v>7500</v>
      </c>
      <c r="U63" s="218">
        <f t="shared" si="19"/>
        <v>157744914.64995217</v>
      </c>
      <c r="V63" s="218">
        <f>MAX(V62*(1+'Model Inputs'!$B$13)+U63,0)</f>
        <v>969483959.95418334</v>
      </c>
      <c r="W63" s="218">
        <f>MAX(W62*(1+'Model Inputs'!$B$13)+M63+T63,0)</f>
        <v>2192899.5718112038</v>
      </c>
      <c r="X63" s="218">
        <f t="shared" si="20"/>
        <v>971676859.52599454</v>
      </c>
      <c r="Y63" s="226" t="str">
        <f t="shared" si="21"/>
        <v/>
      </c>
      <c r="Z63" s="226" t="str">
        <f t="shared" si="22"/>
        <v/>
      </c>
      <c r="AA63" s="226" t="str">
        <f t="shared" si="23"/>
        <v/>
      </c>
      <c r="AB63" s="226" t="str">
        <f t="shared" si="24"/>
        <v/>
      </c>
    </row>
    <row r="64" spans="1:28" x14ac:dyDescent="0.2">
      <c r="A64" s="214" t="str">
        <f t="shared" si="11"/>
        <v>3Y 2x</v>
      </c>
      <c r="B64" s="214">
        <f t="shared" si="12"/>
        <v>3</v>
      </c>
      <c r="C64" s="223">
        <f t="shared" si="13"/>
        <v>2</v>
      </c>
      <c r="D64" s="214">
        <v>29</v>
      </c>
      <c r="E64" s="214">
        <f t="shared" si="14"/>
        <v>2054</v>
      </c>
      <c r="F64" s="218">
        <f>IF(D64=1,'Model Inputs'!$B$25*(13-'Model Inputs'!$B$23)/12,'Model Inputs'!$B$25)</f>
        <v>300000</v>
      </c>
      <c r="G64" s="218">
        <f>IF(D64=1,'Model Inputs'!$B$27*(13-'Model Inputs'!$B$23)/12,IF(D64=2,'Model Inputs'!$B$27,IF(D64&lt;=MAX(3,'Model Inputs'!$B$30+1),'Model Inputs'!$B$27*(1+'Model Inputs'!$B$28)^(D64-3),'Model Inputs'!$B$27*(1+'Model Inputs'!$B$28)^(MAX(3,'Model Inputs'!$B$30+1)-3)*(1+'Model Inputs'!$B$29)^(D64-MAX(3,'Model Inputs'!$B$30+1)))))</f>
        <v>299372327.53708321</v>
      </c>
      <c r="H64" s="224">
        <f>IF(D64&lt;=2,0,'Model Inputs'!$B$32*SIN(2*PI()*(D64-3+'Model Inputs'!$B$34)/MAX(1,'Model Inputs'!$B$33)))</f>
        <v>-0.10392304845413265</v>
      </c>
      <c r="I64" s="218">
        <f t="shared" si="15"/>
        <v>268260642.63662043</v>
      </c>
      <c r="J64" s="218">
        <f t="shared" si="25"/>
        <v>241371727.96595448</v>
      </c>
      <c r="K64" s="218">
        <f>F64+J64+IF(D64=1,'Model Inputs'!$B$26,0)</f>
        <v>241671727.96595448</v>
      </c>
      <c r="L64" s="218">
        <f t="shared" si="16"/>
        <v>483343455.93190897</v>
      </c>
      <c r="M64" s="218">
        <f>MIN(L64,'Tax Assumptions'!$B$19)</f>
        <v>24500</v>
      </c>
      <c r="N64" s="218">
        <f>MAX(L64-M64-'Tax Assumptions'!$B$8,0)</f>
        <v>483302855.93190897</v>
      </c>
      <c r="O64" s="218">
        <f>MAX(L64-M64-'Tax Assumptions'!$B$9,0)</f>
        <v>483310955.93190897</v>
      </c>
      <c r="P64" s="218">
        <f>IF(N64=0,0,LOOKUP(N64,'Tax Assumptions'!$F$9:$F$15,'Tax Assumptions'!$I$9:$I$15)+(N64-LOOKUP(N64,'Tax Assumptions'!$F$9:$F$15,'Tax Assumptions'!$F$9:$F$15))*LOOKUP(N64,'Tax Assumptions'!$F$9:$F$15,'Tax Assumptions'!$H$9:$H$15))+MIN(MAX(L64,0),'Tax Assumptions'!$B$11)*'Tax Assumptions'!$B$10+MAX(L64,0)*'Tax Assumptions'!$B$12+MAX(MAX(L64,0)-'Tax Assumptions'!$B$14,0)*'Tax Assumptions'!$B$13+MIN(L64*'Tax Assumptions'!$B$15,'Tax Assumptions'!$B$16)+MIN(L64*'Tax Assumptions'!$B$17,'Tax Assumptions'!$B$18)+IF(O64=0,0,LOOKUP(O64,'Tax Assumptions'!$K$9:$K$17,'Tax Assumptions'!$N$9:$N$17)+(O64-LOOKUP(O64,'Tax Assumptions'!$K$9:$K$17,'Tax Assumptions'!$K$9:$K$17))*LOOKUP(O64,'Tax Assumptions'!$K$9:$K$17,'Tax Assumptions'!$M$9:$M$17))+IF(O64=0,0,LOOKUP(O64,'Tax Assumptions'!$P$9:$P$12,'Tax Assumptions'!$S$9:$S$12)+(O64-LOOKUP(O64,'Tax Assumptions'!$P$9:$P$12,'Tax Assumptions'!$P$9:$P$12))*LOOKUP(O64,'Tax Assumptions'!$P$9:$P$12,'Tax Assumptions'!$R$9:$R$12))</f>
        <v>261345286.49770501</v>
      </c>
      <c r="Q64" s="218">
        <f t="shared" si="17"/>
        <v>221973669.43420395</v>
      </c>
      <c r="R64" s="218">
        <f>IF(D64&lt;=10,INDEX('Savings Projection'!$BL$19:$BL$28,D64),LOOKUP(2,1/('Savings Projection'!$BL$19:$BL$28&lt;&gt;""),'Savings Projection'!$BL$19:$BL$28))*(1+'Model Inputs'!$B$35)^(D64-1)+IF(D64&lt;=10,INDEX('Savings Projection'!$BM$19:$BM$28,D64),LOOKUP(2,1/('Savings Projection'!$BM$19:$BM$28&lt;&gt;""),'Savings Projection'!$BM$19:$BM$28))*(1+'Model Inputs'!$B$36)^(D64-1)</f>
        <v>297430.59784584382</v>
      </c>
      <c r="S64" s="218">
        <f t="shared" si="18"/>
        <v>221676238.8363581</v>
      </c>
      <c r="T64" s="218">
        <f>MIN(MAX(S64,0),'Tax Assumptions'!$B$20)</f>
        <v>7500</v>
      </c>
      <c r="U64" s="218">
        <f t="shared" si="19"/>
        <v>221668738.8363581</v>
      </c>
      <c r="V64" s="218">
        <f>MAX(V63*(1+'Model Inputs'!$B$13)+U64,0)</f>
        <v>1249321736.3877926</v>
      </c>
      <c r="W64" s="218">
        <f>MAX(W63*(1+'Model Inputs'!$B$13)+M64+T64,0)</f>
        <v>2356473.5461198762</v>
      </c>
      <c r="X64" s="218">
        <f t="shared" si="20"/>
        <v>1251678209.9339125</v>
      </c>
      <c r="Y64" s="226" t="str">
        <f t="shared" si="21"/>
        <v/>
      </c>
      <c r="Z64" s="226" t="str">
        <f t="shared" si="22"/>
        <v/>
      </c>
      <c r="AA64" s="226" t="str">
        <f t="shared" si="23"/>
        <v/>
      </c>
      <c r="AB64" s="226" t="str">
        <f t="shared" si="24"/>
        <v/>
      </c>
    </row>
    <row r="65" spans="1:28" x14ac:dyDescent="0.2">
      <c r="A65" s="214" t="str">
        <f t="shared" si="11"/>
        <v>3Y 2x</v>
      </c>
      <c r="B65" s="214">
        <f t="shared" si="12"/>
        <v>3</v>
      </c>
      <c r="C65" s="223">
        <f t="shared" si="13"/>
        <v>2</v>
      </c>
      <c r="D65" s="214">
        <v>30</v>
      </c>
      <c r="E65" s="214">
        <f t="shared" si="14"/>
        <v>2055</v>
      </c>
      <c r="F65" s="218">
        <f>IF(D65=1,'Model Inputs'!$B$25*(13-'Model Inputs'!$B$23)/12,'Model Inputs'!$B$25)</f>
        <v>300000</v>
      </c>
      <c r="G65" s="218">
        <f>IF(D65=1,'Model Inputs'!$B$27*(13-'Model Inputs'!$B$23)/12,IF(D65=2,'Model Inputs'!$B$27,IF(D65&lt;=MAX(3,'Model Inputs'!$B$30+1),'Model Inputs'!$B$27*(1+'Model Inputs'!$B$28)^(D65-3),'Model Inputs'!$B$27*(1+'Model Inputs'!$B$28)^(MAX(3,'Model Inputs'!$B$30+1)-3)*(1+'Model Inputs'!$B$29)^(D65-MAX(3,'Model Inputs'!$B$30+1)))))</f>
        <v>380465535.74563926</v>
      </c>
      <c r="H65" s="224">
        <f>IF(D65&lt;=2,0,'Model Inputs'!$B$32*SIN(2*PI()*(D65-3+'Model Inputs'!$B$34)/MAX(1,'Model Inputs'!$B$33)))</f>
        <v>-2.645237086158283E-16</v>
      </c>
      <c r="I65" s="218">
        <f t="shared" si="15"/>
        <v>380465535.7456392</v>
      </c>
      <c r="J65" s="218">
        <f t="shared" si="25"/>
        <v>266206474.24994773</v>
      </c>
      <c r="K65" s="218">
        <f>F65+J65+IF(D65=1,'Model Inputs'!$B$26,0)</f>
        <v>266506474.24994773</v>
      </c>
      <c r="L65" s="218">
        <f t="shared" si="16"/>
        <v>533012948.49989545</v>
      </c>
      <c r="M65" s="218">
        <f>MIN(L65,'Tax Assumptions'!$B$19)</f>
        <v>24500</v>
      </c>
      <c r="N65" s="218">
        <f>MAX(L65-M65-'Tax Assumptions'!$B$8,0)</f>
        <v>532972348.49989545</v>
      </c>
      <c r="O65" s="218">
        <f>MAX(L65-M65-'Tax Assumptions'!$B$9,0)</f>
        <v>532980448.49989545</v>
      </c>
      <c r="P65" s="218">
        <f>IF(N65=0,0,LOOKUP(N65,'Tax Assumptions'!$F$9:$F$15,'Tax Assumptions'!$I$9:$I$15)+(N65-LOOKUP(N65,'Tax Assumptions'!$F$9:$F$15,'Tax Assumptions'!$F$9:$F$15))*LOOKUP(N65,'Tax Assumptions'!$F$9:$F$15,'Tax Assumptions'!$H$9:$H$15))+MIN(MAX(L65,0),'Tax Assumptions'!$B$11)*'Tax Assumptions'!$B$10+MAX(L65,0)*'Tax Assumptions'!$B$12+MAX(MAX(L65,0)-'Tax Assumptions'!$B$14,0)*'Tax Assumptions'!$B$13+MIN(L65*'Tax Assumptions'!$B$15,'Tax Assumptions'!$B$16)+MIN(L65*'Tax Assumptions'!$B$17,'Tax Assumptions'!$B$18)+IF(O65=0,0,LOOKUP(O65,'Tax Assumptions'!$K$9:$K$17,'Tax Assumptions'!$N$9:$N$17)+(O65-LOOKUP(O65,'Tax Assumptions'!$K$9:$K$17,'Tax Assumptions'!$K$9:$K$17))*LOOKUP(O65,'Tax Assumptions'!$K$9:$K$17,'Tax Assumptions'!$M$9:$M$17))+IF(O65=0,0,LOOKUP(O65,'Tax Assumptions'!$P$9:$P$12,'Tax Assumptions'!$S$9:$S$12)+(O65-LOOKUP(O65,'Tax Assumptions'!$P$9:$P$12,'Tax Assumptions'!$P$9:$P$12))*LOOKUP(O65,'Tax Assumptions'!$P$9:$P$12,'Tax Assumptions'!$R$9:$R$12))</f>
        <v>288229396.04505336</v>
      </c>
      <c r="Q65" s="218">
        <f t="shared" si="17"/>
        <v>244759052.45484209</v>
      </c>
      <c r="R65" s="218">
        <f>IF(D65&lt;=10,INDEX('Savings Projection'!$BL$19:$BL$28,D65),LOOKUP(2,1/('Savings Projection'!$BL$19:$BL$28&lt;&gt;""),'Savings Projection'!$BL$19:$BL$28))*(1+'Model Inputs'!$B$35)^(D65-1)+IF(D65&lt;=10,INDEX('Savings Projection'!$BM$19:$BM$28,D65),LOOKUP(2,1/('Savings Projection'!$BM$19:$BM$28&lt;&gt;""),'Savings Projection'!$BM$19:$BM$28))*(1+'Model Inputs'!$B$36)^(D65-1)</f>
        <v>306353.51578121912</v>
      </c>
      <c r="S65" s="218">
        <f t="shared" si="18"/>
        <v>244452698.93906087</v>
      </c>
      <c r="T65" s="218">
        <f>MIN(MAX(S65,0),'Tax Assumptions'!$B$20)</f>
        <v>7500</v>
      </c>
      <c r="U65" s="218">
        <f t="shared" si="19"/>
        <v>244445198.93906087</v>
      </c>
      <c r="V65" s="218">
        <f>MAX(V64*(1+'Model Inputs'!$B$13)+U65,0)</f>
        <v>1568726239.5101211</v>
      </c>
      <c r="W65" s="218">
        <f>MAX(W64*(1+'Model Inputs'!$B$13)+M65+T65,0)</f>
        <v>2529861.958887069</v>
      </c>
      <c r="X65" s="218">
        <f t="shared" si="20"/>
        <v>1571256101.4690082</v>
      </c>
      <c r="Y65" s="226" t="str">
        <f t="shared" si="21"/>
        <v/>
      </c>
      <c r="Z65" s="226" t="str">
        <f t="shared" si="22"/>
        <v/>
      </c>
      <c r="AA65" s="226" t="str">
        <f t="shared" si="23"/>
        <v/>
      </c>
      <c r="AB65" s="226" t="str">
        <f t="shared" si="24"/>
        <v/>
      </c>
    </row>
    <row r="66" spans="1:28" x14ac:dyDescent="0.2">
      <c r="A66" s="214" t="str">
        <f t="shared" ref="A66:A95" si="26">$A$23</f>
        <v>3Y 3x</v>
      </c>
      <c r="B66" s="214">
        <f t="shared" ref="B66:B95" si="27">$B$23</f>
        <v>3</v>
      </c>
      <c r="C66" s="223">
        <f t="shared" ref="C66:C95" si="28">$C$23</f>
        <v>3</v>
      </c>
      <c r="D66" s="214">
        <v>1</v>
      </c>
      <c r="E66" s="214">
        <f t="shared" si="14"/>
        <v>2026</v>
      </c>
      <c r="F66" s="218">
        <f>IF(D66=1,'Model Inputs'!$B$25*(13-'Model Inputs'!$B$23)/12,'Model Inputs'!$B$25)</f>
        <v>100000</v>
      </c>
      <c r="G66" s="218">
        <f>IF(D66=1,'Model Inputs'!$B$27*(13-'Model Inputs'!$B$23)/12,IF(D66=2,'Model Inputs'!$B$27,IF(D66&lt;=MAX(3,'Model Inputs'!$B$30+1),'Model Inputs'!$B$27*(1+'Model Inputs'!$B$28)^(D66-3),'Model Inputs'!$B$27*(1+'Model Inputs'!$B$28)^(MAX(3,'Model Inputs'!$B$30+1)-3)*(1+'Model Inputs'!$B$29)^(D66-MAX(3,'Model Inputs'!$B$30+1)))))</f>
        <v>150000</v>
      </c>
      <c r="H66" s="224">
        <f>IF(D66&lt;=2,0,'Model Inputs'!$B$32*SIN(2*PI()*(D66-3+'Model Inputs'!$B$34)/MAX(1,'Model Inputs'!$B$33)))</f>
        <v>0</v>
      </c>
      <c r="I66" s="218">
        <f t="shared" si="15"/>
        <v>150000</v>
      </c>
      <c r="J66" s="218">
        <f>0</f>
        <v>0</v>
      </c>
      <c r="K66" s="218">
        <f>F66+J66+IF(D66=1,'Model Inputs'!$B$26,0)</f>
        <v>550000</v>
      </c>
      <c r="L66" s="218">
        <f t="shared" si="16"/>
        <v>550000</v>
      </c>
      <c r="M66" s="218">
        <f>MIN(L66,'Tax Assumptions'!$B$19)</f>
        <v>24500</v>
      </c>
      <c r="N66" s="218">
        <f>MAX(L66-M66-'Tax Assumptions'!$B$8,0)</f>
        <v>509400</v>
      </c>
      <c r="O66" s="218">
        <f>MAX(L66-M66-'Tax Assumptions'!$B$9,0)</f>
        <v>517500</v>
      </c>
      <c r="P66" s="218">
        <f>IF(N66=0,0,LOOKUP(N66,'Tax Assumptions'!$F$9:$F$15,'Tax Assumptions'!$I$9:$I$15)+(N66-LOOKUP(N66,'Tax Assumptions'!$F$9:$F$15,'Tax Assumptions'!$F$9:$F$15))*LOOKUP(N66,'Tax Assumptions'!$F$9:$F$15,'Tax Assumptions'!$H$9:$H$15))+MIN(MAX(L66,0),'Tax Assumptions'!$B$11)*'Tax Assumptions'!$B$10+MAX(L66,0)*'Tax Assumptions'!$B$12+MAX(MAX(L66,0)-'Tax Assumptions'!$B$14,0)*'Tax Assumptions'!$B$13+MIN(L66*'Tax Assumptions'!$B$15,'Tax Assumptions'!$B$16)+MIN(L66*'Tax Assumptions'!$B$17,'Tax Assumptions'!$B$18)+IF(O66=0,0,LOOKUP(O66,'Tax Assumptions'!$K$9:$K$17,'Tax Assumptions'!$N$9:$N$17)+(O66-LOOKUP(O66,'Tax Assumptions'!$K$9:$K$17,'Tax Assumptions'!$K$9:$K$17))*LOOKUP(O66,'Tax Assumptions'!$K$9:$K$17,'Tax Assumptions'!$M$9:$M$17))+IF(O66=0,0,LOOKUP(O66,'Tax Assumptions'!$P$9:$P$12,'Tax Assumptions'!$S$9:$S$12)+(O66-LOOKUP(O66,'Tax Assumptions'!$P$9:$P$12,'Tax Assumptions'!$P$9:$P$12))*LOOKUP(O66,'Tax Assumptions'!$P$9:$P$12,'Tax Assumptions'!$R$9:$R$12))</f>
        <v>222834.53000000003</v>
      </c>
      <c r="Q66" s="218">
        <f t="shared" si="17"/>
        <v>302665.46999999997</v>
      </c>
      <c r="R66" s="218">
        <f>IF(D66&lt;=10,INDEX('Savings Projection'!$BL$19:$BL$28,D66),LOOKUP(2,1/('Savings Projection'!$BL$19:$BL$28&lt;&gt;""),'Savings Projection'!$BL$19:$BL$28))*(1+'Model Inputs'!$B$35)^(D66-1)+IF(D66&lt;=10,INDEX('Savings Projection'!$BM$19:$BM$28,D66),LOOKUP(2,1/('Savings Projection'!$BM$19:$BM$28&lt;&gt;""),'Savings Projection'!$BM$19:$BM$28))*(1+'Model Inputs'!$B$36)^(D66-1)</f>
        <v>118000</v>
      </c>
      <c r="S66" s="218">
        <f t="shared" si="18"/>
        <v>184665.46999999997</v>
      </c>
      <c r="T66" s="218">
        <f>MIN(MAX(S66,0),'Tax Assumptions'!$B$20)</f>
        <v>7500</v>
      </c>
      <c r="U66" s="218">
        <f t="shared" si="19"/>
        <v>177165.46999999997</v>
      </c>
      <c r="V66" s="218">
        <f>MAX('Model Inputs'!$B$7*(1+'Model Inputs'!$B$13)+U66,0)</f>
        <v>336165.47</v>
      </c>
      <c r="W66" s="218">
        <f>MAX(('Model Inputs'!$B$8+'Model Inputs'!$B$9+'Model Inputs'!$B$10)*(1+'Model Inputs'!$B$13)+M66+T66,0)</f>
        <v>32000</v>
      </c>
      <c r="X66" s="218">
        <f t="shared" si="20"/>
        <v>368165.47</v>
      </c>
      <c r="Y66" s="226" t="str">
        <f t="shared" si="21"/>
        <v/>
      </c>
      <c r="Z66" s="226" t="str">
        <f t="shared" si="22"/>
        <v/>
      </c>
      <c r="AA66" s="226" t="str">
        <f t="shared" si="23"/>
        <v/>
      </c>
      <c r="AB66" s="226" t="str">
        <f t="shared" si="24"/>
        <v/>
      </c>
    </row>
    <row r="67" spans="1:28" x14ac:dyDescent="0.2">
      <c r="A67" s="214" t="str">
        <f t="shared" si="26"/>
        <v>3Y 3x</v>
      </c>
      <c r="B67" s="214">
        <f t="shared" si="27"/>
        <v>3</v>
      </c>
      <c r="C67" s="223">
        <f t="shared" si="28"/>
        <v>3</v>
      </c>
      <c r="D67" s="214">
        <v>2</v>
      </c>
      <c r="E67" s="214">
        <f t="shared" si="14"/>
        <v>2027</v>
      </c>
      <c r="F67" s="218">
        <f>IF(D67=1,'Model Inputs'!$B$25*(13-'Model Inputs'!$B$23)/12,'Model Inputs'!$B$25)</f>
        <v>300000</v>
      </c>
      <c r="G67" s="218">
        <f>IF(D67=1,'Model Inputs'!$B$27*(13-'Model Inputs'!$B$23)/12,IF(D67=2,'Model Inputs'!$B$27,IF(D67&lt;=MAX(3,'Model Inputs'!$B$30+1),'Model Inputs'!$B$27*(1+'Model Inputs'!$B$28)^(D67-3),'Model Inputs'!$B$27*(1+'Model Inputs'!$B$28)^(MAX(3,'Model Inputs'!$B$30+1)-3)*(1+'Model Inputs'!$B$29)^(D67-MAX(3,'Model Inputs'!$B$30+1)))))</f>
        <v>450000</v>
      </c>
      <c r="H67" s="224">
        <f>IF(D67&lt;=2,0,'Model Inputs'!$B$32*SIN(2*PI()*(D67-3+'Model Inputs'!$B$34)/MAX(1,'Model Inputs'!$B$33)))</f>
        <v>0</v>
      </c>
      <c r="I67" s="218">
        <f t="shared" si="15"/>
        <v>450000</v>
      </c>
      <c r="J67" s="218">
        <f>0.75*I66</f>
        <v>112500</v>
      </c>
      <c r="K67" s="218">
        <f>F67+J67+IF(D67=1,'Model Inputs'!$B$26,0)</f>
        <v>412500</v>
      </c>
      <c r="L67" s="218">
        <f t="shared" si="16"/>
        <v>412500</v>
      </c>
      <c r="M67" s="218">
        <f>MIN(L67,'Tax Assumptions'!$B$19)</f>
        <v>24500</v>
      </c>
      <c r="N67" s="218">
        <f>MAX(L67-M67-'Tax Assumptions'!$B$8,0)</f>
        <v>371900</v>
      </c>
      <c r="O67" s="218">
        <f>MAX(L67-M67-'Tax Assumptions'!$B$9,0)</f>
        <v>380000</v>
      </c>
      <c r="P67" s="218">
        <f>IF(N67=0,0,LOOKUP(N67,'Tax Assumptions'!$F$9:$F$15,'Tax Assumptions'!$I$9:$I$15)+(N67-LOOKUP(N67,'Tax Assumptions'!$F$9:$F$15,'Tax Assumptions'!$F$9:$F$15))*LOOKUP(N67,'Tax Assumptions'!$F$9:$F$15,'Tax Assumptions'!$H$9:$H$15))+MIN(MAX(L67,0),'Tax Assumptions'!$B$11)*'Tax Assumptions'!$B$10+MAX(L67,0)*'Tax Assumptions'!$B$12+MAX(MAX(L67,0)-'Tax Assumptions'!$B$14,0)*'Tax Assumptions'!$B$13+MIN(L67*'Tax Assumptions'!$B$15,'Tax Assumptions'!$B$16)+MIN(L67*'Tax Assumptions'!$B$17,'Tax Assumptions'!$B$18)+IF(O67=0,0,LOOKUP(O67,'Tax Assumptions'!$K$9:$K$17,'Tax Assumptions'!$N$9:$N$17)+(O67-LOOKUP(O67,'Tax Assumptions'!$K$9:$K$17,'Tax Assumptions'!$K$9:$K$17))*LOOKUP(O67,'Tax Assumptions'!$K$9:$K$17,'Tax Assumptions'!$M$9:$M$17))+IF(O67=0,0,LOOKUP(O67,'Tax Assumptions'!$P$9:$P$12,'Tax Assumptions'!$S$9:$S$12)+(O67-LOOKUP(O67,'Tax Assumptions'!$P$9:$P$12,'Tax Assumptions'!$P$9:$P$12))*LOOKUP(O67,'Tax Assumptions'!$P$9:$P$12,'Tax Assumptions'!$R$9:$R$12))</f>
        <v>156730.03</v>
      </c>
      <c r="Q67" s="218">
        <f t="shared" si="17"/>
        <v>231269.97</v>
      </c>
      <c r="R67" s="218">
        <f>IF(D67&lt;=10,INDEX('Savings Projection'!$BL$19:$BL$28,D67),LOOKUP(2,1/('Savings Projection'!$BL$19:$BL$28&lt;&gt;""),'Savings Projection'!$BL$19:$BL$28))*(1+'Model Inputs'!$B$35)^(D67-1)+IF(D67&lt;=10,INDEX('Savings Projection'!$BM$19:$BM$28,D67),LOOKUP(2,1/('Savings Projection'!$BM$19:$BM$28&lt;&gt;""),'Savings Projection'!$BM$19:$BM$28))*(1+'Model Inputs'!$B$36)^(D67-1)</f>
        <v>121540</v>
      </c>
      <c r="S67" s="218">
        <f t="shared" si="18"/>
        <v>109729.97</v>
      </c>
      <c r="T67" s="218">
        <f>MIN(MAX(S67,0),'Tax Assumptions'!$B$20)</f>
        <v>7500</v>
      </c>
      <c r="U67" s="218">
        <f t="shared" si="19"/>
        <v>102229.97</v>
      </c>
      <c r="V67" s="218">
        <f>MAX(V66*(1+'Model Inputs'!$B$13)+U67,0)</f>
        <v>458565.36820000003</v>
      </c>
      <c r="W67" s="218">
        <f>MAX(W66*(1+'Model Inputs'!$B$13)+M67+T67,0)</f>
        <v>65920</v>
      </c>
      <c r="X67" s="218">
        <f t="shared" si="20"/>
        <v>524485.36820000003</v>
      </c>
      <c r="Y67" s="226" t="str">
        <f t="shared" si="21"/>
        <v/>
      </c>
      <c r="Z67" s="226" t="str">
        <f t="shared" si="22"/>
        <v/>
      </c>
      <c r="AA67" s="226" t="str">
        <f t="shared" si="23"/>
        <v/>
      </c>
      <c r="AB67" s="226" t="str">
        <f t="shared" si="24"/>
        <v/>
      </c>
    </row>
    <row r="68" spans="1:28" x14ac:dyDescent="0.2">
      <c r="A68" s="214" t="str">
        <f t="shared" si="26"/>
        <v>3Y 3x</v>
      </c>
      <c r="B68" s="214">
        <f t="shared" si="27"/>
        <v>3</v>
      </c>
      <c r="C68" s="223">
        <f t="shared" si="28"/>
        <v>3</v>
      </c>
      <c r="D68" s="214">
        <v>3</v>
      </c>
      <c r="E68" s="214">
        <f t="shared" si="14"/>
        <v>2028</v>
      </c>
      <c r="F68" s="218">
        <f>IF(D68=1,'Model Inputs'!$B$25*(13-'Model Inputs'!$B$23)/12,'Model Inputs'!$B$25)</f>
        <v>300000</v>
      </c>
      <c r="G68" s="218">
        <f>IF(D68=1,'Model Inputs'!$B$27*(13-'Model Inputs'!$B$23)/12,IF(D68=2,'Model Inputs'!$B$27,IF(D68&lt;=MAX(3,'Model Inputs'!$B$30+1),'Model Inputs'!$B$27*(1+'Model Inputs'!$B$28)^(D68-3),'Model Inputs'!$B$27*(1+'Model Inputs'!$B$28)^(MAX(3,'Model Inputs'!$B$30+1)-3)*(1+'Model Inputs'!$B$29)^(D68-MAX(3,'Model Inputs'!$B$30+1)))))</f>
        <v>450000</v>
      </c>
      <c r="H68" s="224">
        <f>IF(D68&lt;=2,0,'Model Inputs'!$B$32*SIN(2*PI()*(D68-3+'Model Inputs'!$B$34)/MAX(1,'Model Inputs'!$B$33)))</f>
        <v>0</v>
      </c>
      <c r="I68" s="218">
        <f t="shared" si="15"/>
        <v>450000</v>
      </c>
      <c r="J68" s="218">
        <f t="shared" ref="J68:J95" si="29">0.75*I67+0.25*I66</f>
        <v>375000</v>
      </c>
      <c r="K68" s="218">
        <f>F68+J68+IF(D68=1,'Model Inputs'!$B$26,0)</f>
        <v>675000</v>
      </c>
      <c r="L68" s="218">
        <f t="shared" si="16"/>
        <v>675000</v>
      </c>
      <c r="M68" s="218">
        <f>MIN(L68,'Tax Assumptions'!$B$19)</f>
        <v>24500</v>
      </c>
      <c r="N68" s="218">
        <f>MAX(L68-M68-'Tax Assumptions'!$B$8,0)</f>
        <v>634400</v>
      </c>
      <c r="O68" s="218">
        <f>MAX(L68-M68-'Tax Assumptions'!$B$9,0)</f>
        <v>642500</v>
      </c>
      <c r="P68" s="218">
        <f>IF(N68=0,0,LOOKUP(N68,'Tax Assumptions'!$F$9:$F$15,'Tax Assumptions'!$I$9:$I$15)+(N68-LOOKUP(N68,'Tax Assumptions'!$F$9:$F$15,'Tax Assumptions'!$F$9:$F$15))*LOOKUP(N68,'Tax Assumptions'!$F$9:$F$15,'Tax Assumptions'!$H$9:$H$15))+MIN(MAX(L68,0),'Tax Assumptions'!$B$11)*'Tax Assumptions'!$B$10+MAX(L68,0)*'Tax Assumptions'!$B$12+MAX(MAX(L68,0)-'Tax Assumptions'!$B$14,0)*'Tax Assumptions'!$B$13+MIN(L68*'Tax Assumptions'!$B$15,'Tax Assumptions'!$B$16)+MIN(L68*'Tax Assumptions'!$B$17,'Tax Assumptions'!$B$18)+IF(O68=0,0,LOOKUP(O68,'Tax Assumptions'!$K$9:$K$17,'Tax Assumptions'!$N$9:$N$17)+(O68-LOOKUP(O68,'Tax Assumptions'!$K$9:$K$17,'Tax Assumptions'!$K$9:$K$17))*LOOKUP(O68,'Tax Assumptions'!$K$9:$K$17,'Tax Assumptions'!$M$9:$M$17))+IF(O68=0,0,LOOKUP(O68,'Tax Assumptions'!$P$9:$P$12,'Tax Assumptions'!$S$9:$S$12)+(O68-LOOKUP(O68,'Tax Assumptions'!$P$9:$P$12,'Tax Assumptions'!$P$9:$P$12))*LOOKUP(O68,'Tax Assumptions'!$P$9:$P$12,'Tax Assumptions'!$R$9:$R$12))</f>
        <v>282929.53000000003</v>
      </c>
      <c r="Q68" s="218">
        <f t="shared" si="17"/>
        <v>367570.47</v>
      </c>
      <c r="R68" s="218">
        <f>IF(D68&lt;=10,INDEX('Savings Projection'!$BL$19:$BL$28,D68),LOOKUP(2,1/('Savings Projection'!$BL$19:$BL$28&lt;&gt;""),'Savings Projection'!$BL$19:$BL$28))*(1+'Model Inputs'!$B$35)^(D68-1)+IF(D68&lt;=10,INDEX('Savings Projection'!$BM$19:$BM$28,D68),LOOKUP(2,1/('Savings Projection'!$BM$19:$BM$28&lt;&gt;""),'Savings Projection'!$BM$19:$BM$28))*(1+'Model Inputs'!$B$36)^(D68-1)</f>
        <v>135795.20000000001</v>
      </c>
      <c r="S68" s="218">
        <f t="shared" si="18"/>
        <v>231775.26999999996</v>
      </c>
      <c r="T68" s="218">
        <f>MIN(MAX(S68,0),'Tax Assumptions'!$B$20)</f>
        <v>7500</v>
      </c>
      <c r="U68" s="218">
        <f t="shared" si="19"/>
        <v>224275.26999999996</v>
      </c>
      <c r="V68" s="218">
        <f>MAX(V67*(1+'Model Inputs'!$B$13)+U68,0)</f>
        <v>710354.56029199995</v>
      </c>
      <c r="W68" s="218">
        <f>MAX(W67*(1+'Model Inputs'!$B$13)+M68+T68,0)</f>
        <v>101875.2</v>
      </c>
      <c r="X68" s="218">
        <f t="shared" si="20"/>
        <v>812229.7602919999</v>
      </c>
      <c r="Y68" s="226" t="str">
        <f t="shared" si="21"/>
        <v/>
      </c>
      <c r="Z68" s="226" t="str">
        <f t="shared" si="22"/>
        <v/>
      </c>
      <c r="AA68" s="226" t="str">
        <f t="shared" si="23"/>
        <v/>
      </c>
      <c r="AB68" s="226" t="str">
        <f t="shared" si="24"/>
        <v/>
      </c>
    </row>
    <row r="69" spans="1:28" x14ac:dyDescent="0.2">
      <c r="A69" s="214" t="str">
        <f t="shared" si="26"/>
        <v>3Y 3x</v>
      </c>
      <c r="B69" s="214">
        <f t="shared" si="27"/>
        <v>3</v>
      </c>
      <c r="C69" s="223">
        <f t="shared" si="28"/>
        <v>3</v>
      </c>
      <c r="D69" s="214">
        <v>4</v>
      </c>
      <c r="E69" s="214">
        <f t="shared" si="14"/>
        <v>2029</v>
      </c>
      <c r="F69" s="218">
        <f>IF(D69=1,'Model Inputs'!$B$25*(13-'Model Inputs'!$B$23)/12,'Model Inputs'!$B$25)</f>
        <v>300000</v>
      </c>
      <c r="G69" s="218">
        <f>IF(D69=1,'Model Inputs'!$B$27*(13-'Model Inputs'!$B$23)/12,IF(D69=2,'Model Inputs'!$B$27,IF(D69&lt;=MAX(3,'Model Inputs'!$B$30+1),'Model Inputs'!$B$27*(1+'Model Inputs'!$B$28)^(D69-3),'Model Inputs'!$B$27*(1+'Model Inputs'!$B$28)^(MAX(3,'Model Inputs'!$B$30+1)-3)*(1+'Model Inputs'!$B$29)^(D69-MAX(3,'Model Inputs'!$B$30+1)))))</f>
        <v>653834.84153110103</v>
      </c>
      <c r="H69" s="224">
        <f>IF(D69&lt;=2,0,'Model Inputs'!$B$32*SIN(2*PI()*(D69-3+'Model Inputs'!$B$34)/MAX(1,'Model Inputs'!$B$33)))</f>
        <v>0.10392304845413264</v>
      </c>
      <c r="I69" s="218">
        <f t="shared" si="15"/>
        <v>721783.35144853778</v>
      </c>
      <c r="J69" s="218">
        <f t="shared" si="29"/>
        <v>450000</v>
      </c>
      <c r="K69" s="218">
        <f>F69+J69+IF(D69=1,'Model Inputs'!$B$26,0)</f>
        <v>750000</v>
      </c>
      <c r="L69" s="218">
        <f t="shared" si="16"/>
        <v>2250000</v>
      </c>
      <c r="M69" s="218">
        <f>MIN(L69,'Tax Assumptions'!$B$19)</f>
        <v>24500</v>
      </c>
      <c r="N69" s="218">
        <f>MAX(L69-M69-'Tax Assumptions'!$B$8,0)</f>
        <v>2209400</v>
      </c>
      <c r="O69" s="218">
        <f>MAX(L69-M69-'Tax Assumptions'!$B$9,0)</f>
        <v>2217500</v>
      </c>
      <c r="P69" s="218">
        <f>IF(N69=0,0,LOOKUP(N69,'Tax Assumptions'!$F$9:$F$15,'Tax Assumptions'!$I$9:$I$15)+(N69-LOOKUP(N69,'Tax Assumptions'!$F$9:$F$15,'Tax Assumptions'!$F$9:$F$15))*LOOKUP(N69,'Tax Assumptions'!$F$9:$F$15,'Tax Assumptions'!$H$9:$H$15))+MIN(MAX(L69,0),'Tax Assumptions'!$B$11)*'Tax Assumptions'!$B$10+MAX(L69,0)*'Tax Assumptions'!$B$12+MAX(MAX(L69,0)-'Tax Assumptions'!$B$14,0)*'Tax Assumptions'!$B$13+MIN(L69*'Tax Assumptions'!$B$15,'Tax Assumptions'!$B$16)+MIN(L69*'Tax Assumptions'!$B$17,'Tax Assumptions'!$B$18)+IF(O69=0,0,LOOKUP(O69,'Tax Assumptions'!$K$9:$K$17,'Tax Assumptions'!$N$9:$N$17)+(O69-LOOKUP(O69,'Tax Assumptions'!$K$9:$K$17,'Tax Assumptions'!$K$9:$K$17))*LOOKUP(O69,'Tax Assumptions'!$K$9:$K$17,'Tax Assumptions'!$M$9:$M$17))+IF(O69=0,0,LOOKUP(O69,'Tax Assumptions'!$P$9:$P$12,'Tax Assumptions'!$S$9:$S$12)+(O69-LOOKUP(O69,'Tax Assumptions'!$P$9:$P$12,'Tax Assumptions'!$P$9:$P$12))*LOOKUP(O69,'Tax Assumptions'!$P$9:$P$12,'Tax Assumptions'!$R$9:$R$12))</f>
        <v>1103420.635</v>
      </c>
      <c r="Q69" s="218">
        <f t="shared" si="17"/>
        <v>1122079.365</v>
      </c>
      <c r="R69" s="218">
        <f>IF(D69&lt;=10,INDEX('Savings Projection'!$BL$19:$BL$28,D69),LOOKUP(2,1/('Savings Projection'!$BL$19:$BL$28&lt;&gt;""),'Savings Projection'!$BL$19:$BL$28))*(1+'Model Inputs'!$B$35)^(D69-1)+IF(D69&lt;=10,INDEX('Savings Projection'!$BM$19:$BM$28,D69),LOOKUP(2,1/('Savings Projection'!$BM$19:$BM$28&lt;&gt;""),'Savings Projection'!$BM$19:$BM$28))*(1+'Model Inputs'!$B$36)^(D69-1)</f>
        <v>139869.05600000001</v>
      </c>
      <c r="S69" s="218">
        <f t="shared" si="18"/>
        <v>982210.30900000001</v>
      </c>
      <c r="T69" s="218">
        <f>MIN(MAX(S69,0),'Tax Assumptions'!$B$20)</f>
        <v>7500</v>
      </c>
      <c r="U69" s="218">
        <f t="shared" si="19"/>
        <v>974710.30900000001</v>
      </c>
      <c r="V69" s="218">
        <f>MAX(V68*(1+'Model Inputs'!$B$13)+U69,0)</f>
        <v>1727686.1429095198</v>
      </c>
      <c r="W69" s="218">
        <f>MAX(W68*(1+'Model Inputs'!$B$13)+M69+T69,0)</f>
        <v>139987.712</v>
      </c>
      <c r="X69" s="218">
        <f t="shared" si="20"/>
        <v>1867673.8549095199</v>
      </c>
      <c r="Y69" s="226" t="str">
        <f t="shared" si="21"/>
        <v/>
      </c>
      <c r="Z69" s="226" t="str">
        <f t="shared" si="22"/>
        <v/>
      </c>
      <c r="AA69" s="226" t="str">
        <f t="shared" si="23"/>
        <v/>
      </c>
      <c r="AB69" s="226" t="str">
        <f t="shared" si="24"/>
        <v/>
      </c>
    </row>
    <row r="70" spans="1:28" x14ac:dyDescent="0.2">
      <c r="A70" s="214" t="str">
        <f t="shared" si="26"/>
        <v>3Y 3x</v>
      </c>
      <c r="B70" s="214">
        <f t="shared" si="27"/>
        <v>3</v>
      </c>
      <c r="C70" s="223">
        <f t="shared" si="28"/>
        <v>3</v>
      </c>
      <c r="D70" s="214">
        <v>5</v>
      </c>
      <c r="E70" s="214">
        <f t="shared" si="14"/>
        <v>2030</v>
      </c>
      <c r="F70" s="218">
        <f>IF(D70=1,'Model Inputs'!$B$25*(13-'Model Inputs'!$B$23)/12,'Model Inputs'!$B$25)</f>
        <v>300000</v>
      </c>
      <c r="G70" s="218">
        <f>IF(D70=1,'Model Inputs'!$B$27*(13-'Model Inputs'!$B$23)/12,IF(D70=2,'Model Inputs'!$B$27,IF(D70&lt;=MAX(3,'Model Inputs'!$B$30+1),'Model Inputs'!$B$27*(1+'Model Inputs'!$B$28)^(D70-3),'Model Inputs'!$B$27*(1+'Model Inputs'!$B$28)^(MAX(3,'Model Inputs'!$B$30+1)-3)*(1+'Model Inputs'!$B$29)^(D70-MAX(3,'Model Inputs'!$B$30+1)))))</f>
        <v>950000</v>
      </c>
      <c r="H70" s="224">
        <f>IF(D70&lt;=2,0,'Model Inputs'!$B$32*SIN(2*PI()*(D70-3+'Model Inputs'!$B$34)/MAX(1,'Model Inputs'!$B$33)))</f>
        <v>-0.1039230484541326</v>
      </c>
      <c r="I70" s="218">
        <f t="shared" si="15"/>
        <v>851273.10396857408</v>
      </c>
      <c r="J70" s="218">
        <f t="shared" si="29"/>
        <v>653837.51358640334</v>
      </c>
      <c r="K70" s="218">
        <f>F70+J70+IF(D70=1,'Model Inputs'!$B$26,0)</f>
        <v>953837.51358640334</v>
      </c>
      <c r="L70" s="218">
        <f t="shared" si="16"/>
        <v>2861512.54075921</v>
      </c>
      <c r="M70" s="218">
        <f>MIN(L70,'Tax Assumptions'!$B$19)</f>
        <v>24500</v>
      </c>
      <c r="N70" s="218">
        <f>MAX(L70-M70-'Tax Assumptions'!$B$8,0)</f>
        <v>2820912.54075921</v>
      </c>
      <c r="O70" s="218">
        <f>MAX(L70-M70-'Tax Assumptions'!$B$9,0)</f>
        <v>2829012.54075921</v>
      </c>
      <c r="P70" s="218">
        <f>IF(N70=0,0,LOOKUP(N70,'Tax Assumptions'!$F$9:$F$15,'Tax Assumptions'!$I$9:$I$15)+(N70-LOOKUP(N70,'Tax Assumptions'!$F$9:$F$15,'Tax Assumptions'!$F$9:$F$15))*LOOKUP(N70,'Tax Assumptions'!$F$9:$F$15,'Tax Assumptions'!$H$9:$H$15))+MIN(MAX(L70,0),'Tax Assumptions'!$B$11)*'Tax Assumptions'!$B$10+MAX(L70,0)*'Tax Assumptions'!$B$12+MAX(MAX(L70,0)-'Tax Assumptions'!$B$14,0)*'Tax Assumptions'!$B$13+MIN(L70*'Tax Assumptions'!$B$15,'Tax Assumptions'!$B$16)+MIN(L70*'Tax Assumptions'!$B$17,'Tax Assumptions'!$B$18)+IF(O70=0,0,LOOKUP(O70,'Tax Assumptions'!$K$9:$K$17,'Tax Assumptions'!$N$9:$N$17)+(O70-LOOKUP(O70,'Tax Assumptions'!$K$9:$K$17,'Tax Assumptions'!$K$9:$K$17))*LOOKUP(O70,'Tax Assumptions'!$K$9:$K$17,'Tax Assumptions'!$M$9:$M$17))+IF(O70=0,0,LOOKUP(O70,'Tax Assumptions'!$P$9:$P$12,'Tax Assumptions'!$S$9:$S$12)+(O70-LOOKUP(O70,'Tax Assumptions'!$P$9:$P$12,'Tax Assumptions'!$P$9:$P$12))*LOOKUP(O70,'Tax Assumptions'!$P$9:$P$12,'Tax Assumptions'!$R$9:$R$12))</f>
        <v>1426764.0060518396</v>
      </c>
      <c r="Q70" s="218">
        <f t="shared" si="17"/>
        <v>1410248.5347073704</v>
      </c>
      <c r="R70" s="218">
        <f>IF(D70&lt;=10,INDEX('Savings Projection'!$BL$19:$BL$28,D70),LOOKUP(2,1/('Savings Projection'!$BL$19:$BL$28&lt;&gt;""),'Savings Projection'!$BL$19:$BL$28))*(1+'Model Inputs'!$B$35)^(D70-1)+IF(D70&lt;=10,INDEX('Savings Projection'!$BM$19:$BM$28,D70),LOOKUP(2,1/('Savings Projection'!$BM$19:$BM$28&lt;&gt;""),'Savings Projection'!$BM$19:$BM$28))*(1+'Model Inputs'!$B$36)^(D70-1)</f>
        <v>144065.12767999998</v>
      </c>
      <c r="S70" s="218">
        <f t="shared" si="18"/>
        <v>1266183.4070273705</v>
      </c>
      <c r="T70" s="218">
        <f>MIN(MAX(S70,0),'Tax Assumptions'!$B$20)</f>
        <v>7500</v>
      </c>
      <c r="U70" s="218">
        <f t="shared" si="19"/>
        <v>1258683.4070273705</v>
      </c>
      <c r="V70" s="218">
        <f>MAX(V69*(1+'Model Inputs'!$B$13)+U70,0)</f>
        <v>3090030.7185114617</v>
      </c>
      <c r="W70" s="218">
        <f>MAX(W69*(1+'Model Inputs'!$B$13)+M70+T70,0)</f>
        <v>180386.97472</v>
      </c>
      <c r="X70" s="218">
        <f t="shared" si="20"/>
        <v>3270417.6932314616</v>
      </c>
      <c r="Y70" s="226" t="str">
        <f t="shared" si="21"/>
        <v/>
      </c>
      <c r="Z70" s="226" t="str">
        <f t="shared" si="22"/>
        <v/>
      </c>
      <c r="AA70" s="226" t="str">
        <f t="shared" si="23"/>
        <v/>
      </c>
      <c r="AB70" s="226" t="str">
        <f t="shared" si="24"/>
        <v/>
      </c>
    </row>
    <row r="71" spans="1:28" x14ac:dyDescent="0.2">
      <c r="A71" s="214" t="str">
        <f t="shared" si="26"/>
        <v>3Y 3x</v>
      </c>
      <c r="B71" s="214">
        <f t="shared" si="27"/>
        <v>3</v>
      </c>
      <c r="C71" s="223">
        <f t="shared" si="28"/>
        <v>3</v>
      </c>
      <c r="D71" s="214">
        <v>6</v>
      </c>
      <c r="E71" s="214">
        <f t="shared" si="14"/>
        <v>2031</v>
      </c>
      <c r="F71" s="218">
        <f>IF(D71=1,'Model Inputs'!$B$25*(13-'Model Inputs'!$B$23)/12,'Model Inputs'!$B$25)</f>
        <v>300000</v>
      </c>
      <c r="G71" s="218">
        <f>IF(D71=1,'Model Inputs'!$B$27*(13-'Model Inputs'!$B$23)/12,IF(D71=2,'Model Inputs'!$B$27,IF(D71&lt;=MAX(3,'Model Inputs'!$B$30+1),'Model Inputs'!$B$27*(1+'Model Inputs'!$B$28)^(D71-3),'Model Inputs'!$B$27*(1+'Model Inputs'!$B$28)^(MAX(3,'Model Inputs'!$B$30+1)-3)*(1+'Model Inputs'!$B$29)^(D71-MAX(3,'Model Inputs'!$B$30+1)))))</f>
        <v>1207333.5632986501</v>
      </c>
      <c r="H71" s="224">
        <f>IF(D71&lt;=2,0,'Model Inputs'!$B$32*SIN(2*PI()*(D71-3+'Model Inputs'!$B$34)/MAX(1,'Model Inputs'!$B$33)))</f>
        <v>-2.9391523179536474E-17</v>
      </c>
      <c r="I71" s="218">
        <f t="shared" si="15"/>
        <v>1207333.5632986501</v>
      </c>
      <c r="J71" s="218">
        <f t="shared" si="29"/>
        <v>818900.66583856498</v>
      </c>
      <c r="K71" s="218">
        <f>F71+J71+IF(D71=1,'Model Inputs'!$B$26,0)</f>
        <v>1118900.665838565</v>
      </c>
      <c r="L71" s="218">
        <f t="shared" si="16"/>
        <v>3356701.9975156952</v>
      </c>
      <c r="M71" s="218">
        <f>MIN(L71,'Tax Assumptions'!$B$19)</f>
        <v>24500</v>
      </c>
      <c r="N71" s="218">
        <f>MAX(L71-M71-'Tax Assumptions'!$B$8,0)</f>
        <v>3316101.9975156952</v>
      </c>
      <c r="O71" s="218">
        <f>MAX(L71-M71-'Tax Assumptions'!$B$9,0)</f>
        <v>3324201.9975156952</v>
      </c>
      <c r="P71" s="218">
        <f>IF(N71=0,0,LOOKUP(N71,'Tax Assumptions'!$F$9:$F$15,'Tax Assumptions'!$I$9:$I$15)+(N71-LOOKUP(N71,'Tax Assumptions'!$F$9:$F$15,'Tax Assumptions'!$F$9:$F$15))*LOOKUP(N71,'Tax Assumptions'!$F$9:$F$15,'Tax Assumptions'!$H$9:$H$15))+MIN(MAX(L71,0),'Tax Assumptions'!$B$11)*'Tax Assumptions'!$B$10+MAX(L71,0)*'Tax Assumptions'!$B$12+MAX(MAX(L71,0)-'Tax Assumptions'!$B$14,0)*'Tax Assumptions'!$B$13+MIN(L71*'Tax Assumptions'!$B$15,'Tax Assumptions'!$B$16)+MIN(L71*'Tax Assumptions'!$B$17,'Tax Assumptions'!$B$18)+IF(O71=0,0,LOOKUP(O71,'Tax Assumptions'!$K$9:$K$17,'Tax Assumptions'!$N$9:$N$17)+(O71-LOOKUP(O71,'Tax Assumptions'!$K$9:$K$17,'Tax Assumptions'!$K$9:$K$17))*LOOKUP(O71,'Tax Assumptions'!$K$9:$K$17,'Tax Assumptions'!$M$9:$M$17))+IF(O71=0,0,LOOKUP(O71,'Tax Assumptions'!$P$9:$P$12,'Tax Assumptions'!$S$9:$S$12)+(O71-LOOKUP(O71,'Tax Assumptions'!$P$9:$P$12,'Tax Assumptions'!$P$9:$P$12))*LOOKUP(O71,'Tax Assumptions'!$P$9:$P$12,'Tax Assumptions'!$R$9:$R$12))</f>
        <v>1688600.3832063989</v>
      </c>
      <c r="Q71" s="218">
        <f t="shared" si="17"/>
        <v>1643601.6143092962</v>
      </c>
      <c r="R71" s="218">
        <f>IF(D71&lt;=10,INDEX('Savings Projection'!$BL$19:$BL$28,D71),LOOKUP(2,1/('Savings Projection'!$BL$19:$BL$28&lt;&gt;""),'Savings Projection'!$BL$19:$BL$28))*(1+'Model Inputs'!$B$35)^(D71-1)+IF(D71&lt;=10,INDEX('Savings Projection'!$BM$19:$BM$28,D71),LOOKUP(2,1/('Savings Projection'!$BM$19:$BM$28&lt;&gt;""),'Savings Projection'!$BM$19:$BM$28))*(1+'Model Inputs'!$B$36)^(D71-1)</f>
        <v>150705.62965899997</v>
      </c>
      <c r="S71" s="218">
        <f t="shared" si="18"/>
        <v>1492895.9846502962</v>
      </c>
      <c r="T71" s="218">
        <f>MIN(MAX(S71,0),'Tax Assumptions'!$B$20)</f>
        <v>7500</v>
      </c>
      <c r="U71" s="218">
        <f t="shared" si="19"/>
        <v>1485395.9846502962</v>
      </c>
      <c r="V71" s="218">
        <f>MAX(V70*(1+'Model Inputs'!$B$13)+U71,0)</f>
        <v>4760828.5462724455</v>
      </c>
      <c r="W71" s="218">
        <f>MAX(W70*(1+'Model Inputs'!$B$13)+M71+T71,0)</f>
        <v>223210.1932032</v>
      </c>
      <c r="X71" s="218">
        <f t="shared" si="20"/>
        <v>4984038.7394756451</v>
      </c>
      <c r="Y71" s="226" t="str">
        <f t="shared" si="21"/>
        <v/>
      </c>
      <c r="Z71" s="226" t="str">
        <f t="shared" si="22"/>
        <v/>
      </c>
      <c r="AA71" s="226" t="str">
        <f t="shared" si="23"/>
        <v/>
      </c>
      <c r="AB71" s="226" t="str">
        <f t="shared" si="24"/>
        <v/>
      </c>
    </row>
    <row r="72" spans="1:28" x14ac:dyDescent="0.2">
      <c r="A72" s="214" t="str">
        <f t="shared" si="26"/>
        <v>3Y 3x</v>
      </c>
      <c r="B72" s="214">
        <f t="shared" si="27"/>
        <v>3</v>
      </c>
      <c r="C72" s="223">
        <f t="shared" si="28"/>
        <v>3</v>
      </c>
      <c r="D72" s="214">
        <v>7</v>
      </c>
      <c r="E72" s="214">
        <f t="shared" si="14"/>
        <v>2032</v>
      </c>
      <c r="F72" s="218">
        <f>IF(D72=1,'Model Inputs'!$B$25*(13-'Model Inputs'!$B$23)/12,'Model Inputs'!$B$25)</f>
        <v>300000</v>
      </c>
      <c r="G72" s="218">
        <f>IF(D72=1,'Model Inputs'!$B$27*(13-'Model Inputs'!$B$23)/12,IF(D72=2,'Model Inputs'!$B$27,IF(D72&lt;=MAX(3,'Model Inputs'!$B$30+1),'Model Inputs'!$B$27*(1+'Model Inputs'!$B$28)^(D72-3),'Model Inputs'!$B$27*(1+'Model Inputs'!$B$28)^(MAX(3,'Model Inputs'!$B$30+1)-3)*(1+'Model Inputs'!$B$29)^(D72-MAX(3,'Model Inputs'!$B$30+1)))))</f>
        <v>1534372.9821762268</v>
      </c>
      <c r="H72" s="224">
        <f>IF(D72&lt;=2,0,'Model Inputs'!$B$32*SIN(2*PI()*(D72-3+'Model Inputs'!$B$34)/MAX(1,'Model Inputs'!$B$33)))</f>
        <v>0.10392304845413269</v>
      </c>
      <c r="I72" s="218">
        <f t="shared" si="15"/>
        <v>1693829.6999496389</v>
      </c>
      <c r="J72" s="218">
        <f t="shared" si="29"/>
        <v>1118318.448466131</v>
      </c>
      <c r="K72" s="218">
        <f>F72+J72+IF(D72=1,'Model Inputs'!$B$26,0)</f>
        <v>1418318.448466131</v>
      </c>
      <c r="L72" s="218">
        <f t="shared" si="16"/>
        <v>4254955.3453983925</v>
      </c>
      <c r="M72" s="218">
        <f>MIN(L72,'Tax Assumptions'!$B$19)</f>
        <v>24500</v>
      </c>
      <c r="N72" s="218">
        <f>MAX(L72-M72-'Tax Assumptions'!$B$8,0)</f>
        <v>4214355.3453983925</v>
      </c>
      <c r="O72" s="218">
        <f>MAX(L72-M72-'Tax Assumptions'!$B$9,0)</f>
        <v>4222455.3453983925</v>
      </c>
      <c r="P72" s="218">
        <f>IF(N72=0,0,LOOKUP(N72,'Tax Assumptions'!$F$9:$F$15,'Tax Assumptions'!$I$9:$I$15)+(N72-LOOKUP(N72,'Tax Assumptions'!$F$9:$F$15,'Tax Assumptions'!$F$9:$F$15))*LOOKUP(N72,'Tax Assumptions'!$F$9:$F$15,'Tax Assumptions'!$H$9:$H$15))+MIN(MAX(L72,0),'Tax Assumptions'!$B$11)*'Tax Assumptions'!$B$10+MAX(L72,0)*'Tax Assumptions'!$B$12+MAX(MAX(L72,0)-'Tax Assumptions'!$B$14,0)*'Tax Assumptions'!$B$13+MIN(L72*'Tax Assumptions'!$B$15,'Tax Assumptions'!$B$16)+MIN(L72*'Tax Assumptions'!$B$17,'Tax Assumptions'!$B$18)+IF(O72=0,0,LOOKUP(O72,'Tax Assumptions'!$K$9:$K$17,'Tax Assumptions'!$N$9:$N$17)+(O72-LOOKUP(O72,'Tax Assumptions'!$K$9:$K$17,'Tax Assumptions'!$K$9:$K$17))*LOOKUP(O72,'Tax Assumptions'!$K$9:$K$17,'Tax Assumptions'!$M$9:$M$17))+IF(O72=0,0,LOOKUP(O72,'Tax Assumptions'!$P$9:$P$12,'Tax Assumptions'!$S$9:$S$12)+(O72-LOOKUP(O72,'Tax Assumptions'!$P$9:$P$12,'Tax Assumptions'!$P$9:$P$12))*LOOKUP(O72,'Tax Assumptions'!$P$9:$P$12,'Tax Assumptions'!$R$9:$R$12))</f>
        <v>2163560.8234328539</v>
      </c>
      <c r="Q72" s="218">
        <f t="shared" si="17"/>
        <v>2066894.5219655386</v>
      </c>
      <c r="R72" s="218">
        <f>IF(D72&lt;=10,INDEX('Savings Projection'!$BL$19:$BL$28,D72),LOOKUP(2,1/('Savings Projection'!$BL$19:$BL$28&lt;&gt;""),'Savings Projection'!$BL$19:$BL$28))*(1+'Model Inputs'!$B$35)^(D72-1)+IF(D72&lt;=10,INDEX('Savings Projection'!$BM$19:$BM$28,D72),LOOKUP(2,1/('Savings Projection'!$BM$19:$BM$28&lt;&gt;""),'Savings Projection'!$BM$19:$BM$28))*(1+'Model Inputs'!$B$36)^(D72-1)</f>
        <v>155226.79854876999</v>
      </c>
      <c r="S72" s="218">
        <f t="shared" si="18"/>
        <v>1911667.7234167687</v>
      </c>
      <c r="T72" s="218">
        <f>MIN(MAX(S72,0),'Tax Assumptions'!$B$20)</f>
        <v>7500</v>
      </c>
      <c r="U72" s="218">
        <f t="shared" si="19"/>
        <v>1904167.7234167687</v>
      </c>
      <c r="V72" s="218">
        <f>MAX(V71*(1+'Model Inputs'!$B$13)+U72,0)</f>
        <v>6950645.9824655615</v>
      </c>
      <c r="W72" s="218">
        <f>MAX(W71*(1+'Model Inputs'!$B$13)+M72+T72,0)</f>
        <v>268602.80479539197</v>
      </c>
      <c r="X72" s="218">
        <f t="shared" si="20"/>
        <v>7219248.7872609533</v>
      </c>
      <c r="Y72" s="226" t="str">
        <f t="shared" si="21"/>
        <v/>
      </c>
      <c r="Z72" s="226" t="str">
        <f t="shared" si="22"/>
        <v/>
      </c>
      <c r="AA72" s="226" t="str">
        <f t="shared" si="23"/>
        <v/>
      </c>
      <c r="AB72" s="226" t="str">
        <f t="shared" si="24"/>
        <v/>
      </c>
    </row>
    <row r="73" spans="1:28" x14ac:dyDescent="0.2">
      <c r="A73" s="214" t="str">
        <f t="shared" si="26"/>
        <v>3Y 3x</v>
      </c>
      <c r="B73" s="214">
        <f t="shared" si="27"/>
        <v>3</v>
      </c>
      <c r="C73" s="223">
        <f t="shared" si="28"/>
        <v>3</v>
      </c>
      <c r="D73" s="214">
        <v>8</v>
      </c>
      <c r="E73" s="214">
        <f t="shared" si="14"/>
        <v>2033</v>
      </c>
      <c r="F73" s="218">
        <f>IF(D73=1,'Model Inputs'!$B$25*(13-'Model Inputs'!$B$23)/12,'Model Inputs'!$B$25)</f>
        <v>300000</v>
      </c>
      <c r="G73" s="218">
        <f>IF(D73=1,'Model Inputs'!$B$27*(13-'Model Inputs'!$B$23)/12,IF(D73=2,'Model Inputs'!$B$27,IF(D73&lt;=MAX(3,'Model Inputs'!$B$30+1),'Model Inputs'!$B$27*(1+'Model Inputs'!$B$28)^(D73-3),'Model Inputs'!$B$27*(1+'Model Inputs'!$B$28)^(MAX(3,'Model Inputs'!$B$30+1)-3)*(1+'Model Inputs'!$B$29)^(D73-MAX(3,'Model Inputs'!$B$30+1)))))</f>
        <v>1950000.0000000002</v>
      </c>
      <c r="H73" s="224">
        <f>IF(D73&lt;=2,0,'Model Inputs'!$B$32*SIN(2*PI()*(D73-3+'Model Inputs'!$B$34)/MAX(1,'Model Inputs'!$B$33)))</f>
        <v>-0.10392304845413264</v>
      </c>
      <c r="I73" s="218">
        <f t="shared" si="15"/>
        <v>1747350.0555144416</v>
      </c>
      <c r="J73" s="218">
        <f t="shared" si="29"/>
        <v>1572205.6657868917</v>
      </c>
      <c r="K73" s="218">
        <f>F73+J73+IF(D73=1,'Model Inputs'!$B$26,0)</f>
        <v>1872205.6657868917</v>
      </c>
      <c r="L73" s="218">
        <f t="shared" si="16"/>
        <v>5616616.9973606747</v>
      </c>
      <c r="M73" s="218">
        <f>MIN(L73,'Tax Assumptions'!$B$19)</f>
        <v>24500</v>
      </c>
      <c r="N73" s="218">
        <f>MAX(L73-M73-'Tax Assumptions'!$B$8,0)</f>
        <v>5576016.9973606747</v>
      </c>
      <c r="O73" s="218">
        <f>MAX(L73-M73-'Tax Assumptions'!$B$9,0)</f>
        <v>5584116.9973606747</v>
      </c>
      <c r="P73" s="218">
        <f>IF(N73=0,0,LOOKUP(N73,'Tax Assumptions'!$F$9:$F$15,'Tax Assumptions'!$I$9:$I$15)+(N73-LOOKUP(N73,'Tax Assumptions'!$F$9:$F$15,'Tax Assumptions'!$F$9:$F$15))*LOOKUP(N73,'Tax Assumptions'!$F$9:$F$15,'Tax Assumptions'!$H$9:$H$15))+MIN(MAX(L73,0),'Tax Assumptions'!$B$11)*'Tax Assumptions'!$B$10+MAX(L73,0)*'Tax Assumptions'!$B$12+MAX(MAX(L73,0)-'Tax Assumptions'!$B$14,0)*'Tax Assumptions'!$B$13+MIN(L73*'Tax Assumptions'!$B$15,'Tax Assumptions'!$B$16)+MIN(L73*'Tax Assumptions'!$B$17,'Tax Assumptions'!$B$18)+IF(O73=0,0,LOOKUP(O73,'Tax Assumptions'!$K$9:$K$17,'Tax Assumptions'!$N$9:$N$17)+(O73-LOOKUP(O73,'Tax Assumptions'!$K$9:$K$17,'Tax Assumptions'!$K$9:$K$17))*LOOKUP(O73,'Tax Assumptions'!$K$9:$K$17,'Tax Assumptions'!$M$9:$M$17))+IF(O73=0,0,LOOKUP(O73,'Tax Assumptions'!$P$9:$P$12,'Tax Assumptions'!$S$9:$S$12)+(O73-LOOKUP(O73,'Tax Assumptions'!$P$9:$P$12,'Tax Assumptions'!$P$9:$P$12))*LOOKUP(O73,'Tax Assumptions'!$P$9:$P$12,'Tax Assumptions'!$R$9:$R$12))</f>
        <v>2887352.9540072749</v>
      </c>
      <c r="Q73" s="218">
        <f t="shared" si="17"/>
        <v>2704764.0433533997</v>
      </c>
      <c r="R73" s="218">
        <f>IF(D73&lt;=10,INDEX('Savings Projection'!$BL$19:$BL$28,D73),LOOKUP(2,1/('Savings Projection'!$BL$19:$BL$28&lt;&gt;""),'Savings Projection'!$BL$19:$BL$28))*(1+'Model Inputs'!$B$35)^(D73-1)+IF(D73&lt;=10,INDEX('Savings Projection'!$BM$19:$BM$28,D73),LOOKUP(2,1/('Savings Projection'!$BM$19:$BM$28&lt;&gt;""),'Savings Projection'!$BM$19:$BM$28))*(1+'Model Inputs'!$B$36)^(D73-1)</f>
        <v>159883.60250523311</v>
      </c>
      <c r="S73" s="218">
        <f t="shared" si="18"/>
        <v>2544880.4408481666</v>
      </c>
      <c r="T73" s="218">
        <f>MIN(MAX(S73,0),'Tax Assumptions'!$B$20)</f>
        <v>7500</v>
      </c>
      <c r="U73" s="218">
        <f t="shared" si="19"/>
        <v>2537380.4408481666</v>
      </c>
      <c r="V73" s="218">
        <f>MAX(V72*(1+'Model Inputs'!$B$13)+U73,0)</f>
        <v>9905065.1822616626</v>
      </c>
      <c r="W73" s="218">
        <f>MAX(W72*(1+'Model Inputs'!$B$13)+M73+T73,0)</f>
        <v>316718.97308311553</v>
      </c>
      <c r="X73" s="218">
        <f t="shared" si="20"/>
        <v>10221784.155344779</v>
      </c>
      <c r="Y73" s="226" t="str">
        <f t="shared" si="21"/>
        <v/>
      </c>
      <c r="Z73" s="226" t="str">
        <f t="shared" si="22"/>
        <v/>
      </c>
      <c r="AA73" s="226" t="str">
        <f t="shared" si="23"/>
        <v/>
      </c>
      <c r="AB73" s="226" t="str">
        <f t="shared" si="24"/>
        <v/>
      </c>
    </row>
    <row r="74" spans="1:28" x14ac:dyDescent="0.2">
      <c r="A74" s="214" t="str">
        <f t="shared" si="26"/>
        <v>3Y 3x</v>
      </c>
      <c r="B74" s="214">
        <f t="shared" si="27"/>
        <v>3</v>
      </c>
      <c r="C74" s="223">
        <f t="shared" si="28"/>
        <v>3</v>
      </c>
      <c r="D74" s="214">
        <v>9</v>
      </c>
      <c r="E74" s="214">
        <f t="shared" si="14"/>
        <v>2034</v>
      </c>
      <c r="F74" s="218">
        <f>IF(D74=1,'Model Inputs'!$B$25*(13-'Model Inputs'!$B$23)/12,'Model Inputs'!$B$25)</f>
        <v>300000</v>
      </c>
      <c r="G74" s="218">
        <f>IF(D74=1,'Model Inputs'!$B$27*(13-'Model Inputs'!$B$23)/12,IF(D74=2,'Model Inputs'!$B$27,IF(D74&lt;=MAX(3,'Model Inputs'!$B$30+1),'Model Inputs'!$B$27*(1+'Model Inputs'!$B$28)^(D74-3),'Model Inputs'!$B$27*(1+'Model Inputs'!$B$28)^(MAX(3,'Model Inputs'!$B$30+1)-3)*(1+'Model Inputs'!$B$29)^(D74-MAX(3,'Model Inputs'!$B$30+1)))))</f>
        <v>2478210.9983498608</v>
      </c>
      <c r="H74" s="224">
        <f>IF(D74&lt;=2,0,'Model Inputs'!$B$32*SIN(2*PI()*(D74-3+'Model Inputs'!$B$34)/MAX(1,'Model Inputs'!$B$33)))</f>
        <v>-5.8783046359072947E-17</v>
      </c>
      <c r="I74" s="218">
        <f t="shared" si="15"/>
        <v>2478210.9983498603</v>
      </c>
      <c r="J74" s="218">
        <f t="shared" si="29"/>
        <v>1733969.9666232408</v>
      </c>
      <c r="K74" s="218">
        <f>F74+J74+IF(D74=1,'Model Inputs'!$B$26,0)</f>
        <v>2033969.9666232408</v>
      </c>
      <c r="L74" s="218">
        <f t="shared" si="16"/>
        <v>6101909.8998697223</v>
      </c>
      <c r="M74" s="218">
        <f>MIN(L74,'Tax Assumptions'!$B$19)</f>
        <v>24500</v>
      </c>
      <c r="N74" s="218">
        <f>MAX(L74-M74-'Tax Assumptions'!$B$8,0)</f>
        <v>6061309.8998697223</v>
      </c>
      <c r="O74" s="218">
        <f>MAX(L74-M74-'Tax Assumptions'!$B$9,0)</f>
        <v>6069409.8998697223</v>
      </c>
      <c r="P74" s="218">
        <f>IF(N74=0,0,LOOKUP(N74,'Tax Assumptions'!$F$9:$F$15,'Tax Assumptions'!$I$9:$I$15)+(N74-LOOKUP(N74,'Tax Assumptions'!$F$9:$F$15,'Tax Assumptions'!$F$9:$F$15))*LOOKUP(N74,'Tax Assumptions'!$F$9:$F$15,'Tax Assumptions'!$H$9:$H$15))+MIN(MAX(L74,0),'Tax Assumptions'!$B$11)*'Tax Assumptions'!$B$10+MAX(L74,0)*'Tax Assumptions'!$B$12+MAX(MAX(L74,0)-'Tax Assumptions'!$B$14,0)*'Tax Assumptions'!$B$13+MIN(L74*'Tax Assumptions'!$B$15,'Tax Assumptions'!$B$16)+MIN(L74*'Tax Assumptions'!$B$17,'Tax Assumptions'!$B$18)+IF(O74=0,0,LOOKUP(O74,'Tax Assumptions'!$K$9:$K$17,'Tax Assumptions'!$N$9:$N$17)+(O74-LOOKUP(O74,'Tax Assumptions'!$K$9:$K$17,'Tax Assumptions'!$K$9:$K$17))*LOOKUP(O74,'Tax Assumptions'!$K$9:$K$17,'Tax Assumptions'!$M$9:$M$17))+IF(O74=0,0,LOOKUP(O74,'Tax Assumptions'!$P$9:$P$12,'Tax Assumptions'!$S$9:$S$12)+(O74-LOOKUP(O74,'Tax Assumptions'!$P$9:$P$12,'Tax Assumptions'!$P$9:$P$12))*LOOKUP(O74,'Tax Assumptions'!$P$9:$P$12,'Tax Assumptions'!$R$9:$R$12))</f>
        <v>3147110.8330042674</v>
      </c>
      <c r="Q74" s="218">
        <f t="shared" si="17"/>
        <v>2930299.0668654549</v>
      </c>
      <c r="R74" s="218">
        <f>IF(D74&lt;=10,INDEX('Savings Projection'!$BL$19:$BL$28,D74),LOOKUP(2,1/('Savings Projection'!$BL$19:$BL$28&lt;&gt;""),'Savings Projection'!$BL$19:$BL$28))*(1+'Model Inputs'!$B$35)^(D74-1)+IF(D74&lt;=10,INDEX('Savings Projection'!$BM$19:$BM$28,D74),LOOKUP(2,1/('Savings Projection'!$BM$19:$BM$28&lt;&gt;""),'Savings Projection'!$BM$19:$BM$28))*(1+'Model Inputs'!$B$36)^(D74-1)</f>
        <v>164680.11058039009</v>
      </c>
      <c r="S74" s="218">
        <f t="shared" si="18"/>
        <v>2765618.956285065</v>
      </c>
      <c r="T74" s="218">
        <f>MIN(MAX(S74,0),'Tax Assumptions'!$B$20)</f>
        <v>7500</v>
      </c>
      <c r="U74" s="218">
        <f t="shared" si="19"/>
        <v>2758118.956285065</v>
      </c>
      <c r="V74" s="218">
        <f>MAX(V73*(1+'Model Inputs'!$B$13)+U74,0)</f>
        <v>13257488.049482428</v>
      </c>
      <c r="W74" s="218">
        <f>MAX(W73*(1+'Model Inputs'!$B$13)+M74+T74,0)</f>
        <v>367722.11146810249</v>
      </c>
      <c r="X74" s="218">
        <f t="shared" si="20"/>
        <v>13625210.16095053</v>
      </c>
      <c r="Y74" s="226" t="str">
        <f t="shared" si="21"/>
        <v/>
      </c>
      <c r="Z74" s="226" t="str">
        <f t="shared" si="22"/>
        <v/>
      </c>
      <c r="AA74" s="226" t="str">
        <f t="shared" si="23"/>
        <v/>
      </c>
      <c r="AB74" s="226" t="str">
        <f t="shared" si="24"/>
        <v/>
      </c>
    </row>
    <row r="75" spans="1:28" x14ac:dyDescent="0.2">
      <c r="A75" s="214" t="str">
        <f t="shared" si="26"/>
        <v>3Y 3x</v>
      </c>
      <c r="B75" s="214">
        <f t="shared" si="27"/>
        <v>3</v>
      </c>
      <c r="C75" s="223">
        <f t="shared" si="28"/>
        <v>3</v>
      </c>
      <c r="D75" s="214">
        <v>10</v>
      </c>
      <c r="E75" s="214">
        <f t="shared" si="14"/>
        <v>2035</v>
      </c>
      <c r="F75" s="218">
        <f>IF(D75=1,'Model Inputs'!$B$25*(13-'Model Inputs'!$B$23)/12,'Model Inputs'!$B$25)</f>
        <v>300000</v>
      </c>
      <c r="G75" s="218">
        <f>IF(D75=1,'Model Inputs'!$B$27*(13-'Model Inputs'!$B$23)/12,IF(D75=2,'Model Inputs'!$B$27,IF(D75&lt;=MAX(3,'Model Inputs'!$B$30+1),'Model Inputs'!$B$27*(1+'Model Inputs'!$B$28)^(D75-3),'Model Inputs'!$B$27*(1+'Model Inputs'!$B$28)^(MAX(3,'Model Inputs'!$B$30+1)-3)*(1+'Model Inputs'!$B$29)^(D75-MAX(3,'Model Inputs'!$B$30+1)))))</f>
        <v>3149502.4370985711</v>
      </c>
      <c r="H75" s="224">
        <f>IF(D75&lt;=2,0,'Model Inputs'!$B$32*SIN(2*PI()*(D75-3+'Model Inputs'!$B$34)/MAX(1,'Model Inputs'!$B$33)))</f>
        <v>0.10392304845413271</v>
      </c>
      <c r="I75" s="218">
        <f t="shared" si="15"/>
        <v>3476808.331475575</v>
      </c>
      <c r="J75" s="218">
        <f t="shared" si="29"/>
        <v>2295495.7626410057</v>
      </c>
      <c r="K75" s="218">
        <f>F75+J75+IF(D75=1,'Model Inputs'!$B$26,0)</f>
        <v>2595495.7626410057</v>
      </c>
      <c r="L75" s="218">
        <f t="shared" si="16"/>
        <v>7786487.2879230175</v>
      </c>
      <c r="M75" s="218">
        <f>MIN(L75,'Tax Assumptions'!$B$19)</f>
        <v>24500</v>
      </c>
      <c r="N75" s="218">
        <f>MAX(L75-M75-'Tax Assumptions'!$B$8,0)</f>
        <v>7745887.2879230175</v>
      </c>
      <c r="O75" s="218">
        <f>MAX(L75-M75-'Tax Assumptions'!$B$9,0)</f>
        <v>7753987.2879230175</v>
      </c>
      <c r="P75" s="218">
        <f>IF(N75=0,0,LOOKUP(N75,'Tax Assumptions'!$F$9:$F$15,'Tax Assumptions'!$I$9:$I$15)+(N75-LOOKUP(N75,'Tax Assumptions'!$F$9:$F$15,'Tax Assumptions'!$F$9:$F$15))*LOOKUP(N75,'Tax Assumptions'!$F$9:$F$15,'Tax Assumptions'!$H$9:$H$15))+MIN(MAX(L75,0),'Tax Assumptions'!$B$11)*'Tax Assumptions'!$B$10+MAX(L75,0)*'Tax Assumptions'!$B$12+MAX(MAX(L75,0)-'Tax Assumptions'!$B$14,0)*'Tax Assumptions'!$B$13+MIN(L75*'Tax Assumptions'!$B$15,'Tax Assumptions'!$B$16)+MIN(L75*'Tax Assumptions'!$B$17,'Tax Assumptions'!$B$18)+IF(O75=0,0,LOOKUP(O75,'Tax Assumptions'!$K$9:$K$17,'Tax Assumptions'!$N$9:$N$17)+(O75-LOOKUP(O75,'Tax Assumptions'!$K$9:$K$17,'Tax Assumptions'!$K$9:$K$17))*LOOKUP(O75,'Tax Assumptions'!$K$9:$K$17,'Tax Assumptions'!$M$9:$M$17))+IF(O75=0,0,LOOKUP(O75,'Tax Assumptions'!$P$9:$P$12,'Tax Assumptions'!$S$9:$S$12)+(O75-LOOKUP(O75,'Tax Assumptions'!$P$9:$P$12,'Tax Assumptions'!$P$9:$P$12))*LOOKUP(O75,'Tax Assumptions'!$P$9:$P$12,'Tax Assumptions'!$R$9:$R$12))</f>
        <v>4048797.7257336751</v>
      </c>
      <c r="Q75" s="218">
        <f t="shared" si="17"/>
        <v>3713189.5621893425</v>
      </c>
      <c r="R75" s="218">
        <f>IF(D75&lt;=10,INDEX('Savings Projection'!$BL$19:$BL$28,D75),LOOKUP(2,1/('Savings Projection'!$BL$19:$BL$28&lt;&gt;""),'Savings Projection'!$BL$19:$BL$28))*(1+'Model Inputs'!$B$35)^(D75-1)+IF(D75&lt;=10,INDEX('Savings Projection'!$BM$19:$BM$28,D75),LOOKUP(2,1/('Savings Projection'!$BM$19:$BM$28&lt;&gt;""),'Savings Projection'!$BM$19:$BM$28))*(1+'Model Inputs'!$B$36)^(D75-1)</f>
        <v>169620.51389780178</v>
      </c>
      <c r="S75" s="218">
        <f t="shared" si="18"/>
        <v>3543569.0482915407</v>
      </c>
      <c r="T75" s="218">
        <f>MIN(MAX(S75,0),'Tax Assumptions'!$B$20)</f>
        <v>7500</v>
      </c>
      <c r="U75" s="218">
        <f t="shared" si="19"/>
        <v>3536069.0482915407</v>
      </c>
      <c r="V75" s="218">
        <f>MAX(V74*(1+'Model Inputs'!$B$13)+U75,0)</f>
        <v>17589006.380742915</v>
      </c>
      <c r="W75" s="218">
        <f>MAX(W74*(1+'Model Inputs'!$B$13)+M75+T75,0)</f>
        <v>421785.43815618864</v>
      </c>
      <c r="X75" s="218">
        <f t="shared" si="20"/>
        <v>18010791.818899103</v>
      </c>
      <c r="Y75" s="226">
        <f t="shared" si="21"/>
        <v>10</v>
      </c>
      <c r="Z75" s="226">
        <f t="shared" si="22"/>
        <v>10</v>
      </c>
      <c r="AA75" s="226">
        <f t="shared" si="23"/>
        <v>10</v>
      </c>
      <c r="AB75" s="226" t="str">
        <f t="shared" si="24"/>
        <v/>
      </c>
    </row>
    <row r="76" spans="1:28" x14ac:dyDescent="0.2">
      <c r="A76" s="214" t="str">
        <f t="shared" si="26"/>
        <v>3Y 3x</v>
      </c>
      <c r="B76" s="214">
        <f t="shared" si="27"/>
        <v>3</v>
      </c>
      <c r="C76" s="223">
        <f t="shared" si="28"/>
        <v>3</v>
      </c>
      <c r="D76" s="214">
        <v>11</v>
      </c>
      <c r="E76" s="214">
        <f t="shared" si="14"/>
        <v>2036</v>
      </c>
      <c r="F76" s="218">
        <f>IF(D76=1,'Model Inputs'!$B$25*(13-'Model Inputs'!$B$23)/12,'Model Inputs'!$B$25)</f>
        <v>300000</v>
      </c>
      <c r="G76" s="218">
        <f>IF(D76=1,'Model Inputs'!$B$27*(13-'Model Inputs'!$B$23)/12,IF(D76=2,'Model Inputs'!$B$27,IF(D76&lt;=MAX(3,'Model Inputs'!$B$30+1),'Model Inputs'!$B$27*(1+'Model Inputs'!$B$28)^(D76-3),'Model Inputs'!$B$27*(1+'Model Inputs'!$B$28)^(MAX(3,'Model Inputs'!$B$30+1)-3)*(1+'Model Inputs'!$B$29)^(D76-MAX(3,'Model Inputs'!$B$30+1)))))</f>
        <v>4002631.578947369</v>
      </c>
      <c r="H76" s="224">
        <f>IF(D76&lt;=2,0,'Model Inputs'!$B$32*SIN(2*PI()*(D76-3+'Model Inputs'!$B$34)/MAX(1,'Model Inputs'!$B$33)))</f>
        <v>-0.10392304845413253</v>
      </c>
      <c r="I76" s="218">
        <f t="shared" si="15"/>
        <v>3586665.9034243808</v>
      </c>
      <c r="J76" s="218">
        <f t="shared" si="29"/>
        <v>3227158.9981941464</v>
      </c>
      <c r="K76" s="218">
        <f>F76+J76+IF(D76=1,'Model Inputs'!$B$26,0)</f>
        <v>3527158.9981941464</v>
      </c>
      <c r="L76" s="218">
        <f t="shared" si="16"/>
        <v>10581476.994582439</v>
      </c>
      <c r="M76" s="218">
        <f>MIN(L76,'Tax Assumptions'!$B$19)</f>
        <v>24500</v>
      </c>
      <c r="N76" s="218">
        <f>MAX(L76-M76-'Tax Assumptions'!$B$8,0)</f>
        <v>10540876.994582439</v>
      </c>
      <c r="O76" s="218">
        <f>MAX(L76-M76-'Tax Assumptions'!$B$9,0)</f>
        <v>10548976.994582439</v>
      </c>
      <c r="P76" s="218">
        <f>IF(N76=0,0,LOOKUP(N76,'Tax Assumptions'!$F$9:$F$15,'Tax Assumptions'!$I$9:$I$15)+(N76-LOOKUP(N76,'Tax Assumptions'!$F$9:$F$15,'Tax Assumptions'!$F$9:$F$15))*LOOKUP(N76,'Tax Assumptions'!$F$9:$F$15,'Tax Assumptions'!$H$9:$H$15))+MIN(MAX(L76,0),'Tax Assumptions'!$B$11)*'Tax Assumptions'!$B$10+MAX(L76,0)*'Tax Assumptions'!$B$12+MAX(MAX(L76,0)-'Tax Assumptions'!$B$14,0)*'Tax Assumptions'!$B$13+MIN(L76*'Tax Assumptions'!$B$15,'Tax Assumptions'!$B$16)+MIN(L76*'Tax Assumptions'!$B$17,'Tax Assumptions'!$B$18)+IF(O76=0,0,LOOKUP(O76,'Tax Assumptions'!$K$9:$K$17,'Tax Assumptions'!$N$9:$N$17)+(O76-LOOKUP(O76,'Tax Assumptions'!$K$9:$K$17,'Tax Assumptions'!$K$9:$K$17))*LOOKUP(O76,'Tax Assumptions'!$K$9:$K$17,'Tax Assumptions'!$M$9:$M$17))+IF(O76=0,0,LOOKUP(O76,'Tax Assumptions'!$P$9:$P$12,'Tax Assumptions'!$S$9:$S$12)+(O76-LOOKUP(O76,'Tax Assumptions'!$P$9:$P$12,'Tax Assumptions'!$P$9:$P$12))*LOOKUP(O76,'Tax Assumptions'!$P$9:$P$12,'Tax Assumptions'!$R$9:$R$12))</f>
        <v>5544843.9161201967</v>
      </c>
      <c r="Q76" s="218">
        <f t="shared" si="17"/>
        <v>5012133.0784622421</v>
      </c>
      <c r="R76" s="218">
        <f>IF(D76&lt;=10,INDEX('Savings Projection'!$BL$19:$BL$28,D76),LOOKUP(2,1/('Savings Projection'!$BL$19:$BL$28&lt;&gt;""),'Savings Projection'!$BL$19:$BL$28))*(1+'Model Inputs'!$B$35)^(D76-1)+IF(D76&lt;=10,INDEX('Savings Projection'!$BM$19:$BM$28,D76),LOOKUP(2,1/('Savings Projection'!$BM$19:$BM$28&lt;&gt;""),'Savings Projection'!$BM$19:$BM$28))*(1+'Model Inputs'!$B$36)^(D76-1)</f>
        <v>174709.12931473582</v>
      </c>
      <c r="S76" s="218">
        <f t="shared" si="18"/>
        <v>4837423.9491475066</v>
      </c>
      <c r="T76" s="218">
        <f>MIN(MAX(S76,0),'Tax Assumptions'!$B$20)</f>
        <v>7500</v>
      </c>
      <c r="U76" s="218">
        <f t="shared" si="19"/>
        <v>4829923.9491475066</v>
      </c>
      <c r="V76" s="218">
        <f>MAX(V75*(1+'Model Inputs'!$B$13)+U76,0)</f>
        <v>23474270.712734997</v>
      </c>
      <c r="W76" s="218">
        <f>MAX(W75*(1+'Model Inputs'!$B$13)+M76+T76,0)</f>
        <v>479092.56444555998</v>
      </c>
      <c r="X76" s="218">
        <f t="shared" si="20"/>
        <v>23953363.277180556</v>
      </c>
      <c r="Y76" s="226" t="str">
        <f t="shared" si="21"/>
        <v/>
      </c>
      <c r="Z76" s="226" t="str">
        <f t="shared" si="22"/>
        <v/>
      </c>
      <c r="AA76" s="226" t="str">
        <f t="shared" si="23"/>
        <v/>
      </c>
      <c r="AB76" s="226">
        <f t="shared" si="24"/>
        <v>11</v>
      </c>
    </row>
    <row r="77" spans="1:28" x14ac:dyDescent="0.2">
      <c r="A77" s="214" t="str">
        <f t="shared" si="26"/>
        <v>3Y 3x</v>
      </c>
      <c r="B77" s="214">
        <f t="shared" si="27"/>
        <v>3</v>
      </c>
      <c r="C77" s="223">
        <f t="shared" si="28"/>
        <v>3</v>
      </c>
      <c r="D77" s="214">
        <v>12</v>
      </c>
      <c r="E77" s="214">
        <f t="shared" si="14"/>
        <v>2037</v>
      </c>
      <c r="F77" s="218">
        <f>IF(D77=1,'Model Inputs'!$B$25*(13-'Model Inputs'!$B$23)/12,'Model Inputs'!$B$25)</f>
        <v>300000</v>
      </c>
      <c r="G77" s="218">
        <f>IF(D77=1,'Model Inputs'!$B$27*(13-'Model Inputs'!$B$23)/12,IF(D77=2,'Model Inputs'!$B$27,IF(D77&lt;=MAX(3,'Model Inputs'!$B$30+1),'Model Inputs'!$B$27*(1+'Model Inputs'!$B$28)^(D77-3),'Model Inputs'!$B$27*(1+'Model Inputs'!$B$28)^(MAX(3,'Model Inputs'!$B$30+1)-3)*(1+'Model Inputs'!$B$29)^(D77-MAX(3,'Model Inputs'!$B$30+1)))))</f>
        <v>5086854.15450761</v>
      </c>
      <c r="H77" s="224">
        <f>IF(D77&lt;=2,0,'Model Inputs'!$B$32*SIN(2*PI()*(D77-3+'Model Inputs'!$B$34)/MAX(1,'Model Inputs'!$B$33)))</f>
        <v>-8.8174569538609421E-17</v>
      </c>
      <c r="I77" s="218">
        <f t="shared" si="15"/>
        <v>5086854.1545076091</v>
      </c>
      <c r="J77" s="218">
        <f t="shared" si="29"/>
        <v>3559201.5104371794</v>
      </c>
      <c r="K77" s="218">
        <f>F77+J77+IF(D77=1,'Model Inputs'!$B$26,0)</f>
        <v>3859201.5104371794</v>
      </c>
      <c r="L77" s="218">
        <f t="shared" si="16"/>
        <v>11577604.531311538</v>
      </c>
      <c r="M77" s="218">
        <f>MIN(L77,'Tax Assumptions'!$B$19)</f>
        <v>24500</v>
      </c>
      <c r="N77" s="218">
        <f>MAX(L77-M77-'Tax Assumptions'!$B$8,0)</f>
        <v>11537004.531311538</v>
      </c>
      <c r="O77" s="218">
        <f>MAX(L77-M77-'Tax Assumptions'!$B$9,0)</f>
        <v>11545104.531311538</v>
      </c>
      <c r="P77" s="218">
        <f>IF(N77=0,0,LOOKUP(N77,'Tax Assumptions'!$F$9:$F$15,'Tax Assumptions'!$I$9:$I$15)+(N77-LOOKUP(N77,'Tax Assumptions'!$F$9:$F$15,'Tax Assumptions'!$F$9:$F$15))*LOOKUP(N77,'Tax Assumptions'!$F$9:$F$15,'Tax Assumptions'!$H$9:$H$15))+MIN(MAX(L77,0),'Tax Assumptions'!$B$11)*'Tax Assumptions'!$B$10+MAX(L77,0)*'Tax Assumptions'!$B$12+MAX(MAX(L77,0)-'Tax Assumptions'!$B$14,0)*'Tax Assumptions'!$B$13+MIN(L77*'Tax Assumptions'!$B$15,'Tax Assumptions'!$B$16)+MIN(L77*'Tax Assumptions'!$B$17,'Tax Assumptions'!$B$18)+IF(O77=0,0,LOOKUP(O77,'Tax Assumptions'!$K$9:$K$17,'Tax Assumptions'!$N$9:$N$17)+(O77-LOOKUP(O77,'Tax Assumptions'!$K$9:$K$17,'Tax Assumptions'!$K$9:$K$17))*LOOKUP(O77,'Tax Assumptions'!$K$9:$K$17,'Tax Assumptions'!$M$9:$M$17))+IF(O77=0,0,LOOKUP(O77,'Tax Assumptions'!$P$9:$P$12,'Tax Assumptions'!$S$9:$S$12)+(O77-LOOKUP(O77,'Tax Assumptions'!$P$9:$P$12,'Tax Assumptions'!$P$9:$P$12))*LOOKUP(O77,'Tax Assumptions'!$P$9:$P$12,'Tax Assumptions'!$R$9:$R$12))</f>
        <v>6078031.1414298145</v>
      </c>
      <c r="Q77" s="218">
        <f t="shared" si="17"/>
        <v>5475073.3898817236</v>
      </c>
      <c r="R77" s="218">
        <f>IF(D77&lt;=10,INDEX('Savings Projection'!$BL$19:$BL$28,D77),LOOKUP(2,1/('Savings Projection'!$BL$19:$BL$28&lt;&gt;""),'Savings Projection'!$BL$19:$BL$28))*(1+'Model Inputs'!$B$35)^(D77-1)+IF(D77&lt;=10,INDEX('Savings Projection'!$BM$19:$BM$28,D77),LOOKUP(2,1/('Savings Projection'!$BM$19:$BM$28&lt;&gt;""),'Savings Projection'!$BM$19:$BM$28))*(1+'Model Inputs'!$B$36)^(D77-1)</f>
        <v>179950.4031941779</v>
      </c>
      <c r="S77" s="218">
        <f t="shared" si="18"/>
        <v>5295122.9866875457</v>
      </c>
      <c r="T77" s="218">
        <f>MIN(MAX(S77,0),'Tax Assumptions'!$B$20)</f>
        <v>7500</v>
      </c>
      <c r="U77" s="218">
        <f t="shared" si="19"/>
        <v>5287622.9866875457</v>
      </c>
      <c r="V77" s="218">
        <f>MAX(V76*(1+'Model Inputs'!$B$13)+U77,0)</f>
        <v>30170349.942186642</v>
      </c>
      <c r="W77" s="218">
        <f>MAX(W76*(1+'Model Inputs'!$B$13)+M77+T77,0)</f>
        <v>539838.11831229366</v>
      </c>
      <c r="X77" s="218">
        <f t="shared" si="20"/>
        <v>30710188.060498938</v>
      </c>
      <c r="Y77" s="226" t="str">
        <f t="shared" si="21"/>
        <v/>
      </c>
      <c r="Z77" s="226" t="str">
        <f t="shared" si="22"/>
        <v/>
      </c>
      <c r="AA77" s="226" t="str">
        <f t="shared" si="23"/>
        <v/>
      </c>
      <c r="AB77" s="226" t="str">
        <f t="shared" si="24"/>
        <v/>
      </c>
    </row>
    <row r="78" spans="1:28" x14ac:dyDescent="0.2">
      <c r="A78" s="214" t="str">
        <f t="shared" si="26"/>
        <v>3Y 3x</v>
      </c>
      <c r="B78" s="214">
        <f t="shared" si="27"/>
        <v>3</v>
      </c>
      <c r="C78" s="223">
        <f t="shared" si="28"/>
        <v>3</v>
      </c>
      <c r="D78" s="214">
        <v>13</v>
      </c>
      <c r="E78" s="214">
        <f t="shared" si="14"/>
        <v>2038</v>
      </c>
      <c r="F78" s="218">
        <f>IF(D78=1,'Model Inputs'!$B$25*(13-'Model Inputs'!$B$23)/12,'Model Inputs'!$B$25)</f>
        <v>300000</v>
      </c>
      <c r="G78" s="218">
        <f>IF(D78=1,'Model Inputs'!$B$27*(13-'Model Inputs'!$B$23)/12,IF(D78=2,'Model Inputs'!$B$27,IF(D78&lt;=MAX(3,'Model Inputs'!$B$30+1),'Model Inputs'!$B$27*(1+'Model Inputs'!$B$28)^(D78-3),'Model Inputs'!$B$27*(1+'Model Inputs'!$B$28)^(MAX(3,'Model Inputs'!$B$30+1)-3)*(1+'Model Inputs'!$B$29)^(D78-MAX(3,'Model Inputs'!$B$30+1)))))</f>
        <v>6464768.1603602255</v>
      </c>
      <c r="H78" s="224">
        <f>IF(D78&lt;=2,0,'Model Inputs'!$B$32*SIN(2*PI()*(D78-3+'Model Inputs'!$B$34)/MAX(1,'Model Inputs'!$B$33)))</f>
        <v>0.10392304845413261</v>
      </c>
      <c r="I78" s="218">
        <f t="shared" si="15"/>
        <v>7136606.5751340752</v>
      </c>
      <c r="J78" s="218">
        <f t="shared" si="29"/>
        <v>4711807.0917368019</v>
      </c>
      <c r="K78" s="218">
        <f>F78+J78+IF(D78=1,'Model Inputs'!$B$26,0)</f>
        <v>5011807.0917368019</v>
      </c>
      <c r="L78" s="218">
        <f t="shared" si="16"/>
        <v>15035421.275210407</v>
      </c>
      <c r="M78" s="218">
        <f>MIN(L78,'Tax Assumptions'!$B$19)</f>
        <v>24500</v>
      </c>
      <c r="N78" s="218">
        <f>MAX(L78-M78-'Tax Assumptions'!$B$8,0)</f>
        <v>14994821.275210407</v>
      </c>
      <c r="O78" s="218">
        <f>MAX(L78-M78-'Tax Assumptions'!$B$9,0)</f>
        <v>15002921.275210407</v>
      </c>
      <c r="P78" s="218">
        <f>IF(N78=0,0,LOOKUP(N78,'Tax Assumptions'!$F$9:$F$15,'Tax Assumptions'!$I$9:$I$15)+(N78-LOOKUP(N78,'Tax Assumptions'!$F$9:$F$15,'Tax Assumptions'!$F$9:$F$15))*LOOKUP(N78,'Tax Assumptions'!$F$9:$F$15,'Tax Assumptions'!$H$9:$H$15))+MIN(MAX(L78,0),'Tax Assumptions'!$B$11)*'Tax Assumptions'!$B$10+MAX(L78,0)*'Tax Assumptions'!$B$12+MAX(MAX(L78,0)-'Tax Assumptions'!$B$14,0)*'Tax Assumptions'!$B$13+MIN(L78*'Tax Assumptions'!$B$15,'Tax Assumptions'!$B$16)+MIN(L78*'Tax Assumptions'!$B$17,'Tax Assumptions'!$B$18)+IF(O78=0,0,LOOKUP(O78,'Tax Assumptions'!$K$9:$K$17,'Tax Assumptions'!$N$9:$N$17)+(O78-LOOKUP(O78,'Tax Assumptions'!$K$9:$K$17,'Tax Assumptions'!$K$9:$K$17))*LOOKUP(O78,'Tax Assumptions'!$K$9:$K$17,'Tax Assumptions'!$M$9:$M$17))+IF(O78=0,0,LOOKUP(O78,'Tax Assumptions'!$P$9:$P$12,'Tax Assumptions'!$S$9:$S$12)+(O78-LOOKUP(O78,'Tax Assumptions'!$P$9:$P$12,'Tax Assumptions'!$P$9:$P$12))*LOOKUP(O78,'Tax Assumptions'!$P$9:$P$12,'Tax Assumptions'!$R$9:$R$12))</f>
        <v>7928862.1317691216</v>
      </c>
      <c r="Q78" s="218">
        <f t="shared" si="17"/>
        <v>7082059.143441285</v>
      </c>
      <c r="R78" s="218">
        <f>IF(D78&lt;=10,INDEX('Savings Projection'!$BL$19:$BL$28,D78),LOOKUP(2,1/('Savings Projection'!$BL$19:$BL$28&lt;&gt;""),'Savings Projection'!$BL$19:$BL$28))*(1+'Model Inputs'!$B$35)^(D78-1)+IF(D78&lt;=10,INDEX('Savings Projection'!$BM$19:$BM$28,D78),LOOKUP(2,1/('Savings Projection'!$BM$19:$BM$28&lt;&gt;""),'Savings Projection'!$BM$19:$BM$28))*(1+'Model Inputs'!$B$36)^(D78-1)</f>
        <v>185348.91529000323</v>
      </c>
      <c r="S78" s="218">
        <f t="shared" si="18"/>
        <v>6896710.2281512814</v>
      </c>
      <c r="T78" s="218">
        <f>MIN(MAX(S78,0),'Tax Assumptions'!$B$20)</f>
        <v>7500</v>
      </c>
      <c r="U78" s="218">
        <f t="shared" si="19"/>
        <v>6889210.2281512814</v>
      </c>
      <c r="V78" s="218">
        <f>MAX(V77*(1+'Model Inputs'!$B$13)+U78,0)</f>
        <v>38869781.166869126</v>
      </c>
      <c r="W78" s="218">
        <f>MAX(W77*(1+'Model Inputs'!$B$13)+M78+T78,0)</f>
        <v>604228.40541103133</v>
      </c>
      <c r="X78" s="218">
        <f t="shared" si="20"/>
        <v>39474009.572280161</v>
      </c>
      <c r="Y78" s="226" t="str">
        <f t="shared" si="21"/>
        <v/>
      </c>
      <c r="Z78" s="226" t="str">
        <f t="shared" si="22"/>
        <v/>
      </c>
      <c r="AA78" s="226" t="str">
        <f t="shared" si="23"/>
        <v/>
      </c>
      <c r="AB78" s="226" t="str">
        <f t="shared" si="24"/>
        <v/>
      </c>
    </row>
    <row r="79" spans="1:28" x14ac:dyDescent="0.2">
      <c r="A79" s="214" t="str">
        <f t="shared" si="26"/>
        <v>3Y 3x</v>
      </c>
      <c r="B79" s="214">
        <f t="shared" si="27"/>
        <v>3</v>
      </c>
      <c r="C79" s="223">
        <f t="shared" si="28"/>
        <v>3</v>
      </c>
      <c r="D79" s="214">
        <v>14</v>
      </c>
      <c r="E79" s="214">
        <f t="shared" si="14"/>
        <v>2039</v>
      </c>
      <c r="F79" s="218">
        <f>IF(D79=1,'Model Inputs'!$B$25*(13-'Model Inputs'!$B$23)/12,'Model Inputs'!$B$25)</f>
        <v>300000</v>
      </c>
      <c r="G79" s="218">
        <f>IF(D79=1,'Model Inputs'!$B$27*(13-'Model Inputs'!$B$23)/12,IF(D79=2,'Model Inputs'!$B$27,IF(D79&lt;=MAX(3,'Model Inputs'!$B$30+1),'Model Inputs'!$B$27*(1+'Model Inputs'!$B$28)^(D79-3),'Model Inputs'!$B$27*(1+'Model Inputs'!$B$28)^(MAX(3,'Model Inputs'!$B$30+1)-3)*(1+'Model Inputs'!$B$29)^(D79-MAX(3,'Model Inputs'!$B$30+1)))))</f>
        <v>8215927.9778393377</v>
      </c>
      <c r="H79" s="224">
        <f>IF(D79&lt;=2,0,'Model Inputs'!$B$32*SIN(2*PI()*(D79-3+'Model Inputs'!$B$34)/MAX(1,'Model Inputs'!$B$33)))</f>
        <v>-0.10392304845413251</v>
      </c>
      <c r="I79" s="218">
        <f t="shared" si="15"/>
        <v>7362103.6965026772</v>
      </c>
      <c r="J79" s="218">
        <f t="shared" si="29"/>
        <v>6624168.4699774589</v>
      </c>
      <c r="K79" s="218">
        <f>F79+J79+IF(D79=1,'Model Inputs'!$B$26,0)</f>
        <v>6924168.4699774589</v>
      </c>
      <c r="L79" s="218">
        <f t="shared" si="16"/>
        <v>20772505.409932375</v>
      </c>
      <c r="M79" s="218">
        <f>MIN(L79,'Tax Assumptions'!$B$19)</f>
        <v>24500</v>
      </c>
      <c r="N79" s="218">
        <f>MAX(L79-M79-'Tax Assumptions'!$B$8,0)</f>
        <v>20731905.409932375</v>
      </c>
      <c r="O79" s="218">
        <f>MAX(L79-M79-'Tax Assumptions'!$B$9,0)</f>
        <v>20740005.409932375</v>
      </c>
      <c r="P79" s="218">
        <f>IF(N79=0,0,LOOKUP(N79,'Tax Assumptions'!$F$9:$F$15,'Tax Assumptions'!$I$9:$I$15)+(N79-LOOKUP(N79,'Tax Assumptions'!$F$9:$F$15,'Tax Assumptions'!$F$9:$F$15))*LOOKUP(N79,'Tax Assumptions'!$F$9:$F$15,'Tax Assumptions'!$H$9:$H$15))+MIN(MAX(L79,0),'Tax Assumptions'!$B$11)*'Tax Assumptions'!$B$10+MAX(L79,0)*'Tax Assumptions'!$B$12+MAX(MAX(L79,0)-'Tax Assumptions'!$B$14,0)*'Tax Assumptions'!$B$13+MIN(L79*'Tax Assumptions'!$B$15,'Tax Assumptions'!$B$16)+MIN(L79*'Tax Assumptions'!$B$17,'Tax Assumptions'!$B$18)+IF(O79=0,0,LOOKUP(O79,'Tax Assumptions'!$K$9:$K$17,'Tax Assumptions'!$N$9:$N$17)+(O79-LOOKUP(O79,'Tax Assumptions'!$K$9:$K$17,'Tax Assumptions'!$K$9:$K$17))*LOOKUP(O79,'Tax Assumptions'!$K$9:$K$17,'Tax Assumptions'!$M$9:$M$17))+IF(O79=0,0,LOOKUP(O79,'Tax Assumptions'!$P$9:$P$12,'Tax Assumptions'!$S$9:$S$12)+(O79-LOOKUP(O79,'Tax Assumptions'!$P$9:$P$12,'Tax Assumptions'!$P$9:$P$12))*LOOKUP(O79,'Tax Assumptions'!$P$9:$P$12,'Tax Assumptions'!$R$9:$R$12))</f>
        <v>10999693.785720404</v>
      </c>
      <c r="Q79" s="218">
        <f t="shared" si="17"/>
        <v>9748311.6242119707</v>
      </c>
      <c r="R79" s="218">
        <f>IF(D79&lt;=10,INDEX('Savings Projection'!$BL$19:$BL$28,D79),LOOKUP(2,1/('Savings Projection'!$BL$19:$BL$28&lt;&gt;""),'Savings Projection'!$BL$19:$BL$28))*(1+'Model Inputs'!$B$35)^(D79-1)+IF(D79&lt;=10,INDEX('Savings Projection'!$BM$19:$BM$28,D79),LOOKUP(2,1/('Savings Projection'!$BM$19:$BM$28&lt;&gt;""),'Savings Projection'!$BM$19:$BM$28))*(1+'Model Inputs'!$B$36)^(D79-1)</f>
        <v>190909.3827487033</v>
      </c>
      <c r="S79" s="218">
        <f t="shared" si="18"/>
        <v>9557402.2414632682</v>
      </c>
      <c r="T79" s="218">
        <f>MIN(MAX(S79,0),'Tax Assumptions'!$B$20)</f>
        <v>7500</v>
      </c>
      <c r="U79" s="218">
        <f t="shared" si="19"/>
        <v>9549902.2414632682</v>
      </c>
      <c r="V79" s="218">
        <f>MAX(V78*(1+'Model Inputs'!$B$13)+U79,0)</f>
        <v>50751870.278344542</v>
      </c>
      <c r="W79" s="218">
        <f>MAX(W78*(1+'Model Inputs'!$B$13)+M79+T79,0)</f>
        <v>672482.1097356932</v>
      </c>
      <c r="X79" s="218">
        <f t="shared" si="20"/>
        <v>51424352.388080232</v>
      </c>
      <c r="Y79" s="226" t="str">
        <f t="shared" si="21"/>
        <v/>
      </c>
      <c r="Z79" s="226" t="str">
        <f t="shared" si="22"/>
        <v/>
      </c>
      <c r="AA79" s="226" t="str">
        <f t="shared" si="23"/>
        <v/>
      </c>
      <c r="AB79" s="226" t="str">
        <f t="shared" si="24"/>
        <v/>
      </c>
    </row>
    <row r="80" spans="1:28" x14ac:dyDescent="0.2">
      <c r="A80" s="214" t="str">
        <f t="shared" si="26"/>
        <v>3Y 3x</v>
      </c>
      <c r="B80" s="214">
        <f t="shared" si="27"/>
        <v>3</v>
      </c>
      <c r="C80" s="223">
        <f t="shared" si="28"/>
        <v>3</v>
      </c>
      <c r="D80" s="214">
        <v>15</v>
      </c>
      <c r="E80" s="214">
        <f t="shared" si="14"/>
        <v>2040</v>
      </c>
      <c r="F80" s="218">
        <f>IF(D80=1,'Model Inputs'!$B$25*(13-'Model Inputs'!$B$23)/12,'Model Inputs'!$B$25)</f>
        <v>300000</v>
      </c>
      <c r="G80" s="218">
        <f>IF(D80=1,'Model Inputs'!$B$27*(13-'Model Inputs'!$B$23)/12,IF(D80=2,'Model Inputs'!$B$27,IF(D80&lt;=MAX(3,'Model Inputs'!$B$30+1),'Model Inputs'!$B$27*(1+'Model Inputs'!$B$28)^(D80-3),'Model Inputs'!$B$27*(1+'Model Inputs'!$B$28)^(MAX(3,'Model Inputs'!$B$30+1)-3)*(1+'Model Inputs'!$B$29)^(D80-MAX(3,'Model Inputs'!$B$30+1)))))</f>
        <v>10441437.475041937</v>
      </c>
      <c r="H80" s="224">
        <f>IF(D80&lt;=2,0,'Model Inputs'!$B$32*SIN(2*PI()*(D80-3+'Model Inputs'!$B$34)/MAX(1,'Model Inputs'!$B$33)))</f>
        <v>-1.1756609271814589E-16</v>
      </c>
      <c r="I80" s="218">
        <f t="shared" si="15"/>
        <v>10441437.475041935</v>
      </c>
      <c r="J80" s="218">
        <f t="shared" si="29"/>
        <v>7305729.4161605267</v>
      </c>
      <c r="K80" s="218">
        <f>F80+J80+IF(D80=1,'Model Inputs'!$B$26,0)</f>
        <v>7605729.4161605267</v>
      </c>
      <c r="L80" s="218">
        <f t="shared" si="16"/>
        <v>22817188.248481579</v>
      </c>
      <c r="M80" s="218">
        <f>MIN(L80,'Tax Assumptions'!$B$19)</f>
        <v>24500</v>
      </c>
      <c r="N80" s="218">
        <f>MAX(L80-M80-'Tax Assumptions'!$B$8,0)</f>
        <v>22776588.248481579</v>
      </c>
      <c r="O80" s="218">
        <f>MAX(L80-M80-'Tax Assumptions'!$B$9,0)</f>
        <v>22784688.248481579</v>
      </c>
      <c r="P80" s="218">
        <f>IF(N80=0,0,LOOKUP(N80,'Tax Assumptions'!$F$9:$F$15,'Tax Assumptions'!$I$9:$I$15)+(N80-LOOKUP(N80,'Tax Assumptions'!$F$9:$F$15,'Tax Assumptions'!$F$9:$F$15))*LOOKUP(N80,'Tax Assumptions'!$F$9:$F$15,'Tax Assumptions'!$H$9:$H$15))+MIN(MAX(L80,0),'Tax Assumptions'!$B$11)*'Tax Assumptions'!$B$10+MAX(L80,0)*'Tax Assumptions'!$B$12+MAX(MAX(L80,0)-'Tax Assumptions'!$B$14,0)*'Tax Assumptions'!$B$13+MIN(L80*'Tax Assumptions'!$B$15,'Tax Assumptions'!$B$16)+MIN(L80*'Tax Assumptions'!$B$17,'Tax Assumptions'!$B$18)+IF(O80=0,0,LOOKUP(O80,'Tax Assumptions'!$K$9:$K$17,'Tax Assumptions'!$N$9:$N$17)+(O80-LOOKUP(O80,'Tax Assumptions'!$K$9:$K$17,'Tax Assumptions'!$K$9:$K$17))*LOOKUP(O80,'Tax Assumptions'!$K$9:$K$17,'Tax Assumptions'!$M$9:$M$17))+IF(O80=0,0,LOOKUP(O80,'Tax Assumptions'!$P$9:$P$12,'Tax Assumptions'!$S$9:$S$12)+(O80-LOOKUP(O80,'Tax Assumptions'!$P$9:$P$12,'Tax Assumptions'!$P$9:$P$12))*LOOKUP(O80,'Tax Assumptions'!$P$9:$P$12,'Tax Assumptions'!$R$9:$R$12))</f>
        <v>12094130.72188225</v>
      </c>
      <c r="Q80" s="218">
        <f t="shared" si="17"/>
        <v>10698557.526599329</v>
      </c>
      <c r="R80" s="218">
        <f>IF(D80&lt;=10,INDEX('Savings Projection'!$BL$19:$BL$28,D80),LOOKUP(2,1/('Savings Projection'!$BL$19:$BL$28&lt;&gt;""),'Savings Projection'!$BL$19:$BL$28))*(1+'Model Inputs'!$B$35)^(D80-1)+IF(D80&lt;=10,INDEX('Savings Projection'!$BM$19:$BM$28,D80),LOOKUP(2,1/('Savings Projection'!$BM$19:$BM$28&lt;&gt;""),'Savings Projection'!$BM$19:$BM$28))*(1+'Model Inputs'!$B$36)^(D80-1)</f>
        <v>196636.66423116444</v>
      </c>
      <c r="S80" s="218">
        <f t="shared" si="18"/>
        <v>10501920.862368165</v>
      </c>
      <c r="T80" s="218">
        <f>MIN(MAX(S80,0),'Tax Assumptions'!$B$20)</f>
        <v>7500</v>
      </c>
      <c r="U80" s="218">
        <f t="shared" si="19"/>
        <v>10494420.862368165</v>
      </c>
      <c r="V80" s="218">
        <f>MAX(V79*(1+'Model Inputs'!$B$13)+U80,0)</f>
        <v>64291403.357413381</v>
      </c>
      <c r="W80" s="218">
        <f>MAX(W79*(1+'Model Inputs'!$B$13)+M80+T80,0)</f>
        <v>744831.03631983488</v>
      </c>
      <c r="X80" s="218">
        <f t="shared" si="20"/>
        <v>65036234.393733218</v>
      </c>
      <c r="Y80" s="226" t="str">
        <f t="shared" si="21"/>
        <v/>
      </c>
      <c r="Z80" s="226" t="str">
        <f t="shared" si="22"/>
        <v/>
      </c>
      <c r="AA80" s="226" t="str">
        <f t="shared" si="23"/>
        <v/>
      </c>
      <c r="AB80" s="226" t="str">
        <f t="shared" si="24"/>
        <v/>
      </c>
    </row>
    <row r="81" spans="1:28" x14ac:dyDescent="0.2">
      <c r="A81" s="214" t="str">
        <f t="shared" si="26"/>
        <v>3Y 3x</v>
      </c>
      <c r="B81" s="214">
        <f t="shared" si="27"/>
        <v>3</v>
      </c>
      <c r="C81" s="223">
        <f t="shared" si="28"/>
        <v>3</v>
      </c>
      <c r="D81" s="214">
        <v>16</v>
      </c>
      <c r="E81" s="214">
        <f t="shared" si="14"/>
        <v>2041</v>
      </c>
      <c r="F81" s="218">
        <f>IF(D81=1,'Model Inputs'!$B$25*(13-'Model Inputs'!$B$23)/12,'Model Inputs'!$B$25)</f>
        <v>300000</v>
      </c>
      <c r="G81" s="218">
        <f>IF(D81=1,'Model Inputs'!$B$27*(13-'Model Inputs'!$B$23)/12,IF(D81=2,'Model Inputs'!$B$27,IF(D81&lt;=MAX(3,'Model Inputs'!$B$30+1),'Model Inputs'!$B$27*(1+'Model Inputs'!$B$28)^(D81-3),'Model Inputs'!$B$27*(1+'Model Inputs'!$B$28)^(MAX(3,'Model Inputs'!$B$30+1)-3)*(1+'Model Inputs'!$B$29)^(D81-MAX(3,'Model Inputs'!$B$30+1)))))</f>
        <v>13269787.276528884</v>
      </c>
      <c r="H81" s="224">
        <f>IF(D81&lt;=2,0,'Model Inputs'!$B$32*SIN(2*PI()*(D81-3+'Model Inputs'!$B$34)/MAX(1,'Model Inputs'!$B$33)))</f>
        <v>0.10392304845413262</v>
      </c>
      <c r="I81" s="218">
        <f t="shared" si="15"/>
        <v>14648824.022643628</v>
      </c>
      <c r="J81" s="218">
        <f t="shared" si="29"/>
        <v>9671604.0304071214</v>
      </c>
      <c r="K81" s="218">
        <f>F81+J81+IF(D81=1,'Model Inputs'!$B$26,0)</f>
        <v>9971604.0304071214</v>
      </c>
      <c r="L81" s="218">
        <f t="shared" si="16"/>
        <v>29914812.091221362</v>
      </c>
      <c r="M81" s="218">
        <f>MIN(L81,'Tax Assumptions'!$B$19)</f>
        <v>24500</v>
      </c>
      <c r="N81" s="218">
        <f>MAX(L81-M81-'Tax Assumptions'!$B$8,0)</f>
        <v>29874212.091221362</v>
      </c>
      <c r="O81" s="218">
        <f>MAX(L81-M81-'Tax Assumptions'!$B$9,0)</f>
        <v>29882312.091221362</v>
      </c>
      <c r="P81" s="218">
        <f>IF(N81=0,0,LOOKUP(N81,'Tax Assumptions'!$F$9:$F$15,'Tax Assumptions'!$I$9:$I$15)+(N81-LOOKUP(N81,'Tax Assumptions'!$F$9:$F$15,'Tax Assumptions'!$F$9:$F$15))*LOOKUP(N81,'Tax Assumptions'!$F$9:$F$15,'Tax Assumptions'!$H$9:$H$15))+MIN(MAX(L81,0),'Tax Assumptions'!$B$11)*'Tax Assumptions'!$B$10+MAX(L81,0)*'Tax Assumptions'!$B$12+MAX(MAX(L81,0)-'Tax Assumptions'!$B$14,0)*'Tax Assumptions'!$B$13+MIN(L81*'Tax Assumptions'!$B$15,'Tax Assumptions'!$B$16)+MIN(L81*'Tax Assumptions'!$B$17,'Tax Assumptions'!$B$18)+IF(O81=0,0,LOOKUP(O81,'Tax Assumptions'!$K$9:$K$17,'Tax Assumptions'!$N$9:$N$17)+(O81-LOOKUP(O81,'Tax Assumptions'!$K$9:$K$17,'Tax Assumptions'!$K$9:$K$17))*LOOKUP(O81,'Tax Assumptions'!$K$9:$K$17,'Tax Assumptions'!$M$9:$M$17))+IF(O81=0,0,LOOKUP(O81,'Tax Assumptions'!$P$9:$P$12,'Tax Assumptions'!$S$9:$S$12)+(O81-LOOKUP(O81,'Tax Assumptions'!$P$9:$P$12,'Tax Assumptions'!$P$9:$P$12))*LOOKUP(O81,'Tax Assumptions'!$P$9:$P$12,'Tax Assumptions'!$R$9:$R$12))</f>
        <v>15922498.732494473</v>
      </c>
      <c r="Q81" s="218">
        <f t="shared" si="17"/>
        <v>13967813.358726889</v>
      </c>
      <c r="R81" s="218">
        <f>IF(D81&lt;=10,INDEX('Savings Projection'!$BL$19:$BL$28,D81),LOOKUP(2,1/('Savings Projection'!$BL$19:$BL$28&lt;&gt;""),'Savings Projection'!$BL$19:$BL$28))*(1+'Model Inputs'!$B$35)^(D81-1)+IF(D81&lt;=10,INDEX('Savings Projection'!$BM$19:$BM$28,D81),LOOKUP(2,1/('Savings Projection'!$BM$19:$BM$28&lt;&gt;""),'Savings Projection'!$BM$19:$BM$28))*(1+'Model Inputs'!$B$36)^(D81-1)</f>
        <v>202535.76415809937</v>
      </c>
      <c r="S81" s="218">
        <f t="shared" si="18"/>
        <v>13765277.594568789</v>
      </c>
      <c r="T81" s="218">
        <f>MIN(MAX(S81,0),'Tax Assumptions'!$B$20)</f>
        <v>7500</v>
      </c>
      <c r="U81" s="218">
        <f t="shared" si="19"/>
        <v>13757777.594568789</v>
      </c>
      <c r="V81" s="218">
        <f>MAX(V80*(1+'Model Inputs'!$B$13)+U81,0)</f>
        <v>81906665.153426975</v>
      </c>
      <c r="W81" s="218">
        <f>MAX(W80*(1+'Model Inputs'!$B$13)+M81+T81,0)</f>
        <v>821520.89849902503</v>
      </c>
      <c r="X81" s="218">
        <f t="shared" si="20"/>
        <v>82728186.051926002</v>
      </c>
      <c r="Y81" s="226" t="str">
        <f t="shared" si="21"/>
        <v/>
      </c>
      <c r="Z81" s="226" t="str">
        <f t="shared" si="22"/>
        <v/>
      </c>
      <c r="AA81" s="226" t="str">
        <f t="shared" si="23"/>
        <v/>
      </c>
      <c r="AB81" s="226" t="str">
        <f t="shared" si="24"/>
        <v/>
      </c>
    </row>
    <row r="82" spans="1:28" x14ac:dyDescent="0.2">
      <c r="A82" s="214" t="str">
        <f t="shared" si="26"/>
        <v>3Y 3x</v>
      </c>
      <c r="B82" s="214">
        <f t="shared" si="27"/>
        <v>3</v>
      </c>
      <c r="C82" s="223">
        <f t="shared" si="28"/>
        <v>3</v>
      </c>
      <c r="D82" s="214">
        <v>17</v>
      </c>
      <c r="E82" s="214">
        <f t="shared" si="14"/>
        <v>2042</v>
      </c>
      <c r="F82" s="218">
        <f>IF(D82=1,'Model Inputs'!$B$25*(13-'Model Inputs'!$B$23)/12,'Model Inputs'!$B$25)</f>
        <v>300000</v>
      </c>
      <c r="G82" s="218">
        <f>IF(D82=1,'Model Inputs'!$B$27*(13-'Model Inputs'!$B$23)/12,IF(D82=2,'Model Inputs'!$B$27,IF(D82&lt;=MAX(3,'Model Inputs'!$B$30+1),'Model Inputs'!$B$27*(1+'Model Inputs'!$B$28)^(D82-3),'Model Inputs'!$B$27*(1+'Model Inputs'!$B$28)^(MAX(3,'Model Inputs'!$B$30+1)-3)*(1+'Model Inputs'!$B$29)^(D82-MAX(3,'Model Inputs'!$B$30+1)))))</f>
        <v>16864273.217670217</v>
      </c>
      <c r="H82" s="224">
        <f>IF(D82&lt;=2,0,'Model Inputs'!$B$32*SIN(2*PI()*(D82-3+'Model Inputs'!$B$34)/MAX(1,'Model Inputs'!$B$33)))</f>
        <v>-0.1039230484541325</v>
      </c>
      <c r="I82" s="218">
        <f t="shared" si="15"/>
        <v>15111686.534926547</v>
      </c>
      <c r="J82" s="218">
        <f t="shared" si="29"/>
        <v>13596977.385743205</v>
      </c>
      <c r="K82" s="218">
        <f>F82+J82+IF(D82=1,'Model Inputs'!$B$26,0)</f>
        <v>13896977.385743205</v>
      </c>
      <c r="L82" s="218">
        <f t="shared" si="16"/>
        <v>41690932.157229617</v>
      </c>
      <c r="M82" s="218">
        <f>MIN(L82,'Tax Assumptions'!$B$19)</f>
        <v>24500</v>
      </c>
      <c r="N82" s="218">
        <f>MAX(L82-M82-'Tax Assumptions'!$B$8,0)</f>
        <v>41650332.157229617</v>
      </c>
      <c r="O82" s="218">
        <f>MAX(L82-M82-'Tax Assumptions'!$B$9,0)</f>
        <v>41658432.157229617</v>
      </c>
      <c r="P82" s="218">
        <f>IF(N82=0,0,LOOKUP(N82,'Tax Assumptions'!$F$9:$F$15,'Tax Assumptions'!$I$9:$I$15)+(N82-LOOKUP(N82,'Tax Assumptions'!$F$9:$F$15,'Tax Assumptions'!$F$9:$F$15))*LOOKUP(N82,'Tax Assumptions'!$F$9:$F$15,'Tax Assumptions'!$H$9:$H$15))+MIN(MAX(L82,0),'Tax Assumptions'!$B$11)*'Tax Assumptions'!$B$10+MAX(L82,0)*'Tax Assumptions'!$B$12+MAX(MAX(L82,0)-'Tax Assumptions'!$B$14,0)*'Tax Assumptions'!$B$13+MIN(L82*'Tax Assumptions'!$B$15,'Tax Assumptions'!$B$16)+MIN(L82*'Tax Assumptions'!$B$17,'Tax Assumptions'!$B$18)+IF(O82=0,0,LOOKUP(O82,'Tax Assumptions'!$K$9:$K$17,'Tax Assumptions'!$N$9:$N$17)+(O82-LOOKUP(O82,'Tax Assumptions'!$K$9:$K$17,'Tax Assumptions'!$K$9:$K$17))*LOOKUP(O82,'Tax Assumptions'!$K$9:$K$17,'Tax Assumptions'!$M$9:$M$17))+IF(O82=0,0,LOOKUP(O82,'Tax Assumptions'!$P$9:$P$12,'Tax Assumptions'!$S$9:$S$12)+(O82-LOOKUP(O82,'Tax Assumptions'!$P$9:$P$12,'Tax Assumptions'!$P$9:$P$12))*LOOKUP(O82,'Tax Assumptions'!$P$9:$P$12,'Tax Assumptions'!$R$9:$R$12))</f>
        <v>22296441.4794221</v>
      </c>
      <c r="Q82" s="218">
        <f t="shared" si="17"/>
        <v>19369990.677807517</v>
      </c>
      <c r="R82" s="218">
        <f>IF(D82&lt;=10,INDEX('Savings Projection'!$BL$19:$BL$28,D82),LOOKUP(2,1/('Savings Projection'!$BL$19:$BL$28&lt;&gt;""),'Savings Projection'!$BL$19:$BL$28))*(1+'Model Inputs'!$B$35)^(D82-1)+IF(D82&lt;=10,INDEX('Savings Projection'!$BM$19:$BM$28,D82),LOOKUP(2,1/('Savings Projection'!$BM$19:$BM$28&lt;&gt;""),'Savings Projection'!$BM$19:$BM$28))*(1+'Model Inputs'!$B$36)^(D82-1)</f>
        <v>208611.83708284231</v>
      </c>
      <c r="S82" s="218">
        <f t="shared" si="18"/>
        <v>19161378.840724677</v>
      </c>
      <c r="T82" s="218">
        <f>MIN(MAX(S82,0),'Tax Assumptions'!$B$20)</f>
        <v>7500</v>
      </c>
      <c r="U82" s="218">
        <f t="shared" si="19"/>
        <v>19153878.840724677</v>
      </c>
      <c r="V82" s="218">
        <f>MAX(V81*(1+'Model Inputs'!$B$13)+U82,0)</f>
        <v>105974943.90335727</v>
      </c>
      <c r="W82" s="218">
        <f>MAX(W81*(1+'Model Inputs'!$B$13)+M82+T82,0)</f>
        <v>902812.15240896656</v>
      </c>
      <c r="X82" s="218">
        <f t="shared" si="20"/>
        <v>106877756.05576624</v>
      </c>
      <c r="Y82" s="226" t="str">
        <f t="shared" si="21"/>
        <v/>
      </c>
      <c r="Z82" s="226" t="str">
        <f t="shared" si="22"/>
        <v/>
      </c>
      <c r="AA82" s="226" t="str">
        <f t="shared" si="23"/>
        <v/>
      </c>
      <c r="AB82" s="226" t="str">
        <f t="shared" si="24"/>
        <v/>
      </c>
    </row>
    <row r="83" spans="1:28" x14ac:dyDescent="0.2">
      <c r="A83" s="214" t="str">
        <f t="shared" si="26"/>
        <v>3Y 3x</v>
      </c>
      <c r="B83" s="214">
        <f t="shared" si="27"/>
        <v>3</v>
      </c>
      <c r="C83" s="223">
        <f t="shared" si="28"/>
        <v>3</v>
      </c>
      <c r="D83" s="214">
        <v>18</v>
      </c>
      <c r="E83" s="214">
        <f t="shared" si="14"/>
        <v>2043</v>
      </c>
      <c r="F83" s="218">
        <f>IF(D83=1,'Model Inputs'!$B$25*(13-'Model Inputs'!$B$23)/12,'Model Inputs'!$B$25)</f>
        <v>300000</v>
      </c>
      <c r="G83" s="218">
        <f>IF(D83=1,'Model Inputs'!$B$27*(13-'Model Inputs'!$B$23)/12,IF(D83=2,'Model Inputs'!$B$27,IF(D83&lt;=MAX(3,'Model Inputs'!$B$30+1),'Model Inputs'!$B$27*(1+'Model Inputs'!$B$28)^(D83-3),'Model Inputs'!$B$27*(1+'Model Inputs'!$B$28)^(MAX(3,'Model Inputs'!$B$30+1)-3)*(1+'Model Inputs'!$B$29)^(D83-MAX(3,'Model Inputs'!$B$30+1)))))</f>
        <v>21432424.290875554</v>
      </c>
      <c r="H83" s="224">
        <f>IF(D83&lt;=2,0,'Model Inputs'!$B$32*SIN(2*PI()*(D83-3+'Model Inputs'!$B$34)/MAX(1,'Model Inputs'!$B$33)))</f>
        <v>-5.7328325735374245E-16</v>
      </c>
      <c r="I83" s="218">
        <f t="shared" si="15"/>
        <v>21432424.290875543</v>
      </c>
      <c r="J83" s="218">
        <f t="shared" si="29"/>
        <v>14995970.906855816</v>
      </c>
      <c r="K83" s="218">
        <f>F83+J83+IF(D83=1,'Model Inputs'!$B$26,0)</f>
        <v>15295970.906855816</v>
      </c>
      <c r="L83" s="218">
        <f t="shared" si="16"/>
        <v>45887912.72056745</v>
      </c>
      <c r="M83" s="218">
        <f>MIN(L83,'Tax Assumptions'!$B$19)</f>
        <v>24500</v>
      </c>
      <c r="N83" s="218">
        <f>MAX(L83-M83-'Tax Assumptions'!$B$8,0)</f>
        <v>45847312.72056745</v>
      </c>
      <c r="O83" s="218">
        <f>MAX(L83-M83-'Tax Assumptions'!$B$9,0)</f>
        <v>45855412.72056745</v>
      </c>
      <c r="P83" s="218">
        <f>IF(N83=0,0,LOOKUP(N83,'Tax Assumptions'!$F$9:$F$15,'Tax Assumptions'!$I$9:$I$15)+(N83-LOOKUP(N83,'Tax Assumptions'!$F$9:$F$15,'Tax Assumptions'!$F$9:$F$15))*LOOKUP(N83,'Tax Assumptions'!$F$9:$F$15,'Tax Assumptions'!$H$9:$H$15))+MIN(MAX(L83,0),'Tax Assumptions'!$B$11)*'Tax Assumptions'!$B$10+MAX(L83,0)*'Tax Assumptions'!$B$12+MAX(MAX(L83,0)-'Tax Assumptions'!$B$14,0)*'Tax Assumptions'!$B$13+MIN(L83*'Tax Assumptions'!$B$15,'Tax Assumptions'!$B$16)+MIN(L83*'Tax Assumptions'!$B$17,'Tax Assumptions'!$B$18)+IF(O83=0,0,LOOKUP(O83,'Tax Assumptions'!$K$9:$K$17,'Tax Assumptions'!$N$9:$N$17)+(O83-LOOKUP(O83,'Tax Assumptions'!$K$9:$K$17,'Tax Assumptions'!$K$9:$K$17))*LOOKUP(O83,'Tax Assumptions'!$K$9:$K$17,'Tax Assumptions'!$M$9:$M$17))+IF(O83=0,0,LOOKUP(O83,'Tax Assumptions'!$P$9:$P$12,'Tax Assumptions'!$S$9:$S$12)+(O83-LOOKUP(O83,'Tax Assumptions'!$P$9:$P$12,'Tax Assumptions'!$P$9:$P$12))*LOOKUP(O83,'Tax Assumptions'!$P$9:$P$12,'Tax Assumptions'!$R$9:$R$12))</f>
        <v>24568099.179134339</v>
      </c>
      <c r="Q83" s="218">
        <f t="shared" si="17"/>
        <v>21295313.541433111</v>
      </c>
      <c r="R83" s="218">
        <f>IF(D83&lt;=10,INDEX('Savings Projection'!$BL$19:$BL$28,D83),LOOKUP(2,1/('Savings Projection'!$BL$19:$BL$28&lt;&gt;""),'Savings Projection'!$BL$19:$BL$28))*(1+'Model Inputs'!$B$35)^(D83-1)+IF(D83&lt;=10,INDEX('Savings Projection'!$BM$19:$BM$28,D83),LOOKUP(2,1/('Savings Projection'!$BM$19:$BM$28&lt;&gt;""),'Savings Projection'!$BM$19:$BM$28))*(1+'Model Inputs'!$B$36)^(D83-1)</f>
        <v>214870.1921953276</v>
      </c>
      <c r="S83" s="218">
        <f t="shared" si="18"/>
        <v>21080443.349237785</v>
      </c>
      <c r="T83" s="218">
        <f>MIN(MAX(S83,0),'Tax Assumptions'!$B$20)</f>
        <v>7500</v>
      </c>
      <c r="U83" s="218">
        <f t="shared" si="19"/>
        <v>21072943.349237785</v>
      </c>
      <c r="V83" s="218">
        <f>MAX(V82*(1+'Model Inputs'!$B$13)+U83,0)</f>
        <v>133406383.88679649</v>
      </c>
      <c r="W83" s="218">
        <f>MAX(W82*(1+'Model Inputs'!$B$13)+M83+T83,0)</f>
        <v>988980.88155350462</v>
      </c>
      <c r="X83" s="218">
        <f t="shared" si="20"/>
        <v>134395364.76835001</v>
      </c>
      <c r="Y83" s="226" t="str">
        <f t="shared" si="21"/>
        <v/>
      </c>
      <c r="Z83" s="226" t="str">
        <f t="shared" si="22"/>
        <v/>
      </c>
      <c r="AA83" s="226" t="str">
        <f t="shared" si="23"/>
        <v/>
      </c>
      <c r="AB83" s="226" t="str">
        <f t="shared" si="24"/>
        <v/>
      </c>
    </row>
    <row r="84" spans="1:28" x14ac:dyDescent="0.2">
      <c r="A84" s="214" t="str">
        <f t="shared" si="26"/>
        <v>3Y 3x</v>
      </c>
      <c r="B84" s="214">
        <f t="shared" si="27"/>
        <v>3</v>
      </c>
      <c r="C84" s="223">
        <f t="shared" si="28"/>
        <v>3</v>
      </c>
      <c r="D84" s="214">
        <v>19</v>
      </c>
      <c r="E84" s="214">
        <f t="shared" si="14"/>
        <v>2044</v>
      </c>
      <c r="F84" s="218">
        <f>IF(D84=1,'Model Inputs'!$B$25*(13-'Model Inputs'!$B$23)/12,'Model Inputs'!$B$25)</f>
        <v>300000</v>
      </c>
      <c r="G84" s="218">
        <f>IF(D84=1,'Model Inputs'!$B$27*(13-'Model Inputs'!$B$23)/12,IF(D84=2,'Model Inputs'!$B$27,IF(D84&lt;=MAX(3,'Model Inputs'!$B$30+1),'Model Inputs'!$B$27*(1+'Model Inputs'!$B$28)^(D84-3),'Model Inputs'!$B$27*(1+'Model Inputs'!$B$28)^(MAX(3,'Model Inputs'!$B$30+1)-3)*(1+'Model Inputs'!$B$29)^(D84-MAX(3,'Model Inputs'!$B$30+1)))))</f>
        <v>27237984.409717187</v>
      </c>
      <c r="H84" s="224">
        <f>IF(D84&lt;=2,0,'Model Inputs'!$B$32*SIN(2*PI()*(D84-3+'Model Inputs'!$B$34)/MAX(1,'Model Inputs'!$B$33)))</f>
        <v>0.10392304845413286</v>
      </c>
      <c r="I84" s="218">
        <f t="shared" si="15"/>
        <v>30068638.783321142</v>
      </c>
      <c r="J84" s="218">
        <f t="shared" si="29"/>
        <v>19852239.851888295</v>
      </c>
      <c r="K84" s="218">
        <f>F84+J84+IF(D84=1,'Model Inputs'!$B$26,0)</f>
        <v>20152239.851888295</v>
      </c>
      <c r="L84" s="218">
        <f t="shared" si="16"/>
        <v>60456719.555664882</v>
      </c>
      <c r="M84" s="218">
        <f>MIN(L84,'Tax Assumptions'!$B$19)</f>
        <v>24500</v>
      </c>
      <c r="N84" s="218">
        <f>MAX(L84-M84-'Tax Assumptions'!$B$8,0)</f>
        <v>60416119.555664882</v>
      </c>
      <c r="O84" s="218">
        <f>MAX(L84-M84-'Tax Assumptions'!$B$9,0)</f>
        <v>60424219.555664882</v>
      </c>
      <c r="P84" s="218">
        <f>IF(N84=0,0,LOOKUP(N84,'Tax Assumptions'!$F$9:$F$15,'Tax Assumptions'!$I$9:$I$15)+(N84-LOOKUP(N84,'Tax Assumptions'!$F$9:$F$15,'Tax Assumptions'!$F$9:$F$15))*LOOKUP(N84,'Tax Assumptions'!$F$9:$F$15,'Tax Assumptions'!$H$9:$H$15))+MIN(MAX(L84,0),'Tax Assumptions'!$B$11)*'Tax Assumptions'!$B$10+MAX(L84,0)*'Tax Assumptions'!$B$12+MAX(MAX(L84,0)-'Tax Assumptions'!$B$14,0)*'Tax Assumptions'!$B$13+MIN(L84*'Tax Assumptions'!$B$15,'Tax Assumptions'!$B$16)+MIN(L84*'Tax Assumptions'!$B$17,'Tax Assumptions'!$B$18)+IF(O84=0,0,LOOKUP(O84,'Tax Assumptions'!$K$9:$K$17,'Tax Assumptions'!$N$9:$N$17)+(O84-LOOKUP(O84,'Tax Assumptions'!$K$9:$K$17,'Tax Assumptions'!$K$9:$K$17))*LOOKUP(O84,'Tax Assumptions'!$K$9:$K$17,'Tax Assumptions'!$M$9:$M$17))+IF(O84=0,0,LOOKUP(O84,'Tax Assumptions'!$P$9:$P$12,'Tax Assumptions'!$S$9:$S$12)+(O84-LOOKUP(O84,'Tax Assumptions'!$P$9:$P$12,'Tax Assumptions'!$P$9:$P$12))*LOOKUP(O84,'Tax Assumptions'!$P$9:$P$12,'Tax Assumptions'!$R$9:$R$12))</f>
        <v>32453611.566699173</v>
      </c>
      <c r="Q84" s="218">
        <f t="shared" si="17"/>
        <v>27978607.988965709</v>
      </c>
      <c r="R84" s="218">
        <f>IF(D84&lt;=10,INDEX('Savings Projection'!$BL$19:$BL$28,D84),LOOKUP(2,1/('Savings Projection'!$BL$19:$BL$28&lt;&gt;""),'Savings Projection'!$BL$19:$BL$28))*(1+'Model Inputs'!$B$35)^(D84-1)+IF(D84&lt;=10,INDEX('Savings Projection'!$BM$19:$BM$28,D84),LOOKUP(2,1/('Savings Projection'!$BM$19:$BM$28&lt;&gt;""),'Savings Projection'!$BM$19:$BM$28))*(1+'Model Inputs'!$B$36)^(D84-1)</f>
        <v>221316.29796118743</v>
      </c>
      <c r="S84" s="218">
        <f t="shared" si="18"/>
        <v>27757291.691004522</v>
      </c>
      <c r="T84" s="218">
        <f>MIN(MAX(S84,0),'Tax Assumptions'!$B$20)</f>
        <v>7500</v>
      </c>
      <c r="U84" s="218">
        <f t="shared" si="19"/>
        <v>27749791.691004522</v>
      </c>
      <c r="V84" s="218">
        <f>MAX(V83*(1+'Model Inputs'!$B$13)+U84,0)</f>
        <v>169160558.61100879</v>
      </c>
      <c r="W84" s="218">
        <f>MAX(W83*(1+'Model Inputs'!$B$13)+M84+T84,0)</f>
        <v>1080319.7344467151</v>
      </c>
      <c r="X84" s="218">
        <f t="shared" si="20"/>
        <v>170240878.3454555</v>
      </c>
      <c r="Y84" s="226" t="str">
        <f t="shared" si="21"/>
        <v/>
      </c>
      <c r="Z84" s="226" t="str">
        <f t="shared" si="22"/>
        <v/>
      </c>
      <c r="AA84" s="226" t="str">
        <f t="shared" si="23"/>
        <v/>
      </c>
      <c r="AB84" s="226" t="str">
        <f t="shared" si="24"/>
        <v/>
      </c>
    </row>
    <row r="85" spans="1:28" x14ac:dyDescent="0.2">
      <c r="A85" s="214" t="str">
        <f t="shared" si="26"/>
        <v>3Y 3x</v>
      </c>
      <c r="B85" s="214">
        <f t="shared" si="27"/>
        <v>3</v>
      </c>
      <c r="C85" s="223">
        <f t="shared" si="28"/>
        <v>3</v>
      </c>
      <c r="D85" s="214">
        <v>20</v>
      </c>
      <c r="E85" s="214">
        <f t="shared" si="14"/>
        <v>2045</v>
      </c>
      <c r="F85" s="218">
        <f>IF(D85=1,'Model Inputs'!$B$25*(13-'Model Inputs'!$B$23)/12,'Model Inputs'!$B$25)</f>
        <v>300000</v>
      </c>
      <c r="G85" s="218">
        <f>IF(D85=1,'Model Inputs'!$B$27*(13-'Model Inputs'!$B$23)/12,IF(D85=2,'Model Inputs'!$B$27,IF(D85&lt;=MAX(3,'Model Inputs'!$B$30+1),'Model Inputs'!$B$27*(1+'Model Inputs'!$B$28)^(D85-3),'Model Inputs'!$B$27*(1+'Model Inputs'!$B$28)^(MAX(3,'Model Inputs'!$B$30+1)-3)*(1+'Model Inputs'!$B$29)^(D85-MAX(3,'Model Inputs'!$B$30+1)))))</f>
        <v>34616139.762586243</v>
      </c>
      <c r="H85" s="224">
        <f>IF(D85&lt;=2,0,'Model Inputs'!$B$32*SIN(2*PI()*(D85-3+'Model Inputs'!$B$34)/MAX(1,'Model Inputs'!$B$33)))</f>
        <v>-0.10392304845413269</v>
      </c>
      <c r="I85" s="218">
        <f t="shared" si="15"/>
        <v>31018724.992743965</v>
      </c>
      <c r="J85" s="218">
        <f t="shared" si="29"/>
        <v>27909585.160209741</v>
      </c>
      <c r="K85" s="218">
        <f>F85+J85+IF(D85=1,'Model Inputs'!$B$26,0)</f>
        <v>28209585.160209741</v>
      </c>
      <c r="L85" s="218">
        <f t="shared" si="16"/>
        <v>84628755.480629221</v>
      </c>
      <c r="M85" s="218">
        <f>MIN(L85,'Tax Assumptions'!$B$19)</f>
        <v>24500</v>
      </c>
      <c r="N85" s="218">
        <f>MAX(L85-M85-'Tax Assumptions'!$B$8,0)</f>
        <v>84588155.480629221</v>
      </c>
      <c r="O85" s="218">
        <f>MAX(L85-M85-'Tax Assumptions'!$B$9,0)</f>
        <v>84596255.480629221</v>
      </c>
      <c r="P85" s="218">
        <f>IF(N85=0,0,LOOKUP(N85,'Tax Assumptions'!$F$9:$F$15,'Tax Assumptions'!$I$9:$I$15)+(N85-LOOKUP(N85,'Tax Assumptions'!$F$9:$F$15,'Tax Assumptions'!$F$9:$F$15))*LOOKUP(N85,'Tax Assumptions'!$F$9:$F$15,'Tax Assumptions'!$H$9:$H$15))+MIN(MAX(L85,0),'Tax Assumptions'!$B$11)*'Tax Assumptions'!$B$10+MAX(L85,0)*'Tax Assumptions'!$B$12+MAX(MAX(L85,0)-'Tax Assumptions'!$B$14,0)*'Tax Assumptions'!$B$13+MIN(L85*'Tax Assumptions'!$B$15,'Tax Assumptions'!$B$16)+MIN(L85*'Tax Assumptions'!$B$17,'Tax Assumptions'!$B$18)+IF(O85=0,0,LOOKUP(O85,'Tax Assumptions'!$K$9:$K$17,'Tax Assumptions'!$N$9:$N$17)+(O85-LOOKUP(O85,'Tax Assumptions'!$K$9:$K$17,'Tax Assumptions'!$K$9:$K$17))*LOOKUP(O85,'Tax Assumptions'!$K$9:$K$17,'Tax Assumptions'!$M$9:$M$17))+IF(O85=0,0,LOOKUP(O85,'Tax Assumptions'!$P$9:$P$12,'Tax Assumptions'!$S$9:$S$12)+(O85-LOOKUP(O85,'Tax Assumptions'!$P$9:$P$12,'Tax Assumptions'!$P$9:$P$12))*LOOKUP(O85,'Tax Assumptions'!$P$9:$P$12,'Tax Assumptions'!$R$9:$R$12))</f>
        <v>45536967.731445372</v>
      </c>
      <c r="Q85" s="218">
        <f t="shared" si="17"/>
        <v>39067287.749183849</v>
      </c>
      <c r="R85" s="218">
        <f>IF(D85&lt;=10,INDEX('Savings Projection'!$BL$19:$BL$28,D85),LOOKUP(2,1/('Savings Projection'!$BL$19:$BL$28&lt;&gt;""),'Savings Projection'!$BL$19:$BL$28))*(1+'Model Inputs'!$B$35)^(D85-1)+IF(D85&lt;=10,INDEX('Savings Projection'!$BM$19:$BM$28,D85),LOOKUP(2,1/('Savings Projection'!$BM$19:$BM$28&lt;&gt;""),'Savings Projection'!$BM$19:$BM$28))*(1+'Model Inputs'!$B$36)^(D85-1)</f>
        <v>227955.78690002306</v>
      </c>
      <c r="S85" s="218">
        <f t="shared" si="18"/>
        <v>38839331.962283827</v>
      </c>
      <c r="T85" s="218">
        <f>MIN(MAX(S85,0),'Tax Assumptions'!$B$20)</f>
        <v>7500</v>
      </c>
      <c r="U85" s="218">
        <f t="shared" si="19"/>
        <v>38831831.962283827</v>
      </c>
      <c r="V85" s="218">
        <f>MAX(V84*(1+'Model Inputs'!$B$13)+U85,0)</f>
        <v>218142024.08995315</v>
      </c>
      <c r="W85" s="218">
        <f>MAX(W84*(1+'Model Inputs'!$B$13)+M85+T85,0)</f>
        <v>1177138.9185135181</v>
      </c>
      <c r="X85" s="218">
        <f t="shared" si="20"/>
        <v>219319163.00846666</v>
      </c>
      <c r="Y85" s="226" t="str">
        <f t="shared" si="21"/>
        <v/>
      </c>
      <c r="Z85" s="226" t="str">
        <f t="shared" si="22"/>
        <v/>
      </c>
      <c r="AA85" s="226" t="str">
        <f t="shared" si="23"/>
        <v/>
      </c>
      <c r="AB85" s="226" t="str">
        <f t="shared" si="24"/>
        <v/>
      </c>
    </row>
    <row r="86" spans="1:28" x14ac:dyDescent="0.2">
      <c r="A86" s="214" t="str">
        <f t="shared" si="26"/>
        <v>3Y 3x</v>
      </c>
      <c r="B86" s="214">
        <f t="shared" si="27"/>
        <v>3</v>
      </c>
      <c r="C86" s="223">
        <f t="shared" si="28"/>
        <v>3</v>
      </c>
      <c r="D86" s="214">
        <v>21</v>
      </c>
      <c r="E86" s="214">
        <f t="shared" si="14"/>
        <v>2046</v>
      </c>
      <c r="F86" s="218">
        <f>IF(D86=1,'Model Inputs'!$B$25*(13-'Model Inputs'!$B$23)/12,'Model Inputs'!$B$25)</f>
        <v>300000</v>
      </c>
      <c r="G86" s="218">
        <f>IF(D86=1,'Model Inputs'!$B$27*(13-'Model Inputs'!$B$23)/12,IF(D86=2,'Model Inputs'!$B$27,IF(D86&lt;=MAX(3,'Model Inputs'!$B$30+1),'Model Inputs'!$B$27*(1+'Model Inputs'!$B$28)^(D86-3),'Model Inputs'!$B$27*(1+'Model Inputs'!$B$28)^(MAX(3,'Model Inputs'!$B$30+1)-3)*(1+'Model Inputs'!$B$29)^(D86-MAX(3,'Model Inputs'!$B$30+1)))))</f>
        <v>43992870.912849829</v>
      </c>
      <c r="H86" s="224">
        <f>IF(D86&lt;=2,0,'Model Inputs'!$B$32*SIN(2*PI()*(D86-3+'Model Inputs'!$B$34)/MAX(1,'Model Inputs'!$B$33)))</f>
        <v>-1.7634913907721884E-16</v>
      </c>
      <c r="I86" s="218">
        <f t="shared" si="15"/>
        <v>43992870.912849821</v>
      </c>
      <c r="J86" s="218">
        <f t="shared" si="29"/>
        <v>30781203.440388259</v>
      </c>
      <c r="K86" s="218">
        <f>F86+J86+IF(D86=1,'Model Inputs'!$B$26,0)</f>
        <v>31081203.440388259</v>
      </c>
      <c r="L86" s="218">
        <f t="shared" si="16"/>
        <v>93243610.321164772</v>
      </c>
      <c r="M86" s="218">
        <f>MIN(L86,'Tax Assumptions'!$B$19)</f>
        <v>24500</v>
      </c>
      <c r="N86" s="218">
        <f>MAX(L86-M86-'Tax Assumptions'!$B$8,0)</f>
        <v>93203010.321164772</v>
      </c>
      <c r="O86" s="218">
        <f>MAX(L86-M86-'Tax Assumptions'!$B$9,0)</f>
        <v>93211110.321164772</v>
      </c>
      <c r="P86" s="218">
        <f>IF(N86=0,0,LOOKUP(N86,'Tax Assumptions'!$F$9:$F$15,'Tax Assumptions'!$I$9:$I$15)+(N86-LOOKUP(N86,'Tax Assumptions'!$F$9:$F$15,'Tax Assumptions'!$F$9:$F$15))*LOOKUP(N86,'Tax Assumptions'!$F$9:$F$15,'Tax Assumptions'!$H$9:$H$15))+MIN(MAX(L86,0),'Tax Assumptions'!$B$11)*'Tax Assumptions'!$B$10+MAX(L86,0)*'Tax Assumptions'!$B$12+MAX(MAX(L86,0)-'Tax Assumptions'!$B$14,0)*'Tax Assumptions'!$B$13+MIN(L86*'Tax Assumptions'!$B$15,'Tax Assumptions'!$B$16)+MIN(L86*'Tax Assumptions'!$B$17,'Tax Assumptions'!$B$18)+IF(O86=0,0,LOOKUP(O86,'Tax Assumptions'!$K$9:$K$17,'Tax Assumptions'!$N$9:$N$17)+(O86-LOOKUP(O86,'Tax Assumptions'!$K$9:$K$17,'Tax Assumptions'!$K$9:$K$17))*LOOKUP(O86,'Tax Assumptions'!$K$9:$K$17,'Tax Assumptions'!$M$9:$M$17))+IF(O86=0,0,LOOKUP(O86,'Tax Assumptions'!$P$9:$P$12,'Tax Assumptions'!$S$9:$S$12)+(O86-LOOKUP(O86,'Tax Assumptions'!$P$9:$P$12,'Tax Assumptions'!$P$9:$P$12))*LOOKUP(O86,'Tax Assumptions'!$P$9:$P$12,'Tax Assumptions'!$R$9:$R$12))</f>
        <v>50199844.062433645</v>
      </c>
      <c r="Q86" s="218">
        <f t="shared" si="17"/>
        <v>43019266.258731127</v>
      </c>
      <c r="R86" s="218">
        <f>IF(D86&lt;=10,INDEX('Savings Projection'!$BL$19:$BL$28,D86),LOOKUP(2,1/('Savings Projection'!$BL$19:$BL$28&lt;&gt;""),'Savings Projection'!$BL$19:$BL$28))*(1+'Model Inputs'!$B$35)^(D86-1)+IF(D86&lt;=10,INDEX('Savings Projection'!$BM$19:$BM$28,D86),LOOKUP(2,1/('Savings Projection'!$BM$19:$BM$28&lt;&gt;""),'Savings Projection'!$BM$19:$BM$28))*(1+'Model Inputs'!$B$36)^(D86-1)</f>
        <v>234794.46050702373</v>
      </c>
      <c r="S86" s="218">
        <f t="shared" si="18"/>
        <v>42784471.798224106</v>
      </c>
      <c r="T86" s="218">
        <f>MIN(MAX(S86,0),'Tax Assumptions'!$B$20)</f>
        <v>7500</v>
      </c>
      <c r="U86" s="218">
        <f t="shared" si="19"/>
        <v>42776971.798224106</v>
      </c>
      <c r="V86" s="218">
        <f>MAX(V85*(1+'Model Inputs'!$B$13)+U86,0)</f>
        <v>274007517.33357447</v>
      </c>
      <c r="W86" s="218">
        <f>MAX(W85*(1+'Model Inputs'!$B$13)+M86+T86,0)</f>
        <v>1279767.2536243291</v>
      </c>
      <c r="X86" s="218">
        <f t="shared" si="20"/>
        <v>275287284.58719879</v>
      </c>
      <c r="Y86" s="226" t="str">
        <f t="shared" si="21"/>
        <v/>
      </c>
      <c r="Z86" s="226" t="str">
        <f t="shared" si="22"/>
        <v/>
      </c>
      <c r="AA86" s="226" t="str">
        <f t="shared" si="23"/>
        <v/>
      </c>
      <c r="AB86" s="226" t="str">
        <f t="shared" si="24"/>
        <v/>
      </c>
    </row>
    <row r="87" spans="1:28" x14ac:dyDescent="0.2">
      <c r="A87" s="214" t="str">
        <f t="shared" si="26"/>
        <v>3Y 3x</v>
      </c>
      <c r="B87" s="214">
        <f t="shared" si="27"/>
        <v>3</v>
      </c>
      <c r="C87" s="223">
        <f t="shared" si="28"/>
        <v>3</v>
      </c>
      <c r="D87" s="214">
        <v>22</v>
      </c>
      <c r="E87" s="214">
        <f t="shared" si="14"/>
        <v>2047</v>
      </c>
      <c r="F87" s="218">
        <f>IF(D87=1,'Model Inputs'!$B$25*(13-'Model Inputs'!$B$23)/12,'Model Inputs'!$B$25)</f>
        <v>300000</v>
      </c>
      <c r="G87" s="218">
        <f>IF(D87=1,'Model Inputs'!$B$27*(13-'Model Inputs'!$B$23)/12,IF(D87=2,'Model Inputs'!$B$27,IF(D87&lt;=MAX(3,'Model Inputs'!$B$30+1),'Model Inputs'!$B$27*(1+'Model Inputs'!$B$28)^(D87-3),'Model Inputs'!$B$27*(1+'Model Inputs'!$B$28)^(MAX(3,'Model Inputs'!$B$30+1)-3)*(1+'Model Inputs'!$B$29)^(D87-MAX(3,'Model Inputs'!$B$30+1)))))</f>
        <v>55909546.9462616</v>
      </c>
      <c r="H87" s="224">
        <f>IF(D87&lt;=2,0,'Model Inputs'!$B$32*SIN(2*PI()*(D87-3+'Model Inputs'!$B$34)/MAX(1,'Model Inputs'!$B$33)))</f>
        <v>0.10392304845413287</v>
      </c>
      <c r="I87" s="218">
        <f t="shared" si="15"/>
        <v>61719837.502606563</v>
      </c>
      <c r="J87" s="218">
        <f t="shared" si="29"/>
        <v>40749334.43282336</v>
      </c>
      <c r="K87" s="218">
        <f>F87+J87+IF(D87=1,'Model Inputs'!$B$26,0)</f>
        <v>41049334.43282336</v>
      </c>
      <c r="L87" s="218">
        <f t="shared" si="16"/>
        <v>123148003.29847008</v>
      </c>
      <c r="M87" s="218">
        <f>MIN(L87,'Tax Assumptions'!$B$19)</f>
        <v>24500</v>
      </c>
      <c r="N87" s="218">
        <f>MAX(L87-M87-'Tax Assumptions'!$B$8,0)</f>
        <v>123107403.29847008</v>
      </c>
      <c r="O87" s="218">
        <f>MAX(L87-M87-'Tax Assumptions'!$B$9,0)</f>
        <v>123115503.29847008</v>
      </c>
      <c r="P87" s="218">
        <f>IF(N87=0,0,LOOKUP(N87,'Tax Assumptions'!$F$9:$F$15,'Tax Assumptions'!$I$9:$I$15)+(N87-LOOKUP(N87,'Tax Assumptions'!$F$9:$F$15,'Tax Assumptions'!$F$9:$F$15))*LOOKUP(N87,'Tax Assumptions'!$F$9:$F$15,'Tax Assumptions'!$H$9:$H$15))+MIN(MAX(L87,0),'Tax Assumptions'!$B$11)*'Tax Assumptions'!$B$10+MAX(L87,0)*'Tax Assumptions'!$B$12+MAX(MAX(L87,0)-'Tax Assumptions'!$B$14,0)*'Tax Assumptions'!$B$13+MIN(L87*'Tax Assumptions'!$B$15,'Tax Assumptions'!$B$16)+MIN(L87*'Tax Assumptions'!$B$17,'Tax Assumptions'!$B$18)+IF(O87=0,0,LOOKUP(O87,'Tax Assumptions'!$K$9:$K$17,'Tax Assumptions'!$N$9:$N$17)+(O87-LOOKUP(O87,'Tax Assumptions'!$K$9:$K$17,'Tax Assumptions'!$K$9:$K$17))*LOOKUP(O87,'Tax Assumptions'!$K$9:$K$17,'Tax Assumptions'!$M$9:$M$17))+IF(O87=0,0,LOOKUP(O87,'Tax Assumptions'!$P$9:$P$12,'Tax Assumptions'!$S$9:$S$12)+(O87-LOOKUP(O87,'Tax Assumptions'!$P$9:$P$12,'Tax Assumptions'!$P$9:$P$12))*LOOKUP(O87,'Tax Assumptions'!$P$9:$P$12,'Tax Assumptions'!$R$9:$R$12))</f>
        <v>66385895.805329919</v>
      </c>
      <c r="Q87" s="218">
        <f t="shared" si="17"/>
        <v>56737607.493140161</v>
      </c>
      <c r="R87" s="218">
        <f>IF(D87&lt;=10,INDEX('Savings Projection'!$BL$19:$BL$28,D87),LOOKUP(2,1/('Savings Projection'!$BL$19:$BL$28&lt;&gt;""),'Savings Projection'!$BL$19:$BL$28))*(1+'Model Inputs'!$B$35)^(D87-1)+IF(D87&lt;=10,INDEX('Savings Projection'!$BM$19:$BM$28,D87),LOOKUP(2,1/('Savings Projection'!$BM$19:$BM$28&lt;&gt;""),'Savings Projection'!$BM$19:$BM$28))*(1+'Model Inputs'!$B$36)^(D87-1)</f>
        <v>241838.2943222344</v>
      </c>
      <c r="S87" s="218">
        <f t="shared" si="18"/>
        <v>56495769.198817924</v>
      </c>
      <c r="T87" s="218">
        <f>MIN(MAX(S87,0),'Tax Assumptions'!$B$20)</f>
        <v>7500</v>
      </c>
      <c r="U87" s="218">
        <f t="shared" si="19"/>
        <v>56488269.198817924</v>
      </c>
      <c r="V87" s="218">
        <f>MAX(V86*(1+'Model Inputs'!$B$13)+U87,0)</f>
        <v>346936237.57240689</v>
      </c>
      <c r="W87" s="218">
        <f>MAX(W86*(1+'Model Inputs'!$B$13)+M87+T87,0)</f>
        <v>1388553.2888417889</v>
      </c>
      <c r="X87" s="218">
        <f t="shared" si="20"/>
        <v>348324790.86124867</v>
      </c>
      <c r="Y87" s="226" t="str">
        <f t="shared" si="21"/>
        <v/>
      </c>
      <c r="Z87" s="226" t="str">
        <f t="shared" si="22"/>
        <v/>
      </c>
      <c r="AA87" s="226" t="str">
        <f t="shared" si="23"/>
        <v/>
      </c>
      <c r="AB87" s="226" t="str">
        <f t="shared" si="24"/>
        <v/>
      </c>
    </row>
    <row r="88" spans="1:28" x14ac:dyDescent="0.2">
      <c r="A88" s="214" t="str">
        <f t="shared" si="26"/>
        <v>3Y 3x</v>
      </c>
      <c r="B88" s="214">
        <f t="shared" si="27"/>
        <v>3</v>
      </c>
      <c r="C88" s="223">
        <f t="shared" si="28"/>
        <v>3</v>
      </c>
      <c r="D88" s="214">
        <v>23</v>
      </c>
      <c r="E88" s="214">
        <f t="shared" si="14"/>
        <v>2048</v>
      </c>
      <c r="F88" s="218">
        <f>IF(D88=1,'Model Inputs'!$B$25*(13-'Model Inputs'!$B$23)/12,'Model Inputs'!$B$25)</f>
        <v>300000</v>
      </c>
      <c r="G88" s="218">
        <f>IF(D88=1,'Model Inputs'!$B$27*(13-'Model Inputs'!$B$23)/12,IF(D88=2,'Model Inputs'!$B$27,IF(D88&lt;=MAX(3,'Model Inputs'!$B$30+1),'Model Inputs'!$B$27*(1+'Model Inputs'!$B$28)^(D88-3),'Model Inputs'!$B$27*(1+'Model Inputs'!$B$28)^(MAX(3,'Model Inputs'!$B$30+1)-3)*(1+'Model Inputs'!$B$29)^(D88-MAX(3,'Model Inputs'!$B$30+1)))))</f>
        <v>71054181.617940187</v>
      </c>
      <c r="H88" s="224">
        <f>IF(D88&lt;=2,0,'Model Inputs'!$B$32*SIN(2*PI()*(D88-3+'Model Inputs'!$B$34)/MAX(1,'Model Inputs'!$B$33)))</f>
        <v>-0.10392304845413268</v>
      </c>
      <c r="I88" s="218">
        <f t="shared" si="15"/>
        <v>63670014.458790243</v>
      </c>
      <c r="J88" s="218">
        <f t="shared" si="29"/>
        <v>57288095.855167374</v>
      </c>
      <c r="K88" s="218">
        <f>F88+J88+IF(D88=1,'Model Inputs'!$B$26,0)</f>
        <v>57588095.855167374</v>
      </c>
      <c r="L88" s="218">
        <f t="shared" si="16"/>
        <v>172764287.56550211</v>
      </c>
      <c r="M88" s="218">
        <f>MIN(L88,'Tax Assumptions'!$B$19)</f>
        <v>24500</v>
      </c>
      <c r="N88" s="218">
        <f>MAX(L88-M88-'Tax Assumptions'!$B$8,0)</f>
        <v>172723687.56550211</v>
      </c>
      <c r="O88" s="218">
        <f>MAX(L88-M88-'Tax Assumptions'!$B$9,0)</f>
        <v>172731787.56550211</v>
      </c>
      <c r="P88" s="218">
        <f>IF(N88=0,0,LOOKUP(N88,'Tax Assumptions'!$F$9:$F$15,'Tax Assumptions'!$I$9:$I$15)+(N88-LOOKUP(N88,'Tax Assumptions'!$F$9:$F$15,'Tax Assumptions'!$F$9:$F$15))*LOOKUP(N88,'Tax Assumptions'!$F$9:$F$15,'Tax Assumptions'!$H$9:$H$15))+MIN(MAX(L88,0),'Tax Assumptions'!$B$11)*'Tax Assumptions'!$B$10+MAX(L88,0)*'Tax Assumptions'!$B$12+MAX(MAX(L88,0)-'Tax Assumptions'!$B$14,0)*'Tax Assumptions'!$B$13+MIN(L88*'Tax Assumptions'!$B$15,'Tax Assumptions'!$B$16)+MIN(L88*'Tax Assumptions'!$B$17,'Tax Assumptions'!$B$18)+IF(O88=0,0,LOOKUP(O88,'Tax Assumptions'!$K$9:$K$17,'Tax Assumptions'!$N$9:$N$17)+(O88-LOOKUP(O88,'Tax Assumptions'!$K$9:$K$17,'Tax Assumptions'!$K$9:$K$17))*LOOKUP(O88,'Tax Assumptions'!$K$9:$K$17,'Tax Assumptions'!$M$9:$M$17))+IF(O88=0,0,LOOKUP(O88,'Tax Assumptions'!$P$9:$P$12,'Tax Assumptions'!$S$9:$S$12)+(O88-LOOKUP(O88,'Tax Assumptions'!$P$9:$P$12,'Tax Assumptions'!$P$9:$P$12))*LOOKUP(O88,'Tax Assumptions'!$P$9:$P$12,'Tax Assumptions'!$R$9:$R$12))</f>
        <v>93241205.82770367</v>
      </c>
      <c r="Q88" s="218">
        <f t="shared" si="17"/>
        <v>79498581.737798437</v>
      </c>
      <c r="R88" s="218">
        <f>IF(D88&lt;=10,INDEX('Savings Projection'!$BL$19:$BL$28,D88),LOOKUP(2,1/('Savings Projection'!$BL$19:$BL$28&lt;&gt;""),'Savings Projection'!$BL$19:$BL$28))*(1+'Model Inputs'!$B$35)^(D88-1)+IF(D88&lt;=10,INDEX('Savings Projection'!$BM$19:$BM$28,D88),LOOKUP(2,1/('Savings Projection'!$BM$19:$BM$28&lt;&gt;""),'Savings Projection'!$BM$19:$BM$28))*(1+'Model Inputs'!$B$36)^(D88-1)</f>
        <v>249093.44315190148</v>
      </c>
      <c r="S88" s="218">
        <f t="shared" si="18"/>
        <v>79249488.294646531</v>
      </c>
      <c r="T88" s="218">
        <f>MIN(MAX(S88,0),'Tax Assumptions'!$B$20)</f>
        <v>7500</v>
      </c>
      <c r="U88" s="218">
        <f t="shared" si="19"/>
        <v>79241988.294646531</v>
      </c>
      <c r="V88" s="218">
        <f>MAX(V87*(1+'Model Inputs'!$B$13)+U88,0)</f>
        <v>446994400.12139785</v>
      </c>
      <c r="W88" s="218">
        <f>MAX(W87*(1+'Model Inputs'!$B$13)+M88+T88,0)</f>
        <v>1503866.4861722963</v>
      </c>
      <c r="X88" s="218">
        <f t="shared" si="20"/>
        <v>448498266.60757017</v>
      </c>
      <c r="Y88" s="226" t="str">
        <f t="shared" si="21"/>
        <v/>
      </c>
      <c r="Z88" s="226" t="str">
        <f t="shared" si="22"/>
        <v/>
      </c>
      <c r="AA88" s="226" t="str">
        <f t="shared" si="23"/>
        <v/>
      </c>
      <c r="AB88" s="226" t="str">
        <f t="shared" si="24"/>
        <v/>
      </c>
    </row>
    <row r="89" spans="1:28" x14ac:dyDescent="0.2">
      <c r="A89" s="214" t="str">
        <f t="shared" si="26"/>
        <v>3Y 3x</v>
      </c>
      <c r="B89" s="214">
        <f t="shared" si="27"/>
        <v>3</v>
      </c>
      <c r="C89" s="223">
        <f t="shared" si="28"/>
        <v>3</v>
      </c>
      <c r="D89" s="214">
        <v>24</v>
      </c>
      <c r="E89" s="214">
        <f t="shared" si="14"/>
        <v>2049</v>
      </c>
      <c r="F89" s="218">
        <f>IF(D89=1,'Model Inputs'!$B$25*(13-'Model Inputs'!$B$23)/12,'Model Inputs'!$B$25)</f>
        <v>300000</v>
      </c>
      <c r="G89" s="218">
        <f>IF(D89=1,'Model Inputs'!$B$27*(13-'Model Inputs'!$B$23)/12,IF(D89=2,'Model Inputs'!$B$27,IF(D89&lt;=MAX(3,'Model Inputs'!$B$30+1),'Model Inputs'!$B$27*(1+'Model Inputs'!$B$28)^(D89-3),'Model Inputs'!$B$27*(1+'Model Inputs'!$B$28)^(MAX(3,'Model Inputs'!$B$30+1)-3)*(1+'Model Inputs'!$B$29)^(D89-MAX(3,'Model Inputs'!$B$30+1)))))</f>
        <v>90301156.084270701</v>
      </c>
      <c r="H89" s="224">
        <f>IF(D89&lt;=2,0,'Model Inputs'!$B$32*SIN(2*PI()*(D89-3+'Model Inputs'!$B$34)/MAX(1,'Model Inputs'!$B$33)))</f>
        <v>-2.0574066225675533E-16</v>
      </c>
      <c r="I89" s="218">
        <f t="shared" si="15"/>
        <v>90301156.084270686</v>
      </c>
      <c r="J89" s="218">
        <f t="shared" si="29"/>
        <v>63182470.219744325</v>
      </c>
      <c r="K89" s="218">
        <f>F89+J89+IF(D89=1,'Model Inputs'!$B$26,0)</f>
        <v>63482470.219744325</v>
      </c>
      <c r="L89" s="218">
        <f t="shared" si="16"/>
        <v>190447410.65923297</v>
      </c>
      <c r="M89" s="218">
        <f>MIN(L89,'Tax Assumptions'!$B$19)</f>
        <v>24500</v>
      </c>
      <c r="N89" s="218">
        <f>MAX(L89-M89-'Tax Assumptions'!$B$8,0)</f>
        <v>190406810.65923297</v>
      </c>
      <c r="O89" s="218">
        <f>MAX(L89-M89-'Tax Assumptions'!$B$9,0)</f>
        <v>190414910.65923297</v>
      </c>
      <c r="P89" s="218">
        <f>IF(N89=0,0,LOOKUP(N89,'Tax Assumptions'!$F$9:$F$15,'Tax Assumptions'!$I$9:$I$15)+(N89-LOOKUP(N89,'Tax Assumptions'!$F$9:$F$15,'Tax Assumptions'!$F$9:$F$15))*LOOKUP(N89,'Tax Assumptions'!$F$9:$F$15,'Tax Assumptions'!$H$9:$H$15))+MIN(MAX(L89,0),'Tax Assumptions'!$B$11)*'Tax Assumptions'!$B$10+MAX(L89,0)*'Tax Assumptions'!$B$12+MAX(MAX(L89,0)-'Tax Assumptions'!$B$14,0)*'Tax Assumptions'!$B$13+MIN(L89*'Tax Assumptions'!$B$15,'Tax Assumptions'!$B$16)+MIN(L89*'Tax Assumptions'!$B$17,'Tax Assumptions'!$B$18)+IF(O89=0,0,LOOKUP(O89,'Tax Assumptions'!$K$9:$K$17,'Tax Assumptions'!$N$9:$N$17)+(O89-LOOKUP(O89,'Tax Assumptions'!$K$9:$K$17,'Tax Assumptions'!$K$9:$K$17))*LOOKUP(O89,'Tax Assumptions'!$K$9:$K$17,'Tax Assumptions'!$M$9:$M$17))+IF(O89=0,0,LOOKUP(O89,'Tax Assumptions'!$P$9:$P$12,'Tax Assumptions'!$S$9:$S$12)+(O89-LOOKUP(O89,'Tax Assumptions'!$P$9:$P$12,'Tax Assumptions'!$P$9:$P$12))*LOOKUP(O89,'Tax Assumptions'!$P$9:$P$12,'Tax Assumptions'!$R$9:$R$12))</f>
        <v>102812373.03341645</v>
      </c>
      <c r="Q89" s="218">
        <f t="shared" si="17"/>
        <v>87610537.625816524</v>
      </c>
      <c r="R89" s="218">
        <f>IF(D89&lt;=10,INDEX('Savings Projection'!$BL$19:$BL$28,D89),LOOKUP(2,1/('Savings Projection'!$BL$19:$BL$28&lt;&gt;""),'Savings Projection'!$BL$19:$BL$28))*(1+'Model Inputs'!$B$35)^(D89-1)+IF(D89&lt;=10,INDEX('Savings Projection'!$BM$19:$BM$28,D89),LOOKUP(2,1/('Savings Projection'!$BM$19:$BM$28&lt;&gt;""),'Savings Projection'!$BM$19:$BM$28))*(1+'Model Inputs'!$B$36)^(D89-1)</f>
        <v>256566.24644645851</v>
      </c>
      <c r="S89" s="218">
        <f t="shared" si="18"/>
        <v>87353971.379370064</v>
      </c>
      <c r="T89" s="218">
        <f>MIN(MAX(S89,0),'Tax Assumptions'!$B$20)</f>
        <v>7500</v>
      </c>
      <c r="U89" s="218">
        <f t="shared" si="19"/>
        <v>87346471.379370064</v>
      </c>
      <c r="V89" s="218">
        <f>MAX(V88*(1+'Model Inputs'!$B$13)+U89,0)</f>
        <v>561160535.50805175</v>
      </c>
      <c r="W89" s="218">
        <f>MAX(W88*(1+'Model Inputs'!$B$13)+M89+T89,0)</f>
        <v>1626098.4753426341</v>
      </c>
      <c r="X89" s="218">
        <f t="shared" si="20"/>
        <v>562786633.98339438</v>
      </c>
      <c r="Y89" s="226" t="str">
        <f t="shared" si="21"/>
        <v/>
      </c>
      <c r="Z89" s="226" t="str">
        <f t="shared" si="22"/>
        <v/>
      </c>
      <c r="AA89" s="226" t="str">
        <f t="shared" si="23"/>
        <v/>
      </c>
      <c r="AB89" s="226" t="str">
        <f t="shared" si="24"/>
        <v/>
      </c>
    </row>
    <row r="90" spans="1:28" x14ac:dyDescent="0.2">
      <c r="A90" s="214" t="str">
        <f t="shared" si="26"/>
        <v>3Y 3x</v>
      </c>
      <c r="B90" s="214">
        <f t="shared" si="27"/>
        <v>3</v>
      </c>
      <c r="C90" s="223">
        <f t="shared" si="28"/>
        <v>3</v>
      </c>
      <c r="D90" s="214">
        <v>25</v>
      </c>
      <c r="E90" s="214">
        <f t="shared" si="14"/>
        <v>2050</v>
      </c>
      <c r="F90" s="218">
        <f>IF(D90=1,'Model Inputs'!$B$25*(13-'Model Inputs'!$B$23)/12,'Model Inputs'!$B$25)</f>
        <v>300000</v>
      </c>
      <c r="G90" s="218">
        <f>IF(D90=1,'Model Inputs'!$B$27*(13-'Model Inputs'!$B$23)/12,IF(D90=2,'Model Inputs'!$B$27,IF(D90&lt;=MAX(3,'Model Inputs'!$B$30+1),'Model Inputs'!$B$27*(1+'Model Inputs'!$B$28)^(D90-3),'Model Inputs'!$B$27*(1+'Model Inputs'!$B$28)^(MAX(3,'Model Inputs'!$B$30+1)-3)*(1+'Model Inputs'!$B$29)^(D90-MAX(3,'Model Inputs'!$B$30+1)))))</f>
        <v>114761701.62653697</v>
      </c>
      <c r="H90" s="224">
        <f>IF(D90&lt;=2,0,'Model Inputs'!$B$32*SIN(2*PI()*(D90-3+'Model Inputs'!$B$34)/MAX(1,'Model Inputs'!$B$33)))</f>
        <v>0.10392304845413287</v>
      </c>
      <c r="I90" s="218">
        <f t="shared" si="15"/>
        <v>126688087.50535031</v>
      </c>
      <c r="J90" s="218">
        <f t="shared" si="29"/>
        <v>83643370.677900568</v>
      </c>
      <c r="K90" s="218">
        <f>F90+J90+IF(D90=1,'Model Inputs'!$B$26,0)</f>
        <v>83943370.677900568</v>
      </c>
      <c r="L90" s="218">
        <f t="shared" si="16"/>
        <v>251830112.03370172</v>
      </c>
      <c r="M90" s="218">
        <f>MIN(L90,'Tax Assumptions'!$B$19)</f>
        <v>24500</v>
      </c>
      <c r="N90" s="218">
        <f>MAX(L90-M90-'Tax Assumptions'!$B$8,0)</f>
        <v>251789512.03370172</v>
      </c>
      <c r="O90" s="218">
        <f>MAX(L90-M90-'Tax Assumptions'!$B$9,0)</f>
        <v>251797612.03370172</v>
      </c>
      <c r="P90" s="218">
        <f>IF(N90=0,0,LOOKUP(N90,'Tax Assumptions'!$F$9:$F$15,'Tax Assumptions'!$I$9:$I$15)+(N90-LOOKUP(N90,'Tax Assumptions'!$F$9:$F$15,'Tax Assumptions'!$F$9:$F$15))*LOOKUP(N90,'Tax Assumptions'!$F$9:$F$15,'Tax Assumptions'!$H$9:$H$15))+MIN(MAX(L90,0),'Tax Assumptions'!$B$11)*'Tax Assumptions'!$B$10+MAX(L90,0)*'Tax Assumptions'!$B$12+MAX(MAX(L90,0)-'Tax Assumptions'!$B$14,0)*'Tax Assumptions'!$B$13+MIN(L90*'Tax Assumptions'!$B$15,'Tax Assumptions'!$B$16)+MIN(L90*'Tax Assumptions'!$B$17,'Tax Assumptions'!$B$18)+IF(O90=0,0,LOOKUP(O90,'Tax Assumptions'!$K$9:$K$17,'Tax Assumptions'!$N$9:$N$17)+(O90-LOOKUP(O90,'Tax Assumptions'!$K$9:$K$17,'Tax Assumptions'!$K$9:$K$17))*LOOKUP(O90,'Tax Assumptions'!$K$9:$K$17,'Tax Assumptions'!$M$9:$M$17))+IF(O90=0,0,LOOKUP(O90,'Tax Assumptions'!$P$9:$P$12,'Tax Assumptions'!$S$9:$S$12)+(O90-LOOKUP(O90,'Tax Assumptions'!$P$9:$P$12,'Tax Assumptions'!$P$9:$P$12))*LOOKUP(O90,'Tax Assumptions'!$P$9:$P$12,'Tax Assumptions'!$R$9:$R$12))</f>
        <v>136036373.97936139</v>
      </c>
      <c r="Q90" s="218">
        <f t="shared" si="17"/>
        <v>115769238.05434033</v>
      </c>
      <c r="R90" s="218">
        <f>IF(D90&lt;=10,INDEX('Savings Projection'!$BL$19:$BL$28,D90),LOOKUP(2,1/('Savings Projection'!$BL$19:$BL$28&lt;&gt;""),'Savings Projection'!$BL$19:$BL$28))*(1+'Model Inputs'!$B$35)^(D90-1)+IF(D90&lt;=10,INDEX('Savings Projection'!$BM$19:$BM$28,D90),LOOKUP(2,1/('Savings Projection'!$BM$19:$BM$28&lt;&gt;""),'Savings Projection'!$BM$19:$BM$28))*(1+'Model Inputs'!$B$36)^(D90-1)</f>
        <v>264263.23383985227</v>
      </c>
      <c r="S90" s="218">
        <f t="shared" si="18"/>
        <v>115504974.82050048</v>
      </c>
      <c r="T90" s="218">
        <f>MIN(MAX(S90,0),'Tax Assumptions'!$B$20)</f>
        <v>7500</v>
      </c>
      <c r="U90" s="218">
        <f t="shared" si="19"/>
        <v>115497474.82050048</v>
      </c>
      <c r="V90" s="218">
        <f>MAX(V89*(1+'Model Inputs'!$B$13)+U90,0)</f>
        <v>710327642.4590354</v>
      </c>
      <c r="W90" s="218">
        <f>MAX(W89*(1+'Model Inputs'!$B$13)+M90+T90,0)</f>
        <v>1755664.3838631923</v>
      </c>
      <c r="X90" s="218">
        <f t="shared" si="20"/>
        <v>712083306.84289861</v>
      </c>
      <c r="Y90" s="226" t="str">
        <f t="shared" si="21"/>
        <v/>
      </c>
      <c r="Z90" s="226" t="str">
        <f t="shared" si="22"/>
        <v/>
      </c>
      <c r="AA90" s="226" t="str">
        <f t="shared" si="23"/>
        <v/>
      </c>
      <c r="AB90" s="226" t="str">
        <f t="shared" si="24"/>
        <v/>
      </c>
    </row>
    <row r="91" spans="1:28" x14ac:dyDescent="0.2">
      <c r="A91" s="214" t="str">
        <f t="shared" si="26"/>
        <v>3Y 3x</v>
      </c>
      <c r="B91" s="214">
        <f t="shared" si="27"/>
        <v>3</v>
      </c>
      <c r="C91" s="223">
        <f t="shared" si="28"/>
        <v>3</v>
      </c>
      <c r="D91" s="214">
        <v>26</v>
      </c>
      <c r="E91" s="214">
        <f t="shared" si="14"/>
        <v>2051</v>
      </c>
      <c r="F91" s="218">
        <f>IF(D91=1,'Model Inputs'!$B$25*(13-'Model Inputs'!$B$23)/12,'Model Inputs'!$B$25)</f>
        <v>300000</v>
      </c>
      <c r="G91" s="218">
        <f>IF(D91=1,'Model Inputs'!$B$27*(13-'Model Inputs'!$B$23)/12,IF(D91=2,'Model Inputs'!$B$27,IF(D91&lt;=MAX(3,'Model Inputs'!$B$30+1),'Model Inputs'!$B$27*(1+'Model Inputs'!$B$28)^(D91-3),'Model Inputs'!$B$27*(1+'Model Inputs'!$B$28)^(MAX(3,'Model Inputs'!$B$30+1)-3)*(1+'Model Inputs'!$B$29)^(D91-MAX(3,'Model Inputs'!$B$30+1)))))</f>
        <v>145848057.00524563</v>
      </c>
      <c r="H91" s="224">
        <f>IF(D91&lt;=2,0,'Model Inputs'!$B$32*SIN(2*PI()*(D91-3+'Model Inputs'!$B$34)/MAX(1,'Model Inputs'!$B$33)))</f>
        <v>-0.10392304845413224</v>
      </c>
      <c r="I91" s="218">
        <f t="shared" si="15"/>
        <v>130691082.31014845</v>
      </c>
      <c r="J91" s="218">
        <f t="shared" si="29"/>
        <v>117591354.65008041</v>
      </c>
      <c r="K91" s="218">
        <f>F91+J91+IF(D91=1,'Model Inputs'!$B$26,0)</f>
        <v>117891354.65008041</v>
      </c>
      <c r="L91" s="218">
        <f t="shared" si="16"/>
        <v>353674063.95024121</v>
      </c>
      <c r="M91" s="218">
        <f>MIN(L91,'Tax Assumptions'!$B$19)</f>
        <v>24500</v>
      </c>
      <c r="N91" s="218">
        <f>MAX(L91-M91-'Tax Assumptions'!$B$8,0)</f>
        <v>353633463.95024121</v>
      </c>
      <c r="O91" s="218">
        <f>MAX(L91-M91-'Tax Assumptions'!$B$9,0)</f>
        <v>353641563.95024121</v>
      </c>
      <c r="P91" s="218">
        <f>IF(N91=0,0,LOOKUP(N91,'Tax Assumptions'!$F$9:$F$15,'Tax Assumptions'!$I$9:$I$15)+(N91-LOOKUP(N91,'Tax Assumptions'!$F$9:$F$15,'Tax Assumptions'!$F$9:$F$15))*LOOKUP(N91,'Tax Assumptions'!$F$9:$F$15,'Tax Assumptions'!$H$9:$H$15))+MIN(MAX(L91,0),'Tax Assumptions'!$B$11)*'Tax Assumptions'!$B$10+MAX(L91,0)*'Tax Assumptions'!$B$12+MAX(MAX(L91,0)-'Tax Assumptions'!$B$14,0)*'Tax Assumptions'!$B$13+MIN(L91*'Tax Assumptions'!$B$15,'Tax Assumptions'!$B$16)+MIN(L91*'Tax Assumptions'!$B$17,'Tax Assumptions'!$B$18)+IF(O91=0,0,LOOKUP(O91,'Tax Assumptions'!$K$9:$K$17,'Tax Assumptions'!$N$9:$N$17)+(O91-LOOKUP(O91,'Tax Assumptions'!$K$9:$K$17,'Tax Assumptions'!$K$9:$K$17))*LOOKUP(O91,'Tax Assumptions'!$K$9:$K$17,'Tax Assumptions'!$M$9:$M$17))+IF(O91=0,0,LOOKUP(O91,'Tax Assumptions'!$P$9:$P$12,'Tax Assumptions'!$S$9:$S$12)+(O91-LOOKUP(O91,'Tax Assumptions'!$P$9:$P$12,'Tax Assumptions'!$P$9:$P$12))*LOOKUP(O91,'Tax Assumptions'!$P$9:$P$12,'Tax Assumptions'!$R$9:$R$12))</f>
        <v>191160431.39370754</v>
      </c>
      <c r="Q91" s="218">
        <f t="shared" si="17"/>
        <v>162489132.55653366</v>
      </c>
      <c r="R91" s="218">
        <f>IF(D91&lt;=10,INDEX('Savings Projection'!$BL$19:$BL$28,D91),LOOKUP(2,1/('Savings Projection'!$BL$19:$BL$28&lt;&gt;""),'Savings Projection'!$BL$19:$BL$28))*(1+'Model Inputs'!$B$35)^(D91-1)+IF(D91&lt;=10,INDEX('Savings Projection'!$BM$19:$BM$28,D91),LOOKUP(2,1/('Savings Projection'!$BM$19:$BM$28&lt;&gt;""),'Savings Projection'!$BM$19:$BM$28))*(1+'Model Inputs'!$B$36)^(D91-1)</f>
        <v>272191.13085504784</v>
      </c>
      <c r="S91" s="218">
        <f t="shared" si="18"/>
        <v>162216941.42567861</v>
      </c>
      <c r="T91" s="218">
        <f>MIN(MAX(S91,0),'Tax Assumptions'!$B$20)</f>
        <v>7500</v>
      </c>
      <c r="U91" s="218">
        <f t="shared" si="19"/>
        <v>162209441.42567861</v>
      </c>
      <c r="V91" s="218">
        <f>MAX(V90*(1+'Model Inputs'!$B$13)+U91,0)</f>
        <v>915156742.43225622</v>
      </c>
      <c r="W91" s="218">
        <f>MAX(W90*(1+'Model Inputs'!$B$13)+M91+T91,0)</f>
        <v>1893004.2468949838</v>
      </c>
      <c r="X91" s="218">
        <f t="shared" si="20"/>
        <v>917049746.67915118</v>
      </c>
      <c r="Y91" s="226" t="str">
        <f t="shared" si="21"/>
        <v/>
      </c>
      <c r="Z91" s="226" t="str">
        <f t="shared" si="22"/>
        <v/>
      </c>
      <c r="AA91" s="226" t="str">
        <f t="shared" si="23"/>
        <v/>
      </c>
      <c r="AB91" s="226" t="str">
        <f t="shared" si="24"/>
        <v/>
      </c>
    </row>
    <row r="92" spans="1:28" x14ac:dyDescent="0.2">
      <c r="A92" s="214" t="str">
        <f t="shared" si="26"/>
        <v>3Y 3x</v>
      </c>
      <c r="B92" s="214">
        <f t="shared" si="27"/>
        <v>3</v>
      </c>
      <c r="C92" s="223">
        <f t="shared" si="28"/>
        <v>3</v>
      </c>
      <c r="D92" s="214">
        <v>27</v>
      </c>
      <c r="E92" s="214">
        <f t="shared" si="14"/>
        <v>2052</v>
      </c>
      <c r="F92" s="218">
        <f>IF(D92=1,'Model Inputs'!$B$25*(13-'Model Inputs'!$B$23)/12,'Model Inputs'!$B$25)</f>
        <v>300000</v>
      </c>
      <c r="G92" s="218">
        <f>IF(D92=1,'Model Inputs'!$B$27*(13-'Model Inputs'!$B$23)/12,IF(D92=2,'Model Inputs'!$B$27,IF(D92&lt;=MAX(3,'Model Inputs'!$B$30+1),'Model Inputs'!$B$27*(1+'Model Inputs'!$B$28)^(D92-3),'Model Inputs'!$B$27*(1+'Model Inputs'!$B$28)^(MAX(3,'Model Inputs'!$B$30+1)-3)*(1+'Model Inputs'!$B$29)^(D92-MAX(3,'Model Inputs'!$B$30+1)))))</f>
        <v>185355004.59402937</v>
      </c>
      <c r="H92" s="224">
        <f>IF(D92&lt;=2,0,'Model Inputs'!$B$32*SIN(2*PI()*(D92-3+'Model Inputs'!$B$34)/MAX(1,'Model Inputs'!$B$33)))</f>
        <v>-2.3513218543629179E-16</v>
      </c>
      <c r="I92" s="218">
        <f t="shared" si="15"/>
        <v>185355004.59402934</v>
      </c>
      <c r="J92" s="218">
        <f t="shared" si="29"/>
        <v>129690333.6089489</v>
      </c>
      <c r="K92" s="218">
        <f>F92+J92+IF(D92=1,'Model Inputs'!$B$26,0)</f>
        <v>129990333.6089489</v>
      </c>
      <c r="L92" s="218">
        <f t="shared" si="16"/>
        <v>389971000.82684672</v>
      </c>
      <c r="M92" s="218">
        <f>MIN(L92,'Tax Assumptions'!$B$19)</f>
        <v>24500</v>
      </c>
      <c r="N92" s="218">
        <f>MAX(L92-M92-'Tax Assumptions'!$B$8,0)</f>
        <v>389930400.82684672</v>
      </c>
      <c r="O92" s="218">
        <f>MAX(L92-M92-'Tax Assumptions'!$B$9,0)</f>
        <v>389938500.82684672</v>
      </c>
      <c r="P92" s="218">
        <f>IF(N92=0,0,LOOKUP(N92,'Tax Assumptions'!$F$9:$F$15,'Tax Assumptions'!$I$9:$I$15)+(N92-LOOKUP(N92,'Tax Assumptions'!$F$9:$F$15,'Tax Assumptions'!$F$9:$F$15))*LOOKUP(N92,'Tax Assumptions'!$F$9:$F$15,'Tax Assumptions'!$H$9:$H$15))+MIN(MAX(L92,0),'Tax Assumptions'!$B$11)*'Tax Assumptions'!$B$10+MAX(L92,0)*'Tax Assumptions'!$B$12+MAX(MAX(L92,0)-'Tax Assumptions'!$B$14,0)*'Tax Assumptions'!$B$13+MIN(L92*'Tax Assumptions'!$B$15,'Tax Assumptions'!$B$16)+MIN(L92*'Tax Assumptions'!$B$17,'Tax Assumptions'!$B$18)+IF(O92=0,0,LOOKUP(O92,'Tax Assumptions'!$K$9:$K$17,'Tax Assumptions'!$N$9:$N$17)+(O92-LOOKUP(O92,'Tax Assumptions'!$K$9:$K$17,'Tax Assumptions'!$K$9:$K$17))*LOOKUP(O92,'Tax Assumptions'!$K$9:$K$17,'Tax Assumptions'!$M$9:$M$17))+IF(O92=0,0,LOOKUP(O92,'Tax Assumptions'!$P$9:$P$12,'Tax Assumptions'!$S$9:$S$12)+(O92-LOOKUP(O92,'Tax Assumptions'!$P$9:$P$12,'Tax Assumptions'!$P$9:$P$12))*LOOKUP(O92,'Tax Assumptions'!$P$9:$P$12,'Tax Assumptions'!$R$9:$R$12))</f>
        <v>210806511.44753903</v>
      </c>
      <c r="Q92" s="218">
        <f t="shared" si="17"/>
        <v>179139989.37930769</v>
      </c>
      <c r="R92" s="218">
        <f>IF(D92&lt;=10,INDEX('Savings Projection'!$BL$19:$BL$28,D92),LOOKUP(2,1/('Savings Projection'!$BL$19:$BL$28&lt;&gt;""),'Savings Projection'!$BL$19:$BL$28))*(1+'Model Inputs'!$B$35)^(D92-1)+IF(D92&lt;=10,INDEX('Savings Projection'!$BM$19:$BM$28,D92),LOOKUP(2,1/('Savings Projection'!$BM$19:$BM$28&lt;&gt;""),'Savings Projection'!$BM$19:$BM$28))*(1+'Model Inputs'!$B$36)^(D92-1)</f>
        <v>280356.86478069925</v>
      </c>
      <c r="S92" s="218">
        <f t="shared" si="18"/>
        <v>178859632.51452699</v>
      </c>
      <c r="T92" s="218">
        <f>MIN(MAX(S92,0),'Tax Assumptions'!$B$20)</f>
        <v>7500</v>
      </c>
      <c r="U92" s="218">
        <f t="shared" si="19"/>
        <v>178852132.51452699</v>
      </c>
      <c r="V92" s="218">
        <f>MAX(V91*(1+'Model Inputs'!$B$13)+U92,0)</f>
        <v>1148918279.4927187</v>
      </c>
      <c r="W92" s="218">
        <f>MAX(W91*(1+'Model Inputs'!$B$13)+M92+T92,0)</f>
        <v>2038584.5017086829</v>
      </c>
      <c r="X92" s="218">
        <f t="shared" si="20"/>
        <v>1150956863.9944274</v>
      </c>
      <c r="Y92" s="226" t="str">
        <f t="shared" si="21"/>
        <v/>
      </c>
      <c r="Z92" s="226" t="str">
        <f t="shared" si="22"/>
        <v/>
      </c>
      <c r="AA92" s="226" t="str">
        <f t="shared" si="23"/>
        <v/>
      </c>
      <c r="AB92" s="226" t="str">
        <f t="shared" si="24"/>
        <v/>
      </c>
    </row>
    <row r="93" spans="1:28" x14ac:dyDescent="0.2">
      <c r="A93" s="214" t="str">
        <f t="shared" si="26"/>
        <v>3Y 3x</v>
      </c>
      <c r="B93" s="214">
        <f t="shared" si="27"/>
        <v>3</v>
      </c>
      <c r="C93" s="223">
        <f t="shared" si="28"/>
        <v>3</v>
      </c>
      <c r="D93" s="214">
        <v>28</v>
      </c>
      <c r="E93" s="214">
        <f t="shared" si="14"/>
        <v>2053</v>
      </c>
      <c r="F93" s="218">
        <f>IF(D93=1,'Model Inputs'!$B$25*(13-'Model Inputs'!$B$23)/12,'Model Inputs'!$B$25)</f>
        <v>300000</v>
      </c>
      <c r="G93" s="218">
        <f>IF(D93=1,'Model Inputs'!$B$27*(13-'Model Inputs'!$B$23)/12,IF(D93=2,'Model Inputs'!$B$27,IF(D93&lt;=MAX(3,'Model Inputs'!$B$30+1),'Model Inputs'!$B$27*(1+'Model Inputs'!$B$28)^(D93-3),'Model Inputs'!$B$27*(1+'Model Inputs'!$B$28)^(MAX(3,'Model Inputs'!$B$30+1)-3)*(1+'Model Inputs'!$B$29)^(D93-MAX(3,'Model Inputs'!$B$30+1)))))</f>
        <v>235563492.81236541</v>
      </c>
      <c r="H93" s="224">
        <f>IF(D93&lt;=2,0,'Model Inputs'!$B$32*SIN(2*PI()*(D93-3+'Model Inputs'!$B$34)/MAX(1,'Model Inputs'!$B$33)))</f>
        <v>0.10392304845413247</v>
      </c>
      <c r="I93" s="218">
        <f t="shared" si="15"/>
        <v>260043969.08992955</v>
      </c>
      <c r="J93" s="218">
        <f t="shared" si="29"/>
        <v>171689024.02305913</v>
      </c>
      <c r="K93" s="218">
        <f>F93+J93+IF(D93=1,'Model Inputs'!$B$26,0)</f>
        <v>171989024.02305913</v>
      </c>
      <c r="L93" s="218">
        <f t="shared" si="16"/>
        <v>515967072.06917739</v>
      </c>
      <c r="M93" s="218">
        <f>MIN(L93,'Tax Assumptions'!$B$19)</f>
        <v>24500</v>
      </c>
      <c r="N93" s="218">
        <f>MAX(L93-M93-'Tax Assumptions'!$B$8,0)</f>
        <v>515926472.06917739</v>
      </c>
      <c r="O93" s="218">
        <f>MAX(L93-M93-'Tax Assumptions'!$B$9,0)</f>
        <v>515934572.06917739</v>
      </c>
      <c r="P93" s="218">
        <f>IF(N93=0,0,LOOKUP(N93,'Tax Assumptions'!$F$9:$F$15,'Tax Assumptions'!$I$9:$I$15)+(N93-LOOKUP(N93,'Tax Assumptions'!$F$9:$F$15,'Tax Assumptions'!$F$9:$F$15))*LOOKUP(N93,'Tax Assumptions'!$F$9:$F$15,'Tax Assumptions'!$H$9:$H$15))+MIN(MAX(L93,0),'Tax Assumptions'!$B$11)*'Tax Assumptions'!$B$10+MAX(L93,0)*'Tax Assumptions'!$B$12+MAX(MAX(L93,0)-'Tax Assumptions'!$B$14,0)*'Tax Assumptions'!$B$13+MIN(L93*'Tax Assumptions'!$B$15,'Tax Assumptions'!$B$16)+MIN(L93*'Tax Assumptions'!$B$17,'Tax Assumptions'!$B$18)+IF(O93=0,0,LOOKUP(O93,'Tax Assumptions'!$K$9:$K$17,'Tax Assumptions'!$N$9:$N$17)+(O93-LOOKUP(O93,'Tax Assumptions'!$K$9:$K$17,'Tax Assumptions'!$K$9:$K$17))*LOOKUP(O93,'Tax Assumptions'!$K$9:$K$17,'Tax Assumptions'!$M$9:$M$17))+IF(O93=0,0,LOOKUP(O93,'Tax Assumptions'!$P$9:$P$12,'Tax Assumptions'!$S$9:$S$12)+(O93-LOOKUP(O93,'Tax Assumptions'!$P$9:$P$12,'Tax Assumptions'!$P$9:$P$12))*LOOKUP(O93,'Tax Assumptions'!$P$9:$P$12,'Tax Assumptions'!$R$9:$R$12))</f>
        <v>279003144.96816295</v>
      </c>
      <c r="Q93" s="218">
        <f t="shared" si="17"/>
        <v>236939427.10101444</v>
      </c>
      <c r="R93" s="218">
        <f>IF(D93&lt;=10,INDEX('Savings Projection'!$BL$19:$BL$28,D93),LOOKUP(2,1/('Savings Projection'!$BL$19:$BL$28&lt;&gt;""),'Savings Projection'!$BL$19:$BL$28))*(1+'Model Inputs'!$B$35)^(D93-1)+IF(D93&lt;=10,INDEX('Savings Projection'!$BM$19:$BM$28,D93),LOOKUP(2,1/('Savings Projection'!$BM$19:$BM$28&lt;&gt;""),'Savings Projection'!$BM$19:$BM$28))*(1+'Model Inputs'!$B$36)^(D93-1)</f>
        <v>288767.57072412025</v>
      </c>
      <c r="S93" s="218">
        <f t="shared" si="18"/>
        <v>236650659.53029031</v>
      </c>
      <c r="T93" s="218">
        <f>MIN(MAX(S93,0),'Tax Assumptions'!$B$20)</f>
        <v>7500</v>
      </c>
      <c r="U93" s="218">
        <f t="shared" si="19"/>
        <v>236643159.53029031</v>
      </c>
      <c r="V93" s="218">
        <f>MAX(V92*(1+'Model Inputs'!$B$13)+U93,0)</f>
        <v>1454496535.7925723</v>
      </c>
      <c r="W93" s="218">
        <f>MAX(W92*(1+'Model Inputs'!$B$13)+M93+T93,0)</f>
        <v>2192899.5718112038</v>
      </c>
      <c r="X93" s="218">
        <f t="shared" si="20"/>
        <v>1456689435.3643835</v>
      </c>
      <c r="Y93" s="226" t="str">
        <f t="shared" si="21"/>
        <v/>
      </c>
      <c r="Z93" s="226" t="str">
        <f t="shared" si="22"/>
        <v/>
      </c>
      <c r="AA93" s="226" t="str">
        <f t="shared" si="23"/>
        <v/>
      </c>
      <c r="AB93" s="226" t="str">
        <f t="shared" si="24"/>
        <v/>
      </c>
    </row>
    <row r="94" spans="1:28" x14ac:dyDescent="0.2">
      <c r="A94" s="214" t="str">
        <f t="shared" si="26"/>
        <v>3Y 3x</v>
      </c>
      <c r="B94" s="214">
        <f t="shared" si="27"/>
        <v>3</v>
      </c>
      <c r="C94" s="223">
        <f t="shared" si="28"/>
        <v>3</v>
      </c>
      <c r="D94" s="214">
        <v>29</v>
      </c>
      <c r="E94" s="214">
        <f t="shared" si="14"/>
        <v>2054</v>
      </c>
      <c r="F94" s="218">
        <f>IF(D94=1,'Model Inputs'!$B$25*(13-'Model Inputs'!$B$23)/12,'Model Inputs'!$B$25)</f>
        <v>300000</v>
      </c>
      <c r="G94" s="218">
        <f>IF(D94=1,'Model Inputs'!$B$27*(13-'Model Inputs'!$B$23)/12,IF(D94=2,'Model Inputs'!$B$27,IF(D94&lt;=MAX(3,'Model Inputs'!$B$30+1),'Model Inputs'!$B$27*(1+'Model Inputs'!$B$28)^(D94-3),'Model Inputs'!$B$27*(1+'Model Inputs'!$B$28)^(MAX(3,'Model Inputs'!$B$30+1)-3)*(1+'Model Inputs'!$B$29)^(D94-MAX(3,'Model Inputs'!$B$30+1)))))</f>
        <v>299372327.53708321</v>
      </c>
      <c r="H94" s="224">
        <f>IF(D94&lt;=2,0,'Model Inputs'!$B$32*SIN(2*PI()*(D94-3+'Model Inputs'!$B$34)/MAX(1,'Model Inputs'!$B$33)))</f>
        <v>-0.10392304845413265</v>
      </c>
      <c r="I94" s="218">
        <f t="shared" si="15"/>
        <v>268260642.63662043</v>
      </c>
      <c r="J94" s="218">
        <f t="shared" si="29"/>
        <v>241371727.96595448</v>
      </c>
      <c r="K94" s="218">
        <f>F94+J94+IF(D94=1,'Model Inputs'!$B$26,0)</f>
        <v>241671727.96595448</v>
      </c>
      <c r="L94" s="218">
        <f t="shared" si="16"/>
        <v>725015183.89786339</v>
      </c>
      <c r="M94" s="218">
        <f>MIN(L94,'Tax Assumptions'!$B$19)</f>
        <v>24500</v>
      </c>
      <c r="N94" s="218">
        <f>MAX(L94-M94-'Tax Assumptions'!$B$8,0)</f>
        <v>724974583.89786339</v>
      </c>
      <c r="O94" s="218">
        <f>MAX(L94-M94-'Tax Assumptions'!$B$9,0)</f>
        <v>724982683.89786339</v>
      </c>
      <c r="P94" s="218">
        <f>IF(N94=0,0,LOOKUP(N94,'Tax Assumptions'!$F$9:$F$15,'Tax Assumptions'!$I$9:$I$15)+(N94-LOOKUP(N94,'Tax Assumptions'!$F$9:$F$15,'Tax Assumptions'!$F$9:$F$15))*LOOKUP(N94,'Tax Assumptions'!$F$9:$F$15,'Tax Assumptions'!$H$9:$H$15))+MIN(MAX(L94,0),'Tax Assumptions'!$B$11)*'Tax Assumptions'!$B$10+MAX(L94,0)*'Tax Assumptions'!$B$12+MAX(MAX(L94,0)-'Tax Assumptions'!$B$14,0)*'Tax Assumptions'!$B$13+MIN(L94*'Tax Assumptions'!$B$15,'Tax Assumptions'!$B$16)+MIN(L94*'Tax Assumptions'!$B$17,'Tax Assumptions'!$B$18)+IF(O94=0,0,LOOKUP(O94,'Tax Assumptions'!$K$9:$K$17,'Tax Assumptions'!$N$9:$N$17)+(O94-LOOKUP(O94,'Tax Assumptions'!$K$9:$K$17,'Tax Assumptions'!$K$9:$K$17))*LOOKUP(O94,'Tax Assumptions'!$K$9:$K$17,'Tax Assumptions'!$M$9:$M$17))+IF(O94=0,0,LOOKUP(O94,'Tax Assumptions'!$P$9:$P$12,'Tax Assumptions'!$S$9:$S$12)+(O94-LOOKUP(O94,'Tax Assumptions'!$P$9:$P$12,'Tax Assumptions'!$P$9:$P$12))*LOOKUP(O94,'Tax Assumptions'!$P$9:$P$12,'Tax Assumptions'!$R$9:$R$12))</f>
        <v>392152525.97655761</v>
      </c>
      <c r="Q94" s="218">
        <f t="shared" si="17"/>
        <v>332838157.92130578</v>
      </c>
      <c r="R94" s="218">
        <f>IF(D94&lt;=10,INDEX('Savings Projection'!$BL$19:$BL$28,D94),LOOKUP(2,1/('Savings Projection'!$BL$19:$BL$28&lt;&gt;""),'Savings Projection'!$BL$19:$BL$28))*(1+'Model Inputs'!$B$35)^(D94-1)+IF(D94&lt;=10,INDEX('Savings Projection'!$BM$19:$BM$28,D94),LOOKUP(2,1/('Savings Projection'!$BM$19:$BM$28&lt;&gt;""),'Savings Projection'!$BM$19:$BM$28))*(1+'Model Inputs'!$B$36)^(D94-1)</f>
        <v>297430.59784584382</v>
      </c>
      <c r="S94" s="218">
        <f t="shared" si="18"/>
        <v>332540727.32345992</v>
      </c>
      <c r="T94" s="218">
        <f>MIN(MAX(S94,0),'Tax Assumptions'!$B$20)</f>
        <v>7500</v>
      </c>
      <c r="U94" s="218">
        <f t="shared" si="19"/>
        <v>332533227.32345992</v>
      </c>
      <c r="V94" s="218">
        <f>MAX(V93*(1+'Model Inputs'!$B$13)+U94,0)</f>
        <v>1874299555.2635865</v>
      </c>
      <c r="W94" s="218">
        <f>MAX(W93*(1+'Model Inputs'!$B$13)+M94+T94,0)</f>
        <v>2356473.5461198762</v>
      </c>
      <c r="X94" s="218">
        <f t="shared" si="20"/>
        <v>1876656028.8097064</v>
      </c>
      <c r="Y94" s="226" t="str">
        <f t="shared" si="21"/>
        <v/>
      </c>
      <c r="Z94" s="226" t="str">
        <f t="shared" si="22"/>
        <v/>
      </c>
      <c r="AA94" s="226" t="str">
        <f t="shared" si="23"/>
        <v/>
      </c>
      <c r="AB94" s="226" t="str">
        <f t="shared" si="24"/>
        <v/>
      </c>
    </row>
    <row r="95" spans="1:28" x14ac:dyDescent="0.2">
      <c r="A95" s="214" t="str">
        <f t="shared" si="26"/>
        <v>3Y 3x</v>
      </c>
      <c r="B95" s="214">
        <f t="shared" si="27"/>
        <v>3</v>
      </c>
      <c r="C95" s="223">
        <f t="shared" si="28"/>
        <v>3</v>
      </c>
      <c r="D95" s="214">
        <v>30</v>
      </c>
      <c r="E95" s="214">
        <f t="shared" si="14"/>
        <v>2055</v>
      </c>
      <c r="F95" s="218">
        <f>IF(D95=1,'Model Inputs'!$B$25*(13-'Model Inputs'!$B$23)/12,'Model Inputs'!$B$25)</f>
        <v>300000</v>
      </c>
      <c r="G95" s="218">
        <f>IF(D95=1,'Model Inputs'!$B$27*(13-'Model Inputs'!$B$23)/12,IF(D95=2,'Model Inputs'!$B$27,IF(D95&lt;=MAX(3,'Model Inputs'!$B$30+1),'Model Inputs'!$B$27*(1+'Model Inputs'!$B$28)^(D95-3),'Model Inputs'!$B$27*(1+'Model Inputs'!$B$28)^(MAX(3,'Model Inputs'!$B$30+1)-3)*(1+'Model Inputs'!$B$29)^(D95-MAX(3,'Model Inputs'!$B$30+1)))))</f>
        <v>380465535.74563926</v>
      </c>
      <c r="H95" s="224">
        <f>IF(D95&lt;=2,0,'Model Inputs'!$B$32*SIN(2*PI()*(D95-3+'Model Inputs'!$B$34)/MAX(1,'Model Inputs'!$B$33)))</f>
        <v>-2.645237086158283E-16</v>
      </c>
      <c r="I95" s="218">
        <f t="shared" si="15"/>
        <v>380465535.7456392</v>
      </c>
      <c r="J95" s="218">
        <f t="shared" si="29"/>
        <v>266206474.24994773</v>
      </c>
      <c r="K95" s="218">
        <f>F95+J95+IF(D95=1,'Model Inputs'!$B$26,0)</f>
        <v>266506474.24994773</v>
      </c>
      <c r="L95" s="218">
        <f t="shared" si="16"/>
        <v>799519422.74984312</v>
      </c>
      <c r="M95" s="218">
        <f>MIN(L95,'Tax Assumptions'!$B$19)</f>
        <v>24500</v>
      </c>
      <c r="N95" s="218">
        <f>MAX(L95-M95-'Tax Assumptions'!$B$8,0)</f>
        <v>799478822.74984312</v>
      </c>
      <c r="O95" s="218">
        <f>MAX(L95-M95-'Tax Assumptions'!$B$9,0)</f>
        <v>799486922.74984312</v>
      </c>
      <c r="P95" s="218">
        <f>IF(N95=0,0,LOOKUP(N95,'Tax Assumptions'!$F$9:$F$15,'Tax Assumptions'!$I$9:$I$15)+(N95-LOOKUP(N95,'Tax Assumptions'!$F$9:$F$15,'Tax Assumptions'!$F$9:$F$15))*LOOKUP(N95,'Tax Assumptions'!$F$9:$F$15,'Tax Assumptions'!$H$9:$H$15))+MIN(MAX(L95,0),'Tax Assumptions'!$B$11)*'Tax Assumptions'!$B$10+MAX(L95,0)*'Tax Assumptions'!$B$12+MAX(MAX(L95,0)-'Tax Assumptions'!$B$14,0)*'Tax Assumptions'!$B$13+MIN(L95*'Tax Assumptions'!$B$15,'Tax Assumptions'!$B$16)+MIN(L95*'Tax Assumptions'!$B$17,'Tax Assumptions'!$B$18)+IF(O95=0,0,LOOKUP(O95,'Tax Assumptions'!$K$9:$K$17,'Tax Assumptions'!$N$9:$N$17)+(O95-LOOKUP(O95,'Tax Assumptions'!$K$9:$K$17,'Tax Assumptions'!$K$9:$K$17))*LOOKUP(O95,'Tax Assumptions'!$K$9:$K$17,'Tax Assumptions'!$M$9:$M$17))+IF(O95=0,0,LOOKUP(O95,'Tax Assumptions'!$P$9:$P$12,'Tax Assumptions'!$S$9:$S$12)+(O95-LOOKUP(O95,'Tax Assumptions'!$P$9:$P$12,'Tax Assumptions'!$P$9:$P$12))*LOOKUP(O95,'Tax Assumptions'!$P$9:$P$12,'Tax Assumptions'!$R$9:$R$12))</f>
        <v>432478690.29758012</v>
      </c>
      <c r="Q95" s="218">
        <f t="shared" si="17"/>
        <v>367016232.452263</v>
      </c>
      <c r="R95" s="218">
        <f>IF(D95&lt;=10,INDEX('Savings Projection'!$BL$19:$BL$28,D95),LOOKUP(2,1/('Savings Projection'!$BL$19:$BL$28&lt;&gt;""),'Savings Projection'!$BL$19:$BL$28))*(1+'Model Inputs'!$B$35)^(D95-1)+IF(D95&lt;=10,INDEX('Savings Projection'!$BM$19:$BM$28,D95),LOOKUP(2,1/('Savings Projection'!$BM$19:$BM$28&lt;&gt;""),'Savings Projection'!$BM$19:$BM$28))*(1+'Model Inputs'!$B$36)^(D95-1)</f>
        <v>306353.51578121912</v>
      </c>
      <c r="S95" s="218">
        <f t="shared" si="18"/>
        <v>366709878.93648177</v>
      </c>
      <c r="T95" s="218">
        <f>MIN(MAX(S95,0),'Tax Assumptions'!$B$20)</f>
        <v>7500</v>
      </c>
      <c r="U95" s="218">
        <f t="shared" si="19"/>
        <v>366702378.93648177</v>
      </c>
      <c r="V95" s="218">
        <f>MAX(V94*(1+'Model Inputs'!$B$13)+U95,0)</f>
        <v>2353459907.5158834</v>
      </c>
      <c r="W95" s="218">
        <f>MAX(W94*(1+'Model Inputs'!$B$13)+M95+T95,0)</f>
        <v>2529861.958887069</v>
      </c>
      <c r="X95" s="218">
        <f t="shared" si="20"/>
        <v>2355989769.4747705</v>
      </c>
      <c r="Y95" s="226" t="str">
        <f t="shared" si="21"/>
        <v/>
      </c>
      <c r="Z95" s="226" t="str">
        <f t="shared" si="22"/>
        <v/>
      </c>
      <c r="AA95" s="226" t="str">
        <f t="shared" si="23"/>
        <v/>
      </c>
      <c r="AB95" s="226" t="str">
        <f t="shared" si="24"/>
        <v/>
      </c>
    </row>
    <row r="96" spans="1:28" x14ac:dyDescent="0.2">
      <c r="A96" s="214" t="str">
        <f t="shared" ref="A96:A125" si="30">$A$24</f>
        <v>3Y 4x</v>
      </c>
      <c r="B96" s="214">
        <f t="shared" ref="B96:B125" si="31">$B$24</f>
        <v>3</v>
      </c>
      <c r="C96" s="223">
        <f t="shared" ref="C96:C125" si="32">$C$24</f>
        <v>4</v>
      </c>
      <c r="D96" s="214">
        <v>1</v>
      </c>
      <c r="E96" s="214">
        <f t="shared" si="14"/>
        <v>2026</v>
      </c>
      <c r="F96" s="218">
        <f>IF(D96=1,'Model Inputs'!$B$25*(13-'Model Inputs'!$B$23)/12,'Model Inputs'!$B$25)</f>
        <v>100000</v>
      </c>
      <c r="G96" s="218">
        <f>IF(D96=1,'Model Inputs'!$B$27*(13-'Model Inputs'!$B$23)/12,IF(D96=2,'Model Inputs'!$B$27,IF(D96&lt;=MAX(3,'Model Inputs'!$B$30+1),'Model Inputs'!$B$27*(1+'Model Inputs'!$B$28)^(D96-3),'Model Inputs'!$B$27*(1+'Model Inputs'!$B$28)^(MAX(3,'Model Inputs'!$B$30+1)-3)*(1+'Model Inputs'!$B$29)^(D96-MAX(3,'Model Inputs'!$B$30+1)))))</f>
        <v>150000</v>
      </c>
      <c r="H96" s="224">
        <f>IF(D96&lt;=2,0,'Model Inputs'!$B$32*SIN(2*PI()*(D96-3+'Model Inputs'!$B$34)/MAX(1,'Model Inputs'!$B$33)))</f>
        <v>0</v>
      </c>
      <c r="I96" s="218">
        <f t="shared" si="15"/>
        <v>150000</v>
      </c>
      <c r="J96" s="218">
        <f>0</f>
        <v>0</v>
      </c>
      <c r="K96" s="218">
        <f>F96+J96+IF(D96=1,'Model Inputs'!$B$26,0)</f>
        <v>550000</v>
      </c>
      <c r="L96" s="218">
        <f t="shared" si="16"/>
        <v>550000</v>
      </c>
      <c r="M96" s="218">
        <f>MIN(L96,'Tax Assumptions'!$B$19)</f>
        <v>24500</v>
      </c>
      <c r="N96" s="218">
        <f>MAX(L96-M96-'Tax Assumptions'!$B$8,0)</f>
        <v>509400</v>
      </c>
      <c r="O96" s="218">
        <f>MAX(L96-M96-'Tax Assumptions'!$B$9,0)</f>
        <v>517500</v>
      </c>
      <c r="P96" s="218">
        <f>IF(N96=0,0,LOOKUP(N96,'Tax Assumptions'!$F$9:$F$15,'Tax Assumptions'!$I$9:$I$15)+(N96-LOOKUP(N96,'Tax Assumptions'!$F$9:$F$15,'Tax Assumptions'!$F$9:$F$15))*LOOKUP(N96,'Tax Assumptions'!$F$9:$F$15,'Tax Assumptions'!$H$9:$H$15))+MIN(MAX(L96,0),'Tax Assumptions'!$B$11)*'Tax Assumptions'!$B$10+MAX(L96,0)*'Tax Assumptions'!$B$12+MAX(MAX(L96,0)-'Tax Assumptions'!$B$14,0)*'Tax Assumptions'!$B$13+MIN(L96*'Tax Assumptions'!$B$15,'Tax Assumptions'!$B$16)+MIN(L96*'Tax Assumptions'!$B$17,'Tax Assumptions'!$B$18)+IF(O96=0,0,LOOKUP(O96,'Tax Assumptions'!$K$9:$K$17,'Tax Assumptions'!$N$9:$N$17)+(O96-LOOKUP(O96,'Tax Assumptions'!$K$9:$K$17,'Tax Assumptions'!$K$9:$K$17))*LOOKUP(O96,'Tax Assumptions'!$K$9:$K$17,'Tax Assumptions'!$M$9:$M$17))+IF(O96=0,0,LOOKUP(O96,'Tax Assumptions'!$P$9:$P$12,'Tax Assumptions'!$S$9:$S$12)+(O96-LOOKUP(O96,'Tax Assumptions'!$P$9:$P$12,'Tax Assumptions'!$P$9:$P$12))*LOOKUP(O96,'Tax Assumptions'!$P$9:$P$12,'Tax Assumptions'!$R$9:$R$12))</f>
        <v>222834.53000000003</v>
      </c>
      <c r="Q96" s="218">
        <f t="shared" si="17"/>
        <v>302665.46999999997</v>
      </c>
      <c r="R96" s="218">
        <f>IF(D96&lt;=10,INDEX('Savings Projection'!$BL$19:$BL$28,D96),LOOKUP(2,1/('Savings Projection'!$BL$19:$BL$28&lt;&gt;""),'Savings Projection'!$BL$19:$BL$28))*(1+'Model Inputs'!$B$35)^(D96-1)+IF(D96&lt;=10,INDEX('Savings Projection'!$BM$19:$BM$28,D96),LOOKUP(2,1/('Savings Projection'!$BM$19:$BM$28&lt;&gt;""),'Savings Projection'!$BM$19:$BM$28))*(1+'Model Inputs'!$B$36)^(D96-1)</f>
        <v>118000</v>
      </c>
      <c r="S96" s="218">
        <f t="shared" si="18"/>
        <v>184665.46999999997</v>
      </c>
      <c r="T96" s="218">
        <f>MIN(MAX(S96,0),'Tax Assumptions'!$B$20)</f>
        <v>7500</v>
      </c>
      <c r="U96" s="218">
        <f t="shared" si="19"/>
        <v>177165.46999999997</v>
      </c>
      <c r="V96" s="218">
        <f>MAX('Model Inputs'!$B$7*(1+'Model Inputs'!$B$13)+U96,0)</f>
        <v>336165.47</v>
      </c>
      <c r="W96" s="218">
        <f>MAX(('Model Inputs'!$B$8+'Model Inputs'!$B$9+'Model Inputs'!$B$10)*(1+'Model Inputs'!$B$13)+M96+T96,0)</f>
        <v>32000</v>
      </c>
      <c r="X96" s="218">
        <f t="shared" si="20"/>
        <v>368165.47</v>
      </c>
      <c r="Y96" s="226" t="str">
        <f t="shared" si="21"/>
        <v/>
      </c>
      <c r="Z96" s="226" t="str">
        <f t="shared" si="22"/>
        <v/>
      </c>
      <c r="AA96" s="226" t="str">
        <f t="shared" si="23"/>
        <v/>
      </c>
      <c r="AB96" s="226" t="str">
        <f t="shared" si="24"/>
        <v/>
      </c>
    </row>
    <row r="97" spans="1:28" x14ac:dyDescent="0.2">
      <c r="A97" s="214" t="str">
        <f t="shared" si="30"/>
        <v>3Y 4x</v>
      </c>
      <c r="B97" s="214">
        <f t="shared" si="31"/>
        <v>3</v>
      </c>
      <c r="C97" s="223">
        <f t="shared" si="32"/>
        <v>4</v>
      </c>
      <c r="D97" s="214">
        <v>2</v>
      </c>
      <c r="E97" s="214">
        <f t="shared" si="14"/>
        <v>2027</v>
      </c>
      <c r="F97" s="218">
        <f>IF(D97=1,'Model Inputs'!$B$25*(13-'Model Inputs'!$B$23)/12,'Model Inputs'!$B$25)</f>
        <v>300000</v>
      </c>
      <c r="G97" s="218">
        <f>IF(D97=1,'Model Inputs'!$B$27*(13-'Model Inputs'!$B$23)/12,IF(D97=2,'Model Inputs'!$B$27,IF(D97&lt;=MAX(3,'Model Inputs'!$B$30+1),'Model Inputs'!$B$27*(1+'Model Inputs'!$B$28)^(D97-3),'Model Inputs'!$B$27*(1+'Model Inputs'!$B$28)^(MAX(3,'Model Inputs'!$B$30+1)-3)*(1+'Model Inputs'!$B$29)^(D97-MAX(3,'Model Inputs'!$B$30+1)))))</f>
        <v>450000</v>
      </c>
      <c r="H97" s="224">
        <f>IF(D97&lt;=2,0,'Model Inputs'!$B$32*SIN(2*PI()*(D97-3+'Model Inputs'!$B$34)/MAX(1,'Model Inputs'!$B$33)))</f>
        <v>0</v>
      </c>
      <c r="I97" s="218">
        <f t="shared" si="15"/>
        <v>450000</v>
      </c>
      <c r="J97" s="218">
        <f>0.75*I96</f>
        <v>112500</v>
      </c>
      <c r="K97" s="218">
        <f>F97+J97+IF(D97=1,'Model Inputs'!$B$26,0)</f>
        <v>412500</v>
      </c>
      <c r="L97" s="218">
        <f t="shared" si="16"/>
        <v>412500</v>
      </c>
      <c r="M97" s="218">
        <f>MIN(L97,'Tax Assumptions'!$B$19)</f>
        <v>24500</v>
      </c>
      <c r="N97" s="218">
        <f>MAX(L97-M97-'Tax Assumptions'!$B$8,0)</f>
        <v>371900</v>
      </c>
      <c r="O97" s="218">
        <f>MAX(L97-M97-'Tax Assumptions'!$B$9,0)</f>
        <v>380000</v>
      </c>
      <c r="P97" s="218">
        <f>IF(N97=0,0,LOOKUP(N97,'Tax Assumptions'!$F$9:$F$15,'Tax Assumptions'!$I$9:$I$15)+(N97-LOOKUP(N97,'Tax Assumptions'!$F$9:$F$15,'Tax Assumptions'!$F$9:$F$15))*LOOKUP(N97,'Tax Assumptions'!$F$9:$F$15,'Tax Assumptions'!$H$9:$H$15))+MIN(MAX(L97,0),'Tax Assumptions'!$B$11)*'Tax Assumptions'!$B$10+MAX(L97,0)*'Tax Assumptions'!$B$12+MAX(MAX(L97,0)-'Tax Assumptions'!$B$14,0)*'Tax Assumptions'!$B$13+MIN(L97*'Tax Assumptions'!$B$15,'Tax Assumptions'!$B$16)+MIN(L97*'Tax Assumptions'!$B$17,'Tax Assumptions'!$B$18)+IF(O97=0,0,LOOKUP(O97,'Tax Assumptions'!$K$9:$K$17,'Tax Assumptions'!$N$9:$N$17)+(O97-LOOKUP(O97,'Tax Assumptions'!$K$9:$K$17,'Tax Assumptions'!$K$9:$K$17))*LOOKUP(O97,'Tax Assumptions'!$K$9:$K$17,'Tax Assumptions'!$M$9:$M$17))+IF(O97=0,0,LOOKUP(O97,'Tax Assumptions'!$P$9:$P$12,'Tax Assumptions'!$S$9:$S$12)+(O97-LOOKUP(O97,'Tax Assumptions'!$P$9:$P$12,'Tax Assumptions'!$P$9:$P$12))*LOOKUP(O97,'Tax Assumptions'!$P$9:$P$12,'Tax Assumptions'!$R$9:$R$12))</f>
        <v>156730.03</v>
      </c>
      <c r="Q97" s="218">
        <f t="shared" si="17"/>
        <v>231269.97</v>
      </c>
      <c r="R97" s="218">
        <f>IF(D97&lt;=10,INDEX('Savings Projection'!$BL$19:$BL$28,D97),LOOKUP(2,1/('Savings Projection'!$BL$19:$BL$28&lt;&gt;""),'Savings Projection'!$BL$19:$BL$28))*(1+'Model Inputs'!$B$35)^(D97-1)+IF(D97&lt;=10,INDEX('Savings Projection'!$BM$19:$BM$28,D97),LOOKUP(2,1/('Savings Projection'!$BM$19:$BM$28&lt;&gt;""),'Savings Projection'!$BM$19:$BM$28))*(1+'Model Inputs'!$B$36)^(D97-1)</f>
        <v>121540</v>
      </c>
      <c r="S97" s="218">
        <f t="shared" si="18"/>
        <v>109729.97</v>
      </c>
      <c r="T97" s="218">
        <f>MIN(MAX(S97,0),'Tax Assumptions'!$B$20)</f>
        <v>7500</v>
      </c>
      <c r="U97" s="218">
        <f t="shared" si="19"/>
        <v>102229.97</v>
      </c>
      <c r="V97" s="218">
        <f>MAX(V96*(1+'Model Inputs'!$B$13)+U97,0)</f>
        <v>458565.36820000003</v>
      </c>
      <c r="W97" s="218">
        <f>MAX(W96*(1+'Model Inputs'!$B$13)+M97+T97,0)</f>
        <v>65920</v>
      </c>
      <c r="X97" s="218">
        <f t="shared" si="20"/>
        <v>524485.36820000003</v>
      </c>
      <c r="Y97" s="226" t="str">
        <f t="shared" si="21"/>
        <v/>
      </c>
      <c r="Z97" s="226" t="str">
        <f t="shared" si="22"/>
        <v/>
      </c>
      <c r="AA97" s="226" t="str">
        <f t="shared" si="23"/>
        <v/>
      </c>
      <c r="AB97" s="226" t="str">
        <f t="shared" si="24"/>
        <v/>
      </c>
    </row>
    <row r="98" spans="1:28" x14ac:dyDescent="0.2">
      <c r="A98" s="214" t="str">
        <f t="shared" si="30"/>
        <v>3Y 4x</v>
      </c>
      <c r="B98" s="214">
        <f t="shared" si="31"/>
        <v>3</v>
      </c>
      <c r="C98" s="223">
        <f t="shared" si="32"/>
        <v>4</v>
      </c>
      <c r="D98" s="214">
        <v>3</v>
      </c>
      <c r="E98" s="214">
        <f t="shared" si="14"/>
        <v>2028</v>
      </c>
      <c r="F98" s="218">
        <f>IF(D98=1,'Model Inputs'!$B$25*(13-'Model Inputs'!$B$23)/12,'Model Inputs'!$B$25)</f>
        <v>300000</v>
      </c>
      <c r="G98" s="218">
        <f>IF(D98=1,'Model Inputs'!$B$27*(13-'Model Inputs'!$B$23)/12,IF(D98=2,'Model Inputs'!$B$27,IF(D98&lt;=MAX(3,'Model Inputs'!$B$30+1),'Model Inputs'!$B$27*(1+'Model Inputs'!$B$28)^(D98-3),'Model Inputs'!$B$27*(1+'Model Inputs'!$B$28)^(MAX(3,'Model Inputs'!$B$30+1)-3)*(1+'Model Inputs'!$B$29)^(D98-MAX(3,'Model Inputs'!$B$30+1)))))</f>
        <v>450000</v>
      </c>
      <c r="H98" s="224">
        <f>IF(D98&lt;=2,0,'Model Inputs'!$B$32*SIN(2*PI()*(D98-3+'Model Inputs'!$B$34)/MAX(1,'Model Inputs'!$B$33)))</f>
        <v>0</v>
      </c>
      <c r="I98" s="218">
        <f t="shared" si="15"/>
        <v>450000</v>
      </c>
      <c r="J98" s="218">
        <f t="shared" ref="J98:J125" si="33">0.75*I97+0.25*I96</f>
        <v>375000</v>
      </c>
      <c r="K98" s="218">
        <f>F98+J98+IF(D98=1,'Model Inputs'!$B$26,0)</f>
        <v>675000</v>
      </c>
      <c r="L98" s="218">
        <f t="shared" si="16"/>
        <v>675000</v>
      </c>
      <c r="M98" s="218">
        <f>MIN(L98,'Tax Assumptions'!$B$19)</f>
        <v>24500</v>
      </c>
      <c r="N98" s="218">
        <f>MAX(L98-M98-'Tax Assumptions'!$B$8,0)</f>
        <v>634400</v>
      </c>
      <c r="O98" s="218">
        <f>MAX(L98-M98-'Tax Assumptions'!$B$9,0)</f>
        <v>642500</v>
      </c>
      <c r="P98" s="218">
        <f>IF(N98=0,0,LOOKUP(N98,'Tax Assumptions'!$F$9:$F$15,'Tax Assumptions'!$I$9:$I$15)+(N98-LOOKUP(N98,'Tax Assumptions'!$F$9:$F$15,'Tax Assumptions'!$F$9:$F$15))*LOOKUP(N98,'Tax Assumptions'!$F$9:$F$15,'Tax Assumptions'!$H$9:$H$15))+MIN(MAX(L98,0),'Tax Assumptions'!$B$11)*'Tax Assumptions'!$B$10+MAX(L98,0)*'Tax Assumptions'!$B$12+MAX(MAX(L98,0)-'Tax Assumptions'!$B$14,0)*'Tax Assumptions'!$B$13+MIN(L98*'Tax Assumptions'!$B$15,'Tax Assumptions'!$B$16)+MIN(L98*'Tax Assumptions'!$B$17,'Tax Assumptions'!$B$18)+IF(O98=0,0,LOOKUP(O98,'Tax Assumptions'!$K$9:$K$17,'Tax Assumptions'!$N$9:$N$17)+(O98-LOOKUP(O98,'Tax Assumptions'!$K$9:$K$17,'Tax Assumptions'!$K$9:$K$17))*LOOKUP(O98,'Tax Assumptions'!$K$9:$K$17,'Tax Assumptions'!$M$9:$M$17))+IF(O98=0,0,LOOKUP(O98,'Tax Assumptions'!$P$9:$P$12,'Tax Assumptions'!$S$9:$S$12)+(O98-LOOKUP(O98,'Tax Assumptions'!$P$9:$P$12,'Tax Assumptions'!$P$9:$P$12))*LOOKUP(O98,'Tax Assumptions'!$P$9:$P$12,'Tax Assumptions'!$R$9:$R$12))</f>
        <v>282929.53000000003</v>
      </c>
      <c r="Q98" s="218">
        <f t="shared" si="17"/>
        <v>367570.47</v>
      </c>
      <c r="R98" s="218">
        <f>IF(D98&lt;=10,INDEX('Savings Projection'!$BL$19:$BL$28,D98),LOOKUP(2,1/('Savings Projection'!$BL$19:$BL$28&lt;&gt;""),'Savings Projection'!$BL$19:$BL$28))*(1+'Model Inputs'!$B$35)^(D98-1)+IF(D98&lt;=10,INDEX('Savings Projection'!$BM$19:$BM$28,D98),LOOKUP(2,1/('Savings Projection'!$BM$19:$BM$28&lt;&gt;""),'Savings Projection'!$BM$19:$BM$28))*(1+'Model Inputs'!$B$36)^(D98-1)</f>
        <v>135795.20000000001</v>
      </c>
      <c r="S98" s="218">
        <f t="shared" si="18"/>
        <v>231775.26999999996</v>
      </c>
      <c r="T98" s="218">
        <f>MIN(MAX(S98,0),'Tax Assumptions'!$B$20)</f>
        <v>7500</v>
      </c>
      <c r="U98" s="218">
        <f t="shared" si="19"/>
        <v>224275.26999999996</v>
      </c>
      <c r="V98" s="218">
        <f>MAX(V97*(1+'Model Inputs'!$B$13)+U98,0)</f>
        <v>710354.56029199995</v>
      </c>
      <c r="W98" s="218">
        <f>MAX(W97*(1+'Model Inputs'!$B$13)+M98+T98,0)</f>
        <v>101875.2</v>
      </c>
      <c r="X98" s="218">
        <f t="shared" si="20"/>
        <v>812229.7602919999</v>
      </c>
      <c r="Y98" s="226" t="str">
        <f t="shared" si="21"/>
        <v/>
      </c>
      <c r="Z98" s="226" t="str">
        <f t="shared" si="22"/>
        <v/>
      </c>
      <c r="AA98" s="226" t="str">
        <f t="shared" si="23"/>
        <v/>
      </c>
      <c r="AB98" s="226" t="str">
        <f t="shared" si="24"/>
        <v/>
      </c>
    </row>
    <row r="99" spans="1:28" x14ac:dyDescent="0.2">
      <c r="A99" s="214" t="str">
        <f t="shared" si="30"/>
        <v>3Y 4x</v>
      </c>
      <c r="B99" s="214">
        <f t="shared" si="31"/>
        <v>3</v>
      </c>
      <c r="C99" s="223">
        <f t="shared" si="32"/>
        <v>4</v>
      </c>
      <c r="D99" s="214">
        <v>4</v>
      </c>
      <c r="E99" s="214">
        <f t="shared" si="14"/>
        <v>2029</v>
      </c>
      <c r="F99" s="218">
        <f>IF(D99=1,'Model Inputs'!$B$25*(13-'Model Inputs'!$B$23)/12,'Model Inputs'!$B$25)</f>
        <v>300000</v>
      </c>
      <c r="G99" s="218">
        <f>IF(D99=1,'Model Inputs'!$B$27*(13-'Model Inputs'!$B$23)/12,IF(D99=2,'Model Inputs'!$B$27,IF(D99&lt;=MAX(3,'Model Inputs'!$B$30+1),'Model Inputs'!$B$27*(1+'Model Inputs'!$B$28)^(D99-3),'Model Inputs'!$B$27*(1+'Model Inputs'!$B$28)^(MAX(3,'Model Inputs'!$B$30+1)-3)*(1+'Model Inputs'!$B$29)^(D99-MAX(3,'Model Inputs'!$B$30+1)))))</f>
        <v>653834.84153110103</v>
      </c>
      <c r="H99" s="224">
        <f>IF(D99&lt;=2,0,'Model Inputs'!$B$32*SIN(2*PI()*(D99-3+'Model Inputs'!$B$34)/MAX(1,'Model Inputs'!$B$33)))</f>
        <v>0.10392304845413264</v>
      </c>
      <c r="I99" s="218">
        <f t="shared" si="15"/>
        <v>721783.35144853778</v>
      </c>
      <c r="J99" s="218">
        <f t="shared" si="33"/>
        <v>450000</v>
      </c>
      <c r="K99" s="218">
        <f>F99+J99+IF(D99=1,'Model Inputs'!$B$26,0)</f>
        <v>750000</v>
      </c>
      <c r="L99" s="218">
        <f t="shared" si="16"/>
        <v>3000000</v>
      </c>
      <c r="M99" s="218">
        <f>MIN(L99,'Tax Assumptions'!$B$19)</f>
        <v>24500</v>
      </c>
      <c r="N99" s="218">
        <f>MAX(L99-M99-'Tax Assumptions'!$B$8,0)</f>
        <v>2959400</v>
      </c>
      <c r="O99" s="218">
        <f>MAX(L99-M99-'Tax Assumptions'!$B$9,0)</f>
        <v>2967500</v>
      </c>
      <c r="P99" s="218">
        <f>IF(N99=0,0,LOOKUP(N99,'Tax Assumptions'!$F$9:$F$15,'Tax Assumptions'!$I$9:$I$15)+(N99-LOOKUP(N99,'Tax Assumptions'!$F$9:$F$15,'Tax Assumptions'!$F$9:$F$15))*LOOKUP(N99,'Tax Assumptions'!$F$9:$F$15,'Tax Assumptions'!$H$9:$H$15))+MIN(MAX(L99,0),'Tax Assumptions'!$B$11)*'Tax Assumptions'!$B$10+MAX(L99,0)*'Tax Assumptions'!$B$12+MAX(MAX(L99,0)-'Tax Assumptions'!$B$14,0)*'Tax Assumptions'!$B$13+MIN(L99*'Tax Assumptions'!$B$15,'Tax Assumptions'!$B$16)+MIN(L99*'Tax Assumptions'!$B$17,'Tax Assumptions'!$B$18)+IF(O99=0,0,LOOKUP(O99,'Tax Assumptions'!$K$9:$K$17,'Tax Assumptions'!$N$9:$N$17)+(O99-LOOKUP(O99,'Tax Assumptions'!$K$9:$K$17,'Tax Assumptions'!$K$9:$K$17))*LOOKUP(O99,'Tax Assumptions'!$K$9:$K$17,'Tax Assumptions'!$M$9:$M$17))+IF(O99=0,0,LOOKUP(O99,'Tax Assumptions'!$P$9:$P$12,'Tax Assumptions'!$S$9:$S$12)+(O99-LOOKUP(O99,'Tax Assumptions'!$P$9:$P$12,'Tax Assumptions'!$P$9:$P$12))*LOOKUP(O99,'Tax Assumptions'!$P$9:$P$12,'Tax Assumptions'!$R$9:$R$12))</f>
        <v>1499990.6349999998</v>
      </c>
      <c r="Q99" s="218">
        <f t="shared" si="17"/>
        <v>1475509.3650000002</v>
      </c>
      <c r="R99" s="218">
        <f>IF(D99&lt;=10,INDEX('Savings Projection'!$BL$19:$BL$28,D99),LOOKUP(2,1/('Savings Projection'!$BL$19:$BL$28&lt;&gt;""),'Savings Projection'!$BL$19:$BL$28))*(1+'Model Inputs'!$B$35)^(D99-1)+IF(D99&lt;=10,INDEX('Savings Projection'!$BM$19:$BM$28,D99),LOOKUP(2,1/('Savings Projection'!$BM$19:$BM$28&lt;&gt;""),'Savings Projection'!$BM$19:$BM$28))*(1+'Model Inputs'!$B$36)^(D99-1)</f>
        <v>139869.05600000001</v>
      </c>
      <c r="S99" s="218">
        <f t="shared" si="18"/>
        <v>1335640.3090000001</v>
      </c>
      <c r="T99" s="218">
        <f>MIN(MAX(S99,0),'Tax Assumptions'!$B$20)</f>
        <v>7500</v>
      </c>
      <c r="U99" s="218">
        <f t="shared" si="19"/>
        <v>1328140.3090000001</v>
      </c>
      <c r="V99" s="218">
        <f>MAX(V98*(1+'Model Inputs'!$B$13)+U99,0)</f>
        <v>2081116.1429095201</v>
      </c>
      <c r="W99" s="218">
        <f>MAX(W98*(1+'Model Inputs'!$B$13)+M99+T99,0)</f>
        <v>139987.712</v>
      </c>
      <c r="X99" s="218">
        <f t="shared" si="20"/>
        <v>2221103.8549095201</v>
      </c>
      <c r="Y99" s="226" t="str">
        <f t="shared" si="21"/>
        <v/>
      </c>
      <c r="Z99" s="226" t="str">
        <f t="shared" si="22"/>
        <v/>
      </c>
      <c r="AA99" s="226" t="str">
        <f t="shared" si="23"/>
        <v/>
      </c>
      <c r="AB99" s="226" t="str">
        <f t="shared" si="24"/>
        <v/>
      </c>
    </row>
    <row r="100" spans="1:28" x14ac:dyDescent="0.2">
      <c r="A100" s="214" t="str">
        <f t="shared" si="30"/>
        <v>3Y 4x</v>
      </c>
      <c r="B100" s="214">
        <f t="shared" si="31"/>
        <v>3</v>
      </c>
      <c r="C100" s="223">
        <f t="shared" si="32"/>
        <v>4</v>
      </c>
      <c r="D100" s="214">
        <v>5</v>
      </c>
      <c r="E100" s="214">
        <f t="shared" ref="E100:E163" si="34">2025+D100</f>
        <v>2030</v>
      </c>
      <c r="F100" s="218">
        <f>IF(D100=1,'Model Inputs'!$B$25*(13-'Model Inputs'!$B$23)/12,'Model Inputs'!$B$25)</f>
        <v>300000</v>
      </c>
      <c r="G100" s="218">
        <f>IF(D100=1,'Model Inputs'!$B$27*(13-'Model Inputs'!$B$23)/12,IF(D100=2,'Model Inputs'!$B$27,IF(D100&lt;=MAX(3,'Model Inputs'!$B$30+1),'Model Inputs'!$B$27*(1+'Model Inputs'!$B$28)^(D100-3),'Model Inputs'!$B$27*(1+'Model Inputs'!$B$28)^(MAX(3,'Model Inputs'!$B$30+1)-3)*(1+'Model Inputs'!$B$29)^(D100-MAX(3,'Model Inputs'!$B$30+1)))))</f>
        <v>950000</v>
      </c>
      <c r="H100" s="224">
        <f>IF(D100&lt;=2,0,'Model Inputs'!$B$32*SIN(2*PI()*(D100-3+'Model Inputs'!$B$34)/MAX(1,'Model Inputs'!$B$33)))</f>
        <v>-0.1039230484541326</v>
      </c>
      <c r="I100" s="218">
        <f t="shared" ref="I100:I163" si="35">G100*(1+H100)</f>
        <v>851273.10396857408</v>
      </c>
      <c r="J100" s="218">
        <f t="shared" si="33"/>
        <v>653837.51358640334</v>
      </c>
      <c r="K100" s="218">
        <f>F100+J100+IF(D100=1,'Model Inputs'!$B$26,0)</f>
        <v>953837.51358640334</v>
      </c>
      <c r="L100" s="218">
        <f t="shared" ref="L100:L163" si="36">IF(D100&lt;=B100,K100,K100*C100)</f>
        <v>3815350.0543456133</v>
      </c>
      <c r="M100" s="218">
        <f>MIN(L100,'Tax Assumptions'!$B$19)</f>
        <v>24500</v>
      </c>
      <c r="N100" s="218">
        <f>MAX(L100-M100-'Tax Assumptions'!$B$8,0)</f>
        <v>3774750.0543456133</v>
      </c>
      <c r="O100" s="218">
        <f>MAX(L100-M100-'Tax Assumptions'!$B$9,0)</f>
        <v>3782850.0543456133</v>
      </c>
      <c r="P100" s="218">
        <f>IF(N100=0,0,LOOKUP(N100,'Tax Assumptions'!$F$9:$F$15,'Tax Assumptions'!$I$9:$I$15)+(N100-LOOKUP(N100,'Tax Assumptions'!$F$9:$F$15,'Tax Assumptions'!$F$9:$F$15))*LOOKUP(N100,'Tax Assumptions'!$F$9:$F$15,'Tax Assumptions'!$H$9:$H$15))+MIN(MAX(L100,0),'Tax Assumptions'!$B$11)*'Tax Assumptions'!$B$10+MAX(L100,0)*'Tax Assumptions'!$B$12+MAX(MAX(L100,0)-'Tax Assumptions'!$B$14,0)*'Tax Assumptions'!$B$13+MIN(L100*'Tax Assumptions'!$B$15,'Tax Assumptions'!$B$16)+MIN(L100*'Tax Assumptions'!$B$17,'Tax Assumptions'!$B$18)+IF(O100=0,0,LOOKUP(O100,'Tax Assumptions'!$K$9:$K$17,'Tax Assumptions'!$N$9:$N$17)+(O100-LOOKUP(O100,'Tax Assumptions'!$K$9:$K$17,'Tax Assumptions'!$K$9:$K$17))*LOOKUP(O100,'Tax Assumptions'!$K$9:$K$17,'Tax Assumptions'!$M$9:$M$17))+IF(O100=0,0,LOOKUP(O100,'Tax Assumptions'!$P$9:$P$12,'Tax Assumptions'!$S$9:$S$12)+(O100-LOOKUP(O100,'Tax Assumptions'!$P$9:$P$12,'Tax Assumptions'!$P$9:$P$12))*LOOKUP(O100,'Tax Assumptions'!$P$9:$P$12,'Tax Assumptions'!$R$9:$R$12))</f>
        <v>1931115.1297357865</v>
      </c>
      <c r="Q100" s="218">
        <f t="shared" ref="Q100:Q163" si="37">L100-M100-P100</f>
        <v>1859734.9246098269</v>
      </c>
      <c r="R100" s="218">
        <f>IF(D100&lt;=10,INDEX('Savings Projection'!$BL$19:$BL$28,D100),LOOKUP(2,1/('Savings Projection'!$BL$19:$BL$28&lt;&gt;""),'Savings Projection'!$BL$19:$BL$28))*(1+'Model Inputs'!$B$35)^(D100-1)+IF(D100&lt;=10,INDEX('Savings Projection'!$BM$19:$BM$28,D100),LOOKUP(2,1/('Savings Projection'!$BM$19:$BM$28&lt;&gt;""),'Savings Projection'!$BM$19:$BM$28))*(1+'Model Inputs'!$B$36)^(D100-1)</f>
        <v>144065.12767999998</v>
      </c>
      <c r="S100" s="218">
        <f t="shared" ref="S100:S163" si="38">Q100-R100</f>
        <v>1715669.796929827</v>
      </c>
      <c r="T100" s="218">
        <f>MIN(MAX(S100,0),'Tax Assumptions'!$B$20)</f>
        <v>7500</v>
      </c>
      <c r="U100" s="218">
        <f t="shared" ref="U100:U163" si="39">S100-T100</f>
        <v>1708169.796929827</v>
      </c>
      <c r="V100" s="218">
        <f>MAX(V99*(1+'Model Inputs'!$B$13)+U100,0)</f>
        <v>3914152.9084139182</v>
      </c>
      <c r="W100" s="218">
        <f>MAX(W99*(1+'Model Inputs'!$B$13)+M100+T100,0)</f>
        <v>180386.97472</v>
      </c>
      <c r="X100" s="218">
        <f t="shared" ref="X100:X163" si="40">V100+W100</f>
        <v>4094539.883133918</v>
      </c>
      <c r="Y100" s="226" t="str">
        <f t="shared" si="21"/>
        <v/>
      </c>
      <c r="Z100" s="226" t="str">
        <f t="shared" si="22"/>
        <v/>
      </c>
      <c r="AA100" s="226" t="str">
        <f t="shared" si="23"/>
        <v/>
      </c>
      <c r="AB100" s="226" t="str">
        <f t="shared" si="24"/>
        <v/>
      </c>
    </row>
    <row r="101" spans="1:28" x14ac:dyDescent="0.2">
      <c r="A101" s="214" t="str">
        <f t="shared" si="30"/>
        <v>3Y 4x</v>
      </c>
      <c r="B101" s="214">
        <f t="shared" si="31"/>
        <v>3</v>
      </c>
      <c r="C101" s="223">
        <f t="shared" si="32"/>
        <v>4</v>
      </c>
      <c r="D101" s="214">
        <v>6</v>
      </c>
      <c r="E101" s="214">
        <f t="shared" si="34"/>
        <v>2031</v>
      </c>
      <c r="F101" s="218">
        <f>IF(D101=1,'Model Inputs'!$B$25*(13-'Model Inputs'!$B$23)/12,'Model Inputs'!$B$25)</f>
        <v>300000</v>
      </c>
      <c r="G101" s="218">
        <f>IF(D101=1,'Model Inputs'!$B$27*(13-'Model Inputs'!$B$23)/12,IF(D101=2,'Model Inputs'!$B$27,IF(D101&lt;=MAX(3,'Model Inputs'!$B$30+1),'Model Inputs'!$B$27*(1+'Model Inputs'!$B$28)^(D101-3),'Model Inputs'!$B$27*(1+'Model Inputs'!$B$28)^(MAX(3,'Model Inputs'!$B$30+1)-3)*(1+'Model Inputs'!$B$29)^(D101-MAX(3,'Model Inputs'!$B$30+1)))))</f>
        <v>1207333.5632986501</v>
      </c>
      <c r="H101" s="224">
        <f>IF(D101&lt;=2,0,'Model Inputs'!$B$32*SIN(2*PI()*(D101-3+'Model Inputs'!$B$34)/MAX(1,'Model Inputs'!$B$33)))</f>
        <v>-2.9391523179536474E-17</v>
      </c>
      <c r="I101" s="218">
        <f t="shared" si="35"/>
        <v>1207333.5632986501</v>
      </c>
      <c r="J101" s="218">
        <f t="shared" si="33"/>
        <v>818900.66583856498</v>
      </c>
      <c r="K101" s="218">
        <f>F101+J101+IF(D101=1,'Model Inputs'!$B$26,0)</f>
        <v>1118900.665838565</v>
      </c>
      <c r="L101" s="218">
        <f t="shared" si="36"/>
        <v>4475602.6633542599</v>
      </c>
      <c r="M101" s="218">
        <f>MIN(L101,'Tax Assumptions'!$B$19)</f>
        <v>24500</v>
      </c>
      <c r="N101" s="218">
        <f>MAX(L101-M101-'Tax Assumptions'!$B$8,0)</f>
        <v>4435002.6633542599</v>
      </c>
      <c r="O101" s="218">
        <f>MAX(L101-M101-'Tax Assumptions'!$B$9,0)</f>
        <v>4443102.6633542599</v>
      </c>
      <c r="P101" s="218">
        <f>IF(N101=0,0,LOOKUP(N101,'Tax Assumptions'!$F$9:$F$15,'Tax Assumptions'!$I$9:$I$15)+(N101-LOOKUP(N101,'Tax Assumptions'!$F$9:$F$15,'Tax Assumptions'!$F$9:$F$15))*LOOKUP(N101,'Tax Assumptions'!$F$9:$F$15,'Tax Assumptions'!$H$9:$H$15))+MIN(MAX(L101,0),'Tax Assumptions'!$B$11)*'Tax Assumptions'!$B$10+MAX(L101,0)*'Tax Assumptions'!$B$12+MAX(MAX(L101,0)-'Tax Assumptions'!$B$14,0)*'Tax Assumptions'!$B$13+MIN(L101*'Tax Assumptions'!$B$15,'Tax Assumptions'!$B$16)+MIN(L101*'Tax Assumptions'!$B$17,'Tax Assumptions'!$B$18)+IF(O101=0,0,LOOKUP(O101,'Tax Assumptions'!$K$9:$K$17,'Tax Assumptions'!$N$9:$N$17)+(O101-LOOKUP(O101,'Tax Assumptions'!$K$9:$K$17,'Tax Assumptions'!$K$9:$K$17))*LOOKUP(O101,'Tax Assumptions'!$K$9:$K$17,'Tax Assumptions'!$M$9:$M$17))+IF(O101=0,0,LOOKUP(O101,'Tax Assumptions'!$P$9:$P$12,'Tax Assumptions'!$S$9:$S$12)+(O101-LOOKUP(O101,'Tax Assumptions'!$P$9:$P$12,'Tax Assumptions'!$P$9:$P$12))*LOOKUP(O101,'Tax Assumptions'!$P$9:$P$12,'Tax Assumptions'!$R$9:$R$12))</f>
        <v>2280230.299275198</v>
      </c>
      <c r="Q101" s="218">
        <f t="shared" si="37"/>
        <v>2170872.3640790619</v>
      </c>
      <c r="R101" s="218">
        <f>IF(D101&lt;=10,INDEX('Savings Projection'!$BL$19:$BL$28,D101),LOOKUP(2,1/('Savings Projection'!$BL$19:$BL$28&lt;&gt;""),'Savings Projection'!$BL$19:$BL$28))*(1+'Model Inputs'!$B$35)^(D101-1)+IF(D101&lt;=10,INDEX('Savings Projection'!$BM$19:$BM$28,D101),LOOKUP(2,1/('Savings Projection'!$BM$19:$BM$28&lt;&gt;""),'Savings Projection'!$BM$19:$BM$28))*(1+'Model Inputs'!$B$36)^(D101-1)</f>
        <v>150705.62965899997</v>
      </c>
      <c r="S101" s="218">
        <f t="shared" si="38"/>
        <v>2020166.734420062</v>
      </c>
      <c r="T101" s="218">
        <f>MIN(MAX(S101,0),'Tax Assumptions'!$B$20)</f>
        <v>7500</v>
      </c>
      <c r="U101" s="218">
        <f t="shared" si="39"/>
        <v>2012666.734420062</v>
      </c>
      <c r="V101" s="218">
        <f>MAX(V100*(1+'Model Inputs'!$B$13)+U101,0)</f>
        <v>6161668.817338815</v>
      </c>
      <c r="W101" s="218">
        <f>MAX(W100*(1+'Model Inputs'!$B$13)+M101+T101,0)</f>
        <v>223210.1932032</v>
      </c>
      <c r="X101" s="218">
        <f t="shared" si="40"/>
        <v>6384879.0105420146</v>
      </c>
      <c r="Y101" s="226" t="str">
        <f t="shared" ref="Y101:Y164" si="41">IF(AND(X101&gt;=$F$14,IF(D101=1,0,X100)&lt;$F$14),D101,"")</f>
        <v/>
      </c>
      <c r="Z101" s="226" t="str">
        <f t="shared" ref="Z101:Z164" si="42">IF(AND(X101&gt;=$F$15,IF(D101=1,0,X100)&lt;$F$15),D101,"")</f>
        <v/>
      </c>
      <c r="AA101" s="226" t="str">
        <f t="shared" ref="AA101:AA164" si="43">IF(AND(X101&gt;=$F$16,IF(D101=1,0,X100)&lt;$F$16),D101,"")</f>
        <v/>
      </c>
      <c r="AB101" s="226" t="str">
        <f t="shared" ref="AB101:AB164" si="44">IF(AND(X101&gt;=$F$17,IF(D101=1,0,X100)&lt;$F$17),D101,"")</f>
        <v/>
      </c>
    </row>
    <row r="102" spans="1:28" x14ac:dyDescent="0.2">
      <c r="A102" s="214" t="str">
        <f t="shared" si="30"/>
        <v>3Y 4x</v>
      </c>
      <c r="B102" s="214">
        <f t="shared" si="31"/>
        <v>3</v>
      </c>
      <c r="C102" s="223">
        <f t="shared" si="32"/>
        <v>4</v>
      </c>
      <c r="D102" s="214">
        <v>7</v>
      </c>
      <c r="E102" s="214">
        <f t="shared" si="34"/>
        <v>2032</v>
      </c>
      <c r="F102" s="218">
        <f>IF(D102=1,'Model Inputs'!$B$25*(13-'Model Inputs'!$B$23)/12,'Model Inputs'!$B$25)</f>
        <v>300000</v>
      </c>
      <c r="G102" s="218">
        <f>IF(D102=1,'Model Inputs'!$B$27*(13-'Model Inputs'!$B$23)/12,IF(D102=2,'Model Inputs'!$B$27,IF(D102&lt;=MAX(3,'Model Inputs'!$B$30+1),'Model Inputs'!$B$27*(1+'Model Inputs'!$B$28)^(D102-3),'Model Inputs'!$B$27*(1+'Model Inputs'!$B$28)^(MAX(3,'Model Inputs'!$B$30+1)-3)*(1+'Model Inputs'!$B$29)^(D102-MAX(3,'Model Inputs'!$B$30+1)))))</f>
        <v>1534372.9821762268</v>
      </c>
      <c r="H102" s="224">
        <f>IF(D102&lt;=2,0,'Model Inputs'!$B$32*SIN(2*PI()*(D102-3+'Model Inputs'!$B$34)/MAX(1,'Model Inputs'!$B$33)))</f>
        <v>0.10392304845413269</v>
      </c>
      <c r="I102" s="218">
        <f t="shared" si="35"/>
        <v>1693829.6999496389</v>
      </c>
      <c r="J102" s="218">
        <f t="shared" si="33"/>
        <v>1118318.448466131</v>
      </c>
      <c r="K102" s="218">
        <f>F102+J102+IF(D102=1,'Model Inputs'!$B$26,0)</f>
        <v>1418318.448466131</v>
      </c>
      <c r="L102" s="218">
        <f t="shared" si="36"/>
        <v>5673273.793864524</v>
      </c>
      <c r="M102" s="218">
        <f>MIN(L102,'Tax Assumptions'!$B$19)</f>
        <v>24500</v>
      </c>
      <c r="N102" s="218">
        <f>MAX(L102-M102-'Tax Assumptions'!$B$8,0)</f>
        <v>5632673.793864524</v>
      </c>
      <c r="O102" s="218">
        <f>MAX(L102-M102-'Tax Assumptions'!$B$9,0)</f>
        <v>5640773.793864524</v>
      </c>
      <c r="P102" s="218">
        <f>IF(N102=0,0,LOOKUP(N102,'Tax Assumptions'!$F$9:$F$15,'Tax Assumptions'!$I$9:$I$15)+(N102-LOOKUP(N102,'Tax Assumptions'!$F$9:$F$15,'Tax Assumptions'!$F$9:$F$15))*LOOKUP(N102,'Tax Assumptions'!$F$9:$F$15,'Tax Assumptions'!$H$9:$H$15))+MIN(MAX(L102,0),'Tax Assumptions'!$B$11)*'Tax Assumptions'!$B$10+MAX(L102,0)*'Tax Assumptions'!$B$12+MAX(MAX(L102,0)-'Tax Assumptions'!$B$14,0)*'Tax Assumptions'!$B$13+MIN(L102*'Tax Assumptions'!$B$15,'Tax Assumptions'!$B$16)+MIN(L102*'Tax Assumptions'!$B$17,'Tax Assumptions'!$B$18)+IF(O102=0,0,LOOKUP(O102,'Tax Assumptions'!$K$9:$K$17,'Tax Assumptions'!$N$9:$N$17)+(O102-LOOKUP(O102,'Tax Assumptions'!$K$9:$K$17,'Tax Assumptions'!$K$9:$K$17))*LOOKUP(O102,'Tax Assumptions'!$K$9:$K$17,'Tax Assumptions'!$M$9:$M$17))+IF(O102=0,0,LOOKUP(O102,'Tax Assumptions'!$P$9:$P$12,'Tax Assumptions'!$S$9:$S$12)+(O102-LOOKUP(O102,'Tax Assumptions'!$P$9:$P$12,'Tax Assumptions'!$P$9:$P$12))*LOOKUP(O102,'Tax Assumptions'!$P$9:$P$12,'Tax Assumptions'!$R$9:$R$12))</f>
        <v>2917679.0709039257</v>
      </c>
      <c r="Q102" s="218">
        <f t="shared" si="37"/>
        <v>2731094.7229605983</v>
      </c>
      <c r="R102" s="218">
        <f>IF(D102&lt;=10,INDEX('Savings Projection'!$BL$19:$BL$28,D102),LOOKUP(2,1/('Savings Projection'!$BL$19:$BL$28&lt;&gt;""),'Savings Projection'!$BL$19:$BL$28))*(1+'Model Inputs'!$B$35)^(D102-1)+IF(D102&lt;=10,INDEX('Savings Projection'!$BM$19:$BM$28,D102),LOOKUP(2,1/('Savings Projection'!$BM$19:$BM$28&lt;&gt;""),'Savings Projection'!$BM$19:$BM$28))*(1+'Model Inputs'!$B$36)^(D102-1)</f>
        <v>155226.79854876999</v>
      </c>
      <c r="S102" s="218">
        <f t="shared" si="38"/>
        <v>2575867.9244118282</v>
      </c>
      <c r="T102" s="218">
        <f>MIN(MAX(S102,0),'Tax Assumptions'!$B$20)</f>
        <v>7500</v>
      </c>
      <c r="U102" s="218">
        <f t="shared" si="39"/>
        <v>2568367.9244118282</v>
      </c>
      <c r="V102" s="218">
        <f>MAX(V101*(1+'Model Inputs'!$B$13)+U102,0)</f>
        <v>9099736.8707909714</v>
      </c>
      <c r="W102" s="218">
        <f>MAX(W101*(1+'Model Inputs'!$B$13)+M102+T102,0)</f>
        <v>268602.80479539197</v>
      </c>
      <c r="X102" s="218">
        <f t="shared" si="40"/>
        <v>9368339.6755863633</v>
      </c>
      <c r="Y102" s="226" t="str">
        <f t="shared" si="41"/>
        <v/>
      </c>
      <c r="Z102" s="226" t="str">
        <f t="shared" si="42"/>
        <v/>
      </c>
      <c r="AA102" s="226" t="str">
        <f t="shared" si="43"/>
        <v/>
      </c>
      <c r="AB102" s="226" t="str">
        <f t="shared" si="44"/>
        <v/>
      </c>
    </row>
    <row r="103" spans="1:28" x14ac:dyDescent="0.2">
      <c r="A103" s="214" t="str">
        <f t="shared" si="30"/>
        <v>3Y 4x</v>
      </c>
      <c r="B103" s="214">
        <f t="shared" si="31"/>
        <v>3</v>
      </c>
      <c r="C103" s="223">
        <f t="shared" si="32"/>
        <v>4</v>
      </c>
      <c r="D103" s="214">
        <v>8</v>
      </c>
      <c r="E103" s="214">
        <f t="shared" si="34"/>
        <v>2033</v>
      </c>
      <c r="F103" s="218">
        <f>IF(D103=1,'Model Inputs'!$B$25*(13-'Model Inputs'!$B$23)/12,'Model Inputs'!$B$25)</f>
        <v>300000</v>
      </c>
      <c r="G103" s="218">
        <f>IF(D103=1,'Model Inputs'!$B$27*(13-'Model Inputs'!$B$23)/12,IF(D103=2,'Model Inputs'!$B$27,IF(D103&lt;=MAX(3,'Model Inputs'!$B$30+1),'Model Inputs'!$B$27*(1+'Model Inputs'!$B$28)^(D103-3),'Model Inputs'!$B$27*(1+'Model Inputs'!$B$28)^(MAX(3,'Model Inputs'!$B$30+1)-3)*(1+'Model Inputs'!$B$29)^(D103-MAX(3,'Model Inputs'!$B$30+1)))))</f>
        <v>1950000.0000000002</v>
      </c>
      <c r="H103" s="224">
        <f>IF(D103&lt;=2,0,'Model Inputs'!$B$32*SIN(2*PI()*(D103-3+'Model Inputs'!$B$34)/MAX(1,'Model Inputs'!$B$33)))</f>
        <v>-0.10392304845413264</v>
      </c>
      <c r="I103" s="218">
        <f t="shared" si="35"/>
        <v>1747350.0555144416</v>
      </c>
      <c r="J103" s="218">
        <f t="shared" si="33"/>
        <v>1572205.6657868917</v>
      </c>
      <c r="K103" s="218">
        <f>F103+J103+IF(D103=1,'Model Inputs'!$B$26,0)</f>
        <v>1872205.6657868917</v>
      </c>
      <c r="L103" s="218">
        <f t="shared" si="36"/>
        <v>7488822.6631475668</v>
      </c>
      <c r="M103" s="218">
        <f>MIN(L103,'Tax Assumptions'!$B$19)</f>
        <v>24500</v>
      </c>
      <c r="N103" s="218">
        <f>MAX(L103-M103-'Tax Assumptions'!$B$8,0)</f>
        <v>7448222.6631475668</v>
      </c>
      <c r="O103" s="218">
        <f>MAX(L103-M103-'Tax Assumptions'!$B$9,0)</f>
        <v>7456322.6631475668</v>
      </c>
      <c r="P103" s="218">
        <f>IF(N103=0,0,LOOKUP(N103,'Tax Assumptions'!$F$9:$F$15,'Tax Assumptions'!$I$9:$I$15)+(N103-LOOKUP(N103,'Tax Assumptions'!$F$9:$F$15,'Tax Assumptions'!$F$9:$F$15))*LOOKUP(N103,'Tax Assumptions'!$F$9:$F$15,'Tax Assumptions'!$H$9:$H$15))+MIN(MAX(L103,0),'Tax Assumptions'!$B$11)*'Tax Assumptions'!$B$10+MAX(L103,0)*'Tax Assumptions'!$B$12+MAX(MAX(L103,0)-'Tax Assumptions'!$B$14,0)*'Tax Assumptions'!$B$13+MIN(L103*'Tax Assumptions'!$B$15,'Tax Assumptions'!$B$16)+MIN(L103*'Tax Assumptions'!$B$17,'Tax Assumptions'!$B$18)+IF(O103=0,0,LOOKUP(O103,'Tax Assumptions'!$K$9:$K$17,'Tax Assumptions'!$N$9:$N$17)+(O103-LOOKUP(O103,'Tax Assumptions'!$K$9:$K$17,'Tax Assumptions'!$K$9:$K$17))*LOOKUP(O103,'Tax Assumptions'!$K$9:$K$17,'Tax Assumptions'!$M$9:$M$17))+IF(O103=0,0,LOOKUP(O103,'Tax Assumptions'!$P$9:$P$12,'Tax Assumptions'!$S$9:$S$12)+(O103-LOOKUP(O103,'Tax Assumptions'!$P$9:$P$12,'Tax Assumptions'!$P$9:$P$12))*LOOKUP(O103,'Tax Assumptions'!$P$9:$P$12,'Tax Assumptions'!$R$9:$R$12))</f>
        <v>3889469.7586763669</v>
      </c>
      <c r="Q103" s="218">
        <f t="shared" si="37"/>
        <v>3574852.9044712</v>
      </c>
      <c r="R103" s="218">
        <f>IF(D103&lt;=10,INDEX('Savings Projection'!$BL$19:$BL$28,D103),LOOKUP(2,1/('Savings Projection'!$BL$19:$BL$28&lt;&gt;""),'Savings Projection'!$BL$19:$BL$28))*(1+'Model Inputs'!$B$35)^(D103-1)+IF(D103&lt;=10,INDEX('Savings Projection'!$BM$19:$BM$28,D103),LOOKUP(2,1/('Savings Projection'!$BM$19:$BM$28&lt;&gt;""),'Savings Projection'!$BM$19:$BM$28))*(1+'Model Inputs'!$B$36)^(D103-1)</f>
        <v>159883.60250523311</v>
      </c>
      <c r="S103" s="218">
        <f t="shared" si="38"/>
        <v>3414969.3019659668</v>
      </c>
      <c r="T103" s="218">
        <f>MIN(MAX(S103,0),'Tax Assumptions'!$B$20)</f>
        <v>7500</v>
      </c>
      <c r="U103" s="218">
        <f t="shared" si="39"/>
        <v>3407469.3019659668</v>
      </c>
      <c r="V103" s="218">
        <f>MAX(V102*(1+'Model Inputs'!$B$13)+U103,0)</f>
        <v>13053190.385004397</v>
      </c>
      <c r="W103" s="218">
        <f>MAX(W102*(1+'Model Inputs'!$B$13)+M103+T103,0)</f>
        <v>316718.97308311553</v>
      </c>
      <c r="X103" s="218">
        <f t="shared" si="40"/>
        <v>13369909.358087514</v>
      </c>
      <c r="Y103" s="226" t="str">
        <f t="shared" si="41"/>
        <v/>
      </c>
      <c r="Z103" s="226" t="str">
        <f t="shared" si="42"/>
        <v/>
      </c>
      <c r="AA103" s="226" t="str">
        <f t="shared" si="43"/>
        <v/>
      </c>
      <c r="AB103" s="226" t="str">
        <f t="shared" si="44"/>
        <v/>
      </c>
    </row>
    <row r="104" spans="1:28" x14ac:dyDescent="0.2">
      <c r="A104" s="214" t="str">
        <f t="shared" si="30"/>
        <v>3Y 4x</v>
      </c>
      <c r="B104" s="214">
        <f t="shared" si="31"/>
        <v>3</v>
      </c>
      <c r="C104" s="223">
        <f t="shared" si="32"/>
        <v>4</v>
      </c>
      <c r="D104" s="214">
        <v>9</v>
      </c>
      <c r="E104" s="214">
        <f t="shared" si="34"/>
        <v>2034</v>
      </c>
      <c r="F104" s="218">
        <f>IF(D104=1,'Model Inputs'!$B$25*(13-'Model Inputs'!$B$23)/12,'Model Inputs'!$B$25)</f>
        <v>300000</v>
      </c>
      <c r="G104" s="218">
        <f>IF(D104=1,'Model Inputs'!$B$27*(13-'Model Inputs'!$B$23)/12,IF(D104=2,'Model Inputs'!$B$27,IF(D104&lt;=MAX(3,'Model Inputs'!$B$30+1),'Model Inputs'!$B$27*(1+'Model Inputs'!$B$28)^(D104-3),'Model Inputs'!$B$27*(1+'Model Inputs'!$B$28)^(MAX(3,'Model Inputs'!$B$30+1)-3)*(1+'Model Inputs'!$B$29)^(D104-MAX(3,'Model Inputs'!$B$30+1)))))</f>
        <v>2478210.9983498608</v>
      </c>
      <c r="H104" s="224">
        <f>IF(D104&lt;=2,0,'Model Inputs'!$B$32*SIN(2*PI()*(D104-3+'Model Inputs'!$B$34)/MAX(1,'Model Inputs'!$B$33)))</f>
        <v>-5.8783046359072947E-17</v>
      </c>
      <c r="I104" s="218">
        <f t="shared" si="35"/>
        <v>2478210.9983498603</v>
      </c>
      <c r="J104" s="218">
        <f t="shared" si="33"/>
        <v>1733969.9666232408</v>
      </c>
      <c r="K104" s="218">
        <f>F104+J104+IF(D104=1,'Model Inputs'!$B$26,0)</f>
        <v>2033969.9666232408</v>
      </c>
      <c r="L104" s="218">
        <f t="shared" si="36"/>
        <v>8135879.8664929634</v>
      </c>
      <c r="M104" s="218">
        <f>MIN(L104,'Tax Assumptions'!$B$19)</f>
        <v>24500</v>
      </c>
      <c r="N104" s="218">
        <f>MAX(L104-M104-'Tax Assumptions'!$B$8,0)</f>
        <v>8095279.8664929634</v>
      </c>
      <c r="O104" s="218">
        <f>MAX(L104-M104-'Tax Assumptions'!$B$9,0)</f>
        <v>8103379.8664929634</v>
      </c>
      <c r="P104" s="218">
        <f>IF(N104=0,0,LOOKUP(N104,'Tax Assumptions'!$F$9:$F$15,'Tax Assumptions'!$I$9:$I$15)+(N104-LOOKUP(N104,'Tax Assumptions'!$F$9:$F$15,'Tax Assumptions'!$F$9:$F$15))*LOOKUP(N104,'Tax Assumptions'!$F$9:$F$15,'Tax Assumptions'!$H$9:$H$15))+MIN(MAX(L104,0),'Tax Assumptions'!$B$11)*'Tax Assumptions'!$B$10+MAX(L104,0)*'Tax Assumptions'!$B$12+MAX(MAX(L104,0)-'Tax Assumptions'!$B$14,0)*'Tax Assumptions'!$B$13+MIN(L104*'Tax Assumptions'!$B$15,'Tax Assumptions'!$B$16)+MIN(L104*'Tax Assumptions'!$B$17,'Tax Assumptions'!$B$18)+IF(O104=0,0,LOOKUP(O104,'Tax Assumptions'!$K$9:$K$17,'Tax Assumptions'!$N$9:$N$17)+(O104-LOOKUP(O104,'Tax Assumptions'!$K$9:$K$17,'Tax Assumptions'!$K$9:$K$17))*LOOKUP(O104,'Tax Assumptions'!$K$9:$K$17,'Tax Assumptions'!$M$9:$M$17))+IF(O104=0,0,LOOKUP(O104,'Tax Assumptions'!$P$9:$P$12,'Tax Assumptions'!$S$9:$S$12)+(O104-LOOKUP(O104,'Tax Assumptions'!$P$9:$P$12,'Tax Assumptions'!$P$9:$P$12))*LOOKUP(O104,'Tax Assumptions'!$P$9:$P$12,'Tax Assumptions'!$R$9:$R$12))</f>
        <v>4235813.5973390238</v>
      </c>
      <c r="Q104" s="218">
        <f t="shared" si="37"/>
        <v>3875566.2691539396</v>
      </c>
      <c r="R104" s="218">
        <f>IF(D104&lt;=10,INDEX('Savings Projection'!$BL$19:$BL$28,D104),LOOKUP(2,1/('Savings Projection'!$BL$19:$BL$28&lt;&gt;""),'Savings Projection'!$BL$19:$BL$28))*(1+'Model Inputs'!$B$35)^(D104-1)+IF(D104&lt;=10,INDEX('Savings Projection'!$BM$19:$BM$28,D104),LOOKUP(2,1/('Savings Projection'!$BM$19:$BM$28&lt;&gt;""),'Savings Projection'!$BM$19:$BM$28))*(1+'Model Inputs'!$B$36)^(D104-1)</f>
        <v>164680.11058039009</v>
      </c>
      <c r="S104" s="218">
        <f t="shared" si="38"/>
        <v>3710886.1585735492</v>
      </c>
      <c r="T104" s="218">
        <f>MIN(MAX(S104,0),'Tax Assumptions'!$B$20)</f>
        <v>7500</v>
      </c>
      <c r="U104" s="218">
        <f t="shared" si="39"/>
        <v>3703386.1585735492</v>
      </c>
      <c r="V104" s="218">
        <f>MAX(V103*(1+'Model Inputs'!$B$13)+U104,0)</f>
        <v>17539767.96667821</v>
      </c>
      <c r="W104" s="218">
        <f>MAX(W103*(1+'Model Inputs'!$B$13)+M104+T104,0)</f>
        <v>367722.11146810249</v>
      </c>
      <c r="X104" s="218">
        <f t="shared" si="40"/>
        <v>17907490.078146312</v>
      </c>
      <c r="Y104" s="226">
        <f t="shared" si="41"/>
        <v>9</v>
      </c>
      <c r="Z104" s="226">
        <f t="shared" si="42"/>
        <v>9</v>
      </c>
      <c r="AA104" s="226">
        <f t="shared" si="43"/>
        <v>9</v>
      </c>
      <c r="AB104" s="226" t="str">
        <f t="shared" si="44"/>
        <v/>
      </c>
    </row>
    <row r="105" spans="1:28" x14ac:dyDescent="0.2">
      <c r="A105" s="214" t="str">
        <f t="shared" si="30"/>
        <v>3Y 4x</v>
      </c>
      <c r="B105" s="214">
        <f t="shared" si="31"/>
        <v>3</v>
      </c>
      <c r="C105" s="223">
        <f t="shared" si="32"/>
        <v>4</v>
      </c>
      <c r="D105" s="214">
        <v>10</v>
      </c>
      <c r="E105" s="214">
        <f t="shared" si="34"/>
        <v>2035</v>
      </c>
      <c r="F105" s="218">
        <f>IF(D105=1,'Model Inputs'!$B$25*(13-'Model Inputs'!$B$23)/12,'Model Inputs'!$B$25)</f>
        <v>300000</v>
      </c>
      <c r="G105" s="218">
        <f>IF(D105=1,'Model Inputs'!$B$27*(13-'Model Inputs'!$B$23)/12,IF(D105=2,'Model Inputs'!$B$27,IF(D105&lt;=MAX(3,'Model Inputs'!$B$30+1),'Model Inputs'!$B$27*(1+'Model Inputs'!$B$28)^(D105-3),'Model Inputs'!$B$27*(1+'Model Inputs'!$B$28)^(MAX(3,'Model Inputs'!$B$30+1)-3)*(1+'Model Inputs'!$B$29)^(D105-MAX(3,'Model Inputs'!$B$30+1)))))</f>
        <v>3149502.4370985711</v>
      </c>
      <c r="H105" s="224">
        <f>IF(D105&lt;=2,0,'Model Inputs'!$B$32*SIN(2*PI()*(D105-3+'Model Inputs'!$B$34)/MAX(1,'Model Inputs'!$B$33)))</f>
        <v>0.10392304845413271</v>
      </c>
      <c r="I105" s="218">
        <f t="shared" si="35"/>
        <v>3476808.331475575</v>
      </c>
      <c r="J105" s="218">
        <f t="shared" si="33"/>
        <v>2295495.7626410057</v>
      </c>
      <c r="K105" s="218">
        <f>F105+J105+IF(D105=1,'Model Inputs'!$B$26,0)</f>
        <v>2595495.7626410057</v>
      </c>
      <c r="L105" s="218">
        <f t="shared" si="36"/>
        <v>10381983.050564023</v>
      </c>
      <c r="M105" s="218">
        <f>MIN(L105,'Tax Assumptions'!$B$19)</f>
        <v>24500</v>
      </c>
      <c r="N105" s="218">
        <f>MAX(L105-M105-'Tax Assumptions'!$B$8,0)</f>
        <v>10341383.050564023</v>
      </c>
      <c r="O105" s="218">
        <f>MAX(L105-M105-'Tax Assumptions'!$B$9,0)</f>
        <v>10349483.050564023</v>
      </c>
      <c r="P105" s="218">
        <f>IF(N105=0,0,LOOKUP(N105,'Tax Assumptions'!$F$9:$F$15,'Tax Assumptions'!$I$9:$I$15)+(N105-LOOKUP(N105,'Tax Assumptions'!$F$9:$F$15,'Tax Assumptions'!$F$9:$F$15))*LOOKUP(N105,'Tax Assumptions'!$F$9:$F$15,'Tax Assumptions'!$H$9:$H$15))+MIN(MAX(L105,0),'Tax Assumptions'!$B$11)*'Tax Assumptions'!$B$10+MAX(L105,0)*'Tax Assumptions'!$B$12+MAX(MAX(L105,0)-'Tax Assumptions'!$B$14,0)*'Tax Assumptions'!$B$13+MIN(L105*'Tax Assumptions'!$B$15,'Tax Assumptions'!$B$16)+MIN(L105*'Tax Assumptions'!$B$17,'Tax Assumptions'!$B$18)+IF(O105=0,0,LOOKUP(O105,'Tax Assumptions'!$K$9:$K$17,'Tax Assumptions'!$N$9:$N$17)+(O105-LOOKUP(O105,'Tax Assumptions'!$K$9:$K$17,'Tax Assumptions'!$K$9:$K$17))*LOOKUP(O105,'Tax Assumptions'!$K$9:$K$17,'Tax Assumptions'!$M$9:$M$17))+IF(O105=0,0,LOOKUP(O105,'Tax Assumptions'!$P$9:$P$12,'Tax Assumptions'!$S$9:$S$12)+(O105-LOOKUP(O105,'Tax Assumptions'!$P$9:$P$12,'Tax Assumptions'!$P$9:$P$12))*LOOKUP(O105,'Tax Assumptions'!$P$9:$P$12,'Tax Assumptions'!$R$9:$R$12))</f>
        <v>5438062.7876448995</v>
      </c>
      <c r="Q105" s="218">
        <f t="shared" si="37"/>
        <v>4919420.2629191233</v>
      </c>
      <c r="R105" s="218">
        <f>IF(D105&lt;=10,INDEX('Savings Projection'!$BL$19:$BL$28,D105),LOOKUP(2,1/('Savings Projection'!$BL$19:$BL$28&lt;&gt;""),'Savings Projection'!$BL$19:$BL$28))*(1+'Model Inputs'!$B$35)^(D105-1)+IF(D105&lt;=10,INDEX('Savings Projection'!$BM$19:$BM$28,D105),LOOKUP(2,1/('Savings Projection'!$BM$19:$BM$28&lt;&gt;""),'Savings Projection'!$BM$19:$BM$28))*(1+'Model Inputs'!$B$36)^(D105-1)</f>
        <v>169620.51389780178</v>
      </c>
      <c r="S105" s="218">
        <f t="shared" si="38"/>
        <v>4749799.7490213215</v>
      </c>
      <c r="T105" s="218">
        <f>MIN(MAX(S105,0),'Tax Assumptions'!$B$20)</f>
        <v>7500</v>
      </c>
      <c r="U105" s="218">
        <f t="shared" si="39"/>
        <v>4742299.7490213215</v>
      </c>
      <c r="V105" s="218">
        <f>MAX(V104*(1+'Model Inputs'!$B$13)+U105,0)</f>
        <v>23334453.793700226</v>
      </c>
      <c r="W105" s="218">
        <f>MAX(W104*(1+'Model Inputs'!$B$13)+M105+T105,0)</f>
        <v>421785.43815618864</v>
      </c>
      <c r="X105" s="218">
        <f t="shared" si="40"/>
        <v>23756239.231856413</v>
      </c>
      <c r="Y105" s="226" t="str">
        <f t="shared" si="41"/>
        <v/>
      </c>
      <c r="Z105" s="226" t="str">
        <f t="shared" si="42"/>
        <v/>
      </c>
      <c r="AA105" s="226" t="str">
        <f t="shared" si="43"/>
        <v/>
      </c>
      <c r="AB105" s="226">
        <f t="shared" si="44"/>
        <v>10</v>
      </c>
    </row>
    <row r="106" spans="1:28" x14ac:dyDescent="0.2">
      <c r="A106" s="214" t="str">
        <f t="shared" si="30"/>
        <v>3Y 4x</v>
      </c>
      <c r="B106" s="214">
        <f t="shared" si="31"/>
        <v>3</v>
      </c>
      <c r="C106" s="223">
        <f t="shared" si="32"/>
        <v>4</v>
      </c>
      <c r="D106" s="214">
        <v>11</v>
      </c>
      <c r="E106" s="214">
        <f t="shared" si="34"/>
        <v>2036</v>
      </c>
      <c r="F106" s="218">
        <f>IF(D106=1,'Model Inputs'!$B$25*(13-'Model Inputs'!$B$23)/12,'Model Inputs'!$B$25)</f>
        <v>300000</v>
      </c>
      <c r="G106" s="218">
        <f>IF(D106=1,'Model Inputs'!$B$27*(13-'Model Inputs'!$B$23)/12,IF(D106=2,'Model Inputs'!$B$27,IF(D106&lt;=MAX(3,'Model Inputs'!$B$30+1),'Model Inputs'!$B$27*(1+'Model Inputs'!$B$28)^(D106-3),'Model Inputs'!$B$27*(1+'Model Inputs'!$B$28)^(MAX(3,'Model Inputs'!$B$30+1)-3)*(1+'Model Inputs'!$B$29)^(D106-MAX(3,'Model Inputs'!$B$30+1)))))</f>
        <v>4002631.578947369</v>
      </c>
      <c r="H106" s="224">
        <f>IF(D106&lt;=2,0,'Model Inputs'!$B$32*SIN(2*PI()*(D106-3+'Model Inputs'!$B$34)/MAX(1,'Model Inputs'!$B$33)))</f>
        <v>-0.10392304845413253</v>
      </c>
      <c r="I106" s="218">
        <f t="shared" si="35"/>
        <v>3586665.9034243808</v>
      </c>
      <c r="J106" s="218">
        <f t="shared" si="33"/>
        <v>3227158.9981941464</v>
      </c>
      <c r="K106" s="218">
        <f>F106+J106+IF(D106=1,'Model Inputs'!$B$26,0)</f>
        <v>3527158.9981941464</v>
      </c>
      <c r="L106" s="218">
        <f t="shared" si="36"/>
        <v>14108635.992776586</v>
      </c>
      <c r="M106" s="218">
        <f>MIN(L106,'Tax Assumptions'!$B$19)</f>
        <v>24500</v>
      </c>
      <c r="N106" s="218">
        <f>MAX(L106-M106-'Tax Assumptions'!$B$8,0)</f>
        <v>14068035.992776586</v>
      </c>
      <c r="O106" s="218">
        <f>MAX(L106-M106-'Tax Assumptions'!$B$9,0)</f>
        <v>14076135.992776586</v>
      </c>
      <c r="P106" s="218">
        <f>IF(N106=0,0,LOOKUP(N106,'Tax Assumptions'!$F$9:$F$15,'Tax Assumptions'!$I$9:$I$15)+(N106-LOOKUP(N106,'Tax Assumptions'!$F$9:$F$15,'Tax Assumptions'!$F$9:$F$15))*LOOKUP(N106,'Tax Assumptions'!$F$9:$F$15,'Tax Assumptions'!$H$9:$H$15))+MIN(MAX(L106,0),'Tax Assumptions'!$B$11)*'Tax Assumptions'!$B$10+MAX(L106,0)*'Tax Assumptions'!$B$12+MAX(MAX(L106,0)-'Tax Assumptions'!$B$14,0)*'Tax Assumptions'!$B$13+MIN(L106*'Tax Assumptions'!$B$15,'Tax Assumptions'!$B$16)+MIN(L106*'Tax Assumptions'!$B$17,'Tax Assumptions'!$B$18)+IF(O106=0,0,LOOKUP(O106,'Tax Assumptions'!$K$9:$K$17,'Tax Assumptions'!$N$9:$N$17)+(O106-LOOKUP(O106,'Tax Assumptions'!$K$9:$K$17,'Tax Assumptions'!$K$9:$K$17))*LOOKUP(O106,'Tax Assumptions'!$K$9:$K$17,'Tax Assumptions'!$M$9:$M$17))+IF(O106=0,0,LOOKUP(O106,'Tax Assumptions'!$P$9:$P$12,'Tax Assumptions'!$S$9:$S$12)+(O106-LOOKUP(O106,'Tax Assumptions'!$P$9:$P$12,'Tax Assumptions'!$P$9:$P$12))*LOOKUP(O106,'Tax Assumptions'!$P$9:$P$12,'Tax Assumptions'!$R$9:$R$12))</f>
        <v>7432791.0414935956</v>
      </c>
      <c r="Q106" s="218">
        <f t="shared" si="37"/>
        <v>6651344.9512829902</v>
      </c>
      <c r="R106" s="218">
        <f>IF(D106&lt;=10,INDEX('Savings Projection'!$BL$19:$BL$28,D106),LOOKUP(2,1/('Savings Projection'!$BL$19:$BL$28&lt;&gt;""),'Savings Projection'!$BL$19:$BL$28))*(1+'Model Inputs'!$B$35)^(D106-1)+IF(D106&lt;=10,INDEX('Savings Projection'!$BM$19:$BM$28,D106),LOOKUP(2,1/('Savings Projection'!$BM$19:$BM$28&lt;&gt;""),'Savings Projection'!$BM$19:$BM$28))*(1+'Model Inputs'!$B$36)^(D106-1)</f>
        <v>174709.12931473582</v>
      </c>
      <c r="S106" s="218">
        <f t="shared" si="38"/>
        <v>6476635.8219682546</v>
      </c>
      <c r="T106" s="218">
        <f>MIN(MAX(S106,0),'Tax Assumptions'!$B$20)</f>
        <v>7500</v>
      </c>
      <c r="U106" s="218">
        <f t="shared" si="39"/>
        <v>6469135.8219682546</v>
      </c>
      <c r="V106" s="218">
        <f>MAX(V105*(1+'Model Inputs'!$B$13)+U106,0)</f>
        <v>31203656.843290493</v>
      </c>
      <c r="W106" s="218">
        <f>MAX(W105*(1+'Model Inputs'!$B$13)+M106+T106,0)</f>
        <v>479092.56444555998</v>
      </c>
      <c r="X106" s="218">
        <f t="shared" si="40"/>
        <v>31682749.407736052</v>
      </c>
      <c r="Y106" s="226" t="str">
        <f t="shared" si="41"/>
        <v/>
      </c>
      <c r="Z106" s="226" t="str">
        <f t="shared" si="42"/>
        <v/>
      </c>
      <c r="AA106" s="226" t="str">
        <f t="shared" si="43"/>
        <v/>
      </c>
      <c r="AB106" s="226" t="str">
        <f t="shared" si="44"/>
        <v/>
      </c>
    </row>
    <row r="107" spans="1:28" x14ac:dyDescent="0.2">
      <c r="A107" s="214" t="str">
        <f t="shared" si="30"/>
        <v>3Y 4x</v>
      </c>
      <c r="B107" s="214">
        <f t="shared" si="31"/>
        <v>3</v>
      </c>
      <c r="C107" s="223">
        <f t="shared" si="32"/>
        <v>4</v>
      </c>
      <c r="D107" s="214">
        <v>12</v>
      </c>
      <c r="E107" s="214">
        <f t="shared" si="34"/>
        <v>2037</v>
      </c>
      <c r="F107" s="218">
        <f>IF(D107=1,'Model Inputs'!$B$25*(13-'Model Inputs'!$B$23)/12,'Model Inputs'!$B$25)</f>
        <v>300000</v>
      </c>
      <c r="G107" s="218">
        <f>IF(D107=1,'Model Inputs'!$B$27*(13-'Model Inputs'!$B$23)/12,IF(D107=2,'Model Inputs'!$B$27,IF(D107&lt;=MAX(3,'Model Inputs'!$B$30+1),'Model Inputs'!$B$27*(1+'Model Inputs'!$B$28)^(D107-3),'Model Inputs'!$B$27*(1+'Model Inputs'!$B$28)^(MAX(3,'Model Inputs'!$B$30+1)-3)*(1+'Model Inputs'!$B$29)^(D107-MAX(3,'Model Inputs'!$B$30+1)))))</f>
        <v>5086854.15450761</v>
      </c>
      <c r="H107" s="224">
        <f>IF(D107&lt;=2,0,'Model Inputs'!$B$32*SIN(2*PI()*(D107-3+'Model Inputs'!$B$34)/MAX(1,'Model Inputs'!$B$33)))</f>
        <v>-8.8174569538609421E-17</v>
      </c>
      <c r="I107" s="218">
        <f t="shared" si="35"/>
        <v>5086854.1545076091</v>
      </c>
      <c r="J107" s="218">
        <f t="shared" si="33"/>
        <v>3559201.5104371794</v>
      </c>
      <c r="K107" s="218">
        <f>F107+J107+IF(D107=1,'Model Inputs'!$B$26,0)</f>
        <v>3859201.5104371794</v>
      </c>
      <c r="L107" s="218">
        <f t="shared" si="36"/>
        <v>15436806.041748717</v>
      </c>
      <c r="M107" s="218">
        <f>MIN(L107,'Tax Assumptions'!$B$19)</f>
        <v>24500</v>
      </c>
      <c r="N107" s="218">
        <f>MAX(L107-M107-'Tax Assumptions'!$B$8,0)</f>
        <v>15396206.041748717</v>
      </c>
      <c r="O107" s="218">
        <f>MAX(L107-M107-'Tax Assumptions'!$B$9,0)</f>
        <v>15404306.041748717</v>
      </c>
      <c r="P107" s="218">
        <f>IF(N107=0,0,LOOKUP(N107,'Tax Assumptions'!$F$9:$F$15,'Tax Assumptions'!$I$9:$I$15)+(N107-LOOKUP(N107,'Tax Assumptions'!$F$9:$F$15,'Tax Assumptions'!$F$9:$F$15))*LOOKUP(N107,'Tax Assumptions'!$F$9:$F$15,'Tax Assumptions'!$H$9:$H$15))+MIN(MAX(L107,0),'Tax Assumptions'!$B$11)*'Tax Assumptions'!$B$10+MAX(L107,0)*'Tax Assumptions'!$B$12+MAX(MAX(L107,0)-'Tax Assumptions'!$B$14,0)*'Tax Assumptions'!$B$13+MIN(L107*'Tax Assumptions'!$B$15,'Tax Assumptions'!$B$16)+MIN(L107*'Tax Assumptions'!$B$17,'Tax Assumptions'!$B$18)+IF(O107=0,0,LOOKUP(O107,'Tax Assumptions'!$K$9:$K$17,'Tax Assumptions'!$N$9:$N$17)+(O107-LOOKUP(O107,'Tax Assumptions'!$K$9:$K$17,'Tax Assumptions'!$K$9:$K$17))*LOOKUP(O107,'Tax Assumptions'!$K$9:$K$17,'Tax Assumptions'!$M$9:$M$17))+IF(O107=0,0,LOOKUP(O107,'Tax Assumptions'!$P$9:$P$12,'Tax Assumptions'!$S$9:$S$12)+(O107-LOOKUP(O107,'Tax Assumptions'!$P$9:$P$12,'Tax Assumptions'!$P$9:$P$12))*LOOKUP(O107,'Tax Assumptions'!$P$9:$P$12,'Tax Assumptions'!$R$9:$R$12))</f>
        <v>8143707.3419064181</v>
      </c>
      <c r="Q107" s="218">
        <f t="shared" si="37"/>
        <v>7268598.6998422993</v>
      </c>
      <c r="R107" s="218">
        <f>IF(D107&lt;=10,INDEX('Savings Projection'!$BL$19:$BL$28,D107),LOOKUP(2,1/('Savings Projection'!$BL$19:$BL$28&lt;&gt;""),'Savings Projection'!$BL$19:$BL$28))*(1+'Model Inputs'!$B$35)^(D107-1)+IF(D107&lt;=10,INDEX('Savings Projection'!$BM$19:$BM$28,D107),LOOKUP(2,1/('Savings Projection'!$BM$19:$BM$28&lt;&gt;""),'Savings Projection'!$BM$19:$BM$28))*(1+'Model Inputs'!$B$36)^(D107-1)</f>
        <v>179950.4031941779</v>
      </c>
      <c r="S107" s="218">
        <f t="shared" si="38"/>
        <v>7088648.2966481214</v>
      </c>
      <c r="T107" s="218">
        <f>MIN(MAX(S107,0),'Tax Assumptions'!$B$20)</f>
        <v>7500</v>
      </c>
      <c r="U107" s="218">
        <f t="shared" si="39"/>
        <v>7081148.2966481214</v>
      </c>
      <c r="V107" s="218">
        <f>MAX(V106*(1+'Model Inputs'!$B$13)+U107,0)</f>
        <v>40157024.550536044</v>
      </c>
      <c r="W107" s="218">
        <f>MAX(W106*(1+'Model Inputs'!$B$13)+M107+T107,0)</f>
        <v>539838.11831229366</v>
      </c>
      <c r="X107" s="218">
        <f t="shared" si="40"/>
        <v>40696862.668848336</v>
      </c>
      <c r="Y107" s="226" t="str">
        <f t="shared" si="41"/>
        <v/>
      </c>
      <c r="Z107" s="226" t="str">
        <f t="shared" si="42"/>
        <v/>
      </c>
      <c r="AA107" s="226" t="str">
        <f t="shared" si="43"/>
        <v/>
      </c>
      <c r="AB107" s="226" t="str">
        <f t="shared" si="44"/>
        <v/>
      </c>
    </row>
    <row r="108" spans="1:28" x14ac:dyDescent="0.2">
      <c r="A108" s="214" t="str">
        <f t="shared" si="30"/>
        <v>3Y 4x</v>
      </c>
      <c r="B108" s="214">
        <f t="shared" si="31"/>
        <v>3</v>
      </c>
      <c r="C108" s="223">
        <f t="shared" si="32"/>
        <v>4</v>
      </c>
      <c r="D108" s="214">
        <v>13</v>
      </c>
      <c r="E108" s="214">
        <f t="shared" si="34"/>
        <v>2038</v>
      </c>
      <c r="F108" s="218">
        <f>IF(D108=1,'Model Inputs'!$B$25*(13-'Model Inputs'!$B$23)/12,'Model Inputs'!$B$25)</f>
        <v>300000</v>
      </c>
      <c r="G108" s="218">
        <f>IF(D108=1,'Model Inputs'!$B$27*(13-'Model Inputs'!$B$23)/12,IF(D108=2,'Model Inputs'!$B$27,IF(D108&lt;=MAX(3,'Model Inputs'!$B$30+1),'Model Inputs'!$B$27*(1+'Model Inputs'!$B$28)^(D108-3),'Model Inputs'!$B$27*(1+'Model Inputs'!$B$28)^(MAX(3,'Model Inputs'!$B$30+1)-3)*(1+'Model Inputs'!$B$29)^(D108-MAX(3,'Model Inputs'!$B$30+1)))))</f>
        <v>6464768.1603602255</v>
      </c>
      <c r="H108" s="224">
        <f>IF(D108&lt;=2,0,'Model Inputs'!$B$32*SIN(2*PI()*(D108-3+'Model Inputs'!$B$34)/MAX(1,'Model Inputs'!$B$33)))</f>
        <v>0.10392304845413261</v>
      </c>
      <c r="I108" s="218">
        <f t="shared" si="35"/>
        <v>7136606.5751340752</v>
      </c>
      <c r="J108" s="218">
        <f t="shared" si="33"/>
        <v>4711807.0917368019</v>
      </c>
      <c r="K108" s="218">
        <f>F108+J108+IF(D108=1,'Model Inputs'!$B$26,0)</f>
        <v>5011807.0917368019</v>
      </c>
      <c r="L108" s="218">
        <f t="shared" si="36"/>
        <v>20047228.366947208</v>
      </c>
      <c r="M108" s="218">
        <f>MIN(L108,'Tax Assumptions'!$B$19)</f>
        <v>24500</v>
      </c>
      <c r="N108" s="218">
        <f>MAX(L108-M108-'Tax Assumptions'!$B$8,0)</f>
        <v>20006628.366947208</v>
      </c>
      <c r="O108" s="218">
        <f>MAX(L108-M108-'Tax Assumptions'!$B$9,0)</f>
        <v>20014728.366947208</v>
      </c>
      <c r="P108" s="218">
        <f>IF(N108=0,0,LOOKUP(N108,'Tax Assumptions'!$F$9:$F$15,'Tax Assumptions'!$I$9:$I$15)+(N108-LOOKUP(N108,'Tax Assumptions'!$F$9:$F$15,'Tax Assumptions'!$F$9:$F$15))*LOOKUP(N108,'Tax Assumptions'!$F$9:$F$15,'Tax Assumptions'!$H$9:$H$15))+MIN(MAX(L108,0),'Tax Assumptions'!$B$11)*'Tax Assumptions'!$B$10+MAX(L108,0)*'Tax Assumptions'!$B$12+MAX(MAX(L108,0)-'Tax Assumptions'!$B$14,0)*'Tax Assumptions'!$B$13+MIN(L108*'Tax Assumptions'!$B$15,'Tax Assumptions'!$B$16)+MIN(L108*'Tax Assumptions'!$B$17,'Tax Assumptions'!$B$18)+IF(O108=0,0,LOOKUP(O108,'Tax Assumptions'!$K$9:$K$17,'Tax Assumptions'!$N$9:$N$17)+(O108-LOOKUP(O108,'Tax Assumptions'!$K$9:$K$17,'Tax Assumptions'!$K$9:$K$17))*LOOKUP(O108,'Tax Assumptions'!$K$9:$K$17,'Tax Assumptions'!$M$9:$M$17))+IF(O108=0,0,LOOKUP(O108,'Tax Assumptions'!$P$9:$P$12,'Tax Assumptions'!$S$9:$S$12)+(O108-LOOKUP(O108,'Tax Assumptions'!$P$9:$P$12,'Tax Assumptions'!$P$9:$P$12))*LOOKUP(O108,'Tax Assumptions'!$P$9:$P$12,'Tax Assumptions'!$R$9:$R$12))</f>
        <v>10611481.995692162</v>
      </c>
      <c r="Q108" s="218">
        <f t="shared" si="37"/>
        <v>9411246.3712550458</v>
      </c>
      <c r="R108" s="218">
        <f>IF(D108&lt;=10,INDEX('Savings Projection'!$BL$19:$BL$28,D108),LOOKUP(2,1/('Savings Projection'!$BL$19:$BL$28&lt;&gt;""),'Savings Projection'!$BL$19:$BL$28))*(1+'Model Inputs'!$B$35)^(D108-1)+IF(D108&lt;=10,INDEX('Savings Projection'!$BM$19:$BM$28,D108),LOOKUP(2,1/('Savings Projection'!$BM$19:$BM$28&lt;&gt;""),'Savings Projection'!$BM$19:$BM$28))*(1+'Model Inputs'!$B$36)^(D108-1)</f>
        <v>185348.91529000323</v>
      </c>
      <c r="S108" s="218">
        <f t="shared" si="38"/>
        <v>9225897.4559650421</v>
      </c>
      <c r="T108" s="218">
        <f>MIN(MAX(S108,0),'Tax Assumptions'!$B$20)</f>
        <v>7500</v>
      </c>
      <c r="U108" s="218">
        <f t="shared" si="39"/>
        <v>9218397.4559650421</v>
      </c>
      <c r="V108" s="218">
        <f>MAX(V107*(1+'Model Inputs'!$B$13)+U108,0)</f>
        <v>51784843.479533248</v>
      </c>
      <c r="W108" s="218">
        <f>MAX(W107*(1+'Model Inputs'!$B$13)+M108+T108,0)</f>
        <v>604228.40541103133</v>
      </c>
      <c r="X108" s="218">
        <f t="shared" si="40"/>
        <v>52389071.884944282</v>
      </c>
      <c r="Y108" s="226" t="str">
        <f t="shared" si="41"/>
        <v/>
      </c>
      <c r="Z108" s="226" t="str">
        <f t="shared" si="42"/>
        <v/>
      </c>
      <c r="AA108" s="226" t="str">
        <f t="shared" si="43"/>
        <v/>
      </c>
      <c r="AB108" s="226" t="str">
        <f t="shared" si="44"/>
        <v/>
      </c>
    </row>
    <row r="109" spans="1:28" x14ac:dyDescent="0.2">
      <c r="A109" s="214" t="str">
        <f t="shared" si="30"/>
        <v>3Y 4x</v>
      </c>
      <c r="B109" s="214">
        <f t="shared" si="31"/>
        <v>3</v>
      </c>
      <c r="C109" s="223">
        <f t="shared" si="32"/>
        <v>4</v>
      </c>
      <c r="D109" s="214">
        <v>14</v>
      </c>
      <c r="E109" s="214">
        <f t="shared" si="34"/>
        <v>2039</v>
      </c>
      <c r="F109" s="218">
        <f>IF(D109=1,'Model Inputs'!$B$25*(13-'Model Inputs'!$B$23)/12,'Model Inputs'!$B$25)</f>
        <v>300000</v>
      </c>
      <c r="G109" s="218">
        <f>IF(D109=1,'Model Inputs'!$B$27*(13-'Model Inputs'!$B$23)/12,IF(D109=2,'Model Inputs'!$B$27,IF(D109&lt;=MAX(3,'Model Inputs'!$B$30+1),'Model Inputs'!$B$27*(1+'Model Inputs'!$B$28)^(D109-3),'Model Inputs'!$B$27*(1+'Model Inputs'!$B$28)^(MAX(3,'Model Inputs'!$B$30+1)-3)*(1+'Model Inputs'!$B$29)^(D109-MAX(3,'Model Inputs'!$B$30+1)))))</f>
        <v>8215927.9778393377</v>
      </c>
      <c r="H109" s="224">
        <f>IF(D109&lt;=2,0,'Model Inputs'!$B$32*SIN(2*PI()*(D109-3+'Model Inputs'!$B$34)/MAX(1,'Model Inputs'!$B$33)))</f>
        <v>-0.10392304845413251</v>
      </c>
      <c r="I109" s="218">
        <f t="shared" si="35"/>
        <v>7362103.6965026772</v>
      </c>
      <c r="J109" s="218">
        <f t="shared" si="33"/>
        <v>6624168.4699774589</v>
      </c>
      <c r="K109" s="218">
        <f>F109+J109+IF(D109=1,'Model Inputs'!$B$26,0)</f>
        <v>6924168.4699774589</v>
      </c>
      <c r="L109" s="218">
        <f t="shared" si="36"/>
        <v>27696673.879909836</v>
      </c>
      <c r="M109" s="218">
        <f>MIN(L109,'Tax Assumptions'!$B$19)</f>
        <v>24500</v>
      </c>
      <c r="N109" s="218">
        <f>MAX(L109-M109-'Tax Assumptions'!$B$8,0)</f>
        <v>27656073.879909836</v>
      </c>
      <c r="O109" s="218">
        <f>MAX(L109-M109-'Tax Assumptions'!$B$9,0)</f>
        <v>27664173.879909836</v>
      </c>
      <c r="P109" s="218">
        <f>IF(N109=0,0,LOOKUP(N109,'Tax Assumptions'!$F$9:$F$15,'Tax Assumptions'!$I$9:$I$15)+(N109-LOOKUP(N109,'Tax Assumptions'!$F$9:$F$15,'Tax Assumptions'!$F$9:$F$15))*LOOKUP(N109,'Tax Assumptions'!$F$9:$F$15,'Tax Assumptions'!$H$9:$H$15))+MIN(MAX(L109,0),'Tax Assumptions'!$B$11)*'Tax Assumptions'!$B$10+MAX(L109,0)*'Tax Assumptions'!$B$12+MAX(MAX(L109,0)-'Tax Assumptions'!$B$14,0)*'Tax Assumptions'!$B$13+MIN(L109*'Tax Assumptions'!$B$15,'Tax Assumptions'!$B$16)+MIN(L109*'Tax Assumptions'!$B$17,'Tax Assumptions'!$B$18)+IF(O109=0,0,LOOKUP(O109,'Tax Assumptions'!$K$9:$K$17,'Tax Assumptions'!$N$9:$N$17)+(O109-LOOKUP(O109,'Tax Assumptions'!$K$9:$K$17,'Tax Assumptions'!$K$9:$K$17))*LOOKUP(O109,'Tax Assumptions'!$K$9:$K$17,'Tax Assumptions'!$M$9:$M$17))+IF(O109=0,0,LOOKUP(O109,'Tax Assumptions'!$P$9:$P$12,'Tax Assumptions'!$S$9:$S$12)+(O109-LOOKUP(O109,'Tax Assumptions'!$P$9:$P$12,'Tax Assumptions'!$P$9:$P$12))*LOOKUP(O109,'Tax Assumptions'!$P$9:$P$12,'Tax Assumptions'!$R$9:$R$12))</f>
        <v>14721909.244239999</v>
      </c>
      <c r="Q109" s="218">
        <f t="shared" si="37"/>
        <v>12950264.635669837</v>
      </c>
      <c r="R109" s="218">
        <f>IF(D109&lt;=10,INDEX('Savings Projection'!$BL$19:$BL$28,D109),LOOKUP(2,1/('Savings Projection'!$BL$19:$BL$28&lt;&gt;""),'Savings Projection'!$BL$19:$BL$28))*(1+'Model Inputs'!$B$35)^(D109-1)+IF(D109&lt;=10,INDEX('Savings Projection'!$BM$19:$BM$28,D109),LOOKUP(2,1/('Savings Projection'!$BM$19:$BM$28&lt;&gt;""),'Savings Projection'!$BM$19:$BM$28))*(1+'Model Inputs'!$B$36)^(D109-1)</f>
        <v>190909.3827487033</v>
      </c>
      <c r="S109" s="218">
        <f t="shared" si="38"/>
        <v>12759355.252921134</v>
      </c>
      <c r="T109" s="218">
        <f>MIN(MAX(S109,0),'Tax Assumptions'!$B$20)</f>
        <v>7500</v>
      </c>
      <c r="U109" s="218">
        <f t="shared" si="39"/>
        <v>12751855.252921134</v>
      </c>
      <c r="V109" s="218">
        <f>MAX(V108*(1+'Model Inputs'!$B$13)+U109,0)</f>
        <v>67643789.341226369</v>
      </c>
      <c r="W109" s="218">
        <f>MAX(W108*(1+'Model Inputs'!$B$13)+M109+T109,0)</f>
        <v>672482.1097356932</v>
      </c>
      <c r="X109" s="218">
        <f t="shared" si="40"/>
        <v>68316271.450962067</v>
      </c>
      <c r="Y109" s="226" t="str">
        <f t="shared" si="41"/>
        <v/>
      </c>
      <c r="Z109" s="226" t="str">
        <f t="shared" si="42"/>
        <v/>
      </c>
      <c r="AA109" s="226" t="str">
        <f t="shared" si="43"/>
        <v/>
      </c>
      <c r="AB109" s="226" t="str">
        <f t="shared" si="44"/>
        <v/>
      </c>
    </row>
    <row r="110" spans="1:28" x14ac:dyDescent="0.2">
      <c r="A110" s="214" t="str">
        <f t="shared" si="30"/>
        <v>3Y 4x</v>
      </c>
      <c r="B110" s="214">
        <f t="shared" si="31"/>
        <v>3</v>
      </c>
      <c r="C110" s="223">
        <f t="shared" si="32"/>
        <v>4</v>
      </c>
      <c r="D110" s="214">
        <v>15</v>
      </c>
      <c r="E110" s="214">
        <f t="shared" si="34"/>
        <v>2040</v>
      </c>
      <c r="F110" s="218">
        <f>IF(D110=1,'Model Inputs'!$B$25*(13-'Model Inputs'!$B$23)/12,'Model Inputs'!$B$25)</f>
        <v>300000</v>
      </c>
      <c r="G110" s="218">
        <f>IF(D110=1,'Model Inputs'!$B$27*(13-'Model Inputs'!$B$23)/12,IF(D110=2,'Model Inputs'!$B$27,IF(D110&lt;=MAX(3,'Model Inputs'!$B$30+1),'Model Inputs'!$B$27*(1+'Model Inputs'!$B$28)^(D110-3),'Model Inputs'!$B$27*(1+'Model Inputs'!$B$28)^(MAX(3,'Model Inputs'!$B$30+1)-3)*(1+'Model Inputs'!$B$29)^(D110-MAX(3,'Model Inputs'!$B$30+1)))))</f>
        <v>10441437.475041937</v>
      </c>
      <c r="H110" s="224">
        <f>IF(D110&lt;=2,0,'Model Inputs'!$B$32*SIN(2*PI()*(D110-3+'Model Inputs'!$B$34)/MAX(1,'Model Inputs'!$B$33)))</f>
        <v>-1.1756609271814589E-16</v>
      </c>
      <c r="I110" s="218">
        <f t="shared" si="35"/>
        <v>10441437.475041935</v>
      </c>
      <c r="J110" s="218">
        <f t="shared" si="33"/>
        <v>7305729.4161605267</v>
      </c>
      <c r="K110" s="218">
        <f>F110+J110+IF(D110=1,'Model Inputs'!$B$26,0)</f>
        <v>7605729.4161605267</v>
      </c>
      <c r="L110" s="218">
        <f t="shared" si="36"/>
        <v>30422917.664642107</v>
      </c>
      <c r="M110" s="218">
        <f>MIN(L110,'Tax Assumptions'!$B$19)</f>
        <v>24500</v>
      </c>
      <c r="N110" s="218">
        <f>MAX(L110-M110-'Tax Assumptions'!$B$8,0)</f>
        <v>30382317.664642107</v>
      </c>
      <c r="O110" s="218">
        <f>MAX(L110-M110-'Tax Assumptions'!$B$9,0)</f>
        <v>30390417.664642107</v>
      </c>
      <c r="P110" s="218">
        <f>IF(N110=0,0,LOOKUP(N110,'Tax Assumptions'!$F$9:$F$15,'Tax Assumptions'!$I$9:$I$15)+(N110-LOOKUP(N110,'Tax Assumptions'!$F$9:$F$15,'Tax Assumptions'!$F$9:$F$15))*LOOKUP(N110,'Tax Assumptions'!$F$9:$F$15,'Tax Assumptions'!$H$9:$H$15))+MIN(MAX(L110,0),'Tax Assumptions'!$B$11)*'Tax Assumptions'!$B$10+MAX(L110,0)*'Tax Assumptions'!$B$12+MAX(MAX(L110,0)-'Tax Assumptions'!$B$14,0)*'Tax Assumptions'!$B$13+MIN(L110*'Tax Assumptions'!$B$15,'Tax Assumptions'!$B$16)+MIN(L110*'Tax Assumptions'!$B$17,'Tax Assumptions'!$B$18)+IF(O110=0,0,LOOKUP(O110,'Tax Assumptions'!$K$9:$K$17,'Tax Assumptions'!$N$9:$N$17)+(O110-LOOKUP(O110,'Tax Assumptions'!$K$9:$K$17,'Tax Assumptions'!$K$9:$K$17))*LOOKUP(O110,'Tax Assumptions'!$K$9:$K$17,'Tax Assumptions'!$M$9:$M$17))+IF(O110=0,0,LOOKUP(O110,'Tax Assumptions'!$P$9:$P$12,'Tax Assumptions'!$S$9:$S$12)+(O110-LOOKUP(O110,'Tax Assumptions'!$P$9:$P$12,'Tax Assumptions'!$P$9:$P$12))*LOOKUP(O110,'Tax Assumptions'!$P$9:$P$12,'Tax Assumptions'!$R$9:$R$12))</f>
        <v>16197515.955164187</v>
      </c>
      <c r="Q110" s="218">
        <f t="shared" si="37"/>
        <v>14200901.70947792</v>
      </c>
      <c r="R110" s="218">
        <f>IF(D110&lt;=10,INDEX('Savings Projection'!$BL$19:$BL$28,D110),LOOKUP(2,1/('Savings Projection'!$BL$19:$BL$28&lt;&gt;""),'Savings Projection'!$BL$19:$BL$28))*(1+'Model Inputs'!$B$35)^(D110-1)+IF(D110&lt;=10,INDEX('Savings Projection'!$BM$19:$BM$28,D110),LOOKUP(2,1/('Savings Projection'!$BM$19:$BM$28&lt;&gt;""),'Savings Projection'!$BM$19:$BM$28))*(1+'Model Inputs'!$B$36)^(D110-1)</f>
        <v>196636.66423116444</v>
      </c>
      <c r="S110" s="218">
        <f t="shared" si="38"/>
        <v>14004265.045246756</v>
      </c>
      <c r="T110" s="218">
        <f>MIN(MAX(S110,0),'Tax Assumptions'!$B$20)</f>
        <v>7500</v>
      </c>
      <c r="U110" s="218">
        <f t="shared" si="39"/>
        <v>13996765.045246756</v>
      </c>
      <c r="V110" s="218">
        <f>MAX(V109*(1+'Model Inputs'!$B$13)+U110,0)</f>
        <v>85699181.746946707</v>
      </c>
      <c r="W110" s="218">
        <f>MAX(W109*(1+'Model Inputs'!$B$13)+M110+T110,0)</f>
        <v>744831.03631983488</v>
      </c>
      <c r="X110" s="218">
        <f t="shared" si="40"/>
        <v>86444012.783266544</v>
      </c>
      <c r="Y110" s="226" t="str">
        <f t="shared" si="41"/>
        <v/>
      </c>
      <c r="Z110" s="226" t="str">
        <f t="shared" si="42"/>
        <v/>
      </c>
      <c r="AA110" s="226" t="str">
        <f t="shared" si="43"/>
        <v/>
      </c>
      <c r="AB110" s="226" t="str">
        <f t="shared" si="44"/>
        <v/>
      </c>
    </row>
    <row r="111" spans="1:28" x14ac:dyDescent="0.2">
      <c r="A111" s="214" t="str">
        <f t="shared" si="30"/>
        <v>3Y 4x</v>
      </c>
      <c r="B111" s="214">
        <f t="shared" si="31"/>
        <v>3</v>
      </c>
      <c r="C111" s="223">
        <f t="shared" si="32"/>
        <v>4</v>
      </c>
      <c r="D111" s="214">
        <v>16</v>
      </c>
      <c r="E111" s="214">
        <f t="shared" si="34"/>
        <v>2041</v>
      </c>
      <c r="F111" s="218">
        <f>IF(D111=1,'Model Inputs'!$B$25*(13-'Model Inputs'!$B$23)/12,'Model Inputs'!$B$25)</f>
        <v>300000</v>
      </c>
      <c r="G111" s="218">
        <f>IF(D111=1,'Model Inputs'!$B$27*(13-'Model Inputs'!$B$23)/12,IF(D111=2,'Model Inputs'!$B$27,IF(D111&lt;=MAX(3,'Model Inputs'!$B$30+1),'Model Inputs'!$B$27*(1+'Model Inputs'!$B$28)^(D111-3),'Model Inputs'!$B$27*(1+'Model Inputs'!$B$28)^(MAX(3,'Model Inputs'!$B$30+1)-3)*(1+'Model Inputs'!$B$29)^(D111-MAX(3,'Model Inputs'!$B$30+1)))))</f>
        <v>13269787.276528884</v>
      </c>
      <c r="H111" s="224">
        <f>IF(D111&lt;=2,0,'Model Inputs'!$B$32*SIN(2*PI()*(D111-3+'Model Inputs'!$B$34)/MAX(1,'Model Inputs'!$B$33)))</f>
        <v>0.10392304845413262</v>
      </c>
      <c r="I111" s="218">
        <f t="shared" si="35"/>
        <v>14648824.022643628</v>
      </c>
      <c r="J111" s="218">
        <f t="shared" si="33"/>
        <v>9671604.0304071214</v>
      </c>
      <c r="K111" s="218">
        <f>F111+J111+IF(D111=1,'Model Inputs'!$B$26,0)</f>
        <v>9971604.0304071214</v>
      </c>
      <c r="L111" s="218">
        <f t="shared" si="36"/>
        <v>39886416.121628486</v>
      </c>
      <c r="M111" s="218">
        <f>MIN(L111,'Tax Assumptions'!$B$19)</f>
        <v>24500</v>
      </c>
      <c r="N111" s="218">
        <f>MAX(L111-M111-'Tax Assumptions'!$B$8,0)</f>
        <v>39845816.121628486</v>
      </c>
      <c r="O111" s="218">
        <f>MAX(L111-M111-'Tax Assumptions'!$B$9,0)</f>
        <v>39853916.121628486</v>
      </c>
      <c r="P111" s="218">
        <f>IF(N111=0,0,LOOKUP(N111,'Tax Assumptions'!$F$9:$F$15,'Tax Assumptions'!$I$9:$I$15)+(N111-LOOKUP(N111,'Tax Assumptions'!$F$9:$F$15,'Tax Assumptions'!$F$9:$F$15))*LOOKUP(N111,'Tax Assumptions'!$F$9:$F$15,'Tax Assumptions'!$H$9:$H$15))+MIN(MAX(L111,0),'Tax Assumptions'!$B$11)*'Tax Assumptions'!$B$10+MAX(L111,0)*'Tax Assumptions'!$B$12+MAX(MAX(L111,0)-'Tax Assumptions'!$B$14,0)*'Tax Assumptions'!$B$13+MIN(L111*'Tax Assumptions'!$B$15,'Tax Assumptions'!$B$16)+MIN(L111*'Tax Assumptions'!$B$17,'Tax Assumptions'!$B$18)+IF(O111=0,0,LOOKUP(O111,'Tax Assumptions'!$K$9:$K$17,'Tax Assumptions'!$N$9:$N$17)+(O111-LOOKUP(O111,'Tax Assumptions'!$K$9:$K$17,'Tax Assumptions'!$K$9:$K$17))*LOOKUP(O111,'Tax Assumptions'!$K$9:$K$17,'Tax Assumptions'!$M$9:$M$17))+IF(O111=0,0,LOOKUP(O111,'Tax Assumptions'!$P$9:$P$12,'Tax Assumptions'!$S$9:$S$12)+(O111-LOOKUP(O111,'Tax Assumptions'!$P$9:$P$12,'Tax Assumptions'!$P$9:$P$12))*LOOKUP(O111,'Tax Assumptions'!$P$9:$P$12,'Tax Assumptions'!$R$9:$R$12))</f>
        <v>21319729.12999263</v>
      </c>
      <c r="Q111" s="218">
        <f t="shared" si="37"/>
        <v>18542186.991635855</v>
      </c>
      <c r="R111" s="218">
        <f>IF(D111&lt;=10,INDEX('Savings Projection'!$BL$19:$BL$28,D111),LOOKUP(2,1/('Savings Projection'!$BL$19:$BL$28&lt;&gt;""),'Savings Projection'!$BL$19:$BL$28))*(1+'Model Inputs'!$B$35)^(D111-1)+IF(D111&lt;=10,INDEX('Savings Projection'!$BM$19:$BM$28,D111),LOOKUP(2,1/('Savings Projection'!$BM$19:$BM$28&lt;&gt;""),'Savings Projection'!$BM$19:$BM$28))*(1+'Model Inputs'!$B$36)^(D111-1)</f>
        <v>202535.76415809937</v>
      </c>
      <c r="S111" s="218">
        <f t="shared" si="38"/>
        <v>18339651.227477755</v>
      </c>
      <c r="T111" s="218">
        <f>MIN(MAX(S111,0),'Tax Assumptions'!$B$20)</f>
        <v>7500</v>
      </c>
      <c r="U111" s="218">
        <f t="shared" si="39"/>
        <v>18332151.227477755</v>
      </c>
      <c r="V111" s="218">
        <f>MAX(V110*(1+'Model Inputs'!$B$13)+U111,0)</f>
        <v>109173283.87924127</v>
      </c>
      <c r="W111" s="218">
        <f>MAX(W110*(1+'Model Inputs'!$B$13)+M111+T111,0)</f>
        <v>821520.89849902503</v>
      </c>
      <c r="X111" s="218">
        <f t="shared" si="40"/>
        <v>109994804.7777403</v>
      </c>
      <c r="Y111" s="226" t="str">
        <f t="shared" si="41"/>
        <v/>
      </c>
      <c r="Z111" s="226" t="str">
        <f t="shared" si="42"/>
        <v/>
      </c>
      <c r="AA111" s="226" t="str">
        <f t="shared" si="43"/>
        <v/>
      </c>
      <c r="AB111" s="226" t="str">
        <f t="shared" si="44"/>
        <v/>
      </c>
    </row>
    <row r="112" spans="1:28" x14ac:dyDescent="0.2">
      <c r="A112" s="214" t="str">
        <f t="shared" si="30"/>
        <v>3Y 4x</v>
      </c>
      <c r="B112" s="214">
        <f t="shared" si="31"/>
        <v>3</v>
      </c>
      <c r="C112" s="223">
        <f t="shared" si="32"/>
        <v>4</v>
      </c>
      <c r="D112" s="214">
        <v>17</v>
      </c>
      <c r="E112" s="214">
        <f t="shared" si="34"/>
        <v>2042</v>
      </c>
      <c r="F112" s="218">
        <f>IF(D112=1,'Model Inputs'!$B$25*(13-'Model Inputs'!$B$23)/12,'Model Inputs'!$B$25)</f>
        <v>300000</v>
      </c>
      <c r="G112" s="218">
        <f>IF(D112=1,'Model Inputs'!$B$27*(13-'Model Inputs'!$B$23)/12,IF(D112=2,'Model Inputs'!$B$27,IF(D112&lt;=MAX(3,'Model Inputs'!$B$30+1),'Model Inputs'!$B$27*(1+'Model Inputs'!$B$28)^(D112-3),'Model Inputs'!$B$27*(1+'Model Inputs'!$B$28)^(MAX(3,'Model Inputs'!$B$30+1)-3)*(1+'Model Inputs'!$B$29)^(D112-MAX(3,'Model Inputs'!$B$30+1)))))</f>
        <v>16864273.217670217</v>
      </c>
      <c r="H112" s="224">
        <f>IF(D112&lt;=2,0,'Model Inputs'!$B$32*SIN(2*PI()*(D112-3+'Model Inputs'!$B$34)/MAX(1,'Model Inputs'!$B$33)))</f>
        <v>-0.1039230484541325</v>
      </c>
      <c r="I112" s="218">
        <f t="shared" si="35"/>
        <v>15111686.534926547</v>
      </c>
      <c r="J112" s="218">
        <f t="shared" si="33"/>
        <v>13596977.385743205</v>
      </c>
      <c r="K112" s="218">
        <f>F112+J112+IF(D112=1,'Model Inputs'!$B$26,0)</f>
        <v>13896977.385743205</v>
      </c>
      <c r="L112" s="218">
        <f t="shared" si="36"/>
        <v>55587909.542972818</v>
      </c>
      <c r="M112" s="218">
        <f>MIN(L112,'Tax Assumptions'!$B$19)</f>
        <v>24500</v>
      </c>
      <c r="N112" s="218">
        <f>MAX(L112-M112-'Tax Assumptions'!$B$8,0)</f>
        <v>55547309.542972818</v>
      </c>
      <c r="O112" s="218">
        <f>MAX(L112-M112-'Tax Assumptions'!$B$9,0)</f>
        <v>55555409.542972818</v>
      </c>
      <c r="P112" s="218">
        <f>IF(N112=0,0,LOOKUP(N112,'Tax Assumptions'!$F$9:$F$15,'Tax Assumptions'!$I$9:$I$15)+(N112-LOOKUP(N112,'Tax Assumptions'!$F$9:$F$15,'Tax Assumptions'!$F$9:$F$15))*LOOKUP(N112,'Tax Assumptions'!$F$9:$F$15,'Tax Assumptions'!$H$9:$H$15))+MIN(MAX(L112,0),'Tax Assumptions'!$B$11)*'Tax Assumptions'!$B$10+MAX(L112,0)*'Tax Assumptions'!$B$12+MAX(MAX(L112,0)-'Tax Assumptions'!$B$14,0)*'Tax Assumptions'!$B$13+MIN(L112*'Tax Assumptions'!$B$15,'Tax Assumptions'!$B$16)+MIN(L112*'Tax Assumptions'!$B$17,'Tax Assumptions'!$B$18)+IF(O112=0,0,LOOKUP(O112,'Tax Assumptions'!$K$9:$K$17,'Tax Assumptions'!$N$9:$N$17)+(O112-LOOKUP(O112,'Tax Assumptions'!$K$9:$K$17,'Tax Assumptions'!$K$9:$K$17))*LOOKUP(O112,'Tax Assumptions'!$K$9:$K$17,'Tax Assumptions'!$M$9:$M$17))+IF(O112=0,0,LOOKUP(O112,'Tax Assumptions'!$P$9:$P$12,'Tax Assumptions'!$S$9:$S$12)+(O112-LOOKUP(O112,'Tax Assumptions'!$P$9:$P$12,'Tax Assumptions'!$P$9:$P$12))*LOOKUP(O112,'Tax Assumptions'!$P$9:$P$12,'Tax Assumptions'!$R$9:$R$12))</f>
        <v>29818319.459229466</v>
      </c>
      <c r="Q112" s="218">
        <f t="shared" si="37"/>
        <v>25745090.083743352</v>
      </c>
      <c r="R112" s="218">
        <f>IF(D112&lt;=10,INDEX('Savings Projection'!$BL$19:$BL$28,D112),LOOKUP(2,1/('Savings Projection'!$BL$19:$BL$28&lt;&gt;""),'Savings Projection'!$BL$19:$BL$28))*(1+'Model Inputs'!$B$35)^(D112-1)+IF(D112&lt;=10,INDEX('Savings Projection'!$BM$19:$BM$28,D112),LOOKUP(2,1/('Savings Projection'!$BM$19:$BM$28&lt;&gt;""),'Savings Projection'!$BM$19:$BM$28))*(1+'Model Inputs'!$B$36)^(D112-1)</f>
        <v>208611.83708284231</v>
      </c>
      <c r="S112" s="218">
        <f t="shared" si="38"/>
        <v>25536478.246660512</v>
      </c>
      <c r="T112" s="218">
        <f>MIN(MAX(S112,0),'Tax Assumptions'!$B$20)</f>
        <v>7500</v>
      </c>
      <c r="U112" s="218">
        <f t="shared" si="39"/>
        <v>25528978.246660512</v>
      </c>
      <c r="V112" s="218">
        <f>MAX(V111*(1+'Model Inputs'!$B$13)+U112,0)</f>
        <v>141252659.15865627</v>
      </c>
      <c r="W112" s="218">
        <f>MAX(W111*(1+'Model Inputs'!$B$13)+M112+T112,0)</f>
        <v>902812.15240896656</v>
      </c>
      <c r="X112" s="218">
        <f t="shared" si="40"/>
        <v>142155471.31106523</v>
      </c>
      <c r="Y112" s="226" t="str">
        <f t="shared" si="41"/>
        <v/>
      </c>
      <c r="Z112" s="226" t="str">
        <f t="shared" si="42"/>
        <v/>
      </c>
      <c r="AA112" s="226" t="str">
        <f t="shared" si="43"/>
        <v/>
      </c>
      <c r="AB112" s="226" t="str">
        <f t="shared" si="44"/>
        <v/>
      </c>
    </row>
    <row r="113" spans="1:28" x14ac:dyDescent="0.2">
      <c r="A113" s="214" t="str">
        <f t="shared" si="30"/>
        <v>3Y 4x</v>
      </c>
      <c r="B113" s="214">
        <f t="shared" si="31"/>
        <v>3</v>
      </c>
      <c r="C113" s="223">
        <f t="shared" si="32"/>
        <v>4</v>
      </c>
      <c r="D113" s="214">
        <v>18</v>
      </c>
      <c r="E113" s="214">
        <f t="shared" si="34"/>
        <v>2043</v>
      </c>
      <c r="F113" s="218">
        <f>IF(D113=1,'Model Inputs'!$B$25*(13-'Model Inputs'!$B$23)/12,'Model Inputs'!$B$25)</f>
        <v>300000</v>
      </c>
      <c r="G113" s="218">
        <f>IF(D113=1,'Model Inputs'!$B$27*(13-'Model Inputs'!$B$23)/12,IF(D113=2,'Model Inputs'!$B$27,IF(D113&lt;=MAX(3,'Model Inputs'!$B$30+1),'Model Inputs'!$B$27*(1+'Model Inputs'!$B$28)^(D113-3),'Model Inputs'!$B$27*(1+'Model Inputs'!$B$28)^(MAX(3,'Model Inputs'!$B$30+1)-3)*(1+'Model Inputs'!$B$29)^(D113-MAX(3,'Model Inputs'!$B$30+1)))))</f>
        <v>21432424.290875554</v>
      </c>
      <c r="H113" s="224">
        <f>IF(D113&lt;=2,0,'Model Inputs'!$B$32*SIN(2*PI()*(D113-3+'Model Inputs'!$B$34)/MAX(1,'Model Inputs'!$B$33)))</f>
        <v>-5.7328325735374245E-16</v>
      </c>
      <c r="I113" s="218">
        <f t="shared" si="35"/>
        <v>21432424.290875543</v>
      </c>
      <c r="J113" s="218">
        <f t="shared" si="33"/>
        <v>14995970.906855816</v>
      </c>
      <c r="K113" s="218">
        <f>F113+J113+IF(D113=1,'Model Inputs'!$B$26,0)</f>
        <v>15295970.906855816</v>
      </c>
      <c r="L113" s="218">
        <f t="shared" si="36"/>
        <v>61183883.627423264</v>
      </c>
      <c r="M113" s="218">
        <f>MIN(L113,'Tax Assumptions'!$B$19)</f>
        <v>24500</v>
      </c>
      <c r="N113" s="218">
        <f>MAX(L113-M113-'Tax Assumptions'!$B$8,0)</f>
        <v>61143283.627423264</v>
      </c>
      <c r="O113" s="218">
        <f>MAX(L113-M113-'Tax Assumptions'!$B$9,0)</f>
        <v>61151383.627423264</v>
      </c>
      <c r="P113" s="218">
        <f>IF(N113=0,0,LOOKUP(N113,'Tax Assumptions'!$F$9:$F$15,'Tax Assumptions'!$I$9:$I$15)+(N113-LOOKUP(N113,'Tax Assumptions'!$F$9:$F$15,'Tax Assumptions'!$F$9:$F$15))*LOOKUP(N113,'Tax Assumptions'!$F$9:$F$15,'Tax Assumptions'!$H$9:$H$15))+MIN(MAX(L113,0),'Tax Assumptions'!$B$11)*'Tax Assumptions'!$B$10+MAX(L113,0)*'Tax Assumptions'!$B$12+MAX(MAX(L113,0)-'Tax Assumptions'!$B$14,0)*'Tax Assumptions'!$B$13+MIN(L113*'Tax Assumptions'!$B$15,'Tax Assumptions'!$B$16)+MIN(L113*'Tax Assumptions'!$B$17,'Tax Assumptions'!$B$18)+IF(O113=0,0,LOOKUP(O113,'Tax Assumptions'!$K$9:$K$17,'Tax Assumptions'!$N$9:$N$17)+(O113-LOOKUP(O113,'Tax Assumptions'!$K$9:$K$17,'Tax Assumptions'!$K$9:$K$17))*LOOKUP(O113,'Tax Assumptions'!$K$9:$K$17,'Tax Assumptions'!$M$9:$M$17))+IF(O113=0,0,LOOKUP(O113,'Tax Assumptions'!$P$9:$P$12,'Tax Assumptions'!$S$9:$S$12)+(O113-LOOKUP(O113,'Tax Assumptions'!$P$9:$P$12,'Tax Assumptions'!$P$9:$P$12))*LOOKUP(O113,'Tax Assumptions'!$P$9:$P$12,'Tax Assumptions'!$R$9:$R$12))</f>
        <v>32847196.392179113</v>
      </c>
      <c r="Q113" s="218">
        <f t="shared" si="37"/>
        <v>28312187.235244151</v>
      </c>
      <c r="R113" s="218">
        <f>IF(D113&lt;=10,INDEX('Savings Projection'!$BL$19:$BL$28,D113),LOOKUP(2,1/('Savings Projection'!$BL$19:$BL$28&lt;&gt;""),'Savings Projection'!$BL$19:$BL$28))*(1+'Model Inputs'!$B$35)^(D113-1)+IF(D113&lt;=10,INDEX('Savings Projection'!$BM$19:$BM$28,D113),LOOKUP(2,1/('Savings Projection'!$BM$19:$BM$28&lt;&gt;""),'Savings Projection'!$BM$19:$BM$28))*(1+'Model Inputs'!$B$36)^(D113-1)</f>
        <v>214870.1921953276</v>
      </c>
      <c r="S113" s="218">
        <f t="shared" si="38"/>
        <v>28097317.043048825</v>
      </c>
      <c r="T113" s="218">
        <f>MIN(MAX(S113,0),'Tax Assumptions'!$B$20)</f>
        <v>7500</v>
      </c>
      <c r="U113" s="218">
        <f t="shared" si="39"/>
        <v>28089817.043048825</v>
      </c>
      <c r="V113" s="218">
        <f>MAX(V112*(1+'Model Inputs'!$B$13)+U113,0)</f>
        <v>177817635.75122449</v>
      </c>
      <c r="W113" s="218">
        <f>MAX(W112*(1+'Model Inputs'!$B$13)+M113+T113,0)</f>
        <v>988980.88155350462</v>
      </c>
      <c r="X113" s="218">
        <f t="shared" si="40"/>
        <v>178806616.63277799</v>
      </c>
      <c r="Y113" s="226" t="str">
        <f t="shared" si="41"/>
        <v/>
      </c>
      <c r="Z113" s="226" t="str">
        <f t="shared" si="42"/>
        <v/>
      </c>
      <c r="AA113" s="226" t="str">
        <f t="shared" si="43"/>
        <v/>
      </c>
      <c r="AB113" s="226" t="str">
        <f t="shared" si="44"/>
        <v/>
      </c>
    </row>
    <row r="114" spans="1:28" x14ac:dyDescent="0.2">
      <c r="A114" s="214" t="str">
        <f t="shared" si="30"/>
        <v>3Y 4x</v>
      </c>
      <c r="B114" s="214">
        <f t="shared" si="31"/>
        <v>3</v>
      </c>
      <c r="C114" s="223">
        <f t="shared" si="32"/>
        <v>4</v>
      </c>
      <c r="D114" s="214">
        <v>19</v>
      </c>
      <c r="E114" s="214">
        <f t="shared" si="34"/>
        <v>2044</v>
      </c>
      <c r="F114" s="218">
        <f>IF(D114=1,'Model Inputs'!$B$25*(13-'Model Inputs'!$B$23)/12,'Model Inputs'!$B$25)</f>
        <v>300000</v>
      </c>
      <c r="G114" s="218">
        <f>IF(D114=1,'Model Inputs'!$B$27*(13-'Model Inputs'!$B$23)/12,IF(D114=2,'Model Inputs'!$B$27,IF(D114&lt;=MAX(3,'Model Inputs'!$B$30+1),'Model Inputs'!$B$27*(1+'Model Inputs'!$B$28)^(D114-3),'Model Inputs'!$B$27*(1+'Model Inputs'!$B$28)^(MAX(3,'Model Inputs'!$B$30+1)-3)*(1+'Model Inputs'!$B$29)^(D114-MAX(3,'Model Inputs'!$B$30+1)))))</f>
        <v>27237984.409717187</v>
      </c>
      <c r="H114" s="224">
        <f>IF(D114&lt;=2,0,'Model Inputs'!$B$32*SIN(2*PI()*(D114-3+'Model Inputs'!$B$34)/MAX(1,'Model Inputs'!$B$33)))</f>
        <v>0.10392304845413286</v>
      </c>
      <c r="I114" s="218">
        <f t="shared" si="35"/>
        <v>30068638.783321142</v>
      </c>
      <c r="J114" s="218">
        <f t="shared" si="33"/>
        <v>19852239.851888295</v>
      </c>
      <c r="K114" s="218">
        <f>F114+J114+IF(D114=1,'Model Inputs'!$B$26,0)</f>
        <v>20152239.851888295</v>
      </c>
      <c r="L114" s="218">
        <f t="shared" si="36"/>
        <v>80608959.407553181</v>
      </c>
      <c r="M114" s="218">
        <f>MIN(L114,'Tax Assumptions'!$B$19)</f>
        <v>24500</v>
      </c>
      <c r="N114" s="218">
        <f>MAX(L114-M114-'Tax Assumptions'!$B$8,0)</f>
        <v>80568359.407553181</v>
      </c>
      <c r="O114" s="218">
        <f>MAX(L114-M114-'Tax Assumptions'!$B$9,0)</f>
        <v>80576459.407553181</v>
      </c>
      <c r="P114" s="218">
        <f>IF(N114=0,0,LOOKUP(N114,'Tax Assumptions'!$F$9:$F$15,'Tax Assumptions'!$I$9:$I$15)+(N114-LOOKUP(N114,'Tax Assumptions'!$F$9:$F$15,'Tax Assumptions'!$F$9:$F$15))*LOOKUP(N114,'Tax Assumptions'!$F$9:$F$15,'Tax Assumptions'!$H$9:$H$15))+MIN(MAX(L114,0),'Tax Assumptions'!$B$11)*'Tax Assumptions'!$B$10+MAX(L114,0)*'Tax Assumptions'!$B$12+MAX(MAX(L114,0)-'Tax Assumptions'!$B$14,0)*'Tax Assumptions'!$B$13+MIN(L114*'Tax Assumptions'!$B$15,'Tax Assumptions'!$B$16)+MIN(L114*'Tax Assumptions'!$B$17,'Tax Assumptions'!$B$18)+IF(O114=0,0,LOOKUP(O114,'Tax Assumptions'!$K$9:$K$17,'Tax Assumptions'!$N$9:$N$17)+(O114-LOOKUP(O114,'Tax Assumptions'!$K$9:$K$17,'Tax Assumptions'!$K$9:$K$17))*LOOKUP(O114,'Tax Assumptions'!$K$9:$K$17,'Tax Assumptions'!$M$9:$M$17))+IF(O114=0,0,LOOKUP(O114,'Tax Assumptions'!$P$9:$P$12,'Tax Assumptions'!$S$9:$S$12)+(O114-LOOKUP(O114,'Tax Assumptions'!$P$9:$P$12,'Tax Assumptions'!$P$9:$P$12))*LOOKUP(O114,'Tax Assumptions'!$P$9:$P$12,'Tax Assumptions'!$R$9:$R$12))</f>
        <v>43361212.908932224</v>
      </c>
      <c r="Q114" s="218">
        <f t="shared" si="37"/>
        <v>37223246.498620957</v>
      </c>
      <c r="R114" s="218">
        <f>IF(D114&lt;=10,INDEX('Savings Projection'!$BL$19:$BL$28,D114),LOOKUP(2,1/('Savings Projection'!$BL$19:$BL$28&lt;&gt;""),'Savings Projection'!$BL$19:$BL$28))*(1+'Model Inputs'!$B$35)^(D114-1)+IF(D114&lt;=10,INDEX('Savings Projection'!$BM$19:$BM$28,D114),LOOKUP(2,1/('Savings Projection'!$BM$19:$BM$28&lt;&gt;""),'Savings Projection'!$BM$19:$BM$28))*(1+'Model Inputs'!$B$36)^(D114-1)</f>
        <v>221316.29796118743</v>
      </c>
      <c r="S114" s="218">
        <f t="shared" si="38"/>
        <v>37001930.200659767</v>
      </c>
      <c r="T114" s="218">
        <f>MIN(MAX(S114,0),'Tax Assumptions'!$B$20)</f>
        <v>7500</v>
      </c>
      <c r="U114" s="218">
        <f t="shared" si="39"/>
        <v>36994430.200659767</v>
      </c>
      <c r="V114" s="218">
        <f>MAX(V113*(1+'Model Inputs'!$B$13)+U114,0)</f>
        <v>225481124.09695774</v>
      </c>
      <c r="W114" s="218">
        <f>MAX(W113*(1+'Model Inputs'!$B$13)+M114+T114,0)</f>
        <v>1080319.7344467151</v>
      </c>
      <c r="X114" s="218">
        <f t="shared" si="40"/>
        <v>226561443.83140445</v>
      </c>
      <c r="Y114" s="226" t="str">
        <f t="shared" si="41"/>
        <v/>
      </c>
      <c r="Z114" s="226" t="str">
        <f t="shared" si="42"/>
        <v/>
      </c>
      <c r="AA114" s="226" t="str">
        <f t="shared" si="43"/>
        <v/>
      </c>
      <c r="AB114" s="226" t="str">
        <f t="shared" si="44"/>
        <v/>
      </c>
    </row>
    <row r="115" spans="1:28" x14ac:dyDescent="0.2">
      <c r="A115" s="214" t="str">
        <f t="shared" si="30"/>
        <v>3Y 4x</v>
      </c>
      <c r="B115" s="214">
        <f t="shared" si="31"/>
        <v>3</v>
      </c>
      <c r="C115" s="223">
        <f t="shared" si="32"/>
        <v>4</v>
      </c>
      <c r="D115" s="214">
        <v>20</v>
      </c>
      <c r="E115" s="214">
        <f t="shared" si="34"/>
        <v>2045</v>
      </c>
      <c r="F115" s="218">
        <f>IF(D115=1,'Model Inputs'!$B$25*(13-'Model Inputs'!$B$23)/12,'Model Inputs'!$B$25)</f>
        <v>300000</v>
      </c>
      <c r="G115" s="218">
        <f>IF(D115=1,'Model Inputs'!$B$27*(13-'Model Inputs'!$B$23)/12,IF(D115=2,'Model Inputs'!$B$27,IF(D115&lt;=MAX(3,'Model Inputs'!$B$30+1),'Model Inputs'!$B$27*(1+'Model Inputs'!$B$28)^(D115-3),'Model Inputs'!$B$27*(1+'Model Inputs'!$B$28)^(MAX(3,'Model Inputs'!$B$30+1)-3)*(1+'Model Inputs'!$B$29)^(D115-MAX(3,'Model Inputs'!$B$30+1)))))</f>
        <v>34616139.762586243</v>
      </c>
      <c r="H115" s="224">
        <f>IF(D115&lt;=2,0,'Model Inputs'!$B$32*SIN(2*PI()*(D115-3+'Model Inputs'!$B$34)/MAX(1,'Model Inputs'!$B$33)))</f>
        <v>-0.10392304845413269</v>
      </c>
      <c r="I115" s="218">
        <f t="shared" si="35"/>
        <v>31018724.992743965</v>
      </c>
      <c r="J115" s="218">
        <f t="shared" si="33"/>
        <v>27909585.160209741</v>
      </c>
      <c r="K115" s="218">
        <f>F115+J115+IF(D115=1,'Model Inputs'!$B$26,0)</f>
        <v>28209585.160209741</v>
      </c>
      <c r="L115" s="218">
        <f t="shared" si="36"/>
        <v>112838340.64083897</v>
      </c>
      <c r="M115" s="218">
        <f>MIN(L115,'Tax Assumptions'!$B$19)</f>
        <v>24500</v>
      </c>
      <c r="N115" s="218">
        <f>MAX(L115-M115-'Tax Assumptions'!$B$8,0)</f>
        <v>112797740.64083897</v>
      </c>
      <c r="O115" s="218">
        <f>MAX(L115-M115-'Tax Assumptions'!$B$9,0)</f>
        <v>112805840.64083897</v>
      </c>
      <c r="P115" s="218">
        <f>IF(N115=0,0,LOOKUP(N115,'Tax Assumptions'!$F$9:$F$15,'Tax Assumptions'!$I$9:$I$15)+(N115-LOOKUP(N115,'Tax Assumptions'!$F$9:$F$15,'Tax Assumptions'!$F$9:$F$15))*LOOKUP(N115,'Tax Assumptions'!$F$9:$F$15,'Tax Assumptions'!$H$9:$H$15))+MIN(MAX(L115,0),'Tax Assumptions'!$B$11)*'Tax Assumptions'!$B$10+MAX(L115,0)*'Tax Assumptions'!$B$12+MAX(MAX(L115,0)-'Tax Assumptions'!$B$14,0)*'Tax Assumptions'!$B$13+MIN(L115*'Tax Assumptions'!$B$15,'Tax Assumptions'!$B$16)+MIN(L115*'Tax Assumptions'!$B$17,'Tax Assumptions'!$B$18)+IF(O115=0,0,LOOKUP(O115,'Tax Assumptions'!$K$9:$K$17,'Tax Assumptions'!$N$9:$N$17)+(O115-LOOKUP(O115,'Tax Assumptions'!$K$9:$K$17,'Tax Assumptions'!$K$9:$K$17))*LOOKUP(O115,'Tax Assumptions'!$K$9:$K$17,'Tax Assumptions'!$M$9:$M$17))+IF(O115=0,0,LOOKUP(O115,'Tax Assumptions'!$P$9:$P$12,'Tax Assumptions'!$S$9:$S$12)+(O115-LOOKUP(O115,'Tax Assumptions'!$P$9:$P$12,'Tax Assumptions'!$P$9:$P$12))*LOOKUP(O115,'Tax Assumptions'!$P$9:$P$12,'Tax Assumptions'!$R$9:$R$12))</f>
        <v>60805687.795260496</v>
      </c>
      <c r="Q115" s="218">
        <f t="shared" si="37"/>
        <v>52008152.845578469</v>
      </c>
      <c r="R115" s="218">
        <f>IF(D115&lt;=10,INDEX('Savings Projection'!$BL$19:$BL$28,D115),LOOKUP(2,1/('Savings Projection'!$BL$19:$BL$28&lt;&gt;""),'Savings Projection'!$BL$19:$BL$28))*(1+'Model Inputs'!$B$35)^(D115-1)+IF(D115&lt;=10,INDEX('Savings Projection'!$BM$19:$BM$28,D115),LOOKUP(2,1/('Savings Projection'!$BM$19:$BM$28&lt;&gt;""),'Savings Projection'!$BM$19:$BM$28))*(1+'Model Inputs'!$B$36)^(D115-1)</f>
        <v>227955.78690002306</v>
      </c>
      <c r="S115" s="218">
        <f t="shared" si="38"/>
        <v>51780197.058678448</v>
      </c>
      <c r="T115" s="218">
        <f>MIN(MAX(S115,0),'Tax Assumptions'!$B$20)</f>
        <v>7500</v>
      </c>
      <c r="U115" s="218">
        <f t="shared" si="39"/>
        <v>51772697.058678448</v>
      </c>
      <c r="V115" s="218">
        <f>MAX(V114*(1+'Model Inputs'!$B$13)+U115,0)</f>
        <v>290782688.60145366</v>
      </c>
      <c r="W115" s="218">
        <f>MAX(W114*(1+'Model Inputs'!$B$13)+M115+T115,0)</f>
        <v>1177138.9185135181</v>
      </c>
      <c r="X115" s="218">
        <f t="shared" si="40"/>
        <v>291959827.5199672</v>
      </c>
      <c r="Y115" s="226" t="str">
        <f t="shared" si="41"/>
        <v/>
      </c>
      <c r="Z115" s="226" t="str">
        <f t="shared" si="42"/>
        <v/>
      </c>
      <c r="AA115" s="226" t="str">
        <f t="shared" si="43"/>
        <v/>
      </c>
      <c r="AB115" s="226" t="str">
        <f t="shared" si="44"/>
        <v/>
      </c>
    </row>
    <row r="116" spans="1:28" x14ac:dyDescent="0.2">
      <c r="A116" s="214" t="str">
        <f t="shared" si="30"/>
        <v>3Y 4x</v>
      </c>
      <c r="B116" s="214">
        <f t="shared" si="31"/>
        <v>3</v>
      </c>
      <c r="C116" s="223">
        <f t="shared" si="32"/>
        <v>4</v>
      </c>
      <c r="D116" s="214">
        <v>21</v>
      </c>
      <c r="E116" s="214">
        <f t="shared" si="34"/>
        <v>2046</v>
      </c>
      <c r="F116" s="218">
        <f>IF(D116=1,'Model Inputs'!$B$25*(13-'Model Inputs'!$B$23)/12,'Model Inputs'!$B$25)</f>
        <v>300000</v>
      </c>
      <c r="G116" s="218">
        <f>IF(D116=1,'Model Inputs'!$B$27*(13-'Model Inputs'!$B$23)/12,IF(D116=2,'Model Inputs'!$B$27,IF(D116&lt;=MAX(3,'Model Inputs'!$B$30+1),'Model Inputs'!$B$27*(1+'Model Inputs'!$B$28)^(D116-3),'Model Inputs'!$B$27*(1+'Model Inputs'!$B$28)^(MAX(3,'Model Inputs'!$B$30+1)-3)*(1+'Model Inputs'!$B$29)^(D116-MAX(3,'Model Inputs'!$B$30+1)))))</f>
        <v>43992870.912849829</v>
      </c>
      <c r="H116" s="224">
        <f>IF(D116&lt;=2,0,'Model Inputs'!$B$32*SIN(2*PI()*(D116-3+'Model Inputs'!$B$34)/MAX(1,'Model Inputs'!$B$33)))</f>
        <v>-1.7634913907721884E-16</v>
      </c>
      <c r="I116" s="218">
        <f t="shared" si="35"/>
        <v>43992870.912849821</v>
      </c>
      <c r="J116" s="218">
        <f t="shared" si="33"/>
        <v>30781203.440388259</v>
      </c>
      <c r="K116" s="218">
        <f>F116+J116+IF(D116=1,'Model Inputs'!$B$26,0)</f>
        <v>31081203.440388259</v>
      </c>
      <c r="L116" s="218">
        <f t="shared" si="36"/>
        <v>124324813.76155303</v>
      </c>
      <c r="M116" s="218">
        <f>MIN(L116,'Tax Assumptions'!$B$19)</f>
        <v>24500</v>
      </c>
      <c r="N116" s="218">
        <f>MAX(L116-M116-'Tax Assumptions'!$B$8,0)</f>
        <v>124284213.76155303</v>
      </c>
      <c r="O116" s="218">
        <f>MAX(L116-M116-'Tax Assumptions'!$B$9,0)</f>
        <v>124292313.76155303</v>
      </c>
      <c r="P116" s="218">
        <f>IF(N116=0,0,LOOKUP(N116,'Tax Assumptions'!$F$9:$F$15,'Tax Assumptions'!$I$9:$I$15)+(N116-LOOKUP(N116,'Tax Assumptions'!$F$9:$F$15,'Tax Assumptions'!$F$9:$F$15))*LOOKUP(N116,'Tax Assumptions'!$F$9:$F$15,'Tax Assumptions'!$H$9:$H$15))+MIN(MAX(L116,0),'Tax Assumptions'!$B$11)*'Tax Assumptions'!$B$10+MAX(L116,0)*'Tax Assumptions'!$B$12+MAX(MAX(L116,0)-'Tax Assumptions'!$B$14,0)*'Tax Assumptions'!$B$13+MIN(L116*'Tax Assumptions'!$B$15,'Tax Assumptions'!$B$16)+MIN(L116*'Tax Assumptions'!$B$17,'Tax Assumptions'!$B$18)+IF(O116=0,0,LOOKUP(O116,'Tax Assumptions'!$K$9:$K$17,'Tax Assumptions'!$N$9:$N$17)+(O116-LOOKUP(O116,'Tax Assumptions'!$K$9:$K$17,'Tax Assumptions'!$K$9:$K$17))*LOOKUP(O116,'Tax Assumptions'!$K$9:$K$17,'Tax Assumptions'!$M$9:$M$17))+IF(O116=0,0,LOOKUP(O116,'Tax Assumptions'!$P$9:$P$12,'Tax Assumptions'!$S$9:$S$12)+(O116-LOOKUP(O116,'Tax Assumptions'!$P$9:$P$12,'Tax Assumptions'!$P$9:$P$12))*LOOKUP(O116,'Tax Assumptions'!$P$9:$P$12,'Tax Assumptions'!$R$9:$R$12))</f>
        <v>67022856.236578189</v>
      </c>
      <c r="Q116" s="218">
        <f t="shared" si="37"/>
        <v>57277457.524974845</v>
      </c>
      <c r="R116" s="218">
        <f>IF(D116&lt;=10,INDEX('Savings Projection'!$BL$19:$BL$28,D116),LOOKUP(2,1/('Savings Projection'!$BL$19:$BL$28&lt;&gt;""),'Savings Projection'!$BL$19:$BL$28))*(1+'Model Inputs'!$B$35)^(D116-1)+IF(D116&lt;=10,INDEX('Savings Projection'!$BM$19:$BM$28,D116),LOOKUP(2,1/('Savings Projection'!$BM$19:$BM$28&lt;&gt;""),'Savings Projection'!$BM$19:$BM$28))*(1+'Model Inputs'!$B$36)^(D116-1)</f>
        <v>234794.46050702373</v>
      </c>
      <c r="S116" s="218">
        <f t="shared" si="38"/>
        <v>57042663.064467825</v>
      </c>
      <c r="T116" s="218">
        <f>MIN(MAX(S116,0),'Tax Assumptions'!$B$20)</f>
        <v>7500</v>
      </c>
      <c r="U116" s="218">
        <f t="shared" si="39"/>
        <v>57035163.064467825</v>
      </c>
      <c r="V116" s="218">
        <f>MAX(V115*(1+'Model Inputs'!$B$13)+U116,0)</f>
        <v>365264812.98200876</v>
      </c>
      <c r="W116" s="218">
        <f>MAX(W115*(1+'Model Inputs'!$B$13)+M116+T116,0)</f>
        <v>1279767.2536243291</v>
      </c>
      <c r="X116" s="218">
        <f t="shared" si="40"/>
        <v>366544580.23563308</v>
      </c>
      <c r="Y116" s="226" t="str">
        <f t="shared" si="41"/>
        <v/>
      </c>
      <c r="Z116" s="226" t="str">
        <f t="shared" si="42"/>
        <v/>
      </c>
      <c r="AA116" s="226" t="str">
        <f t="shared" si="43"/>
        <v/>
      </c>
      <c r="AB116" s="226" t="str">
        <f t="shared" si="44"/>
        <v/>
      </c>
    </row>
    <row r="117" spans="1:28" x14ac:dyDescent="0.2">
      <c r="A117" s="214" t="str">
        <f t="shared" si="30"/>
        <v>3Y 4x</v>
      </c>
      <c r="B117" s="214">
        <f t="shared" si="31"/>
        <v>3</v>
      </c>
      <c r="C117" s="223">
        <f t="shared" si="32"/>
        <v>4</v>
      </c>
      <c r="D117" s="214">
        <v>22</v>
      </c>
      <c r="E117" s="214">
        <f t="shared" si="34"/>
        <v>2047</v>
      </c>
      <c r="F117" s="218">
        <f>IF(D117=1,'Model Inputs'!$B$25*(13-'Model Inputs'!$B$23)/12,'Model Inputs'!$B$25)</f>
        <v>300000</v>
      </c>
      <c r="G117" s="218">
        <f>IF(D117=1,'Model Inputs'!$B$27*(13-'Model Inputs'!$B$23)/12,IF(D117=2,'Model Inputs'!$B$27,IF(D117&lt;=MAX(3,'Model Inputs'!$B$30+1),'Model Inputs'!$B$27*(1+'Model Inputs'!$B$28)^(D117-3),'Model Inputs'!$B$27*(1+'Model Inputs'!$B$28)^(MAX(3,'Model Inputs'!$B$30+1)-3)*(1+'Model Inputs'!$B$29)^(D117-MAX(3,'Model Inputs'!$B$30+1)))))</f>
        <v>55909546.9462616</v>
      </c>
      <c r="H117" s="224">
        <f>IF(D117&lt;=2,0,'Model Inputs'!$B$32*SIN(2*PI()*(D117-3+'Model Inputs'!$B$34)/MAX(1,'Model Inputs'!$B$33)))</f>
        <v>0.10392304845413287</v>
      </c>
      <c r="I117" s="218">
        <f t="shared" si="35"/>
        <v>61719837.502606563</v>
      </c>
      <c r="J117" s="218">
        <f t="shared" si="33"/>
        <v>40749334.43282336</v>
      </c>
      <c r="K117" s="218">
        <f>F117+J117+IF(D117=1,'Model Inputs'!$B$26,0)</f>
        <v>41049334.43282336</v>
      </c>
      <c r="L117" s="218">
        <f t="shared" si="36"/>
        <v>164197337.73129344</v>
      </c>
      <c r="M117" s="218">
        <f>MIN(L117,'Tax Assumptions'!$B$19)</f>
        <v>24500</v>
      </c>
      <c r="N117" s="218">
        <f>MAX(L117-M117-'Tax Assumptions'!$B$8,0)</f>
        <v>164156737.73129344</v>
      </c>
      <c r="O117" s="218">
        <f>MAX(L117-M117-'Tax Assumptions'!$B$9,0)</f>
        <v>164164837.73129344</v>
      </c>
      <c r="P117" s="218">
        <f>IF(N117=0,0,LOOKUP(N117,'Tax Assumptions'!$F$9:$F$15,'Tax Assumptions'!$I$9:$I$15)+(N117-LOOKUP(N117,'Tax Assumptions'!$F$9:$F$15,'Tax Assumptions'!$F$9:$F$15))*LOOKUP(N117,'Tax Assumptions'!$F$9:$F$15,'Tax Assumptions'!$H$9:$H$15))+MIN(MAX(L117,0),'Tax Assumptions'!$B$11)*'Tax Assumptions'!$B$10+MAX(L117,0)*'Tax Assumptions'!$B$12+MAX(MAX(L117,0)-'Tax Assumptions'!$B$14,0)*'Tax Assumptions'!$B$13+MIN(L117*'Tax Assumptions'!$B$15,'Tax Assumptions'!$B$16)+MIN(L117*'Tax Assumptions'!$B$17,'Tax Assumptions'!$B$18)+IF(O117=0,0,LOOKUP(O117,'Tax Assumptions'!$K$9:$K$17,'Tax Assumptions'!$N$9:$N$17)+(O117-LOOKUP(O117,'Tax Assumptions'!$K$9:$K$17,'Tax Assumptions'!$K$9:$K$17))*LOOKUP(O117,'Tax Assumptions'!$K$9:$K$17,'Tax Assumptions'!$M$9:$M$17))+IF(O117=0,0,LOOKUP(O117,'Tax Assumptions'!$P$9:$P$12,'Tax Assumptions'!$S$9:$S$12)+(O117-LOOKUP(O117,'Tax Assumptions'!$P$9:$P$12,'Tax Assumptions'!$P$9:$P$12))*LOOKUP(O117,'Tax Assumptions'!$P$9:$P$12,'Tax Assumptions'!$R$9:$R$12))</f>
        <v>88604258.5604399</v>
      </c>
      <c r="Q117" s="218">
        <f t="shared" si="37"/>
        <v>75568579.17085354</v>
      </c>
      <c r="R117" s="218">
        <f>IF(D117&lt;=10,INDEX('Savings Projection'!$BL$19:$BL$28,D117),LOOKUP(2,1/('Savings Projection'!$BL$19:$BL$28&lt;&gt;""),'Savings Projection'!$BL$19:$BL$28))*(1+'Model Inputs'!$B$35)^(D117-1)+IF(D117&lt;=10,INDEX('Savings Projection'!$BM$19:$BM$28,D117),LOOKUP(2,1/('Savings Projection'!$BM$19:$BM$28&lt;&gt;""),'Savings Projection'!$BM$19:$BM$28))*(1+'Model Inputs'!$B$36)^(D117-1)</f>
        <v>241838.2943222344</v>
      </c>
      <c r="S117" s="218">
        <f t="shared" si="38"/>
        <v>75326740.876531303</v>
      </c>
      <c r="T117" s="218">
        <f>MIN(MAX(S117,0),'Tax Assumptions'!$B$20)</f>
        <v>7500</v>
      </c>
      <c r="U117" s="218">
        <f t="shared" si="39"/>
        <v>75319240.876531303</v>
      </c>
      <c r="V117" s="218">
        <f>MAX(V116*(1+'Model Inputs'!$B$13)+U117,0)</f>
        <v>462499942.63746059</v>
      </c>
      <c r="W117" s="218">
        <f>MAX(W116*(1+'Model Inputs'!$B$13)+M117+T117,0)</f>
        <v>1388553.2888417889</v>
      </c>
      <c r="X117" s="218">
        <f t="shared" si="40"/>
        <v>463888495.92630237</v>
      </c>
      <c r="Y117" s="226" t="str">
        <f t="shared" si="41"/>
        <v/>
      </c>
      <c r="Z117" s="226" t="str">
        <f t="shared" si="42"/>
        <v/>
      </c>
      <c r="AA117" s="226" t="str">
        <f t="shared" si="43"/>
        <v/>
      </c>
      <c r="AB117" s="226" t="str">
        <f t="shared" si="44"/>
        <v/>
      </c>
    </row>
    <row r="118" spans="1:28" x14ac:dyDescent="0.2">
      <c r="A118" s="214" t="str">
        <f t="shared" si="30"/>
        <v>3Y 4x</v>
      </c>
      <c r="B118" s="214">
        <f t="shared" si="31"/>
        <v>3</v>
      </c>
      <c r="C118" s="223">
        <f t="shared" si="32"/>
        <v>4</v>
      </c>
      <c r="D118" s="214">
        <v>23</v>
      </c>
      <c r="E118" s="214">
        <f t="shared" si="34"/>
        <v>2048</v>
      </c>
      <c r="F118" s="218">
        <f>IF(D118=1,'Model Inputs'!$B$25*(13-'Model Inputs'!$B$23)/12,'Model Inputs'!$B$25)</f>
        <v>300000</v>
      </c>
      <c r="G118" s="218">
        <f>IF(D118=1,'Model Inputs'!$B$27*(13-'Model Inputs'!$B$23)/12,IF(D118=2,'Model Inputs'!$B$27,IF(D118&lt;=MAX(3,'Model Inputs'!$B$30+1),'Model Inputs'!$B$27*(1+'Model Inputs'!$B$28)^(D118-3),'Model Inputs'!$B$27*(1+'Model Inputs'!$B$28)^(MAX(3,'Model Inputs'!$B$30+1)-3)*(1+'Model Inputs'!$B$29)^(D118-MAX(3,'Model Inputs'!$B$30+1)))))</f>
        <v>71054181.617940187</v>
      </c>
      <c r="H118" s="224">
        <f>IF(D118&lt;=2,0,'Model Inputs'!$B$32*SIN(2*PI()*(D118-3+'Model Inputs'!$B$34)/MAX(1,'Model Inputs'!$B$33)))</f>
        <v>-0.10392304845413268</v>
      </c>
      <c r="I118" s="218">
        <f t="shared" si="35"/>
        <v>63670014.458790243</v>
      </c>
      <c r="J118" s="218">
        <f t="shared" si="33"/>
        <v>57288095.855167374</v>
      </c>
      <c r="K118" s="218">
        <f>F118+J118+IF(D118=1,'Model Inputs'!$B$26,0)</f>
        <v>57588095.855167374</v>
      </c>
      <c r="L118" s="218">
        <f t="shared" si="36"/>
        <v>230352383.4206695</v>
      </c>
      <c r="M118" s="218">
        <f>MIN(L118,'Tax Assumptions'!$B$19)</f>
        <v>24500</v>
      </c>
      <c r="N118" s="218">
        <f>MAX(L118-M118-'Tax Assumptions'!$B$8,0)</f>
        <v>230311783.4206695</v>
      </c>
      <c r="O118" s="218">
        <f>MAX(L118-M118-'Tax Assumptions'!$B$9,0)</f>
        <v>230319883.4206695</v>
      </c>
      <c r="P118" s="218">
        <f>IF(N118=0,0,LOOKUP(N118,'Tax Assumptions'!$F$9:$F$15,'Tax Assumptions'!$I$9:$I$15)+(N118-LOOKUP(N118,'Tax Assumptions'!$F$9:$F$15,'Tax Assumptions'!$F$9:$F$15))*LOOKUP(N118,'Tax Assumptions'!$F$9:$F$15,'Tax Assumptions'!$H$9:$H$15))+MIN(MAX(L118,0),'Tax Assumptions'!$B$11)*'Tax Assumptions'!$B$10+MAX(L118,0)*'Tax Assumptions'!$B$12+MAX(MAX(L118,0)-'Tax Assumptions'!$B$14,0)*'Tax Assumptions'!$B$13+MIN(L118*'Tax Assumptions'!$B$15,'Tax Assumptions'!$B$16)+MIN(L118*'Tax Assumptions'!$B$17,'Tax Assumptions'!$B$18)+IF(O118=0,0,LOOKUP(O118,'Tax Assumptions'!$K$9:$K$17,'Tax Assumptions'!$N$9:$N$17)+(O118-LOOKUP(O118,'Tax Assumptions'!$K$9:$K$17,'Tax Assumptions'!$K$9:$K$17))*LOOKUP(O118,'Tax Assumptions'!$K$9:$K$17,'Tax Assumptions'!$M$9:$M$17))+IF(O118=0,0,LOOKUP(O118,'Tax Assumptions'!$P$9:$P$12,'Tax Assumptions'!$S$9:$S$12)+(O118-LOOKUP(O118,'Tax Assumptions'!$P$9:$P$12,'Tax Assumptions'!$P$9:$P$12))*LOOKUP(O118,'Tax Assumptions'!$P$9:$P$12,'Tax Assumptions'!$R$9:$R$12))</f>
        <v>124411338.59027158</v>
      </c>
      <c r="Q118" s="218">
        <f t="shared" si="37"/>
        <v>105916544.83039792</v>
      </c>
      <c r="R118" s="218">
        <f>IF(D118&lt;=10,INDEX('Savings Projection'!$BL$19:$BL$28,D118),LOOKUP(2,1/('Savings Projection'!$BL$19:$BL$28&lt;&gt;""),'Savings Projection'!$BL$19:$BL$28))*(1+'Model Inputs'!$B$35)^(D118-1)+IF(D118&lt;=10,INDEX('Savings Projection'!$BM$19:$BM$28,D118),LOOKUP(2,1/('Savings Projection'!$BM$19:$BM$28&lt;&gt;""),'Savings Projection'!$BM$19:$BM$28))*(1+'Model Inputs'!$B$36)^(D118-1)</f>
        <v>249093.44315190148</v>
      </c>
      <c r="S118" s="218">
        <f t="shared" si="38"/>
        <v>105667451.38724601</v>
      </c>
      <c r="T118" s="218">
        <f>MIN(MAX(S118,0),'Tax Assumptions'!$B$20)</f>
        <v>7500</v>
      </c>
      <c r="U118" s="218">
        <f t="shared" si="39"/>
        <v>105659951.38724601</v>
      </c>
      <c r="V118" s="218">
        <f>MAX(V117*(1+'Model Inputs'!$B$13)+U118,0)</f>
        <v>595909890.58295429</v>
      </c>
      <c r="W118" s="218">
        <f>MAX(W117*(1+'Model Inputs'!$B$13)+M118+T118,0)</f>
        <v>1503866.4861722963</v>
      </c>
      <c r="X118" s="218">
        <f t="shared" si="40"/>
        <v>597413757.06912661</v>
      </c>
      <c r="Y118" s="226" t="str">
        <f t="shared" si="41"/>
        <v/>
      </c>
      <c r="Z118" s="226" t="str">
        <f t="shared" si="42"/>
        <v/>
      </c>
      <c r="AA118" s="226" t="str">
        <f t="shared" si="43"/>
        <v/>
      </c>
      <c r="AB118" s="226" t="str">
        <f t="shared" si="44"/>
        <v/>
      </c>
    </row>
    <row r="119" spans="1:28" x14ac:dyDescent="0.2">
      <c r="A119" s="214" t="str">
        <f t="shared" si="30"/>
        <v>3Y 4x</v>
      </c>
      <c r="B119" s="214">
        <f t="shared" si="31"/>
        <v>3</v>
      </c>
      <c r="C119" s="223">
        <f t="shared" si="32"/>
        <v>4</v>
      </c>
      <c r="D119" s="214">
        <v>24</v>
      </c>
      <c r="E119" s="214">
        <f t="shared" si="34"/>
        <v>2049</v>
      </c>
      <c r="F119" s="218">
        <f>IF(D119=1,'Model Inputs'!$B$25*(13-'Model Inputs'!$B$23)/12,'Model Inputs'!$B$25)</f>
        <v>300000</v>
      </c>
      <c r="G119" s="218">
        <f>IF(D119=1,'Model Inputs'!$B$27*(13-'Model Inputs'!$B$23)/12,IF(D119=2,'Model Inputs'!$B$27,IF(D119&lt;=MAX(3,'Model Inputs'!$B$30+1),'Model Inputs'!$B$27*(1+'Model Inputs'!$B$28)^(D119-3),'Model Inputs'!$B$27*(1+'Model Inputs'!$B$28)^(MAX(3,'Model Inputs'!$B$30+1)-3)*(1+'Model Inputs'!$B$29)^(D119-MAX(3,'Model Inputs'!$B$30+1)))))</f>
        <v>90301156.084270701</v>
      </c>
      <c r="H119" s="224">
        <f>IF(D119&lt;=2,0,'Model Inputs'!$B$32*SIN(2*PI()*(D119-3+'Model Inputs'!$B$34)/MAX(1,'Model Inputs'!$B$33)))</f>
        <v>-2.0574066225675533E-16</v>
      </c>
      <c r="I119" s="218">
        <f t="shared" si="35"/>
        <v>90301156.084270686</v>
      </c>
      <c r="J119" s="218">
        <f t="shared" si="33"/>
        <v>63182470.219744325</v>
      </c>
      <c r="K119" s="218">
        <f>F119+J119+IF(D119=1,'Model Inputs'!$B$26,0)</f>
        <v>63482470.219744325</v>
      </c>
      <c r="L119" s="218">
        <f t="shared" si="36"/>
        <v>253929880.8789773</v>
      </c>
      <c r="M119" s="218">
        <f>MIN(L119,'Tax Assumptions'!$B$19)</f>
        <v>24500</v>
      </c>
      <c r="N119" s="218">
        <f>MAX(L119-M119-'Tax Assumptions'!$B$8,0)</f>
        <v>253889280.8789773</v>
      </c>
      <c r="O119" s="218">
        <f>MAX(L119-M119-'Tax Assumptions'!$B$9,0)</f>
        <v>253897380.8789773</v>
      </c>
      <c r="P119" s="218">
        <f>IF(N119=0,0,LOOKUP(N119,'Tax Assumptions'!$F$9:$F$15,'Tax Assumptions'!$I$9:$I$15)+(N119-LOOKUP(N119,'Tax Assumptions'!$F$9:$F$15,'Tax Assumptions'!$F$9:$F$15))*LOOKUP(N119,'Tax Assumptions'!$F$9:$F$15,'Tax Assumptions'!$H$9:$H$15))+MIN(MAX(L119,0),'Tax Assumptions'!$B$11)*'Tax Assumptions'!$B$10+MAX(L119,0)*'Tax Assumptions'!$B$12+MAX(MAX(L119,0)-'Tax Assumptions'!$B$14,0)*'Tax Assumptions'!$B$13+MIN(L119*'Tax Assumptions'!$B$15,'Tax Assumptions'!$B$16)+MIN(L119*'Tax Assumptions'!$B$17,'Tax Assumptions'!$B$18)+IF(O119=0,0,LOOKUP(O119,'Tax Assumptions'!$K$9:$K$17,'Tax Assumptions'!$N$9:$N$17)+(O119-LOOKUP(O119,'Tax Assumptions'!$K$9:$K$17,'Tax Assumptions'!$K$9:$K$17))*LOOKUP(O119,'Tax Assumptions'!$K$9:$K$17,'Tax Assumptions'!$M$9:$M$17))+IF(O119=0,0,LOOKUP(O119,'Tax Assumptions'!$P$9:$P$12,'Tax Assumptions'!$S$9:$S$12)+(O119-LOOKUP(O119,'Tax Assumptions'!$P$9:$P$12,'Tax Assumptions'!$P$9:$P$12))*LOOKUP(O119,'Tax Assumptions'!$P$9:$P$12,'Tax Assumptions'!$R$9:$R$12))</f>
        <v>137172894.86455524</v>
      </c>
      <c r="Q119" s="218">
        <f t="shared" si="37"/>
        <v>116732486.01442206</v>
      </c>
      <c r="R119" s="218">
        <f>IF(D119&lt;=10,INDEX('Savings Projection'!$BL$19:$BL$28,D119),LOOKUP(2,1/('Savings Projection'!$BL$19:$BL$28&lt;&gt;""),'Savings Projection'!$BL$19:$BL$28))*(1+'Model Inputs'!$B$35)^(D119-1)+IF(D119&lt;=10,INDEX('Savings Projection'!$BM$19:$BM$28,D119),LOOKUP(2,1/('Savings Projection'!$BM$19:$BM$28&lt;&gt;""),'Savings Projection'!$BM$19:$BM$28))*(1+'Model Inputs'!$B$36)^(D119-1)</f>
        <v>256566.24644645851</v>
      </c>
      <c r="S119" s="218">
        <f t="shared" si="38"/>
        <v>116475919.7679756</v>
      </c>
      <c r="T119" s="218">
        <f>MIN(MAX(S119,0),'Tax Assumptions'!$B$20)</f>
        <v>7500</v>
      </c>
      <c r="U119" s="218">
        <f t="shared" si="39"/>
        <v>116468419.7679756</v>
      </c>
      <c r="V119" s="218">
        <f>MAX(V118*(1+'Model Inputs'!$B$13)+U119,0)</f>
        <v>748132903.78590715</v>
      </c>
      <c r="W119" s="218">
        <f>MAX(W118*(1+'Model Inputs'!$B$13)+M119+T119,0)</f>
        <v>1626098.4753426341</v>
      </c>
      <c r="X119" s="218">
        <f t="shared" si="40"/>
        <v>749759002.26124978</v>
      </c>
      <c r="Y119" s="226" t="str">
        <f t="shared" si="41"/>
        <v/>
      </c>
      <c r="Z119" s="226" t="str">
        <f t="shared" si="42"/>
        <v/>
      </c>
      <c r="AA119" s="226" t="str">
        <f t="shared" si="43"/>
        <v/>
      </c>
      <c r="AB119" s="226" t="str">
        <f t="shared" si="44"/>
        <v/>
      </c>
    </row>
    <row r="120" spans="1:28" x14ac:dyDescent="0.2">
      <c r="A120" s="214" t="str">
        <f t="shared" si="30"/>
        <v>3Y 4x</v>
      </c>
      <c r="B120" s="214">
        <f t="shared" si="31"/>
        <v>3</v>
      </c>
      <c r="C120" s="223">
        <f t="shared" si="32"/>
        <v>4</v>
      </c>
      <c r="D120" s="214">
        <v>25</v>
      </c>
      <c r="E120" s="214">
        <f t="shared" si="34"/>
        <v>2050</v>
      </c>
      <c r="F120" s="218">
        <f>IF(D120=1,'Model Inputs'!$B$25*(13-'Model Inputs'!$B$23)/12,'Model Inputs'!$B$25)</f>
        <v>300000</v>
      </c>
      <c r="G120" s="218">
        <f>IF(D120=1,'Model Inputs'!$B$27*(13-'Model Inputs'!$B$23)/12,IF(D120=2,'Model Inputs'!$B$27,IF(D120&lt;=MAX(3,'Model Inputs'!$B$30+1),'Model Inputs'!$B$27*(1+'Model Inputs'!$B$28)^(D120-3),'Model Inputs'!$B$27*(1+'Model Inputs'!$B$28)^(MAX(3,'Model Inputs'!$B$30+1)-3)*(1+'Model Inputs'!$B$29)^(D120-MAX(3,'Model Inputs'!$B$30+1)))))</f>
        <v>114761701.62653697</v>
      </c>
      <c r="H120" s="224">
        <f>IF(D120&lt;=2,0,'Model Inputs'!$B$32*SIN(2*PI()*(D120-3+'Model Inputs'!$B$34)/MAX(1,'Model Inputs'!$B$33)))</f>
        <v>0.10392304845413287</v>
      </c>
      <c r="I120" s="218">
        <f t="shared" si="35"/>
        <v>126688087.50535031</v>
      </c>
      <c r="J120" s="218">
        <f t="shared" si="33"/>
        <v>83643370.677900568</v>
      </c>
      <c r="K120" s="218">
        <f>F120+J120+IF(D120=1,'Model Inputs'!$B$26,0)</f>
        <v>83943370.677900568</v>
      </c>
      <c r="L120" s="218">
        <f t="shared" si="36"/>
        <v>335773482.71160227</v>
      </c>
      <c r="M120" s="218">
        <f>MIN(L120,'Tax Assumptions'!$B$19)</f>
        <v>24500</v>
      </c>
      <c r="N120" s="218">
        <f>MAX(L120-M120-'Tax Assumptions'!$B$8,0)</f>
        <v>335732882.71160227</v>
      </c>
      <c r="O120" s="218">
        <f>MAX(L120-M120-'Tax Assumptions'!$B$9,0)</f>
        <v>335740982.71160227</v>
      </c>
      <c r="P120" s="218">
        <f>IF(N120=0,0,LOOKUP(N120,'Tax Assumptions'!$F$9:$F$15,'Tax Assumptions'!$I$9:$I$15)+(N120-LOOKUP(N120,'Tax Assumptions'!$F$9:$F$15,'Tax Assumptions'!$F$9:$F$15))*LOOKUP(N120,'Tax Assumptions'!$F$9:$F$15,'Tax Assumptions'!$H$9:$H$15))+MIN(MAX(L120,0),'Tax Assumptions'!$B$11)*'Tax Assumptions'!$B$10+MAX(L120,0)*'Tax Assumptions'!$B$12+MAX(MAX(L120,0)-'Tax Assumptions'!$B$14,0)*'Tax Assumptions'!$B$13+MIN(L120*'Tax Assumptions'!$B$15,'Tax Assumptions'!$B$16)+MIN(L120*'Tax Assumptions'!$B$17,'Tax Assumptions'!$B$18)+IF(O120=0,0,LOOKUP(O120,'Tax Assumptions'!$K$9:$K$17,'Tax Assumptions'!$N$9:$N$17)+(O120-LOOKUP(O120,'Tax Assumptions'!$K$9:$K$17,'Tax Assumptions'!$K$9:$K$17))*LOOKUP(O120,'Tax Assumptions'!$K$9:$K$17,'Tax Assumptions'!$M$9:$M$17))+IF(O120=0,0,LOOKUP(O120,'Tax Assumptions'!$P$9:$P$12,'Tax Assumptions'!$S$9:$S$12)+(O120-LOOKUP(O120,'Tax Assumptions'!$P$9:$P$12,'Tax Assumptions'!$P$9:$P$12))*LOOKUP(O120,'Tax Assumptions'!$P$9:$P$12,'Tax Assumptions'!$R$9:$R$12))</f>
        <v>181471562.79248184</v>
      </c>
      <c r="Q120" s="218">
        <f t="shared" si="37"/>
        <v>154277419.91912043</v>
      </c>
      <c r="R120" s="218">
        <f>IF(D120&lt;=10,INDEX('Savings Projection'!$BL$19:$BL$28,D120),LOOKUP(2,1/('Savings Projection'!$BL$19:$BL$28&lt;&gt;""),'Savings Projection'!$BL$19:$BL$28))*(1+'Model Inputs'!$B$35)^(D120-1)+IF(D120&lt;=10,INDEX('Savings Projection'!$BM$19:$BM$28,D120),LOOKUP(2,1/('Savings Projection'!$BM$19:$BM$28&lt;&gt;""),'Savings Projection'!$BM$19:$BM$28))*(1+'Model Inputs'!$B$36)^(D120-1)</f>
        <v>264263.23383985227</v>
      </c>
      <c r="S120" s="218">
        <f t="shared" si="38"/>
        <v>154013156.68528059</v>
      </c>
      <c r="T120" s="218">
        <f>MIN(MAX(S120,0),'Tax Assumptions'!$B$20)</f>
        <v>7500</v>
      </c>
      <c r="U120" s="218">
        <f t="shared" si="39"/>
        <v>154005656.68528059</v>
      </c>
      <c r="V120" s="218">
        <f>MAX(V119*(1+'Model Inputs'!$B$13)+U120,0)</f>
        <v>947026534.6983422</v>
      </c>
      <c r="W120" s="218">
        <f>MAX(W119*(1+'Model Inputs'!$B$13)+M120+T120,0)</f>
        <v>1755664.3838631923</v>
      </c>
      <c r="X120" s="218">
        <f t="shared" si="40"/>
        <v>948782199.08220541</v>
      </c>
      <c r="Y120" s="226" t="str">
        <f t="shared" si="41"/>
        <v/>
      </c>
      <c r="Z120" s="226" t="str">
        <f t="shared" si="42"/>
        <v/>
      </c>
      <c r="AA120" s="226" t="str">
        <f t="shared" si="43"/>
        <v/>
      </c>
      <c r="AB120" s="226" t="str">
        <f t="shared" si="44"/>
        <v/>
      </c>
    </row>
    <row r="121" spans="1:28" x14ac:dyDescent="0.2">
      <c r="A121" s="214" t="str">
        <f t="shared" si="30"/>
        <v>3Y 4x</v>
      </c>
      <c r="B121" s="214">
        <f t="shared" si="31"/>
        <v>3</v>
      </c>
      <c r="C121" s="223">
        <f t="shared" si="32"/>
        <v>4</v>
      </c>
      <c r="D121" s="214">
        <v>26</v>
      </c>
      <c r="E121" s="214">
        <f t="shared" si="34"/>
        <v>2051</v>
      </c>
      <c r="F121" s="218">
        <f>IF(D121=1,'Model Inputs'!$B$25*(13-'Model Inputs'!$B$23)/12,'Model Inputs'!$B$25)</f>
        <v>300000</v>
      </c>
      <c r="G121" s="218">
        <f>IF(D121=1,'Model Inputs'!$B$27*(13-'Model Inputs'!$B$23)/12,IF(D121=2,'Model Inputs'!$B$27,IF(D121&lt;=MAX(3,'Model Inputs'!$B$30+1),'Model Inputs'!$B$27*(1+'Model Inputs'!$B$28)^(D121-3),'Model Inputs'!$B$27*(1+'Model Inputs'!$B$28)^(MAX(3,'Model Inputs'!$B$30+1)-3)*(1+'Model Inputs'!$B$29)^(D121-MAX(3,'Model Inputs'!$B$30+1)))))</f>
        <v>145848057.00524563</v>
      </c>
      <c r="H121" s="224">
        <f>IF(D121&lt;=2,0,'Model Inputs'!$B$32*SIN(2*PI()*(D121-3+'Model Inputs'!$B$34)/MAX(1,'Model Inputs'!$B$33)))</f>
        <v>-0.10392304845413224</v>
      </c>
      <c r="I121" s="218">
        <f t="shared" si="35"/>
        <v>130691082.31014845</v>
      </c>
      <c r="J121" s="218">
        <f t="shared" si="33"/>
        <v>117591354.65008041</v>
      </c>
      <c r="K121" s="218">
        <f>F121+J121+IF(D121=1,'Model Inputs'!$B$26,0)</f>
        <v>117891354.65008041</v>
      </c>
      <c r="L121" s="218">
        <f t="shared" si="36"/>
        <v>471565418.60032165</v>
      </c>
      <c r="M121" s="218">
        <f>MIN(L121,'Tax Assumptions'!$B$19)</f>
        <v>24500</v>
      </c>
      <c r="N121" s="218">
        <f>MAX(L121-M121-'Tax Assumptions'!$B$8,0)</f>
        <v>471524818.60032165</v>
      </c>
      <c r="O121" s="218">
        <f>MAX(L121-M121-'Tax Assumptions'!$B$9,0)</f>
        <v>471532918.60032165</v>
      </c>
      <c r="P121" s="218">
        <f>IF(N121=0,0,LOOKUP(N121,'Tax Assumptions'!$F$9:$F$15,'Tax Assumptions'!$I$9:$I$15)+(N121-LOOKUP(N121,'Tax Assumptions'!$F$9:$F$15,'Tax Assumptions'!$F$9:$F$15))*LOOKUP(N121,'Tax Assumptions'!$F$9:$F$15,'Tax Assumptions'!$H$9:$H$15))+MIN(MAX(L121,0),'Tax Assumptions'!$B$11)*'Tax Assumptions'!$B$10+MAX(L121,0)*'Tax Assumptions'!$B$12+MAX(MAX(L121,0)-'Tax Assumptions'!$B$14,0)*'Tax Assumptions'!$B$13+MIN(L121*'Tax Assumptions'!$B$15,'Tax Assumptions'!$B$16)+MIN(L121*'Tax Assumptions'!$B$17,'Tax Assumptions'!$B$18)+IF(O121=0,0,LOOKUP(O121,'Tax Assumptions'!$K$9:$K$17,'Tax Assumptions'!$N$9:$N$17)+(O121-LOOKUP(O121,'Tax Assumptions'!$K$9:$K$17,'Tax Assumptions'!$K$9:$K$17))*LOOKUP(O121,'Tax Assumptions'!$K$9:$K$17,'Tax Assumptions'!$M$9:$M$17))+IF(O121=0,0,LOOKUP(O121,'Tax Assumptions'!$P$9:$P$12,'Tax Assumptions'!$S$9:$S$12)+(O121-LOOKUP(O121,'Tax Assumptions'!$P$9:$P$12,'Tax Assumptions'!$P$9:$P$12))*LOOKUP(O121,'Tax Assumptions'!$P$9:$P$12,'Tax Assumptions'!$R$9:$R$12))</f>
        <v>254970306.01161006</v>
      </c>
      <c r="Q121" s="218">
        <f t="shared" si="37"/>
        <v>216570612.58871159</v>
      </c>
      <c r="R121" s="218">
        <f>IF(D121&lt;=10,INDEX('Savings Projection'!$BL$19:$BL$28,D121),LOOKUP(2,1/('Savings Projection'!$BL$19:$BL$28&lt;&gt;""),'Savings Projection'!$BL$19:$BL$28))*(1+'Model Inputs'!$B$35)^(D121-1)+IF(D121&lt;=10,INDEX('Savings Projection'!$BM$19:$BM$28,D121),LOOKUP(2,1/('Savings Projection'!$BM$19:$BM$28&lt;&gt;""),'Savings Projection'!$BM$19:$BM$28))*(1+'Model Inputs'!$B$36)^(D121-1)</f>
        <v>272191.13085504784</v>
      </c>
      <c r="S121" s="218">
        <f t="shared" si="38"/>
        <v>216298421.45785654</v>
      </c>
      <c r="T121" s="218">
        <f>MIN(MAX(S121,0),'Tax Assumptions'!$B$20)</f>
        <v>7500</v>
      </c>
      <c r="U121" s="218">
        <f t="shared" si="39"/>
        <v>216290921.45785654</v>
      </c>
      <c r="V121" s="218">
        <f>MAX(V120*(1+'Model Inputs'!$B$13)+U121,0)</f>
        <v>1220139048.2380993</v>
      </c>
      <c r="W121" s="218">
        <f>MAX(W120*(1+'Model Inputs'!$B$13)+M121+T121,0)</f>
        <v>1893004.2468949838</v>
      </c>
      <c r="X121" s="218">
        <f t="shared" si="40"/>
        <v>1222032052.4849944</v>
      </c>
      <c r="Y121" s="226" t="str">
        <f t="shared" si="41"/>
        <v/>
      </c>
      <c r="Z121" s="226" t="str">
        <f t="shared" si="42"/>
        <v/>
      </c>
      <c r="AA121" s="226" t="str">
        <f t="shared" si="43"/>
        <v/>
      </c>
      <c r="AB121" s="226" t="str">
        <f t="shared" si="44"/>
        <v/>
      </c>
    </row>
    <row r="122" spans="1:28" x14ac:dyDescent="0.2">
      <c r="A122" s="214" t="str">
        <f t="shared" si="30"/>
        <v>3Y 4x</v>
      </c>
      <c r="B122" s="214">
        <f t="shared" si="31"/>
        <v>3</v>
      </c>
      <c r="C122" s="223">
        <f t="shared" si="32"/>
        <v>4</v>
      </c>
      <c r="D122" s="214">
        <v>27</v>
      </c>
      <c r="E122" s="214">
        <f t="shared" si="34"/>
        <v>2052</v>
      </c>
      <c r="F122" s="218">
        <f>IF(D122=1,'Model Inputs'!$B$25*(13-'Model Inputs'!$B$23)/12,'Model Inputs'!$B$25)</f>
        <v>300000</v>
      </c>
      <c r="G122" s="218">
        <f>IF(D122=1,'Model Inputs'!$B$27*(13-'Model Inputs'!$B$23)/12,IF(D122=2,'Model Inputs'!$B$27,IF(D122&lt;=MAX(3,'Model Inputs'!$B$30+1),'Model Inputs'!$B$27*(1+'Model Inputs'!$B$28)^(D122-3),'Model Inputs'!$B$27*(1+'Model Inputs'!$B$28)^(MAX(3,'Model Inputs'!$B$30+1)-3)*(1+'Model Inputs'!$B$29)^(D122-MAX(3,'Model Inputs'!$B$30+1)))))</f>
        <v>185355004.59402937</v>
      </c>
      <c r="H122" s="224">
        <f>IF(D122&lt;=2,0,'Model Inputs'!$B$32*SIN(2*PI()*(D122-3+'Model Inputs'!$B$34)/MAX(1,'Model Inputs'!$B$33)))</f>
        <v>-2.3513218543629179E-16</v>
      </c>
      <c r="I122" s="218">
        <f t="shared" si="35"/>
        <v>185355004.59402934</v>
      </c>
      <c r="J122" s="218">
        <f t="shared" si="33"/>
        <v>129690333.6089489</v>
      </c>
      <c r="K122" s="218">
        <f>F122+J122+IF(D122=1,'Model Inputs'!$B$26,0)</f>
        <v>129990333.6089489</v>
      </c>
      <c r="L122" s="218">
        <f t="shared" si="36"/>
        <v>519961334.43579561</v>
      </c>
      <c r="M122" s="218">
        <f>MIN(L122,'Tax Assumptions'!$B$19)</f>
        <v>24500</v>
      </c>
      <c r="N122" s="218">
        <f>MAX(L122-M122-'Tax Assumptions'!$B$8,0)</f>
        <v>519920734.43579561</v>
      </c>
      <c r="O122" s="218">
        <f>MAX(L122-M122-'Tax Assumptions'!$B$9,0)</f>
        <v>519928834.43579561</v>
      </c>
      <c r="P122" s="218">
        <f>IF(N122=0,0,LOOKUP(N122,'Tax Assumptions'!$F$9:$F$15,'Tax Assumptions'!$I$9:$I$15)+(N122-LOOKUP(N122,'Tax Assumptions'!$F$9:$F$15,'Tax Assumptions'!$F$9:$F$15))*LOOKUP(N122,'Tax Assumptions'!$F$9:$F$15,'Tax Assumptions'!$H$9:$H$15))+MIN(MAX(L122,0),'Tax Assumptions'!$B$11)*'Tax Assumptions'!$B$10+MAX(L122,0)*'Tax Assumptions'!$B$12+MAX(MAX(L122,0)-'Tax Assumptions'!$B$14,0)*'Tax Assumptions'!$B$13+MIN(L122*'Tax Assumptions'!$B$15,'Tax Assumptions'!$B$16)+MIN(L122*'Tax Assumptions'!$B$17,'Tax Assumptions'!$B$18)+IF(O122=0,0,LOOKUP(O122,'Tax Assumptions'!$K$9:$K$17,'Tax Assumptions'!$N$9:$N$17)+(O122-LOOKUP(O122,'Tax Assumptions'!$K$9:$K$17,'Tax Assumptions'!$K$9:$K$17))*LOOKUP(O122,'Tax Assumptions'!$K$9:$K$17,'Tax Assumptions'!$M$9:$M$17))+IF(O122=0,0,LOOKUP(O122,'Tax Assumptions'!$P$9:$P$12,'Tax Assumptions'!$S$9:$S$12)+(O122-LOOKUP(O122,'Tax Assumptions'!$P$9:$P$12,'Tax Assumptions'!$P$9:$P$12))*LOOKUP(O122,'Tax Assumptions'!$P$9:$P$12,'Tax Assumptions'!$R$9:$R$12))</f>
        <v>281165079.41671872</v>
      </c>
      <c r="Q122" s="218">
        <f t="shared" si="37"/>
        <v>238771755.01907688</v>
      </c>
      <c r="R122" s="218">
        <f>IF(D122&lt;=10,INDEX('Savings Projection'!$BL$19:$BL$28,D122),LOOKUP(2,1/('Savings Projection'!$BL$19:$BL$28&lt;&gt;""),'Savings Projection'!$BL$19:$BL$28))*(1+'Model Inputs'!$B$35)^(D122-1)+IF(D122&lt;=10,INDEX('Savings Projection'!$BM$19:$BM$28,D122),LOOKUP(2,1/('Savings Projection'!$BM$19:$BM$28&lt;&gt;""),'Savings Projection'!$BM$19:$BM$28))*(1+'Model Inputs'!$B$36)^(D122-1)</f>
        <v>280356.86478069925</v>
      </c>
      <c r="S122" s="218">
        <f t="shared" si="38"/>
        <v>238491398.15429619</v>
      </c>
      <c r="T122" s="218">
        <f>MIN(MAX(S122,0),'Tax Assumptions'!$B$20)</f>
        <v>7500</v>
      </c>
      <c r="U122" s="218">
        <f t="shared" si="39"/>
        <v>238483898.15429619</v>
      </c>
      <c r="V122" s="218">
        <f>MAX(V121*(1+'Model Inputs'!$B$13)+U122,0)</f>
        <v>1531831289.2866814</v>
      </c>
      <c r="W122" s="218">
        <f>MAX(W121*(1+'Model Inputs'!$B$13)+M122+T122,0)</f>
        <v>2038584.5017086829</v>
      </c>
      <c r="X122" s="218">
        <f t="shared" si="40"/>
        <v>1533869873.7883902</v>
      </c>
      <c r="Y122" s="226" t="str">
        <f t="shared" si="41"/>
        <v/>
      </c>
      <c r="Z122" s="226" t="str">
        <f t="shared" si="42"/>
        <v/>
      </c>
      <c r="AA122" s="226" t="str">
        <f t="shared" si="43"/>
        <v/>
      </c>
      <c r="AB122" s="226" t="str">
        <f t="shared" si="44"/>
        <v/>
      </c>
    </row>
    <row r="123" spans="1:28" x14ac:dyDescent="0.2">
      <c r="A123" s="214" t="str">
        <f t="shared" si="30"/>
        <v>3Y 4x</v>
      </c>
      <c r="B123" s="214">
        <f t="shared" si="31"/>
        <v>3</v>
      </c>
      <c r="C123" s="223">
        <f t="shared" si="32"/>
        <v>4</v>
      </c>
      <c r="D123" s="214">
        <v>28</v>
      </c>
      <c r="E123" s="214">
        <f t="shared" si="34"/>
        <v>2053</v>
      </c>
      <c r="F123" s="218">
        <f>IF(D123=1,'Model Inputs'!$B$25*(13-'Model Inputs'!$B$23)/12,'Model Inputs'!$B$25)</f>
        <v>300000</v>
      </c>
      <c r="G123" s="218">
        <f>IF(D123=1,'Model Inputs'!$B$27*(13-'Model Inputs'!$B$23)/12,IF(D123=2,'Model Inputs'!$B$27,IF(D123&lt;=MAX(3,'Model Inputs'!$B$30+1),'Model Inputs'!$B$27*(1+'Model Inputs'!$B$28)^(D123-3),'Model Inputs'!$B$27*(1+'Model Inputs'!$B$28)^(MAX(3,'Model Inputs'!$B$30+1)-3)*(1+'Model Inputs'!$B$29)^(D123-MAX(3,'Model Inputs'!$B$30+1)))))</f>
        <v>235563492.81236541</v>
      </c>
      <c r="H123" s="224">
        <f>IF(D123&lt;=2,0,'Model Inputs'!$B$32*SIN(2*PI()*(D123-3+'Model Inputs'!$B$34)/MAX(1,'Model Inputs'!$B$33)))</f>
        <v>0.10392304845413247</v>
      </c>
      <c r="I123" s="218">
        <f t="shared" si="35"/>
        <v>260043969.08992955</v>
      </c>
      <c r="J123" s="218">
        <f t="shared" si="33"/>
        <v>171689024.02305913</v>
      </c>
      <c r="K123" s="218">
        <f>F123+J123+IF(D123=1,'Model Inputs'!$B$26,0)</f>
        <v>171989024.02305913</v>
      </c>
      <c r="L123" s="218">
        <f t="shared" si="36"/>
        <v>687956096.09223652</v>
      </c>
      <c r="M123" s="218">
        <f>MIN(L123,'Tax Assumptions'!$B$19)</f>
        <v>24500</v>
      </c>
      <c r="N123" s="218">
        <f>MAX(L123-M123-'Tax Assumptions'!$B$8,0)</f>
        <v>687915496.09223652</v>
      </c>
      <c r="O123" s="218">
        <f>MAX(L123-M123-'Tax Assumptions'!$B$9,0)</f>
        <v>687923596.09223652</v>
      </c>
      <c r="P123" s="218">
        <f>IF(N123=0,0,LOOKUP(N123,'Tax Assumptions'!$F$9:$F$15,'Tax Assumptions'!$I$9:$I$15)+(N123-LOOKUP(N123,'Tax Assumptions'!$F$9:$F$15,'Tax Assumptions'!$F$9:$F$15))*LOOKUP(N123,'Tax Assumptions'!$F$9:$F$15,'Tax Assumptions'!$H$9:$H$15))+MIN(MAX(L123,0),'Tax Assumptions'!$B$11)*'Tax Assumptions'!$B$10+MAX(L123,0)*'Tax Assumptions'!$B$12+MAX(MAX(L123,0)-'Tax Assumptions'!$B$14,0)*'Tax Assumptions'!$B$13+MIN(L123*'Tax Assumptions'!$B$15,'Tax Assumptions'!$B$16)+MIN(L123*'Tax Assumptions'!$B$17,'Tax Assumptions'!$B$18)+IF(O123=0,0,LOOKUP(O123,'Tax Assumptions'!$K$9:$K$17,'Tax Assumptions'!$N$9:$N$17)+(O123-LOOKUP(O123,'Tax Assumptions'!$K$9:$K$17,'Tax Assumptions'!$K$9:$K$17))*LOOKUP(O123,'Tax Assumptions'!$K$9:$K$17,'Tax Assumptions'!$M$9:$M$17))+IF(O123=0,0,LOOKUP(O123,'Tax Assumptions'!$P$9:$P$12,'Tax Assumptions'!$S$9:$S$12)+(O123-LOOKUP(O123,'Tax Assumptions'!$P$9:$P$12,'Tax Assumptions'!$P$9:$P$12))*LOOKUP(O123,'Tax Assumptions'!$P$9:$P$12,'Tax Assumptions'!$R$9:$R$12))</f>
        <v>372093924.11088395</v>
      </c>
      <c r="Q123" s="218">
        <f t="shared" si="37"/>
        <v>315837671.98135257</v>
      </c>
      <c r="R123" s="218">
        <f>IF(D123&lt;=10,INDEX('Savings Projection'!$BL$19:$BL$28,D123),LOOKUP(2,1/('Savings Projection'!$BL$19:$BL$28&lt;&gt;""),'Savings Projection'!$BL$19:$BL$28))*(1+'Model Inputs'!$B$35)^(D123-1)+IF(D123&lt;=10,INDEX('Savings Projection'!$BM$19:$BM$28,D123),LOOKUP(2,1/('Savings Projection'!$BM$19:$BM$28&lt;&gt;""),'Savings Projection'!$BM$19:$BM$28))*(1+'Model Inputs'!$B$36)^(D123-1)</f>
        <v>288767.57072412025</v>
      </c>
      <c r="S123" s="218">
        <f t="shared" si="38"/>
        <v>315548904.41062844</v>
      </c>
      <c r="T123" s="218">
        <f>MIN(MAX(S123,0),'Tax Assumptions'!$B$20)</f>
        <v>7500</v>
      </c>
      <c r="U123" s="218">
        <f t="shared" si="39"/>
        <v>315541404.41062844</v>
      </c>
      <c r="V123" s="218">
        <f>MAX(V122*(1+'Model Inputs'!$B$13)+U123,0)</f>
        <v>1939282571.0545106</v>
      </c>
      <c r="W123" s="218">
        <f>MAX(W122*(1+'Model Inputs'!$B$13)+M123+T123,0)</f>
        <v>2192899.5718112038</v>
      </c>
      <c r="X123" s="218">
        <f t="shared" si="40"/>
        <v>1941475470.6263218</v>
      </c>
      <c r="Y123" s="226" t="str">
        <f t="shared" si="41"/>
        <v/>
      </c>
      <c r="Z123" s="226" t="str">
        <f t="shared" si="42"/>
        <v/>
      </c>
      <c r="AA123" s="226" t="str">
        <f t="shared" si="43"/>
        <v/>
      </c>
      <c r="AB123" s="226" t="str">
        <f t="shared" si="44"/>
        <v/>
      </c>
    </row>
    <row r="124" spans="1:28" x14ac:dyDescent="0.2">
      <c r="A124" s="214" t="str">
        <f t="shared" si="30"/>
        <v>3Y 4x</v>
      </c>
      <c r="B124" s="214">
        <f t="shared" si="31"/>
        <v>3</v>
      </c>
      <c r="C124" s="223">
        <f t="shared" si="32"/>
        <v>4</v>
      </c>
      <c r="D124" s="214">
        <v>29</v>
      </c>
      <c r="E124" s="214">
        <f t="shared" si="34"/>
        <v>2054</v>
      </c>
      <c r="F124" s="218">
        <f>IF(D124=1,'Model Inputs'!$B$25*(13-'Model Inputs'!$B$23)/12,'Model Inputs'!$B$25)</f>
        <v>300000</v>
      </c>
      <c r="G124" s="218">
        <f>IF(D124=1,'Model Inputs'!$B$27*(13-'Model Inputs'!$B$23)/12,IF(D124=2,'Model Inputs'!$B$27,IF(D124&lt;=MAX(3,'Model Inputs'!$B$30+1),'Model Inputs'!$B$27*(1+'Model Inputs'!$B$28)^(D124-3),'Model Inputs'!$B$27*(1+'Model Inputs'!$B$28)^(MAX(3,'Model Inputs'!$B$30+1)-3)*(1+'Model Inputs'!$B$29)^(D124-MAX(3,'Model Inputs'!$B$30+1)))))</f>
        <v>299372327.53708321</v>
      </c>
      <c r="H124" s="224">
        <f>IF(D124&lt;=2,0,'Model Inputs'!$B$32*SIN(2*PI()*(D124-3+'Model Inputs'!$B$34)/MAX(1,'Model Inputs'!$B$33)))</f>
        <v>-0.10392304845413265</v>
      </c>
      <c r="I124" s="218">
        <f t="shared" si="35"/>
        <v>268260642.63662043</v>
      </c>
      <c r="J124" s="218">
        <f t="shared" si="33"/>
        <v>241371727.96595448</v>
      </c>
      <c r="K124" s="218">
        <f>F124+J124+IF(D124=1,'Model Inputs'!$B$26,0)</f>
        <v>241671727.96595448</v>
      </c>
      <c r="L124" s="218">
        <f t="shared" si="36"/>
        <v>966686911.86381793</v>
      </c>
      <c r="M124" s="218">
        <f>MIN(L124,'Tax Assumptions'!$B$19)</f>
        <v>24500</v>
      </c>
      <c r="N124" s="218">
        <f>MAX(L124-M124-'Tax Assumptions'!$B$8,0)</f>
        <v>966646311.86381793</v>
      </c>
      <c r="O124" s="218">
        <f>MAX(L124-M124-'Tax Assumptions'!$B$9,0)</f>
        <v>966654411.86381793</v>
      </c>
      <c r="P124" s="218">
        <f>IF(N124=0,0,LOOKUP(N124,'Tax Assumptions'!$F$9:$F$15,'Tax Assumptions'!$I$9:$I$15)+(N124-LOOKUP(N124,'Tax Assumptions'!$F$9:$F$15,'Tax Assumptions'!$F$9:$F$15))*LOOKUP(N124,'Tax Assumptions'!$F$9:$F$15,'Tax Assumptions'!$H$9:$H$15))+MIN(MAX(L124,0),'Tax Assumptions'!$B$11)*'Tax Assumptions'!$B$10+MAX(L124,0)*'Tax Assumptions'!$B$12+MAX(MAX(L124,0)-'Tax Assumptions'!$B$14,0)*'Tax Assumptions'!$B$13+MIN(L124*'Tax Assumptions'!$B$15,'Tax Assumptions'!$B$16)+MIN(L124*'Tax Assumptions'!$B$17,'Tax Assumptions'!$B$18)+IF(O124=0,0,LOOKUP(O124,'Tax Assumptions'!$K$9:$K$17,'Tax Assumptions'!$N$9:$N$17)+(O124-LOOKUP(O124,'Tax Assumptions'!$K$9:$K$17,'Tax Assumptions'!$K$9:$K$17))*LOOKUP(O124,'Tax Assumptions'!$K$9:$K$17,'Tax Assumptions'!$M$9:$M$17))+IF(O124=0,0,LOOKUP(O124,'Tax Assumptions'!$P$9:$P$12,'Tax Assumptions'!$S$9:$S$12)+(O124-LOOKUP(O124,'Tax Assumptions'!$P$9:$P$12,'Tax Assumptions'!$P$9:$P$12))*LOOKUP(O124,'Tax Assumptions'!$P$9:$P$12,'Tax Assumptions'!$R$9:$R$12))</f>
        <v>522959765.45541006</v>
      </c>
      <c r="Q124" s="218">
        <f t="shared" si="37"/>
        <v>443702646.40840787</v>
      </c>
      <c r="R124" s="218">
        <f>IF(D124&lt;=10,INDEX('Savings Projection'!$BL$19:$BL$28,D124),LOOKUP(2,1/('Savings Projection'!$BL$19:$BL$28&lt;&gt;""),'Savings Projection'!$BL$19:$BL$28))*(1+'Model Inputs'!$B$35)^(D124-1)+IF(D124&lt;=10,INDEX('Savings Projection'!$BM$19:$BM$28,D124),LOOKUP(2,1/('Savings Projection'!$BM$19:$BM$28&lt;&gt;""),'Savings Projection'!$BM$19:$BM$28))*(1+'Model Inputs'!$B$36)^(D124-1)</f>
        <v>297430.59784584382</v>
      </c>
      <c r="S124" s="218">
        <f t="shared" si="38"/>
        <v>443405215.81056201</v>
      </c>
      <c r="T124" s="218">
        <f>MIN(MAX(S124,0),'Tax Assumptions'!$B$20)</f>
        <v>7500</v>
      </c>
      <c r="U124" s="218">
        <f t="shared" si="39"/>
        <v>443397715.81056201</v>
      </c>
      <c r="V124" s="218">
        <f>MAX(V123*(1+'Model Inputs'!$B$13)+U124,0)</f>
        <v>2499037241.1283436</v>
      </c>
      <c r="W124" s="218">
        <f>MAX(W123*(1+'Model Inputs'!$B$13)+M124+T124,0)</f>
        <v>2356473.5461198762</v>
      </c>
      <c r="X124" s="218">
        <f t="shared" si="40"/>
        <v>2501393714.6744633</v>
      </c>
      <c r="Y124" s="226" t="str">
        <f t="shared" si="41"/>
        <v/>
      </c>
      <c r="Z124" s="226" t="str">
        <f t="shared" si="42"/>
        <v/>
      </c>
      <c r="AA124" s="226" t="str">
        <f t="shared" si="43"/>
        <v/>
      </c>
      <c r="AB124" s="226" t="str">
        <f t="shared" si="44"/>
        <v/>
      </c>
    </row>
    <row r="125" spans="1:28" x14ac:dyDescent="0.2">
      <c r="A125" s="214" t="str">
        <f t="shared" si="30"/>
        <v>3Y 4x</v>
      </c>
      <c r="B125" s="214">
        <f t="shared" si="31"/>
        <v>3</v>
      </c>
      <c r="C125" s="223">
        <f t="shared" si="32"/>
        <v>4</v>
      </c>
      <c r="D125" s="214">
        <v>30</v>
      </c>
      <c r="E125" s="214">
        <f t="shared" si="34"/>
        <v>2055</v>
      </c>
      <c r="F125" s="218">
        <f>IF(D125=1,'Model Inputs'!$B$25*(13-'Model Inputs'!$B$23)/12,'Model Inputs'!$B$25)</f>
        <v>300000</v>
      </c>
      <c r="G125" s="218">
        <f>IF(D125=1,'Model Inputs'!$B$27*(13-'Model Inputs'!$B$23)/12,IF(D125=2,'Model Inputs'!$B$27,IF(D125&lt;=MAX(3,'Model Inputs'!$B$30+1),'Model Inputs'!$B$27*(1+'Model Inputs'!$B$28)^(D125-3),'Model Inputs'!$B$27*(1+'Model Inputs'!$B$28)^(MAX(3,'Model Inputs'!$B$30+1)-3)*(1+'Model Inputs'!$B$29)^(D125-MAX(3,'Model Inputs'!$B$30+1)))))</f>
        <v>380465535.74563926</v>
      </c>
      <c r="H125" s="224">
        <f>IF(D125&lt;=2,0,'Model Inputs'!$B$32*SIN(2*PI()*(D125-3+'Model Inputs'!$B$34)/MAX(1,'Model Inputs'!$B$33)))</f>
        <v>-2.645237086158283E-16</v>
      </c>
      <c r="I125" s="218">
        <f t="shared" si="35"/>
        <v>380465535.7456392</v>
      </c>
      <c r="J125" s="218">
        <f t="shared" si="33"/>
        <v>266206474.24994773</v>
      </c>
      <c r="K125" s="218">
        <f>F125+J125+IF(D125=1,'Model Inputs'!$B$26,0)</f>
        <v>266506474.24994773</v>
      </c>
      <c r="L125" s="218">
        <f t="shared" si="36"/>
        <v>1066025896.9997909</v>
      </c>
      <c r="M125" s="218">
        <f>MIN(L125,'Tax Assumptions'!$B$19)</f>
        <v>24500</v>
      </c>
      <c r="N125" s="218">
        <f>MAX(L125-M125-'Tax Assumptions'!$B$8,0)</f>
        <v>1065985296.9997909</v>
      </c>
      <c r="O125" s="218">
        <f>MAX(L125-M125-'Tax Assumptions'!$B$9,0)</f>
        <v>1065993396.9997909</v>
      </c>
      <c r="P125" s="218">
        <f>IF(N125=0,0,LOOKUP(N125,'Tax Assumptions'!$F$9:$F$15,'Tax Assumptions'!$I$9:$I$15)+(N125-LOOKUP(N125,'Tax Assumptions'!$F$9:$F$15,'Tax Assumptions'!$F$9:$F$15))*LOOKUP(N125,'Tax Assumptions'!$F$9:$F$15,'Tax Assumptions'!$H$9:$H$15))+MIN(MAX(L125,0),'Tax Assumptions'!$B$11)*'Tax Assumptions'!$B$10+MAX(L125,0)*'Tax Assumptions'!$B$12+MAX(MAX(L125,0)-'Tax Assumptions'!$B$14,0)*'Tax Assumptions'!$B$13+MIN(L125*'Tax Assumptions'!$B$15,'Tax Assumptions'!$B$16)+MIN(L125*'Tax Assumptions'!$B$17,'Tax Assumptions'!$B$18)+IF(O125=0,0,LOOKUP(O125,'Tax Assumptions'!$K$9:$K$17,'Tax Assumptions'!$N$9:$N$17)+(O125-LOOKUP(O125,'Tax Assumptions'!$K$9:$K$17,'Tax Assumptions'!$K$9:$K$17))*LOOKUP(O125,'Tax Assumptions'!$K$9:$K$17,'Tax Assumptions'!$M$9:$M$17))+IF(O125=0,0,LOOKUP(O125,'Tax Assumptions'!$P$9:$P$12,'Tax Assumptions'!$S$9:$S$12)+(O125-LOOKUP(O125,'Tax Assumptions'!$P$9:$P$12,'Tax Assumptions'!$P$9:$P$12))*LOOKUP(O125,'Tax Assumptions'!$P$9:$P$12,'Tax Assumptions'!$R$9:$R$12))</f>
        <v>576727984.55010676</v>
      </c>
      <c r="Q125" s="218">
        <f t="shared" si="37"/>
        <v>489273412.44968414</v>
      </c>
      <c r="R125" s="218">
        <f>IF(D125&lt;=10,INDEX('Savings Projection'!$BL$19:$BL$28,D125),LOOKUP(2,1/('Savings Projection'!$BL$19:$BL$28&lt;&gt;""),'Savings Projection'!$BL$19:$BL$28))*(1+'Model Inputs'!$B$35)^(D125-1)+IF(D125&lt;=10,INDEX('Savings Projection'!$BM$19:$BM$28,D125),LOOKUP(2,1/('Savings Projection'!$BM$19:$BM$28&lt;&gt;""),'Savings Projection'!$BM$19:$BM$28))*(1+'Model Inputs'!$B$36)^(D125-1)</f>
        <v>306353.51578121912</v>
      </c>
      <c r="S125" s="218">
        <f t="shared" si="38"/>
        <v>488967058.93390292</v>
      </c>
      <c r="T125" s="218">
        <f>MIN(MAX(S125,0),'Tax Assumptions'!$B$20)</f>
        <v>7500</v>
      </c>
      <c r="U125" s="218">
        <f t="shared" si="39"/>
        <v>488959558.93390292</v>
      </c>
      <c r="V125" s="218">
        <f>MAX(V124*(1+'Model Inputs'!$B$13)+U125,0)</f>
        <v>3137939034.5299473</v>
      </c>
      <c r="W125" s="218">
        <f>MAX(W124*(1+'Model Inputs'!$B$13)+M125+T125,0)</f>
        <v>2529861.958887069</v>
      </c>
      <c r="X125" s="218">
        <f t="shared" si="40"/>
        <v>3140468896.4888344</v>
      </c>
      <c r="Y125" s="226" t="str">
        <f t="shared" si="41"/>
        <v/>
      </c>
      <c r="Z125" s="226" t="str">
        <f t="shared" si="42"/>
        <v/>
      </c>
      <c r="AA125" s="226" t="str">
        <f t="shared" si="43"/>
        <v/>
      </c>
      <c r="AB125" s="226" t="str">
        <f t="shared" si="44"/>
        <v/>
      </c>
    </row>
    <row r="126" spans="1:28" x14ac:dyDescent="0.2">
      <c r="A126" s="214" t="str">
        <f t="shared" ref="A126:A155" si="45">$A$25</f>
        <v>4Y 2x</v>
      </c>
      <c r="B126" s="214">
        <f t="shared" ref="B126:B155" si="46">$B$25</f>
        <v>4</v>
      </c>
      <c r="C126" s="223">
        <f t="shared" ref="C126:C155" si="47">$C$25</f>
        <v>2</v>
      </c>
      <c r="D126" s="214">
        <v>1</v>
      </c>
      <c r="E126" s="214">
        <f t="shared" si="34"/>
        <v>2026</v>
      </c>
      <c r="F126" s="218">
        <f>IF(D126=1,'Model Inputs'!$B$25*(13-'Model Inputs'!$B$23)/12,'Model Inputs'!$B$25)</f>
        <v>100000</v>
      </c>
      <c r="G126" s="218">
        <f>IF(D126=1,'Model Inputs'!$B$27*(13-'Model Inputs'!$B$23)/12,IF(D126=2,'Model Inputs'!$B$27,IF(D126&lt;=MAX(3,'Model Inputs'!$B$30+1),'Model Inputs'!$B$27*(1+'Model Inputs'!$B$28)^(D126-3),'Model Inputs'!$B$27*(1+'Model Inputs'!$B$28)^(MAX(3,'Model Inputs'!$B$30+1)-3)*(1+'Model Inputs'!$B$29)^(D126-MAX(3,'Model Inputs'!$B$30+1)))))</f>
        <v>150000</v>
      </c>
      <c r="H126" s="224">
        <f>IF(D126&lt;=2,0,'Model Inputs'!$B$32*SIN(2*PI()*(D126-3+'Model Inputs'!$B$34)/MAX(1,'Model Inputs'!$B$33)))</f>
        <v>0</v>
      </c>
      <c r="I126" s="218">
        <f t="shared" si="35"/>
        <v>150000</v>
      </c>
      <c r="J126" s="218">
        <f>0</f>
        <v>0</v>
      </c>
      <c r="K126" s="218">
        <f>F126+J126+IF(D126=1,'Model Inputs'!$B$26,0)</f>
        <v>550000</v>
      </c>
      <c r="L126" s="218">
        <f t="shared" si="36"/>
        <v>550000</v>
      </c>
      <c r="M126" s="218">
        <f>MIN(L126,'Tax Assumptions'!$B$19)</f>
        <v>24500</v>
      </c>
      <c r="N126" s="218">
        <f>MAX(L126-M126-'Tax Assumptions'!$B$8,0)</f>
        <v>509400</v>
      </c>
      <c r="O126" s="218">
        <f>MAX(L126-M126-'Tax Assumptions'!$B$9,0)</f>
        <v>517500</v>
      </c>
      <c r="P126" s="218">
        <f>IF(N126=0,0,LOOKUP(N126,'Tax Assumptions'!$F$9:$F$15,'Tax Assumptions'!$I$9:$I$15)+(N126-LOOKUP(N126,'Tax Assumptions'!$F$9:$F$15,'Tax Assumptions'!$F$9:$F$15))*LOOKUP(N126,'Tax Assumptions'!$F$9:$F$15,'Tax Assumptions'!$H$9:$H$15))+MIN(MAX(L126,0),'Tax Assumptions'!$B$11)*'Tax Assumptions'!$B$10+MAX(L126,0)*'Tax Assumptions'!$B$12+MAX(MAX(L126,0)-'Tax Assumptions'!$B$14,0)*'Tax Assumptions'!$B$13+MIN(L126*'Tax Assumptions'!$B$15,'Tax Assumptions'!$B$16)+MIN(L126*'Tax Assumptions'!$B$17,'Tax Assumptions'!$B$18)+IF(O126=0,0,LOOKUP(O126,'Tax Assumptions'!$K$9:$K$17,'Tax Assumptions'!$N$9:$N$17)+(O126-LOOKUP(O126,'Tax Assumptions'!$K$9:$K$17,'Tax Assumptions'!$K$9:$K$17))*LOOKUP(O126,'Tax Assumptions'!$K$9:$K$17,'Tax Assumptions'!$M$9:$M$17))+IF(O126=0,0,LOOKUP(O126,'Tax Assumptions'!$P$9:$P$12,'Tax Assumptions'!$S$9:$S$12)+(O126-LOOKUP(O126,'Tax Assumptions'!$P$9:$P$12,'Tax Assumptions'!$P$9:$P$12))*LOOKUP(O126,'Tax Assumptions'!$P$9:$P$12,'Tax Assumptions'!$R$9:$R$12))</f>
        <v>222834.53000000003</v>
      </c>
      <c r="Q126" s="218">
        <f t="shared" si="37"/>
        <v>302665.46999999997</v>
      </c>
      <c r="R126" s="218">
        <f>IF(D126&lt;=10,INDEX('Savings Projection'!$BL$19:$BL$28,D126),LOOKUP(2,1/('Savings Projection'!$BL$19:$BL$28&lt;&gt;""),'Savings Projection'!$BL$19:$BL$28))*(1+'Model Inputs'!$B$35)^(D126-1)+IF(D126&lt;=10,INDEX('Savings Projection'!$BM$19:$BM$28,D126),LOOKUP(2,1/('Savings Projection'!$BM$19:$BM$28&lt;&gt;""),'Savings Projection'!$BM$19:$BM$28))*(1+'Model Inputs'!$B$36)^(D126-1)</f>
        <v>118000</v>
      </c>
      <c r="S126" s="218">
        <f t="shared" si="38"/>
        <v>184665.46999999997</v>
      </c>
      <c r="T126" s="218">
        <f>MIN(MAX(S126,0),'Tax Assumptions'!$B$20)</f>
        <v>7500</v>
      </c>
      <c r="U126" s="218">
        <f t="shared" si="39"/>
        <v>177165.46999999997</v>
      </c>
      <c r="V126" s="218">
        <f>MAX('Model Inputs'!$B$7*(1+'Model Inputs'!$B$13)+U126,0)</f>
        <v>336165.47</v>
      </c>
      <c r="W126" s="218">
        <f>MAX(('Model Inputs'!$B$8+'Model Inputs'!$B$9+'Model Inputs'!$B$10)*(1+'Model Inputs'!$B$13)+M126+T126,0)</f>
        <v>32000</v>
      </c>
      <c r="X126" s="218">
        <f t="shared" si="40"/>
        <v>368165.47</v>
      </c>
      <c r="Y126" s="226" t="str">
        <f t="shared" si="41"/>
        <v/>
      </c>
      <c r="Z126" s="226" t="str">
        <f t="shared" si="42"/>
        <v/>
      </c>
      <c r="AA126" s="226" t="str">
        <f t="shared" si="43"/>
        <v/>
      </c>
      <c r="AB126" s="226" t="str">
        <f t="shared" si="44"/>
        <v/>
      </c>
    </row>
    <row r="127" spans="1:28" x14ac:dyDescent="0.2">
      <c r="A127" s="214" t="str">
        <f t="shared" si="45"/>
        <v>4Y 2x</v>
      </c>
      <c r="B127" s="214">
        <f t="shared" si="46"/>
        <v>4</v>
      </c>
      <c r="C127" s="223">
        <f t="shared" si="47"/>
        <v>2</v>
      </c>
      <c r="D127" s="214">
        <v>2</v>
      </c>
      <c r="E127" s="214">
        <f t="shared" si="34"/>
        <v>2027</v>
      </c>
      <c r="F127" s="218">
        <f>IF(D127=1,'Model Inputs'!$B$25*(13-'Model Inputs'!$B$23)/12,'Model Inputs'!$B$25)</f>
        <v>300000</v>
      </c>
      <c r="G127" s="218">
        <f>IF(D127=1,'Model Inputs'!$B$27*(13-'Model Inputs'!$B$23)/12,IF(D127=2,'Model Inputs'!$B$27,IF(D127&lt;=MAX(3,'Model Inputs'!$B$30+1),'Model Inputs'!$B$27*(1+'Model Inputs'!$B$28)^(D127-3),'Model Inputs'!$B$27*(1+'Model Inputs'!$B$28)^(MAX(3,'Model Inputs'!$B$30+1)-3)*(1+'Model Inputs'!$B$29)^(D127-MAX(3,'Model Inputs'!$B$30+1)))))</f>
        <v>450000</v>
      </c>
      <c r="H127" s="224">
        <f>IF(D127&lt;=2,0,'Model Inputs'!$B$32*SIN(2*PI()*(D127-3+'Model Inputs'!$B$34)/MAX(1,'Model Inputs'!$B$33)))</f>
        <v>0</v>
      </c>
      <c r="I127" s="218">
        <f t="shared" si="35"/>
        <v>450000</v>
      </c>
      <c r="J127" s="218">
        <f>0.75*I126</f>
        <v>112500</v>
      </c>
      <c r="K127" s="218">
        <f>F127+J127+IF(D127=1,'Model Inputs'!$B$26,0)</f>
        <v>412500</v>
      </c>
      <c r="L127" s="218">
        <f t="shared" si="36"/>
        <v>412500</v>
      </c>
      <c r="M127" s="218">
        <f>MIN(L127,'Tax Assumptions'!$B$19)</f>
        <v>24500</v>
      </c>
      <c r="N127" s="218">
        <f>MAX(L127-M127-'Tax Assumptions'!$B$8,0)</f>
        <v>371900</v>
      </c>
      <c r="O127" s="218">
        <f>MAX(L127-M127-'Tax Assumptions'!$B$9,0)</f>
        <v>380000</v>
      </c>
      <c r="P127" s="218">
        <f>IF(N127=0,0,LOOKUP(N127,'Tax Assumptions'!$F$9:$F$15,'Tax Assumptions'!$I$9:$I$15)+(N127-LOOKUP(N127,'Tax Assumptions'!$F$9:$F$15,'Tax Assumptions'!$F$9:$F$15))*LOOKUP(N127,'Tax Assumptions'!$F$9:$F$15,'Tax Assumptions'!$H$9:$H$15))+MIN(MAX(L127,0),'Tax Assumptions'!$B$11)*'Tax Assumptions'!$B$10+MAX(L127,0)*'Tax Assumptions'!$B$12+MAX(MAX(L127,0)-'Tax Assumptions'!$B$14,0)*'Tax Assumptions'!$B$13+MIN(L127*'Tax Assumptions'!$B$15,'Tax Assumptions'!$B$16)+MIN(L127*'Tax Assumptions'!$B$17,'Tax Assumptions'!$B$18)+IF(O127=0,0,LOOKUP(O127,'Tax Assumptions'!$K$9:$K$17,'Tax Assumptions'!$N$9:$N$17)+(O127-LOOKUP(O127,'Tax Assumptions'!$K$9:$K$17,'Tax Assumptions'!$K$9:$K$17))*LOOKUP(O127,'Tax Assumptions'!$K$9:$K$17,'Tax Assumptions'!$M$9:$M$17))+IF(O127=0,0,LOOKUP(O127,'Tax Assumptions'!$P$9:$P$12,'Tax Assumptions'!$S$9:$S$12)+(O127-LOOKUP(O127,'Tax Assumptions'!$P$9:$P$12,'Tax Assumptions'!$P$9:$P$12))*LOOKUP(O127,'Tax Assumptions'!$P$9:$P$12,'Tax Assumptions'!$R$9:$R$12))</f>
        <v>156730.03</v>
      </c>
      <c r="Q127" s="218">
        <f t="shared" si="37"/>
        <v>231269.97</v>
      </c>
      <c r="R127" s="218">
        <f>IF(D127&lt;=10,INDEX('Savings Projection'!$BL$19:$BL$28,D127),LOOKUP(2,1/('Savings Projection'!$BL$19:$BL$28&lt;&gt;""),'Savings Projection'!$BL$19:$BL$28))*(1+'Model Inputs'!$B$35)^(D127-1)+IF(D127&lt;=10,INDEX('Savings Projection'!$BM$19:$BM$28,D127),LOOKUP(2,1/('Savings Projection'!$BM$19:$BM$28&lt;&gt;""),'Savings Projection'!$BM$19:$BM$28))*(1+'Model Inputs'!$B$36)^(D127-1)</f>
        <v>121540</v>
      </c>
      <c r="S127" s="218">
        <f t="shared" si="38"/>
        <v>109729.97</v>
      </c>
      <c r="T127" s="218">
        <f>MIN(MAX(S127,0),'Tax Assumptions'!$B$20)</f>
        <v>7500</v>
      </c>
      <c r="U127" s="218">
        <f t="shared" si="39"/>
        <v>102229.97</v>
      </c>
      <c r="V127" s="218">
        <f>MAX(V126*(1+'Model Inputs'!$B$13)+U127,0)</f>
        <v>458565.36820000003</v>
      </c>
      <c r="W127" s="218">
        <f>MAX(W126*(1+'Model Inputs'!$B$13)+M127+T127,0)</f>
        <v>65920</v>
      </c>
      <c r="X127" s="218">
        <f t="shared" si="40"/>
        <v>524485.36820000003</v>
      </c>
      <c r="Y127" s="226" t="str">
        <f t="shared" si="41"/>
        <v/>
      </c>
      <c r="Z127" s="226" t="str">
        <f t="shared" si="42"/>
        <v/>
      </c>
      <c r="AA127" s="226" t="str">
        <f t="shared" si="43"/>
        <v/>
      </c>
      <c r="AB127" s="226" t="str">
        <f t="shared" si="44"/>
        <v/>
      </c>
    </row>
    <row r="128" spans="1:28" x14ac:dyDescent="0.2">
      <c r="A128" s="214" t="str">
        <f t="shared" si="45"/>
        <v>4Y 2x</v>
      </c>
      <c r="B128" s="214">
        <f t="shared" si="46"/>
        <v>4</v>
      </c>
      <c r="C128" s="223">
        <f t="shared" si="47"/>
        <v>2</v>
      </c>
      <c r="D128" s="214">
        <v>3</v>
      </c>
      <c r="E128" s="214">
        <f t="shared" si="34"/>
        <v>2028</v>
      </c>
      <c r="F128" s="218">
        <f>IF(D128=1,'Model Inputs'!$B$25*(13-'Model Inputs'!$B$23)/12,'Model Inputs'!$B$25)</f>
        <v>300000</v>
      </c>
      <c r="G128" s="218">
        <f>IF(D128=1,'Model Inputs'!$B$27*(13-'Model Inputs'!$B$23)/12,IF(D128=2,'Model Inputs'!$B$27,IF(D128&lt;=MAX(3,'Model Inputs'!$B$30+1),'Model Inputs'!$B$27*(1+'Model Inputs'!$B$28)^(D128-3),'Model Inputs'!$B$27*(1+'Model Inputs'!$B$28)^(MAX(3,'Model Inputs'!$B$30+1)-3)*(1+'Model Inputs'!$B$29)^(D128-MAX(3,'Model Inputs'!$B$30+1)))))</f>
        <v>450000</v>
      </c>
      <c r="H128" s="224">
        <f>IF(D128&lt;=2,0,'Model Inputs'!$B$32*SIN(2*PI()*(D128-3+'Model Inputs'!$B$34)/MAX(1,'Model Inputs'!$B$33)))</f>
        <v>0</v>
      </c>
      <c r="I128" s="218">
        <f t="shared" si="35"/>
        <v>450000</v>
      </c>
      <c r="J128" s="218">
        <f t="shared" ref="J128:J155" si="48">0.75*I127+0.25*I126</f>
        <v>375000</v>
      </c>
      <c r="K128" s="218">
        <f>F128+J128+IF(D128=1,'Model Inputs'!$B$26,0)</f>
        <v>675000</v>
      </c>
      <c r="L128" s="218">
        <f t="shared" si="36"/>
        <v>675000</v>
      </c>
      <c r="M128" s="218">
        <f>MIN(L128,'Tax Assumptions'!$B$19)</f>
        <v>24500</v>
      </c>
      <c r="N128" s="218">
        <f>MAX(L128-M128-'Tax Assumptions'!$B$8,0)</f>
        <v>634400</v>
      </c>
      <c r="O128" s="218">
        <f>MAX(L128-M128-'Tax Assumptions'!$B$9,0)</f>
        <v>642500</v>
      </c>
      <c r="P128" s="218">
        <f>IF(N128=0,0,LOOKUP(N128,'Tax Assumptions'!$F$9:$F$15,'Tax Assumptions'!$I$9:$I$15)+(N128-LOOKUP(N128,'Tax Assumptions'!$F$9:$F$15,'Tax Assumptions'!$F$9:$F$15))*LOOKUP(N128,'Tax Assumptions'!$F$9:$F$15,'Tax Assumptions'!$H$9:$H$15))+MIN(MAX(L128,0),'Tax Assumptions'!$B$11)*'Tax Assumptions'!$B$10+MAX(L128,0)*'Tax Assumptions'!$B$12+MAX(MAX(L128,0)-'Tax Assumptions'!$B$14,0)*'Tax Assumptions'!$B$13+MIN(L128*'Tax Assumptions'!$B$15,'Tax Assumptions'!$B$16)+MIN(L128*'Tax Assumptions'!$B$17,'Tax Assumptions'!$B$18)+IF(O128=0,0,LOOKUP(O128,'Tax Assumptions'!$K$9:$K$17,'Tax Assumptions'!$N$9:$N$17)+(O128-LOOKUP(O128,'Tax Assumptions'!$K$9:$K$17,'Tax Assumptions'!$K$9:$K$17))*LOOKUP(O128,'Tax Assumptions'!$K$9:$K$17,'Tax Assumptions'!$M$9:$M$17))+IF(O128=0,0,LOOKUP(O128,'Tax Assumptions'!$P$9:$P$12,'Tax Assumptions'!$S$9:$S$12)+(O128-LOOKUP(O128,'Tax Assumptions'!$P$9:$P$12,'Tax Assumptions'!$P$9:$P$12))*LOOKUP(O128,'Tax Assumptions'!$P$9:$P$12,'Tax Assumptions'!$R$9:$R$12))</f>
        <v>282929.53000000003</v>
      </c>
      <c r="Q128" s="218">
        <f t="shared" si="37"/>
        <v>367570.47</v>
      </c>
      <c r="R128" s="218">
        <f>IF(D128&lt;=10,INDEX('Savings Projection'!$BL$19:$BL$28,D128),LOOKUP(2,1/('Savings Projection'!$BL$19:$BL$28&lt;&gt;""),'Savings Projection'!$BL$19:$BL$28))*(1+'Model Inputs'!$B$35)^(D128-1)+IF(D128&lt;=10,INDEX('Savings Projection'!$BM$19:$BM$28,D128),LOOKUP(2,1/('Savings Projection'!$BM$19:$BM$28&lt;&gt;""),'Savings Projection'!$BM$19:$BM$28))*(1+'Model Inputs'!$B$36)^(D128-1)</f>
        <v>135795.20000000001</v>
      </c>
      <c r="S128" s="218">
        <f t="shared" si="38"/>
        <v>231775.26999999996</v>
      </c>
      <c r="T128" s="218">
        <f>MIN(MAX(S128,0),'Tax Assumptions'!$B$20)</f>
        <v>7500</v>
      </c>
      <c r="U128" s="218">
        <f t="shared" si="39"/>
        <v>224275.26999999996</v>
      </c>
      <c r="V128" s="218">
        <f>MAX(V127*(1+'Model Inputs'!$B$13)+U128,0)</f>
        <v>710354.56029199995</v>
      </c>
      <c r="W128" s="218">
        <f>MAX(W127*(1+'Model Inputs'!$B$13)+M128+T128,0)</f>
        <v>101875.2</v>
      </c>
      <c r="X128" s="218">
        <f t="shared" si="40"/>
        <v>812229.7602919999</v>
      </c>
      <c r="Y128" s="226" t="str">
        <f t="shared" si="41"/>
        <v/>
      </c>
      <c r="Z128" s="226" t="str">
        <f t="shared" si="42"/>
        <v/>
      </c>
      <c r="AA128" s="226" t="str">
        <f t="shared" si="43"/>
        <v/>
      </c>
      <c r="AB128" s="226" t="str">
        <f t="shared" si="44"/>
        <v/>
      </c>
    </row>
    <row r="129" spans="1:28" x14ac:dyDescent="0.2">
      <c r="A129" s="214" t="str">
        <f t="shared" si="45"/>
        <v>4Y 2x</v>
      </c>
      <c r="B129" s="214">
        <f t="shared" si="46"/>
        <v>4</v>
      </c>
      <c r="C129" s="223">
        <f t="shared" si="47"/>
        <v>2</v>
      </c>
      <c r="D129" s="214">
        <v>4</v>
      </c>
      <c r="E129" s="214">
        <f t="shared" si="34"/>
        <v>2029</v>
      </c>
      <c r="F129" s="218">
        <f>IF(D129=1,'Model Inputs'!$B$25*(13-'Model Inputs'!$B$23)/12,'Model Inputs'!$B$25)</f>
        <v>300000</v>
      </c>
      <c r="G129" s="218">
        <f>IF(D129=1,'Model Inputs'!$B$27*(13-'Model Inputs'!$B$23)/12,IF(D129=2,'Model Inputs'!$B$27,IF(D129&lt;=MAX(3,'Model Inputs'!$B$30+1),'Model Inputs'!$B$27*(1+'Model Inputs'!$B$28)^(D129-3),'Model Inputs'!$B$27*(1+'Model Inputs'!$B$28)^(MAX(3,'Model Inputs'!$B$30+1)-3)*(1+'Model Inputs'!$B$29)^(D129-MAX(3,'Model Inputs'!$B$30+1)))))</f>
        <v>653834.84153110103</v>
      </c>
      <c r="H129" s="224">
        <f>IF(D129&lt;=2,0,'Model Inputs'!$B$32*SIN(2*PI()*(D129-3+'Model Inputs'!$B$34)/MAX(1,'Model Inputs'!$B$33)))</f>
        <v>0.10392304845413264</v>
      </c>
      <c r="I129" s="218">
        <f t="shared" si="35"/>
        <v>721783.35144853778</v>
      </c>
      <c r="J129" s="218">
        <f t="shared" si="48"/>
        <v>450000</v>
      </c>
      <c r="K129" s="218">
        <f>F129+J129+IF(D129=1,'Model Inputs'!$B$26,0)</f>
        <v>750000</v>
      </c>
      <c r="L129" s="218">
        <f t="shared" si="36"/>
        <v>750000</v>
      </c>
      <c r="M129" s="218">
        <f>MIN(L129,'Tax Assumptions'!$B$19)</f>
        <v>24500</v>
      </c>
      <c r="N129" s="218">
        <f>MAX(L129-M129-'Tax Assumptions'!$B$8,0)</f>
        <v>709400</v>
      </c>
      <c r="O129" s="218">
        <f>MAX(L129-M129-'Tax Assumptions'!$B$9,0)</f>
        <v>717500</v>
      </c>
      <c r="P129" s="218">
        <f>IF(N129=0,0,LOOKUP(N129,'Tax Assumptions'!$F$9:$F$15,'Tax Assumptions'!$I$9:$I$15)+(N129-LOOKUP(N129,'Tax Assumptions'!$F$9:$F$15,'Tax Assumptions'!$F$9:$F$15))*LOOKUP(N129,'Tax Assumptions'!$F$9:$F$15,'Tax Assumptions'!$H$9:$H$15))+MIN(MAX(L129,0),'Tax Assumptions'!$B$11)*'Tax Assumptions'!$B$10+MAX(L129,0)*'Tax Assumptions'!$B$12+MAX(MAX(L129,0)-'Tax Assumptions'!$B$14,0)*'Tax Assumptions'!$B$13+MIN(L129*'Tax Assumptions'!$B$15,'Tax Assumptions'!$B$16)+MIN(L129*'Tax Assumptions'!$B$17,'Tax Assumptions'!$B$18)+IF(O129=0,0,LOOKUP(O129,'Tax Assumptions'!$K$9:$K$17,'Tax Assumptions'!$N$9:$N$17)+(O129-LOOKUP(O129,'Tax Assumptions'!$K$9:$K$17,'Tax Assumptions'!$K$9:$K$17))*LOOKUP(O129,'Tax Assumptions'!$K$9:$K$17,'Tax Assumptions'!$M$9:$M$17))+IF(O129=0,0,LOOKUP(O129,'Tax Assumptions'!$P$9:$P$12,'Tax Assumptions'!$S$9:$S$12)+(O129-LOOKUP(O129,'Tax Assumptions'!$P$9:$P$12,'Tax Assumptions'!$P$9:$P$12))*LOOKUP(O129,'Tax Assumptions'!$P$9:$P$12,'Tax Assumptions'!$R$9:$R$12))</f>
        <v>320362.53000000003</v>
      </c>
      <c r="Q129" s="218">
        <f t="shared" si="37"/>
        <v>405137.47</v>
      </c>
      <c r="R129" s="218">
        <f>IF(D129&lt;=10,INDEX('Savings Projection'!$BL$19:$BL$28,D129),LOOKUP(2,1/('Savings Projection'!$BL$19:$BL$28&lt;&gt;""),'Savings Projection'!$BL$19:$BL$28))*(1+'Model Inputs'!$B$35)^(D129-1)+IF(D129&lt;=10,INDEX('Savings Projection'!$BM$19:$BM$28,D129),LOOKUP(2,1/('Savings Projection'!$BM$19:$BM$28&lt;&gt;""),'Savings Projection'!$BM$19:$BM$28))*(1+'Model Inputs'!$B$36)^(D129-1)</f>
        <v>139869.05600000001</v>
      </c>
      <c r="S129" s="218">
        <f t="shared" si="38"/>
        <v>265268.41399999999</v>
      </c>
      <c r="T129" s="218">
        <f>MIN(MAX(S129,0),'Tax Assumptions'!$B$20)</f>
        <v>7500</v>
      </c>
      <c r="U129" s="218">
        <f t="shared" si="39"/>
        <v>257768.41399999999</v>
      </c>
      <c r="V129" s="218">
        <f>MAX(V128*(1+'Model Inputs'!$B$13)+U129,0)</f>
        <v>1010744.2479095199</v>
      </c>
      <c r="W129" s="218">
        <f>MAX(W128*(1+'Model Inputs'!$B$13)+M129+T129,0)</f>
        <v>139987.712</v>
      </c>
      <c r="X129" s="218">
        <f t="shared" si="40"/>
        <v>1150731.9599095199</v>
      </c>
      <c r="Y129" s="226" t="str">
        <f t="shared" si="41"/>
        <v/>
      </c>
      <c r="Z129" s="226" t="str">
        <f t="shared" si="42"/>
        <v/>
      </c>
      <c r="AA129" s="226" t="str">
        <f t="shared" si="43"/>
        <v/>
      </c>
      <c r="AB129" s="226" t="str">
        <f t="shared" si="44"/>
        <v/>
      </c>
    </row>
    <row r="130" spans="1:28" x14ac:dyDescent="0.2">
      <c r="A130" s="214" t="str">
        <f t="shared" si="45"/>
        <v>4Y 2x</v>
      </c>
      <c r="B130" s="214">
        <f t="shared" si="46"/>
        <v>4</v>
      </c>
      <c r="C130" s="223">
        <f t="shared" si="47"/>
        <v>2</v>
      </c>
      <c r="D130" s="214">
        <v>5</v>
      </c>
      <c r="E130" s="214">
        <f t="shared" si="34"/>
        <v>2030</v>
      </c>
      <c r="F130" s="218">
        <f>IF(D130=1,'Model Inputs'!$B$25*(13-'Model Inputs'!$B$23)/12,'Model Inputs'!$B$25)</f>
        <v>300000</v>
      </c>
      <c r="G130" s="218">
        <f>IF(D130=1,'Model Inputs'!$B$27*(13-'Model Inputs'!$B$23)/12,IF(D130=2,'Model Inputs'!$B$27,IF(D130&lt;=MAX(3,'Model Inputs'!$B$30+1),'Model Inputs'!$B$27*(1+'Model Inputs'!$B$28)^(D130-3),'Model Inputs'!$B$27*(1+'Model Inputs'!$B$28)^(MAX(3,'Model Inputs'!$B$30+1)-3)*(1+'Model Inputs'!$B$29)^(D130-MAX(3,'Model Inputs'!$B$30+1)))))</f>
        <v>950000</v>
      </c>
      <c r="H130" s="224">
        <f>IF(D130&lt;=2,0,'Model Inputs'!$B$32*SIN(2*PI()*(D130-3+'Model Inputs'!$B$34)/MAX(1,'Model Inputs'!$B$33)))</f>
        <v>-0.1039230484541326</v>
      </c>
      <c r="I130" s="218">
        <f t="shared" si="35"/>
        <v>851273.10396857408</v>
      </c>
      <c r="J130" s="218">
        <f t="shared" si="48"/>
        <v>653837.51358640334</v>
      </c>
      <c r="K130" s="218">
        <f>F130+J130+IF(D130=1,'Model Inputs'!$B$26,0)</f>
        <v>953837.51358640334</v>
      </c>
      <c r="L130" s="218">
        <f t="shared" si="36"/>
        <v>1907675.0271728067</v>
      </c>
      <c r="M130" s="218">
        <f>MIN(L130,'Tax Assumptions'!$B$19)</f>
        <v>24500</v>
      </c>
      <c r="N130" s="218">
        <f>MAX(L130-M130-'Tax Assumptions'!$B$8,0)</f>
        <v>1867075.0271728067</v>
      </c>
      <c r="O130" s="218">
        <f>MAX(L130-M130-'Tax Assumptions'!$B$9,0)</f>
        <v>1875175.0271728067</v>
      </c>
      <c r="P130" s="218">
        <f>IF(N130=0,0,LOOKUP(N130,'Tax Assumptions'!$F$9:$F$15,'Tax Assumptions'!$I$9:$I$15)+(N130-LOOKUP(N130,'Tax Assumptions'!$F$9:$F$15,'Tax Assumptions'!$F$9:$F$15))*LOOKUP(N130,'Tax Assumptions'!$F$9:$F$15,'Tax Assumptions'!$H$9:$H$15))+MIN(MAX(L130,0),'Tax Assumptions'!$B$11)*'Tax Assumptions'!$B$10+MAX(L130,0)*'Tax Assumptions'!$B$12+MAX(MAX(L130,0)-'Tax Assumptions'!$B$14,0)*'Tax Assumptions'!$B$13+MIN(L130*'Tax Assumptions'!$B$15,'Tax Assumptions'!$B$16)+MIN(L130*'Tax Assumptions'!$B$17,'Tax Assumptions'!$B$18)+IF(O130=0,0,LOOKUP(O130,'Tax Assumptions'!$K$9:$K$17,'Tax Assumptions'!$N$9:$N$17)+(O130-LOOKUP(O130,'Tax Assumptions'!$K$9:$K$17,'Tax Assumptions'!$K$9:$K$17))*LOOKUP(O130,'Tax Assumptions'!$K$9:$K$17,'Tax Assumptions'!$M$9:$M$17))+IF(O130=0,0,LOOKUP(O130,'Tax Assumptions'!$P$9:$P$12,'Tax Assumptions'!$S$9:$S$12)+(O130-LOOKUP(O130,'Tax Assumptions'!$P$9:$P$12,'Tax Assumptions'!$P$9:$P$12))*LOOKUP(O130,'Tax Assumptions'!$P$9:$P$12,'Tax Assumptions'!$R$9:$R$12))</f>
        <v>922412.88236789324</v>
      </c>
      <c r="Q130" s="218">
        <f t="shared" si="37"/>
        <v>960762.14480491343</v>
      </c>
      <c r="R130" s="218">
        <f>IF(D130&lt;=10,INDEX('Savings Projection'!$BL$19:$BL$28,D130),LOOKUP(2,1/('Savings Projection'!$BL$19:$BL$28&lt;&gt;""),'Savings Projection'!$BL$19:$BL$28))*(1+'Model Inputs'!$B$35)^(D130-1)+IF(D130&lt;=10,INDEX('Savings Projection'!$BM$19:$BM$28,D130),LOOKUP(2,1/('Savings Projection'!$BM$19:$BM$28&lt;&gt;""),'Savings Projection'!$BM$19:$BM$28))*(1+'Model Inputs'!$B$36)^(D130-1)</f>
        <v>144065.12767999998</v>
      </c>
      <c r="S130" s="218">
        <f t="shared" si="38"/>
        <v>816697.0171249134</v>
      </c>
      <c r="T130" s="218">
        <f>MIN(MAX(S130,0),'Tax Assumptions'!$B$20)</f>
        <v>7500</v>
      </c>
      <c r="U130" s="218">
        <f t="shared" si="39"/>
        <v>809197.0171249134</v>
      </c>
      <c r="V130" s="218">
        <f>MAX(V129*(1+'Model Inputs'!$B$13)+U130,0)</f>
        <v>1880585.9199090046</v>
      </c>
      <c r="W130" s="218">
        <f>MAX(W129*(1+'Model Inputs'!$B$13)+M130+T130,0)</f>
        <v>180386.97472</v>
      </c>
      <c r="X130" s="218">
        <f t="shared" si="40"/>
        <v>2060972.8946290046</v>
      </c>
      <c r="Y130" s="226" t="str">
        <f t="shared" si="41"/>
        <v/>
      </c>
      <c r="Z130" s="226" t="str">
        <f t="shared" si="42"/>
        <v/>
      </c>
      <c r="AA130" s="226" t="str">
        <f t="shared" si="43"/>
        <v/>
      </c>
      <c r="AB130" s="226" t="str">
        <f t="shared" si="44"/>
        <v/>
      </c>
    </row>
    <row r="131" spans="1:28" x14ac:dyDescent="0.2">
      <c r="A131" s="214" t="str">
        <f t="shared" si="45"/>
        <v>4Y 2x</v>
      </c>
      <c r="B131" s="214">
        <f t="shared" si="46"/>
        <v>4</v>
      </c>
      <c r="C131" s="223">
        <f t="shared" si="47"/>
        <v>2</v>
      </c>
      <c r="D131" s="214">
        <v>6</v>
      </c>
      <c r="E131" s="214">
        <f t="shared" si="34"/>
        <v>2031</v>
      </c>
      <c r="F131" s="218">
        <f>IF(D131=1,'Model Inputs'!$B$25*(13-'Model Inputs'!$B$23)/12,'Model Inputs'!$B$25)</f>
        <v>300000</v>
      </c>
      <c r="G131" s="218">
        <f>IF(D131=1,'Model Inputs'!$B$27*(13-'Model Inputs'!$B$23)/12,IF(D131=2,'Model Inputs'!$B$27,IF(D131&lt;=MAX(3,'Model Inputs'!$B$30+1),'Model Inputs'!$B$27*(1+'Model Inputs'!$B$28)^(D131-3),'Model Inputs'!$B$27*(1+'Model Inputs'!$B$28)^(MAX(3,'Model Inputs'!$B$30+1)-3)*(1+'Model Inputs'!$B$29)^(D131-MAX(3,'Model Inputs'!$B$30+1)))))</f>
        <v>1207333.5632986501</v>
      </c>
      <c r="H131" s="224">
        <f>IF(D131&lt;=2,0,'Model Inputs'!$B$32*SIN(2*PI()*(D131-3+'Model Inputs'!$B$34)/MAX(1,'Model Inputs'!$B$33)))</f>
        <v>-2.9391523179536474E-17</v>
      </c>
      <c r="I131" s="218">
        <f t="shared" si="35"/>
        <v>1207333.5632986501</v>
      </c>
      <c r="J131" s="218">
        <f t="shared" si="48"/>
        <v>818900.66583856498</v>
      </c>
      <c r="K131" s="218">
        <f>F131+J131+IF(D131=1,'Model Inputs'!$B$26,0)</f>
        <v>1118900.665838565</v>
      </c>
      <c r="L131" s="218">
        <f t="shared" si="36"/>
        <v>2237801.33167713</v>
      </c>
      <c r="M131" s="218">
        <f>MIN(L131,'Tax Assumptions'!$B$19)</f>
        <v>24500</v>
      </c>
      <c r="N131" s="218">
        <f>MAX(L131-M131-'Tax Assumptions'!$B$8,0)</f>
        <v>2197201.33167713</v>
      </c>
      <c r="O131" s="218">
        <f>MAX(L131-M131-'Tax Assumptions'!$B$9,0)</f>
        <v>2205301.33167713</v>
      </c>
      <c r="P131" s="218">
        <f>IF(N131=0,0,LOOKUP(N131,'Tax Assumptions'!$F$9:$F$15,'Tax Assumptions'!$I$9:$I$15)+(N131-LOOKUP(N131,'Tax Assumptions'!$F$9:$F$15,'Tax Assumptions'!$F$9:$F$15))*LOOKUP(N131,'Tax Assumptions'!$F$9:$F$15,'Tax Assumptions'!$H$9:$H$15))+MIN(MAX(L131,0),'Tax Assumptions'!$B$11)*'Tax Assumptions'!$B$10+MAX(L131,0)*'Tax Assumptions'!$B$12+MAX(MAX(L131,0)-'Tax Assumptions'!$B$14,0)*'Tax Assumptions'!$B$13+MIN(L131*'Tax Assumptions'!$B$15,'Tax Assumptions'!$B$16)+MIN(L131*'Tax Assumptions'!$B$17,'Tax Assumptions'!$B$18)+IF(O131=0,0,LOOKUP(O131,'Tax Assumptions'!$K$9:$K$17,'Tax Assumptions'!$N$9:$N$17)+(O131-LOOKUP(O131,'Tax Assumptions'!$K$9:$K$17,'Tax Assumptions'!$K$9:$K$17))*LOOKUP(O131,'Tax Assumptions'!$K$9:$K$17,'Tax Assumptions'!$M$9:$M$17))+IF(O131=0,0,LOOKUP(O131,'Tax Assumptions'!$P$9:$P$12,'Tax Assumptions'!$S$9:$S$12)+(O131-LOOKUP(O131,'Tax Assumptions'!$P$9:$P$12,'Tax Assumptions'!$P$9:$P$12))*LOOKUP(O131,'Tax Assumptions'!$P$9:$P$12,'Tax Assumptions'!$R$9:$R$12))</f>
        <v>1096970.4671375991</v>
      </c>
      <c r="Q131" s="218">
        <f t="shared" si="37"/>
        <v>1116330.8645395308</v>
      </c>
      <c r="R131" s="218">
        <f>IF(D131&lt;=10,INDEX('Savings Projection'!$BL$19:$BL$28,D131),LOOKUP(2,1/('Savings Projection'!$BL$19:$BL$28&lt;&gt;""),'Savings Projection'!$BL$19:$BL$28))*(1+'Model Inputs'!$B$35)^(D131-1)+IF(D131&lt;=10,INDEX('Savings Projection'!$BM$19:$BM$28,D131),LOOKUP(2,1/('Savings Projection'!$BM$19:$BM$28&lt;&gt;""),'Savings Projection'!$BM$19:$BM$28))*(1+'Model Inputs'!$B$36)^(D131-1)</f>
        <v>150705.62965899997</v>
      </c>
      <c r="S131" s="218">
        <f t="shared" si="38"/>
        <v>965625.23488053086</v>
      </c>
      <c r="T131" s="218">
        <f>MIN(MAX(S131,0),'Tax Assumptions'!$B$20)</f>
        <v>7500</v>
      </c>
      <c r="U131" s="218">
        <f t="shared" si="39"/>
        <v>958125.23488053086</v>
      </c>
      <c r="V131" s="218">
        <f>MAX(V130*(1+'Model Inputs'!$B$13)+U131,0)</f>
        <v>2951546.3099840758</v>
      </c>
      <c r="W131" s="218">
        <f>MAX(W130*(1+'Model Inputs'!$B$13)+M131+T131,0)</f>
        <v>223210.1932032</v>
      </c>
      <c r="X131" s="218">
        <f t="shared" si="40"/>
        <v>3174756.503187276</v>
      </c>
      <c r="Y131" s="226" t="str">
        <f t="shared" si="41"/>
        <v/>
      </c>
      <c r="Z131" s="226" t="str">
        <f t="shared" si="42"/>
        <v/>
      </c>
      <c r="AA131" s="226" t="str">
        <f t="shared" si="43"/>
        <v/>
      </c>
      <c r="AB131" s="226" t="str">
        <f t="shared" si="44"/>
        <v/>
      </c>
    </row>
    <row r="132" spans="1:28" x14ac:dyDescent="0.2">
      <c r="A132" s="214" t="str">
        <f t="shared" si="45"/>
        <v>4Y 2x</v>
      </c>
      <c r="B132" s="214">
        <f t="shared" si="46"/>
        <v>4</v>
      </c>
      <c r="C132" s="223">
        <f t="shared" si="47"/>
        <v>2</v>
      </c>
      <c r="D132" s="214">
        <v>7</v>
      </c>
      <c r="E132" s="214">
        <f t="shared" si="34"/>
        <v>2032</v>
      </c>
      <c r="F132" s="218">
        <f>IF(D132=1,'Model Inputs'!$B$25*(13-'Model Inputs'!$B$23)/12,'Model Inputs'!$B$25)</f>
        <v>300000</v>
      </c>
      <c r="G132" s="218">
        <f>IF(D132=1,'Model Inputs'!$B$27*(13-'Model Inputs'!$B$23)/12,IF(D132=2,'Model Inputs'!$B$27,IF(D132&lt;=MAX(3,'Model Inputs'!$B$30+1),'Model Inputs'!$B$27*(1+'Model Inputs'!$B$28)^(D132-3),'Model Inputs'!$B$27*(1+'Model Inputs'!$B$28)^(MAX(3,'Model Inputs'!$B$30+1)-3)*(1+'Model Inputs'!$B$29)^(D132-MAX(3,'Model Inputs'!$B$30+1)))))</f>
        <v>1534372.9821762268</v>
      </c>
      <c r="H132" s="224">
        <f>IF(D132&lt;=2,0,'Model Inputs'!$B$32*SIN(2*PI()*(D132-3+'Model Inputs'!$B$34)/MAX(1,'Model Inputs'!$B$33)))</f>
        <v>0.10392304845413269</v>
      </c>
      <c r="I132" s="218">
        <f t="shared" si="35"/>
        <v>1693829.6999496389</v>
      </c>
      <c r="J132" s="218">
        <f t="shared" si="48"/>
        <v>1118318.448466131</v>
      </c>
      <c r="K132" s="218">
        <f>F132+J132+IF(D132=1,'Model Inputs'!$B$26,0)</f>
        <v>1418318.448466131</v>
      </c>
      <c r="L132" s="218">
        <f t="shared" si="36"/>
        <v>2836636.896932262</v>
      </c>
      <c r="M132" s="218">
        <f>MIN(L132,'Tax Assumptions'!$B$19)</f>
        <v>24500</v>
      </c>
      <c r="N132" s="218">
        <f>MAX(L132-M132-'Tax Assumptions'!$B$8,0)</f>
        <v>2796036.896932262</v>
      </c>
      <c r="O132" s="218">
        <f>MAX(L132-M132-'Tax Assumptions'!$B$9,0)</f>
        <v>2804136.896932262</v>
      </c>
      <c r="P132" s="218">
        <f>IF(N132=0,0,LOOKUP(N132,'Tax Assumptions'!$F$9:$F$15,'Tax Assumptions'!$I$9:$I$15)+(N132-LOOKUP(N132,'Tax Assumptions'!$F$9:$F$15,'Tax Assumptions'!$F$9:$F$15))*LOOKUP(N132,'Tax Assumptions'!$F$9:$F$15,'Tax Assumptions'!$H$9:$H$15))+MIN(MAX(L132,0),'Tax Assumptions'!$B$11)*'Tax Assumptions'!$B$10+MAX(L132,0)*'Tax Assumptions'!$B$12+MAX(MAX(L132,0)-'Tax Assumptions'!$B$14,0)*'Tax Assumptions'!$B$13+MIN(L132*'Tax Assumptions'!$B$15,'Tax Assumptions'!$B$16)+MIN(L132*'Tax Assumptions'!$B$17,'Tax Assumptions'!$B$18)+IF(O132=0,0,LOOKUP(O132,'Tax Assumptions'!$K$9:$K$17,'Tax Assumptions'!$N$9:$N$17)+(O132-LOOKUP(O132,'Tax Assumptions'!$K$9:$K$17,'Tax Assumptions'!$K$9:$K$17))*LOOKUP(O132,'Tax Assumptions'!$K$9:$K$17,'Tax Assumptions'!$M$9:$M$17))+IF(O132=0,0,LOOKUP(O132,'Tax Assumptions'!$P$9:$P$12,'Tax Assumptions'!$S$9:$S$12)+(O132-LOOKUP(O132,'Tax Assumptions'!$P$9:$P$12,'Tax Assumptions'!$P$9:$P$12))*LOOKUP(O132,'Tax Assumptions'!$P$9:$P$12,'Tax Assumptions'!$R$9:$R$12))</f>
        <v>1413610.7606219028</v>
      </c>
      <c r="Q132" s="218">
        <f t="shared" si="37"/>
        <v>1398526.1363103592</v>
      </c>
      <c r="R132" s="218">
        <f>IF(D132&lt;=10,INDEX('Savings Projection'!$BL$19:$BL$28,D132),LOOKUP(2,1/('Savings Projection'!$BL$19:$BL$28&lt;&gt;""),'Savings Projection'!$BL$19:$BL$28))*(1+'Model Inputs'!$B$35)^(D132-1)+IF(D132&lt;=10,INDEX('Savings Projection'!$BM$19:$BM$28,D132),LOOKUP(2,1/('Savings Projection'!$BM$19:$BM$28&lt;&gt;""),'Savings Projection'!$BM$19:$BM$28))*(1+'Model Inputs'!$B$36)^(D132-1)</f>
        <v>155226.79854876999</v>
      </c>
      <c r="S132" s="218">
        <f t="shared" si="38"/>
        <v>1243299.3377615893</v>
      </c>
      <c r="T132" s="218">
        <f>MIN(MAX(S132,0),'Tax Assumptions'!$B$20)</f>
        <v>7500</v>
      </c>
      <c r="U132" s="218">
        <f t="shared" si="39"/>
        <v>1235799.3377615893</v>
      </c>
      <c r="V132" s="218">
        <f>MAX(V131*(1+'Model Inputs'!$B$13)+U132,0)</f>
        <v>4364438.4263447095</v>
      </c>
      <c r="W132" s="218">
        <f>MAX(W131*(1+'Model Inputs'!$B$13)+M132+T132,0)</f>
        <v>268602.80479539197</v>
      </c>
      <c r="X132" s="218">
        <f t="shared" si="40"/>
        <v>4633041.2311401013</v>
      </c>
      <c r="Y132" s="226" t="str">
        <f t="shared" si="41"/>
        <v/>
      </c>
      <c r="Z132" s="226" t="str">
        <f t="shared" si="42"/>
        <v/>
      </c>
      <c r="AA132" s="226" t="str">
        <f t="shared" si="43"/>
        <v/>
      </c>
      <c r="AB132" s="226" t="str">
        <f t="shared" si="44"/>
        <v/>
      </c>
    </row>
    <row r="133" spans="1:28" x14ac:dyDescent="0.2">
      <c r="A133" s="214" t="str">
        <f t="shared" si="45"/>
        <v>4Y 2x</v>
      </c>
      <c r="B133" s="214">
        <f t="shared" si="46"/>
        <v>4</v>
      </c>
      <c r="C133" s="223">
        <f t="shared" si="47"/>
        <v>2</v>
      </c>
      <c r="D133" s="214">
        <v>8</v>
      </c>
      <c r="E133" s="214">
        <f t="shared" si="34"/>
        <v>2033</v>
      </c>
      <c r="F133" s="218">
        <f>IF(D133=1,'Model Inputs'!$B$25*(13-'Model Inputs'!$B$23)/12,'Model Inputs'!$B$25)</f>
        <v>300000</v>
      </c>
      <c r="G133" s="218">
        <f>IF(D133=1,'Model Inputs'!$B$27*(13-'Model Inputs'!$B$23)/12,IF(D133=2,'Model Inputs'!$B$27,IF(D133&lt;=MAX(3,'Model Inputs'!$B$30+1),'Model Inputs'!$B$27*(1+'Model Inputs'!$B$28)^(D133-3),'Model Inputs'!$B$27*(1+'Model Inputs'!$B$28)^(MAX(3,'Model Inputs'!$B$30+1)-3)*(1+'Model Inputs'!$B$29)^(D133-MAX(3,'Model Inputs'!$B$30+1)))))</f>
        <v>1950000.0000000002</v>
      </c>
      <c r="H133" s="224">
        <f>IF(D133&lt;=2,0,'Model Inputs'!$B$32*SIN(2*PI()*(D133-3+'Model Inputs'!$B$34)/MAX(1,'Model Inputs'!$B$33)))</f>
        <v>-0.10392304845413264</v>
      </c>
      <c r="I133" s="218">
        <f t="shared" si="35"/>
        <v>1747350.0555144416</v>
      </c>
      <c r="J133" s="218">
        <f t="shared" si="48"/>
        <v>1572205.6657868917</v>
      </c>
      <c r="K133" s="218">
        <f>F133+J133+IF(D133=1,'Model Inputs'!$B$26,0)</f>
        <v>1872205.6657868917</v>
      </c>
      <c r="L133" s="218">
        <f t="shared" si="36"/>
        <v>3744411.3315737834</v>
      </c>
      <c r="M133" s="218">
        <f>MIN(L133,'Tax Assumptions'!$B$19)</f>
        <v>24500</v>
      </c>
      <c r="N133" s="218">
        <f>MAX(L133-M133-'Tax Assumptions'!$B$8,0)</f>
        <v>3703811.3315737834</v>
      </c>
      <c r="O133" s="218">
        <f>MAX(L133-M133-'Tax Assumptions'!$B$9,0)</f>
        <v>3711911.3315737834</v>
      </c>
      <c r="P133" s="218">
        <f>IF(N133=0,0,LOOKUP(N133,'Tax Assumptions'!$F$9:$F$15,'Tax Assumptions'!$I$9:$I$15)+(N133-LOOKUP(N133,'Tax Assumptions'!$F$9:$F$15,'Tax Assumptions'!$F$9:$F$15))*LOOKUP(N133,'Tax Assumptions'!$F$9:$F$15,'Tax Assumptions'!$H$9:$H$15))+MIN(MAX(L133,0),'Tax Assumptions'!$B$11)*'Tax Assumptions'!$B$10+MAX(L133,0)*'Tax Assumptions'!$B$12+MAX(MAX(L133,0)-'Tax Assumptions'!$B$14,0)*'Tax Assumptions'!$B$13+MIN(L133*'Tax Assumptions'!$B$15,'Tax Assumptions'!$B$16)+MIN(L133*'Tax Assumptions'!$B$17,'Tax Assumptions'!$B$18)+IF(O133=0,0,LOOKUP(O133,'Tax Assumptions'!$K$9:$K$17,'Tax Assumptions'!$N$9:$N$17)+(O133-LOOKUP(O133,'Tax Assumptions'!$K$9:$K$17,'Tax Assumptions'!$K$9:$K$17))*LOOKUP(O133,'Tax Assumptions'!$K$9:$K$17,'Tax Assumptions'!$M$9:$M$17))+IF(O133=0,0,LOOKUP(O133,'Tax Assumptions'!$P$9:$P$12,'Tax Assumptions'!$S$9:$S$12)+(O133-LOOKUP(O133,'Tax Assumptions'!$P$9:$P$12,'Tax Assumptions'!$P$9:$P$12))*LOOKUP(O133,'Tax Assumptions'!$P$9:$P$12,'Tax Assumptions'!$R$9:$R$12))</f>
        <v>1893605.5706829536</v>
      </c>
      <c r="Q133" s="218">
        <f t="shared" si="37"/>
        <v>1826305.7608908298</v>
      </c>
      <c r="R133" s="218">
        <f>IF(D133&lt;=10,INDEX('Savings Projection'!$BL$19:$BL$28,D133),LOOKUP(2,1/('Savings Projection'!$BL$19:$BL$28&lt;&gt;""),'Savings Projection'!$BL$19:$BL$28))*(1+'Model Inputs'!$B$35)^(D133-1)+IF(D133&lt;=10,INDEX('Savings Projection'!$BM$19:$BM$28,D133),LOOKUP(2,1/('Savings Projection'!$BM$19:$BM$28&lt;&gt;""),'Savings Projection'!$BM$19:$BM$28))*(1+'Model Inputs'!$B$36)^(D133-1)</f>
        <v>159883.60250523311</v>
      </c>
      <c r="S133" s="218">
        <f t="shared" si="38"/>
        <v>1666422.1583855967</v>
      </c>
      <c r="T133" s="218">
        <f>MIN(MAX(S133,0),'Tax Assumptions'!$B$20)</f>
        <v>7500</v>
      </c>
      <c r="U133" s="218">
        <f t="shared" si="39"/>
        <v>1658922.1583855967</v>
      </c>
      <c r="V133" s="218">
        <f>MAX(V132*(1+'Model Inputs'!$B$13)+U133,0)</f>
        <v>6285226.8903109897</v>
      </c>
      <c r="W133" s="218">
        <f>MAX(W132*(1+'Model Inputs'!$B$13)+M133+T133,0)</f>
        <v>316718.97308311553</v>
      </c>
      <c r="X133" s="218">
        <f t="shared" si="40"/>
        <v>6601945.8633941049</v>
      </c>
      <c r="Y133" s="226" t="str">
        <f t="shared" si="41"/>
        <v/>
      </c>
      <c r="Z133" s="226" t="str">
        <f t="shared" si="42"/>
        <v/>
      </c>
      <c r="AA133" s="226" t="str">
        <f t="shared" si="43"/>
        <v/>
      </c>
      <c r="AB133" s="226" t="str">
        <f t="shared" si="44"/>
        <v/>
      </c>
    </row>
    <row r="134" spans="1:28" x14ac:dyDescent="0.2">
      <c r="A134" s="214" t="str">
        <f t="shared" si="45"/>
        <v>4Y 2x</v>
      </c>
      <c r="B134" s="214">
        <f t="shared" si="46"/>
        <v>4</v>
      </c>
      <c r="C134" s="223">
        <f t="shared" si="47"/>
        <v>2</v>
      </c>
      <c r="D134" s="214">
        <v>9</v>
      </c>
      <c r="E134" s="214">
        <f t="shared" si="34"/>
        <v>2034</v>
      </c>
      <c r="F134" s="218">
        <f>IF(D134=1,'Model Inputs'!$B$25*(13-'Model Inputs'!$B$23)/12,'Model Inputs'!$B$25)</f>
        <v>300000</v>
      </c>
      <c r="G134" s="218">
        <f>IF(D134=1,'Model Inputs'!$B$27*(13-'Model Inputs'!$B$23)/12,IF(D134=2,'Model Inputs'!$B$27,IF(D134&lt;=MAX(3,'Model Inputs'!$B$30+1),'Model Inputs'!$B$27*(1+'Model Inputs'!$B$28)^(D134-3),'Model Inputs'!$B$27*(1+'Model Inputs'!$B$28)^(MAX(3,'Model Inputs'!$B$30+1)-3)*(1+'Model Inputs'!$B$29)^(D134-MAX(3,'Model Inputs'!$B$30+1)))))</f>
        <v>2478210.9983498608</v>
      </c>
      <c r="H134" s="224">
        <f>IF(D134&lt;=2,0,'Model Inputs'!$B$32*SIN(2*PI()*(D134-3+'Model Inputs'!$B$34)/MAX(1,'Model Inputs'!$B$33)))</f>
        <v>-5.8783046359072947E-17</v>
      </c>
      <c r="I134" s="218">
        <f t="shared" si="35"/>
        <v>2478210.9983498603</v>
      </c>
      <c r="J134" s="218">
        <f t="shared" si="48"/>
        <v>1733969.9666232408</v>
      </c>
      <c r="K134" s="218">
        <f>F134+J134+IF(D134=1,'Model Inputs'!$B$26,0)</f>
        <v>2033969.9666232408</v>
      </c>
      <c r="L134" s="218">
        <f t="shared" si="36"/>
        <v>4067939.9332464817</v>
      </c>
      <c r="M134" s="218">
        <f>MIN(L134,'Tax Assumptions'!$B$19)</f>
        <v>24500</v>
      </c>
      <c r="N134" s="218">
        <f>MAX(L134-M134-'Tax Assumptions'!$B$8,0)</f>
        <v>4027339.9332464817</v>
      </c>
      <c r="O134" s="218">
        <f>MAX(L134-M134-'Tax Assumptions'!$B$9,0)</f>
        <v>4035439.9332464817</v>
      </c>
      <c r="P134" s="218">
        <f>IF(N134=0,0,LOOKUP(N134,'Tax Assumptions'!$F$9:$F$15,'Tax Assumptions'!$I$9:$I$15)+(N134-LOOKUP(N134,'Tax Assumptions'!$F$9:$F$15,'Tax Assumptions'!$F$9:$F$15))*LOOKUP(N134,'Tax Assumptions'!$F$9:$F$15,'Tax Assumptions'!$H$9:$H$15))+MIN(MAX(L134,0),'Tax Assumptions'!$B$11)*'Tax Assumptions'!$B$10+MAX(L134,0)*'Tax Assumptions'!$B$12+MAX(MAX(L134,0)-'Tax Assumptions'!$B$14,0)*'Tax Assumptions'!$B$13+MIN(L134*'Tax Assumptions'!$B$15,'Tax Assumptions'!$B$16)+MIN(L134*'Tax Assumptions'!$B$17,'Tax Assumptions'!$B$18)+IF(O134=0,0,LOOKUP(O134,'Tax Assumptions'!$K$9:$K$17,'Tax Assumptions'!$N$9:$N$17)+(O134-LOOKUP(O134,'Tax Assumptions'!$K$9:$K$17,'Tax Assumptions'!$K$9:$K$17))*LOOKUP(O134,'Tax Assumptions'!$K$9:$K$17,'Tax Assumptions'!$M$9:$M$17))+IF(O134=0,0,LOOKUP(O134,'Tax Assumptions'!$P$9:$P$12,'Tax Assumptions'!$S$9:$S$12)+(O134-LOOKUP(O134,'Tax Assumptions'!$P$9:$P$12,'Tax Assumptions'!$P$9:$P$12))*LOOKUP(O134,'Tax Assumptions'!$P$9:$P$12,'Tax Assumptions'!$R$9:$R$12))</f>
        <v>2064674.5541034096</v>
      </c>
      <c r="Q134" s="218">
        <f t="shared" si="37"/>
        <v>1978765.3791430721</v>
      </c>
      <c r="R134" s="218">
        <f>IF(D134&lt;=10,INDEX('Savings Projection'!$BL$19:$BL$28,D134),LOOKUP(2,1/('Savings Projection'!$BL$19:$BL$28&lt;&gt;""),'Savings Projection'!$BL$19:$BL$28))*(1+'Model Inputs'!$B$35)^(D134-1)+IF(D134&lt;=10,INDEX('Savings Projection'!$BM$19:$BM$28,D134),LOOKUP(2,1/('Savings Projection'!$BM$19:$BM$28&lt;&gt;""),'Savings Projection'!$BM$19:$BM$28))*(1+'Model Inputs'!$B$36)^(D134-1)</f>
        <v>164680.11058039009</v>
      </c>
      <c r="S134" s="218">
        <f t="shared" si="38"/>
        <v>1814085.268562682</v>
      </c>
      <c r="T134" s="218">
        <f>MIN(MAX(S134,0),'Tax Assumptions'!$B$20)</f>
        <v>7500</v>
      </c>
      <c r="U134" s="218">
        <f t="shared" si="39"/>
        <v>1806585.268562682</v>
      </c>
      <c r="V134" s="218">
        <f>MAX(V133*(1+'Model Inputs'!$B$13)+U134,0)</f>
        <v>8468925.7722923309</v>
      </c>
      <c r="W134" s="218">
        <f>MAX(W133*(1+'Model Inputs'!$B$13)+M134+T134,0)</f>
        <v>367722.11146810249</v>
      </c>
      <c r="X134" s="218">
        <f t="shared" si="40"/>
        <v>8836647.8837604336</v>
      </c>
      <c r="Y134" s="226" t="str">
        <f t="shared" si="41"/>
        <v/>
      </c>
      <c r="Z134" s="226" t="str">
        <f t="shared" si="42"/>
        <v/>
      </c>
      <c r="AA134" s="226" t="str">
        <f t="shared" si="43"/>
        <v/>
      </c>
      <c r="AB134" s="226" t="str">
        <f t="shared" si="44"/>
        <v/>
      </c>
    </row>
    <row r="135" spans="1:28" x14ac:dyDescent="0.2">
      <c r="A135" s="214" t="str">
        <f t="shared" si="45"/>
        <v>4Y 2x</v>
      </c>
      <c r="B135" s="214">
        <f t="shared" si="46"/>
        <v>4</v>
      </c>
      <c r="C135" s="223">
        <f t="shared" si="47"/>
        <v>2</v>
      </c>
      <c r="D135" s="214">
        <v>10</v>
      </c>
      <c r="E135" s="214">
        <f t="shared" si="34"/>
        <v>2035</v>
      </c>
      <c r="F135" s="218">
        <f>IF(D135=1,'Model Inputs'!$B$25*(13-'Model Inputs'!$B$23)/12,'Model Inputs'!$B$25)</f>
        <v>300000</v>
      </c>
      <c r="G135" s="218">
        <f>IF(D135=1,'Model Inputs'!$B$27*(13-'Model Inputs'!$B$23)/12,IF(D135=2,'Model Inputs'!$B$27,IF(D135&lt;=MAX(3,'Model Inputs'!$B$30+1),'Model Inputs'!$B$27*(1+'Model Inputs'!$B$28)^(D135-3),'Model Inputs'!$B$27*(1+'Model Inputs'!$B$28)^(MAX(3,'Model Inputs'!$B$30+1)-3)*(1+'Model Inputs'!$B$29)^(D135-MAX(3,'Model Inputs'!$B$30+1)))))</f>
        <v>3149502.4370985711</v>
      </c>
      <c r="H135" s="224">
        <f>IF(D135&lt;=2,0,'Model Inputs'!$B$32*SIN(2*PI()*(D135-3+'Model Inputs'!$B$34)/MAX(1,'Model Inputs'!$B$33)))</f>
        <v>0.10392304845413271</v>
      </c>
      <c r="I135" s="218">
        <f t="shared" si="35"/>
        <v>3476808.331475575</v>
      </c>
      <c r="J135" s="218">
        <f t="shared" si="48"/>
        <v>2295495.7626410057</v>
      </c>
      <c r="K135" s="218">
        <f>F135+J135+IF(D135=1,'Model Inputs'!$B$26,0)</f>
        <v>2595495.7626410057</v>
      </c>
      <c r="L135" s="218">
        <f t="shared" si="36"/>
        <v>5190991.5252820114</v>
      </c>
      <c r="M135" s="218">
        <f>MIN(L135,'Tax Assumptions'!$B$19)</f>
        <v>24500</v>
      </c>
      <c r="N135" s="218">
        <f>MAX(L135-M135-'Tax Assumptions'!$B$8,0)</f>
        <v>5150391.5252820114</v>
      </c>
      <c r="O135" s="218">
        <f>MAX(L135-M135-'Tax Assumptions'!$B$9,0)</f>
        <v>5158491.5252820114</v>
      </c>
      <c r="P135" s="218">
        <f>IF(N135=0,0,LOOKUP(N135,'Tax Assumptions'!$F$9:$F$15,'Tax Assumptions'!$I$9:$I$15)+(N135-LOOKUP(N135,'Tax Assumptions'!$F$9:$F$15,'Tax Assumptions'!$F$9:$F$15))*LOOKUP(N135,'Tax Assumptions'!$F$9:$F$15,'Tax Assumptions'!$H$9:$H$15))+MIN(MAX(L135,0),'Tax Assumptions'!$B$11)*'Tax Assumptions'!$B$10+MAX(L135,0)*'Tax Assumptions'!$B$12+MAX(MAX(L135,0)-'Tax Assumptions'!$B$14,0)*'Tax Assumptions'!$B$13+MIN(L135*'Tax Assumptions'!$B$15,'Tax Assumptions'!$B$16)+MIN(L135*'Tax Assumptions'!$B$17,'Tax Assumptions'!$B$18)+IF(O135=0,0,LOOKUP(O135,'Tax Assumptions'!$K$9:$K$17,'Tax Assumptions'!$N$9:$N$17)+(O135-LOOKUP(O135,'Tax Assumptions'!$K$9:$K$17,'Tax Assumptions'!$K$9:$K$17))*LOOKUP(O135,'Tax Assumptions'!$K$9:$K$17,'Tax Assumptions'!$M$9:$M$17))+IF(O135=0,0,LOOKUP(O135,'Tax Assumptions'!$P$9:$P$12,'Tax Assumptions'!$S$9:$S$12)+(O135-LOOKUP(O135,'Tax Assumptions'!$P$9:$P$12,'Tax Assumptions'!$P$9:$P$12))*LOOKUP(O135,'Tax Assumptions'!$P$9:$P$12,'Tax Assumptions'!$R$9:$R$12))</f>
        <v>2659532.6638224493</v>
      </c>
      <c r="Q135" s="218">
        <f t="shared" si="37"/>
        <v>2506958.8614595621</v>
      </c>
      <c r="R135" s="218">
        <f>IF(D135&lt;=10,INDEX('Savings Projection'!$BL$19:$BL$28,D135),LOOKUP(2,1/('Savings Projection'!$BL$19:$BL$28&lt;&gt;""),'Savings Projection'!$BL$19:$BL$28))*(1+'Model Inputs'!$B$35)^(D135-1)+IF(D135&lt;=10,INDEX('Savings Projection'!$BM$19:$BM$28,D135),LOOKUP(2,1/('Savings Projection'!$BM$19:$BM$28&lt;&gt;""),'Savings Projection'!$BM$19:$BM$28))*(1+'Model Inputs'!$B$36)^(D135-1)</f>
        <v>169620.51389780178</v>
      </c>
      <c r="S135" s="218">
        <f t="shared" si="38"/>
        <v>2337338.3475617603</v>
      </c>
      <c r="T135" s="218">
        <f>MIN(MAX(S135,0),'Tax Assumptions'!$B$20)</f>
        <v>7500</v>
      </c>
      <c r="U135" s="218">
        <f t="shared" si="39"/>
        <v>2329838.3475617603</v>
      </c>
      <c r="V135" s="218">
        <f>MAX(V134*(1+'Model Inputs'!$B$13)+U135,0)</f>
        <v>11306899.666191632</v>
      </c>
      <c r="W135" s="218">
        <f>MAX(W134*(1+'Model Inputs'!$B$13)+M135+T135,0)</f>
        <v>421785.43815618864</v>
      </c>
      <c r="X135" s="218">
        <f t="shared" si="40"/>
        <v>11728685.104347821</v>
      </c>
      <c r="Y135" s="226" t="str">
        <f t="shared" si="41"/>
        <v/>
      </c>
      <c r="Z135" s="226" t="str">
        <f t="shared" si="42"/>
        <v/>
      </c>
      <c r="AA135" s="226" t="str">
        <f t="shared" si="43"/>
        <v/>
      </c>
      <c r="AB135" s="226" t="str">
        <f t="shared" si="44"/>
        <v/>
      </c>
    </row>
    <row r="136" spans="1:28" x14ac:dyDescent="0.2">
      <c r="A136" s="214" t="str">
        <f t="shared" si="45"/>
        <v>4Y 2x</v>
      </c>
      <c r="B136" s="214">
        <f t="shared" si="46"/>
        <v>4</v>
      </c>
      <c r="C136" s="223">
        <f t="shared" si="47"/>
        <v>2</v>
      </c>
      <c r="D136" s="214">
        <v>11</v>
      </c>
      <c r="E136" s="214">
        <f t="shared" si="34"/>
        <v>2036</v>
      </c>
      <c r="F136" s="218">
        <f>IF(D136=1,'Model Inputs'!$B$25*(13-'Model Inputs'!$B$23)/12,'Model Inputs'!$B$25)</f>
        <v>300000</v>
      </c>
      <c r="G136" s="218">
        <f>IF(D136=1,'Model Inputs'!$B$27*(13-'Model Inputs'!$B$23)/12,IF(D136=2,'Model Inputs'!$B$27,IF(D136&lt;=MAX(3,'Model Inputs'!$B$30+1),'Model Inputs'!$B$27*(1+'Model Inputs'!$B$28)^(D136-3),'Model Inputs'!$B$27*(1+'Model Inputs'!$B$28)^(MAX(3,'Model Inputs'!$B$30+1)-3)*(1+'Model Inputs'!$B$29)^(D136-MAX(3,'Model Inputs'!$B$30+1)))))</f>
        <v>4002631.578947369</v>
      </c>
      <c r="H136" s="224">
        <f>IF(D136&lt;=2,0,'Model Inputs'!$B$32*SIN(2*PI()*(D136-3+'Model Inputs'!$B$34)/MAX(1,'Model Inputs'!$B$33)))</f>
        <v>-0.10392304845413253</v>
      </c>
      <c r="I136" s="218">
        <f t="shared" si="35"/>
        <v>3586665.9034243808</v>
      </c>
      <c r="J136" s="218">
        <f t="shared" si="48"/>
        <v>3227158.9981941464</v>
      </c>
      <c r="K136" s="218">
        <f>F136+J136+IF(D136=1,'Model Inputs'!$B$26,0)</f>
        <v>3527158.9981941464</v>
      </c>
      <c r="L136" s="218">
        <f t="shared" si="36"/>
        <v>7054317.9963882929</v>
      </c>
      <c r="M136" s="218">
        <f>MIN(L136,'Tax Assumptions'!$B$19)</f>
        <v>24500</v>
      </c>
      <c r="N136" s="218">
        <f>MAX(L136-M136-'Tax Assumptions'!$B$8,0)</f>
        <v>7013717.9963882929</v>
      </c>
      <c r="O136" s="218">
        <f>MAX(L136-M136-'Tax Assumptions'!$B$9,0)</f>
        <v>7021817.9963882929</v>
      </c>
      <c r="P136" s="218">
        <f>IF(N136=0,0,LOOKUP(N136,'Tax Assumptions'!$F$9:$F$15,'Tax Assumptions'!$I$9:$I$15)+(N136-LOOKUP(N136,'Tax Assumptions'!$F$9:$F$15,'Tax Assumptions'!$F$9:$F$15))*LOOKUP(N136,'Tax Assumptions'!$F$9:$F$15,'Tax Assumptions'!$H$9:$H$15))+MIN(MAX(L136,0),'Tax Assumptions'!$B$11)*'Tax Assumptions'!$B$10+MAX(L136,0)*'Tax Assumptions'!$B$12+MAX(MAX(L136,0)-'Tax Assumptions'!$B$14,0)*'Tax Assumptions'!$B$13+MIN(L136*'Tax Assumptions'!$B$15,'Tax Assumptions'!$B$16)+MIN(L136*'Tax Assumptions'!$B$17,'Tax Assumptions'!$B$18)+IF(O136=0,0,LOOKUP(O136,'Tax Assumptions'!$K$9:$K$17,'Tax Assumptions'!$N$9:$N$17)+(O136-LOOKUP(O136,'Tax Assumptions'!$K$9:$K$17,'Tax Assumptions'!$K$9:$K$17))*LOOKUP(O136,'Tax Assumptions'!$K$9:$K$17,'Tax Assumptions'!$M$9:$M$17))+IF(O136=0,0,LOOKUP(O136,'Tax Assumptions'!$P$9:$P$12,'Tax Assumptions'!$S$9:$S$12)+(O136-LOOKUP(O136,'Tax Assumptions'!$P$9:$P$12,'Tax Assumptions'!$P$9:$P$12))*LOOKUP(O136,'Tax Assumptions'!$P$9:$P$12,'Tax Assumptions'!$R$9:$R$12))</f>
        <v>3656896.7907467978</v>
      </c>
      <c r="Q136" s="218">
        <f t="shared" si="37"/>
        <v>3372921.2056414951</v>
      </c>
      <c r="R136" s="218">
        <f>IF(D136&lt;=10,INDEX('Savings Projection'!$BL$19:$BL$28,D136),LOOKUP(2,1/('Savings Projection'!$BL$19:$BL$28&lt;&gt;""),'Savings Projection'!$BL$19:$BL$28))*(1+'Model Inputs'!$B$35)^(D136-1)+IF(D136&lt;=10,INDEX('Savings Projection'!$BM$19:$BM$28,D136),LOOKUP(2,1/('Savings Projection'!$BM$19:$BM$28&lt;&gt;""),'Savings Projection'!$BM$19:$BM$28))*(1+'Model Inputs'!$B$36)^(D136-1)</f>
        <v>174709.12931473582</v>
      </c>
      <c r="S136" s="218">
        <f t="shared" si="38"/>
        <v>3198212.0763267591</v>
      </c>
      <c r="T136" s="218">
        <f>MIN(MAX(S136,0),'Tax Assumptions'!$B$20)</f>
        <v>7500</v>
      </c>
      <c r="U136" s="218">
        <f t="shared" si="39"/>
        <v>3190712.0763267591</v>
      </c>
      <c r="V136" s="218">
        <f>MAX(V135*(1+'Model Inputs'!$B$13)+U136,0)</f>
        <v>15176025.72248989</v>
      </c>
      <c r="W136" s="218">
        <f>MAX(W135*(1+'Model Inputs'!$B$13)+M136+T136,0)</f>
        <v>479092.56444555998</v>
      </c>
      <c r="X136" s="218">
        <f t="shared" si="40"/>
        <v>15655118.286935451</v>
      </c>
      <c r="Y136" s="226">
        <f t="shared" si="41"/>
        <v>11</v>
      </c>
      <c r="Z136" s="226" t="str">
        <f t="shared" si="42"/>
        <v/>
      </c>
      <c r="AA136" s="226" t="str">
        <f t="shared" si="43"/>
        <v/>
      </c>
      <c r="AB136" s="226" t="str">
        <f t="shared" si="44"/>
        <v/>
      </c>
    </row>
    <row r="137" spans="1:28" x14ac:dyDescent="0.2">
      <c r="A137" s="214" t="str">
        <f t="shared" si="45"/>
        <v>4Y 2x</v>
      </c>
      <c r="B137" s="214">
        <f t="shared" si="46"/>
        <v>4</v>
      </c>
      <c r="C137" s="223">
        <f t="shared" si="47"/>
        <v>2</v>
      </c>
      <c r="D137" s="214">
        <v>12</v>
      </c>
      <c r="E137" s="214">
        <f t="shared" si="34"/>
        <v>2037</v>
      </c>
      <c r="F137" s="218">
        <f>IF(D137=1,'Model Inputs'!$B$25*(13-'Model Inputs'!$B$23)/12,'Model Inputs'!$B$25)</f>
        <v>300000</v>
      </c>
      <c r="G137" s="218">
        <f>IF(D137=1,'Model Inputs'!$B$27*(13-'Model Inputs'!$B$23)/12,IF(D137=2,'Model Inputs'!$B$27,IF(D137&lt;=MAX(3,'Model Inputs'!$B$30+1),'Model Inputs'!$B$27*(1+'Model Inputs'!$B$28)^(D137-3),'Model Inputs'!$B$27*(1+'Model Inputs'!$B$28)^(MAX(3,'Model Inputs'!$B$30+1)-3)*(1+'Model Inputs'!$B$29)^(D137-MAX(3,'Model Inputs'!$B$30+1)))))</f>
        <v>5086854.15450761</v>
      </c>
      <c r="H137" s="224">
        <f>IF(D137&lt;=2,0,'Model Inputs'!$B$32*SIN(2*PI()*(D137-3+'Model Inputs'!$B$34)/MAX(1,'Model Inputs'!$B$33)))</f>
        <v>-8.8174569538609421E-17</v>
      </c>
      <c r="I137" s="218">
        <f t="shared" si="35"/>
        <v>5086854.1545076091</v>
      </c>
      <c r="J137" s="218">
        <f t="shared" si="48"/>
        <v>3559201.5104371794</v>
      </c>
      <c r="K137" s="218">
        <f>F137+J137+IF(D137=1,'Model Inputs'!$B$26,0)</f>
        <v>3859201.5104371794</v>
      </c>
      <c r="L137" s="218">
        <f t="shared" si="36"/>
        <v>7718403.0208743587</v>
      </c>
      <c r="M137" s="218">
        <f>MIN(L137,'Tax Assumptions'!$B$19)</f>
        <v>24500</v>
      </c>
      <c r="N137" s="218">
        <f>MAX(L137-M137-'Tax Assumptions'!$B$8,0)</f>
        <v>7677803.0208743587</v>
      </c>
      <c r="O137" s="218">
        <f>MAX(L137-M137-'Tax Assumptions'!$B$9,0)</f>
        <v>7685903.0208743587</v>
      </c>
      <c r="P137" s="218">
        <f>IF(N137=0,0,LOOKUP(N137,'Tax Assumptions'!$F$9:$F$15,'Tax Assumptions'!$I$9:$I$15)+(N137-LOOKUP(N137,'Tax Assumptions'!$F$9:$F$15,'Tax Assumptions'!$F$9:$F$15))*LOOKUP(N137,'Tax Assumptions'!$F$9:$F$15,'Tax Assumptions'!$H$9:$H$15))+MIN(MAX(L137,0),'Tax Assumptions'!$B$11)*'Tax Assumptions'!$B$10+MAX(L137,0)*'Tax Assumptions'!$B$12+MAX(MAX(L137,0)-'Tax Assumptions'!$B$14,0)*'Tax Assumptions'!$B$13+MIN(L137*'Tax Assumptions'!$B$15,'Tax Assumptions'!$B$16)+MIN(L137*'Tax Assumptions'!$B$17,'Tax Assumptions'!$B$18)+IF(O137=0,0,LOOKUP(O137,'Tax Assumptions'!$K$9:$K$17,'Tax Assumptions'!$N$9:$N$17)+(O137-LOOKUP(O137,'Tax Assumptions'!$K$9:$K$17,'Tax Assumptions'!$K$9:$K$17))*LOOKUP(O137,'Tax Assumptions'!$K$9:$K$17,'Tax Assumptions'!$M$9:$M$17))+IF(O137=0,0,LOOKUP(O137,'Tax Assumptions'!$P$9:$P$12,'Tax Assumptions'!$S$9:$S$12)+(O137-LOOKUP(O137,'Tax Assumptions'!$P$9:$P$12,'Tax Assumptions'!$P$9:$P$12))*LOOKUP(O137,'Tax Assumptions'!$P$9:$P$12,'Tax Assumptions'!$R$9:$R$12))</f>
        <v>4012354.9409532091</v>
      </c>
      <c r="Q137" s="218">
        <f t="shared" si="37"/>
        <v>3681548.0799211496</v>
      </c>
      <c r="R137" s="218">
        <f>IF(D137&lt;=10,INDEX('Savings Projection'!$BL$19:$BL$28,D137),LOOKUP(2,1/('Savings Projection'!$BL$19:$BL$28&lt;&gt;""),'Savings Projection'!$BL$19:$BL$28))*(1+'Model Inputs'!$B$35)^(D137-1)+IF(D137&lt;=10,INDEX('Savings Projection'!$BM$19:$BM$28,D137),LOOKUP(2,1/('Savings Projection'!$BM$19:$BM$28&lt;&gt;""),'Savings Projection'!$BM$19:$BM$28))*(1+'Model Inputs'!$B$36)^(D137-1)</f>
        <v>179950.4031941779</v>
      </c>
      <c r="S137" s="218">
        <f t="shared" si="38"/>
        <v>3501597.6767269718</v>
      </c>
      <c r="T137" s="218">
        <f>MIN(MAX(S137,0),'Tax Assumptions'!$B$20)</f>
        <v>7500</v>
      </c>
      <c r="U137" s="218">
        <f t="shared" si="39"/>
        <v>3494097.6767269718</v>
      </c>
      <c r="V137" s="218">
        <f>MAX(V136*(1+'Model Inputs'!$B$13)+U137,0)</f>
        <v>19580684.942566257</v>
      </c>
      <c r="W137" s="218">
        <f>MAX(W136*(1+'Model Inputs'!$B$13)+M137+T137,0)</f>
        <v>539838.11831229366</v>
      </c>
      <c r="X137" s="218">
        <f t="shared" si="40"/>
        <v>20120523.060878552</v>
      </c>
      <c r="Y137" s="226" t="str">
        <f t="shared" si="41"/>
        <v/>
      </c>
      <c r="Z137" s="226">
        <f t="shared" si="42"/>
        <v>12</v>
      </c>
      <c r="AA137" s="226">
        <f t="shared" si="43"/>
        <v>12</v>
      </c>
      <c r="AB137" s="226" t="str">
        <f t="shared" si="44"/>
        <v/>
      </c>
    </row>
    <row r="138" spans="1:28" x14ac:dyDescent="0.2">
      <c r="A138" s="214" t="str">
        <f t="shared" si="45"/>
        <v>4Y 2x</v>
      </c>
      <c r="B138" s="214">
        <f t="shared" si="46"/>
        <v>4</v>
      </c>
      <c r="C138" s="223">
        <f t="shared" si="47"/>
        <v>2</v>
      </c>
      <c r="D138" s="214">
        <v>13</v>
      </c>
      <c r="E138" s="214">
        <f t="shared" si="34"/>
        <v>2038</v>
      </c>
      <c r="F138" s="218">
        <f>IF(D138=1,'Model Inputs'!$B$25*(13-'Model Inputs'!$B$23)/12,'Model Inputs'!$B$25)</f>
        <v>300000</v>
      </c>
      <c r="G138" s="218">
        <f>IF(D138=1,'Model Inputs'!$B$27*(13-'Model Inputs'!$B$23)/12,IF(D138=2,'Model Inputs'!$B$27,IF(D138&lt;=MAX(3,'Model Inputs'!$B$30+1),'Model Inputs'!$B$27*(1+'Model Inputs'!$B$28)^(D138-3),'Model Inputs'!$B$27*(1+'Model Inputs'!$B$28)^(MAX(3,'Model Inputs'!$B$30+1)-3)*(1+'Model Inputs'!$B$29)^(D138-MAX(3,'Model Inputs'!$B$30+1)))))</f>
        <v>6464768.1603602255</v>
      </c>
      <c r="H138" s="224">
        <f>IF(D138&lt;=2,0,'Model Inputs'!$B$32*SIN(2*PI()*(D138-3+'Model Inputs'!$B$34)/MAX(1,'Model Inputs'!$B$33)))</f>
        <v>0.10392304845413261</v>
      </c>
      <c r="I138" s="218">
        <f t="shared" si="35"/>
        <v>7136606.5751340752</v>
      </c>
      <c r="J138" s="218">
        <f t="shared" si="48"/>
        <v>4711807.0917368019</v>
      </c>
      <c r="K138" s="218">
        <f>F138+J138+IF(D138=1,'Model Inputs'!$B$26,0)</f>
        <v>5011807.0917368019</v>
      </c>
      <c r="L138" s="218">
        <f t="shared" si="36"/>
        <v>10023614.183473604</v>
      </c>
      <c r="M138" s="218">
        <f>MIN(L138,'Tax Assumptions'!$B$19)</f>
        <v>24500</v>
      </c>
      <c r="N138" s="218">
        <f>MAX(L138-M138-'Tax Assumptions'!$B$8,0)</f>
        <v>9983014.1834736038</v>
      </c>
      <c r="O138" s="218">
        <f>MAX(L138-M138-'Tax Assumptions'!$B$9,0)</f>
        <v>9991114.1834736038</v>
      </c>
      <c r="P138" s="218">
        <f>IF(N138=0,0,LOOKUP(N138,'Tax Assumptions'!$F$9:$F$15,'Tax Assumptions'!$I$9:$I$15)+(N138-LOOKUP(N138,'Tax Assumptions'!$F$9:$F$15,'Tax Assumptions'!$F$9:$F$15))*LOOKUP(N138,'Tax Assumptions'!$F$9:$F$15,'Tax Assumptions'!$H$9:$H$15))+MIN(MAX(L138,0),'Tax Assumptions'!$B$11)*'Tax Assumptions'!$B$10+MAX(L138,0)*'Tax Assumptions'!$B$12+MAX(MAX(L138,0)-'Tax Assumptions'!$B$14,0)*'Tax Assumptions'!$B$13+MIN(L138*'Tax Assumptions'!$B$15,'Tax Assumptions'!$B$16)+MIN(L138*'Tax Assumptions'!$B$17,'Tax Assumptions'!$B$18)+IF(O138=0,0,LOOKUP(O138,'Tax Assumptions'!$K$9:$K$17,'Tax Assumptions'!$N$9:$N$17)+(O138-LOOKUP(O138,'Tax Assumptions'!$K$9:$K$17,'Tax Assumptions'!$K$9:$K$17))*LOOKUP(O138,'Tax Assumptions'!$K$9:$K$17,'Tax Assumptions'!$M$9:$M$17))+IF(O138=0,0,LOOKUP(O138,'Tax Assumptions'!$P$9:$P$12,'Tax Assumptions'!$S$9:$S$12)+(O138-LOOKUP(O138,'Tax Assumptions'!$P$9:$P$12,'Tax Assumptions'!$P$9:$P$12))*LOOKUP(O138,'Tax Assumptions'!$P$9:$P$12,'Tax Assumptions'!$R$9:$R$12))</f>
        <v>5246242.2678460814</v>
      </c>
      <c r="Q138" s="218">
        <f t="shared" si="37"/>
        <v>4752871.9156275224</v>
      </c>
      <c r="R138" s="218">
        <f>IF(D138&lt;=10,INDEX('Savings Projection'!$BL$19:$BL$28,D138),LOOKUP(2,1/('Savings Projection'!$BL$19:$BL$28&lt;&gt;""),'Savings Projection'!$BL$19:$BL$28))*(1+'Model Inputs'!$B$35)^(D138-1)+IF(D138&lt;=10,INDEX('Savings Projection'!$BM$19:$BM$28,D138),LOOKUP(2,1/('Savings Projection'!$BM$19:$BM$28&lt;&gt;""),'Savings Projection'!$BM$19:$BM$28))*(1+'Model Inputs'!$B$36)^(D138-1)</f>
        <v>185348.91529000323</v>
      </c>
      <c r="S138" s="218">
        <f t="shared" si="38"/>
        <v>4567523.0003375188</v>
      </c>
      <c r="T138" s="218">
        <f>MIN(MAX(S138,0),'Tax Assumptions'!$B$20)</f>
        <v>7500</v>
      </c>
      <c r="U138" s="218">
        <f t="shared" si="39"/>
        <v>4560023.0003375188</v>
      </c>
      <c r="V138" s="218">
        <f>MAX(V137*(1+'Model Inputs'!$B$13)+U138,0)</f>
        <v>25315549.039457753</v>
      </c>
      <c r="W138" s="218">
        <f>MAX(W137*(1+'Model Inputs'!$B$13)+M138+T138,0)</f>
        <v>604228.40541103133</v>
      </c>
      <c r="X138" s="218">
        <f t="shared" si="40"/>
        <v>25919777.444868784</v>
      </c>
      <c r="Y138" s="226" t="str">
        <f t="shared" si="41"/>
        <v/>
      </c>
      <c r="Z138" s="226" t="str">
        <f t="shared" si="42"/>
        <v/>
      </c>
      <c r="AA138" s="226" t="str">
        <f t="shared" si="43"/>
        <v/>
      </c>
      <c r="AB138" s="226">
        <f t="shared" si="44"/>
        <v>13</v>
      </c>
    </row>
    <row r="139" spans="1:28" x14ac:dyDescent="0.2">
      <c r="A139" s="214" t="str">
        <f t="shared" si="45"/>
        <v>4Y 2x</v>
      </c>
      <c r="B139" s="214">
        <f t="shared" si="46"/>
        <v>4</v>
      </c>
      <c r="C139" s="223">
        <f t="shared" si="47"/>
        <v>2</v>
      </c>
      <c r="D139" s="214">
        <v>14</v>
      </c>
      <c r="E139" s="214">
        <f t="shared" si="34"/>
        <v>2039</v>
      </c>
      <c r="F139" s="218">
        <f>IF(D139=1,'Model Inputs'!$B$25*(13-'Model Inputs'!$B$23)/12,'Model Inputs'!$B$25)</f>
        <v>300000</v>
      </c>
      <c r="G139" s="218">
        <f>IF(D139=1,'Model Inputs'!$B$27*(13-'Model Inputs'!$B$23)/12,IF(D139=2,'Model Inputs'!$B$27,IF(D139&lt;=MAX(3,'Model Inputs'!$B$30+1),'Model Inputs'!$B$27*(1+'Model Inputs'!$B$28)^(D139-3),'Model Inputs'!$B$27*(1+'Model Inputs'!$B$28)^(MAX(3,'Model Inputs'!$B$30+1)-3)*(1+'Model Inputs'!$B$29)^(D139-MAX(3,'Model Inputs'!$B$30+1)))))</f>
        <v>8215927.9778393377</v>
      </c>
      <c r="H139" s="224">
        <f>IF(D139&lt;=2,0,'Model Inputs'!$B$32*SIN(2*PI()*(D139-3+'Model Inputs'!$B$34)/MAX(1,'Model Inputs'!$B$33)))</f>
        <v>-0.10392304845413251</v>
      </c>
      <c r="I139" s="218">
        <f t="shared" si="35"/>
        <v>7362103.6965026772</v>
      </c>
      <c r="J139" s="218">
        <f t="shared" si="48"/>
        <v>6624168.4699774589</v>
      </c>
      <c r="K139" s="218">
        <f>F139+J139+IF(D139=1,'Model Inputs'!$B$26,0)</f>
        <v>6924168.4699774589</v>
      </c>
      <c r="L139" s="218">
        <f t="shared" si="36"/>
        <v>13848336.939954918</v>
      </c>
      <c r="M139" s="218">
        <f>MIN(L139,'Tax Assumptions'!$B$19)</f>
        <v>24500</v>
      </c>
      <c r="N139" s="218">
        <f>MAX(L139-M139-'Tax Assumptions'!$B$8,0)</f>
        <v>13807736.939954918</v>
      </c>
      <c r="O139" s="218">
        <f>MAX(L139-M139-'Tax Assumptions'!$B$9,0)</f>
        <v>13815836.939954918</v>
      </c>
      <c r="P139" s="218">
        <f>IF(N139=0,0,LOOKUP(N139,'Tax Assumptions'!$F$9:$F$15,'Tax Assumptions'!$I$9:$I$15)+(N139-LOOKUP(N139,'Tax Assumptions'!$F$9:$F$15,'Tax Assumptions'!$F$9:$F$15))*LOOKUP(N139,'Tax Assumptions'!$F$9:$F$15,'Tax Assumptions'!$H$9:$H$15))+MIN(MAX(L139,0),'Tax Assumptions'!$B$11)*'Tax Assumptions'!$B$10+MAX(L139,0)*'Tax Assumptions'!$B$12+MAX(MAX(L139,0)-'Tax Assumptions'!$B$14,0)*'Tax Assumptions'!$B$13+MIN(L139*'Tax Assumptions'!$B$15,'Tax Assumptions'!$B$16)+MIN(L139*'Tax Assumptions'!$B$17,'Tax Assumptions'!$B$18)+IF(O139=0,0,LOOKUP(O139,'Tax Assumptions'!$K$9:$K$17,'Tax Assumptions'!$N$9:$N$17)+(O139-LOOKUP(O139,'Tax Assumptions'!$K$9:$K$17,'Tax Assumptions'!$K$9:$K$17))*LOOKUP(O139,'Tax Assumptions'!$K$9:$K$17,'Tax Assumptions'!$M$9:$M$17))+IF(O139=0,0,LOOKUP(O139,'Tax Assumptions'!$P$9:$P$12,'Tax Assumptions'!$S$9:$S$12)+(O139-LOOKUP(O139,'Tax Assumptions'!$P$9:$P$12,'Tax Assumptions'!$P$9:$P$12))*LOOKUP(O139,'Tax Assumptions'!$P$9:$P$12,'Tax Assumptions'!$R$9:$R$12))</f>
        <v>7293463.3704802701</v>
      </c>
      <c r="Q139" s="218">
        <f t="shared" si="37"/>
        <v>6530373.5694746478</v>
      </c>
      <c r="R139" s="218">
        <f>IF(D139&lt;=10,INDEX('Savings Projection'!$BL$19:$BL$28,D139),LOOKUP(2,1/('Savings Projection'!$BL$19:$BL$28&lt;&gt;""),'Savings Projection'!$BL$19:$BL$28))*(1+'Model Inputs'!$B$35)^(D139-1)+IF(D139&lt;=10,INDEX('Savings Projection'!$BM$19:$BM$28,D139),LOOKUP(2,1/('Savings Projection'!$BM$19:$BM$28&lt;&gt;""),'Savings Projection'!$BM$19:$BM$28))*(1+'Model Inputs'!$B$36)^(D139-1)</f>
        <v>190909.3827487033</v>
      </c>
      <c r="S139" s="218">
        <f t="shared" si="38"/>
        <v>6339464.1867259443</v>
      </c>
      <c r="T139" s="218">
        <f>MIN(MAX(S139,0),'Tax Assumptions'!$B$20)</f>
        <v>7500</v>
      </c>
      <c r="U139" s="218">
        <f t="shared" si="39"/>
        <v>6331964.1867259443</v>
      </c>
      <c r="V139" s="218">
        <f>MAX(V138*(1+'Model Inputs'!$B$13)+U139,0)</f>
        <v>33166446.168551166</v>
      </c>
      <c r="W139" s="218">
        <f>MAX(W138*(1+'Model Inputs'!$B$13)+M139+T139,0)</f>
        <v>672482.1097356932</v>
      </c>
      <c r="X139" s="218">
        <f t="shared" si="40"/>
        <v>33838928.278286859</v>
      </c>
      <c r="Y139" s="226" t="str">
        <f t="shared" si="41"/>
        <v/>
      </c>
      <c r="Z139" s="226" t="str">
        <f t="shared" si="42"/>
        <v/>
      </c>
      <c r="AA139" s="226" t="str">
        <f t="shared" si="43"/>
        <v/>
      </c>
      <c r="AB139" s="226" t="str">
        <f t="shared" si="44"/>
        <v/>
      </c>
    </row>
    <row r="140" spans="1:28" x14ac:dyDescent="0.2">
      <c r="A140" s="214" t="str">
        <f t="shared" si="45"/>
        <v>4Y 2x</v>
      </c>
      <c r="B140" s="214">
        <f t="shared" si="46"/>
        <v>4</v>
      </c>
      <c r="C140" s="223">
        <f t="shared" si="47"/>
        <v>2</v>
      </c>
      <c r="D140" s="214">
        <v>15</v>
      </c>
      <c r="E140" s="214">
        <f t="shared" si="34"/>
        <v>2040</v>
      </c>
      <c r="F140" s="218">
        <f>IF(D140=1,'Model Inputs'!$B$25*(13-'Model Inputs'!$B$23)/12,'Model Inputs'!$B$25)</f>
        <v>300000</v>
      </c>
      <c r="G140" s="218">
        <f>IF(D140=1,'Model Inputs'!$B$27*(13-'Model Inputs'!$B$23)/12,IF(D140=2,'Model Inputs'!$B$27,IF(D140&lt;=MAX(3,'Model Inputs'!$B$30+1),'Model Inputs'!$B$27*(1+'Model Inputs'!$B$28)^(D140-3),'Model Inputs'!$B$27*(1+'Model Inputs'!$B$28)^(MAX(3,'Model Inputs'!$B$30+1)-3)*(1+'Model Inputs'!$B$29)^(D140-MAX(3,'Model Inputs'!$B$30+1)))))</f>
        <v>10441437.475041937</v>
      </c>
      <c r="H140" s="224">
        <f>IF(D140&lt;=2,0,'Model Inputs'!$B$32*SIN(2*PI()*(D140-3+'Model Inputs'!$B$34)/MAX(1,'Model Inputs'!$B$33)))</f>
        <v>-1.1756609271814589E-16</v>
      </c>
      <c r="I140" s="218">
        <f t="shared" si="35"/>
        <v>10441437.475041935</v>
      </c>
      <c r="J140" s="218">
        <f t="shared" si="48"/>
        <v>7305729.4161605267</v>
      </c>
      <c r="K140" s="218">
        <f>F140+J140+IF(D140=1,'Model Inputs'!$B$26,0)</f>
        <v>7605729.4161605267</v>
      </c>
      <c r="L140" s="218">
        <f t="shared" si="36"/>
        <v>15211458.832321053</v>
      </c>
      <c r="M140" s="218">
        <f>MIN(L140,'Tax Assumptions'!$B$19)</f>
        <v>24500</v>
      </c>
      <c r="N140" s="218">
        <f>MAX(L140-M140-'Tax Assumptions'!$B$8,0)</f>
        <v>15170858.832321053</v>
      </c>
      <c r="O140" s="218">
        <f>MAX(L140-M140-'Tax Assumptions'!$B$9,0)</f>
        <v>15178958.832321053</v>
      </c>
      <c r="P140" s="218">
        <f>IF(N140=0,0,LOOKUP(N140,'Tax Assumptions'!$F$9:$F$15,'Tax Assumptions'!$I$9:$I$15)+(N140-LOOKUP(N140,'Tax Assumptions'!$F$9:$F$15,'Tax Assumptions'!$F$9:$F$15))*LOOKUP(N140,'Tax Assumptions'!$F$9:$F$15,'Tax Assumptions'!$H$9:$H$15))+MIN(MAX(L140,0),'Tax Assumptions'!$B$11)*'Tax Assumptions'!$B$10+MAX(L140,0)*'Tax Assumptions'!$B$12+MAX(MAX(L140,0)-'Tax Assumptions'!$B$14,0)*'Tax Assumptions'!$B$13+MIN(L140*'Tax Assumptions'!$B$15,'Tax Assumptions'!$B$16)+MIN(L140*'Tax Assumptions'!$B$17,'Tax Assumptions'!$B$18)+IF(O140=0,0,LOOKUP(O140,'Tax Assumptions'!$K$9:$K$17,'Tax Assumptions'!$N$9:$N$17)+(O140-LOOKUP(O140,'Tax Assumptions'!$K$9:$K$17,'Tax Assumptions'!$K$9:$K$17))*LOOKUP(O140,'Tax Assumptions'!$K$9:$K$17,'Tax Assumptions'!$M$9:$M$17))+IF(O140=0,0,LOOKUP(O140,'Tax Assumptions'!$P$9:$P$12,'Tax Assumptions'!$S$9:$S$12)+(O140-LOOKUP(O140,'Tax Assumptions'!$P$9:$P$12,'Tax Assumptions'!$P$9:$P$12))*LOOKUP(O140,'Tax Assumptions'!$P$9:$P$12,'Tax Assumptions'!$R$9:$R$12))</f>
        <v>8023087.9945881683</v>
      </c>
      <c r="Q140" s="218">
        <f t="shared" si="37"/>
        <v>7163870.837732885</v>
      </c>
      <c r="R140" s="218">
        <f>IF(D140&lt;=10,INDEX('Savings Projection'!$BL$19:$BL$28,D140),LOOKUP(2,1/('Savings Projection'!$BL$19:$BL$28&lt;&gt;""),'Savings Projection'!$BL$19:$BL$28))*(1+'Model Inputs'!$B$35)^(D140-1)+IF(D140&lt;=10,INDEX('Savings Projection'!$BM$19:$BM$28,D140),LOOKUP(2,1/('Savings Projection'!$BM$19:$BM$28&lt;&gt;""),'Savings Projection'!$BM$19:$BM$28))*(1+'Model Inputs'!$B$36)^(D140-1)</f>
        <v>196636.66423116444</v>
      </c>
      <c r="S140" s="218">
        <f t="shared" si="38"/>
        <v>6967234.1735017207</v>
      </c>
      <c r="T140" s="218">
        <f>MIN(MAX(S140,0),'Tax Assumptions'!$B$20)</f>
        <v>7500</v>
      </c>
      <c r="U140" s="218">
        <f t="shared" si="39"/>
        <v>6959734.1735017207</v>
      </c>
      <c r="V140" s="218">
        <f>MAX(V139*(1+'Model Inputs'!$B$13)+U140,0)</f>
        <v>42116167.112165958</v>
      </c>
      <c r="W140" s="218">
        <f>MAX(W139*(1+'Model Inputs'!$B$13)+M140+T140,0)</f>
        <v>744831.03631983488</v>
      </c>
      <c r="X140" s="218">
        <f t="shared" si="40"/>
        <v>42860998.148485795</v>
      </c>
      <c r="Y140" s="226" t="str">
        <f t="shared" si="41"/>
        <v/>
      </c>
      <c r="Z140" s="226" t="str">
        <f t="shared" si="42"/>
        <v/>
      </c>
      <c r="AA140" s="226" t="str">
        <f t="shared" si="43"/>
        <v/>
      </c>
      <c r="AB140" s="226" t="str">
        <f t="shared" si="44"/>
        <v/>
      </c>
    </row>
    <row r="141" spans="1:28" x14ac:dyDescent="0.2">
      <c r="A141" s="214" t="str">
        <f t="shared" si="45"/>
        <v>4Y 2x</v>
      </c>
      <c r="B141" s="214">
        <f t="shared" si="46"/>
        <v>4</v>
      </c>
      <c r="C141" s="223">
        <f t="shared" si="47"/>
        <v>2</v>
      </c>
      <c r="D141" s="214">
        <v>16</v>
      </c>
      <c r="E141" s="214">
        <f t="shared" si="34"/>
        <v>2041</v>
      </c>
      <c r="F141" s="218">
        <f>IF(D141=1,'Model Inputs'!$B$25*(13-'Model Inputs'!$B$23)/12,'Model Inputs'!$B$25)</f>
        <v>300000</v>
      </c>
      <c r="G141" s="218">
        <f>IF(D141=1,'Model Inputs'!$B$27*(13-'Model Inputs'!$B$23)/12,IF(D141=2,'Model Inputs'!$B$27,IF(D141&lt;=MAX(3,'Model Inputs'!$B$30+1),'Model Inputs'!$B$27*(1+'Model Inputs'!$B$28)^(D141-3),'Model Inputs'!$B$27*(1+'Model Inputs'!$B$28)^(MAX(3,'Model Inputs'!$B$30+1)-3)*(1+'Model Inputs'!$B$29)^(D141-MAX(3,'Model Inputs'!$B$30+1)))))</f>
        <v>13269787.276528884</v>
      </c>
      <c r="H141" s="224">
        <f>IF(D141&lt;=2,0,'Model Inputs'!$B$32*SIN(2*PI()*(D141-3+'Model Inputs'!$B$34)/MAX(1,'Model Inputs'!$B$33)))</f>
        <v>0.10392304845413262</v>
      </c>
      <c r="I141" s="218">
        <f t="shared" si="35"/>
        <v>14648824.022643628</v>
      </c>
      <c r="J141" s="218">
        <f t="shared" si="48"/>
        <v>9671604.0304071214</v>
      </c>
      <c r="K141" s="218">
        <f>F141+J141+IF(D141=1,'Model Inputs'!$B$26,0)</f>
        <v>9971604.0304071214</v>
      </c>
      <c r="L141" s="218">
        <f t="shared" si="36"/>
        <v>19943208.060814243</v>
      </c>
      <c r="M141" s="218">
        <f>MIN(L141,'Tax Assumptions'!$B$19)</f>
        <v>24500</v>
      </c>
      <c r="N141" s="218">
        <f>MAX(L141-M141-'Tax Assumptions'!$B$8,0)</f>
        <v>19902608.060814243</v>
      </c>
      <c r="O141" s="218">
        <f>MAX(L141-M141-'Tax Assumptions'!$B$9,0)</f>
        <v>19910708.060814243</v>
      </c>
      <c r="P141" s="218">
        <f>IF(N141=0,0,LOOKUP(N141,'Tax Assumptions'!$F$9:$F$15,'Tax Assumptions'!$I$9:$I$15)+(N141-LOOKUP(N141,'Tax Assumptions'!$F$9:$F$15,'Tax Assumptions'!$F$9:$F$15))*LOOKUP(N141,'Tax Assumptions'!$F$9:$F$15,'Tax Assumptions'!$H$9:$H$15))+MIN(MAX(L141,0),'Tax Assumptions'!$B$11)*'Tax Assumptions'!$B$10+MAX(L141,0)*'Tax Assumptions'!$B$12+MAX(MAX(L141,0)-'Tax Assumptions'!$B$14,0)*'Tax Assumptions'!$B$13+MIN(L141*'Tax Assumptions'!$B$15,'Tax Assumptions'!$B$16)+MIN(L141*'Tax Assumptions'!$B$17,'Tax Assumptions'!$B$18)+IF(O141=0,0,LOOKUP(O141,'Tax Assumptions'!$K$9:$K$17,'Tax Assumptions'!$N$9:$N$17)+(O141-LOOKUP(O141,'Tax Assumptions'!$K$9:$K$17,'Tax Assumptions'!$K$9:$K$17))*LOOKUP(O141,'Tax Assumptions'!$K$9:$K$17,'Tax Assumptions'!$M$9:$M$17))+IF(O141=0,0,LOOKUP(O141,'Tax Assumptions'!$P$9:$P$12,'Tax Assumptions'!$S$9:$S$12)+(O141-LOOKUP(O141,'Tax Assumptions'!$P$9:$P$12,'Tax Assumptions'!$P$9:$P$12))*LOOKUP(O141,'Tax Assumptions'!$P$9:$P$12,'Tax Assumptions'!$R$9:$R$12))</f>
        <v>10555804.086631432</v>
      </c>
      <c r="Q141" s="218">
        <f t="shared" si="37"/>
        <v>9362903.9741828106</v>
      </c>
      <c r="R141" s="218">
        <f>IF(D141&lt;=10,INDEX('Savings Projection'!$BL$19:$BL$28,D141),LOOKUP(2,1/('Savings Projection'!$BL$19:$BL$28&lt;&gt;""),'Savings Projection'!$BL$19:$BL$28))*(1+'Model Inputs'!$B$35)^(D141-1)+IF(D141&lt;=10,INDEX('Savings Projection'!$BM$19:$BM$28,D141),LOOKUP(2,1/('Savings Projection'!$BM$19:$BM$28&lt;&gt;""),'Savings Projection'!$BM$19:$BM$28))*(1+'Model Inputs'!$B$36)^(D141-1)</f>
        <v>202535.76415809937</v>
      </c>
      <c r="S141" s="218">
        <f t="shared" si="38"/>
        <v>9160368.2100247107</v>
      </c>
      <c r="T141" s="218">
        <f>MIN(MAX(S141,0),'Tax Assumptions'!$B$20)</f>
        <v>7500</v>
      </c>
      <c r="U141" s="218">
        <f t="shared" si="39"/>
        <v>9152868.2100247107</v>
      </c>
      <c r="V141" s="218">
        <f>MAX(V140*(1+'Model Inputs'!$B$13)+U141,0)</f>
        <v>53796005.348920628</v>
      </c>
      <c r="W141" s="218">
        <f>MAX(W140*(1+'Model Inputs'!$B$13)+M141+T141,0)</f>
        <v>821520.89849902503</v>
      </c>
      <c r="X141" s="218">
        <f t="shared" si="40"/>
        <v>54617526.247419655</v>
      </c>
      <c r="Y141" s="226" t="str">
        <f t="shared" si="41"/>
        <v/>
      </c>
      <c r="Z141" s="226" t="str">
        <f t="shared" si="42"/>
        <v/>
      </c>
      <c r="AA141" s="226" t="str">
        <f t="shared" si="43"/>
        <v/>
      </c>
      <c r="AB141" s="226" t="str">
        <f t="shared" si="44"/>
        <v/>
      </c>
    </row>
    <row r="142" spans="1:28" x14ac:dyDescent="0.2">
      <c r="A142" s="214" t="str">
        <f t="shared" si="45"/>
        <v>4Y 2x</v>
      </c>
      <c r="B142" s="214">
        <f t="shared" si="46"/>
        <v>4</v>
      </c>
      <c r="C142" s="223">
        <f t="shared" si="47"/>
        <v>2</v>
      </c>
      <c r="D142" s="214">
        <v>17</v>
      </c>
      <c r="E142" s="214">
        <f t="shared" si="34"/>
        <v>2042</v>
      </c>
      <c r="F142" s="218">
        <f>IF(D142=1,'Model Inputs'!$B$25*(13-'Model Inputs'!$B$23)/12,'Model Inputs'!$B$25)</f>
        <v>300000</v>
      </c>
      <c r="G142" s="218">
        <f>IF(D142=1,'Model Inputs'!$B$27*(13-'Model Inputs'!$B$23)/12,IF(D142=2,'Model Inputs'!$B$27,IF(D142&lt;=MAX(3,'Model Inputs'!$B$30+1),'Model Inputs'!$B$27*(1+'Model Inputs'!$B$28)^(D142-3),'Model Inputs'!$B$27*(1+'Model Inputs'!$B$28)^(MAX(3,'Model Inputs'!$B$30+1)-3)*(1+'Model Inputs'!$B$29)^(D142-MAX(3,'Model Inputs'!$B$30+1)))))</f>
        <v>16864273.217670217</v>
      </c>
      <c r="H142" s="224">
        <f>IF(D142&lt;=2,0,'Model Inputs'!$B$32*SIN(2*PI()*(D142-3+'Model Inputs'!$B$34)/MAX(1,'Model Inputs'!$B$33)))</f>
        <v>-0.1039230484541325</v>
      </c>
      <c r="I142" s="218">
        <f t="shared" si="35"/>
        <v>15111686.534926547</v>
      </c>
      <c r="J142" s="218">
        <f t="shared" si="48"/>
        <v>13596977.385743205</v>
      </c>
      <c r="K142" s="218">
        <f>F142+J142+IF(D142=1,'Model Inputs'!$B$26,0)</f>
        <v>13896977.385743205</v>
      </c>
      <c r="L142" s="218">
        <f t="shared" si="36"/>
        <v>27793954.771486409</v>
      </c>
      <c r="M142" s="218">
        <f>MIN(L142,'Tax Assumptions'!$B$19)</f>
        <v>24500</v>
      </c>
      <c r="N142" s="218">
        <f>MAX(L142-M142-'Tax Assumptions'!$B$8,0)</f>
        <v>27753354.771486409</v>
      </c>
      <c r="O142" s="218">
        <f>MAX(L142-M142-'Tax Assumptions'!$B$9,0)</f>
        <v>27761454.771486409</v>
      </c>
      <c r="P142" s="218">
        <f>IF(N142=0,0,LOOKUP(N142,'Tax Assumptions'!$F$9:$F$15,'Tax Assumptions'!$I$9:$I$15)+(N142-LOOKUP(N142,'Tax Assumptions'!$F$9:$F$15,'Tax Assumptions'!$F$9:$F$15))*LOOKUP(N142,'Tax Assumptions'!$F$9:$F$15,'Tax Assumptions'!$H$9:$H$15))+MIN(MAX(L142,0),'Tax Assumptions'!$B$11)*'Tax Assumptions'!$B$10+MAX(L142,0)*'Tax Assumptions'!$B$12+MAX(MAX(L142,0)-'Tax Assumptions'!$B$14,0)*'Tax Assumptions'!$B$13+MIN(L142*'Tax Assumptions'!$B$15,'Tax Assumptions'!$B$16)+MIN(L142*'Tax Assumptions'!$B$17,'Tax Assumptions'!$B$18)+IF(O142=0,0,LOOKUP(O142,'Tax Assumptions'!$K$9:$K$17,'Tax Assumptions'!$N$9:$N$17)+(O142-LOOKUP(O142,'Tax Assumptions'!$K$9:$K$17,'Tax Assumptions'!$K$9:$K$17))*LOOKUP(O142,'Tax Assumptions'!$K$9:$K$17,'Tax Assumptions'!$M$9:$M$17))+IF(O142=0,0,LOOKUP(O142,'Tax Assumptions'!$P$9:$P$12,'Tax Assumptions'!$S$9:$S$12)+(O142-LOOKUP(O142,'Tax Assumptions'!$P$9:$P$12,'Tax Assumptions'!$P$9:$P$12))*LOOKUP(O142,'Tax Assumptions'!$P$9:$P$12,'Tax Assumptions'!$R$9:$R$12))</f>
        <v>14774563.499614732</v>
      </c>
      <c r="Q142" s="218">
        <f t="shared" si="37"/>
        <v>12994891.271871677</v>
      </c>
      <c r="R142" s="218">
        <f>IF(D142&lt;=10,INDEX('Savings Projection'!$BL$19:$BL$28,D142),LOOKUP(2,1/('Savings Projection'!$BL$19:$BL$28&lt;&gt;""),'Savings Projection'!$BL$19:$BL$28))*(1+'Model Inputs'!$B$35)^(D142-1)+IF(D142&lt;=10,INDEX('Savings Projection'!$BM$19:$BM$28,D142),LOOKUP(2,1/('Savings Projection'!$BM$19:$BM$28&lt;&gt;""),'Savings Projection'!$BM$19:$BM$28))*(1+'Model Inputs'!$B$36)^(D142-1)</f>
        <v>208611.83708284231</v>
      </c>
      <c r="S142" s="218">
        <f t="shared" si="38"/>
        <v>12786279.434788834</v>
      </c>
      <c r="T142" s="218">
        <f>MIN(MAX(S142,0),'Tax Assumptions'!$B$20)</f>
        <v>7500</v>
      </c>
      <c r="U142" s="218">
        <f t="shared" si="39"/>
        <v>12778779.434788834</v>
      </c>
      <c r="V142" s="218">
        <f>MAX(V141*(1+'Model Inputs'!$B$13)+U142,0)</f>
        <v>69802545.104644701</v>
      </c>
      <c r="W142" s="218">
        <f>MAX(W141*(1+'Model Inputs'!$B$13)+M142+T142,0)</f>
        <v>902812.15240896656</v>
      </c>
      <c r="X142" s="218">
        <f t="shared" si="40"/>
        <v>70705357.257053673</v>
      </c>
      <c r="Y142" s="226" t="str">
        <f t="shared" si="41"/>
        <v/>
      </c>
      <c r="Z142" s="226" t="str">
        <f t="shared" si="42"/>
        <v/>
      </c>
      <c r="AA142" s="226" t="str">
        <f t="shared" si="43"/>
        <v/>
      </c>
      <c r="AB142" s="226" t="str">
        <f t="shared" si="44"/>
        <v/>
      </c>
    </row>
    <row r="143" spans="1:28" x14ac:dyDescent="0.2">
      <c r="A143" s="214" t="str">
        <f t="shared" si="45"/>
        <v>4Y 2x</v>
      </c>
      <c r="B143" s="214">
        <f t="shared" si="46"/>
        <v>4</v>
      </c>
      <c r="C143" s="223">
        <f t="shared" si="47"/>
        <v>2</v>
      </c>
      <c r="D143" s="214">
        <v>18</v>
      </c>
      <c r="E143" s="214">
        <f t="shared" si="34"/>
        <v>2043</v>
      </c>
      <c r="F143" s="218">
        <f>IF(D143=1,'Model Inputs'!$B$25*(13-'Model Inputs'!$B$23)/12,'Model Inputs'!$B$25)</f>
        <v>300000</v>
      </c>
      <c r="G143" s="218">
        <f>IF(D143=1,'Model Inputs'!$B$27*(13-'Model Inputs'!$B$23)/12,IF(D143=2,'Model Inputs'!$B$27,IF(D143&lt;=MAX(3,'Model Inputs'!$B$30+1),'Model Inputs'!$B$27*(1+'Model Inputs'!$B$28)^(D143-3),'Model Inputs'!$B$27*(1+'Model Inputs'!$B$28)^(MAX(3,'Model Inputs'!$B$30+1)-3)*(1+'Model Inputs'!$B$29)^(D143-MAX(3,'Model Inputs'!$B$30+1)))))</f>
        <v>21432424.290875554</v>
      </c>
      <c r="H143" s="224">
        <f>IF(D143&lt;=2,0,'Model Inputs'!$B$32*SIN(2*PI()*(D143-3+'Model Inputs'!$B$34)/MAX(1,'Model Inputs'!$B$33)))</f>
        <v>-5.7328325735374245E-16</v>
      </c>
      <c r="I143" s="218">
        <f t="shared" si="35"/>
        <v>21432424.290875543</v>
      </c>
      <c r="J143" s="218">
        <f t="shared" si="48"/>
        <v>14995970.906855816</v>
      </c>
      <c r="K143" s="218">
        <f>F143+J143+IF(D143=1,'Model Inputs'!$B$26,0)</f>
        <v>15295970.906855816</v>
      </c>
      <c r="L143" s="218">
        <f t="shared" si="36"/>
        <v>30591941.813711632</v>
      </c>
      <c r="M143" s="218">
        <f>MIN(L143,'Tax Assumptions'!$B$19)</f>
        <v>24500</v>
      </c>
      <c r="N143" s="218">
        <f>MAX(L143-M143-'Tax Assumptions'!$B$8,0)</f>
        <v>30551341.813711632</v>
      </c>
      <c r="O143" s="218">
        <f>MAX(L143-M143-'Tax Assumptions'!$B$9,0)</f>
        <v>30559441.813711632</v>
      </c>
      <c r="P143" s="218">
        <f>IF(N143=0,0,LOOKUP(N143,'Tax Assumptions'!$F$9:$F$15,'Tax Assumptions'!$I$9:$I$15)+(N143-LOOKUP(N143,'Tax Assumptions'!$F$9:$F$15,'Tax Assumptions'!$F$9:$F$15))*LOOKUP(N143,'Tax Assumptions'!$F$9:$F$15,'Tax Assumptions'!$H$9:$H$15))+MIN(MAX(L143,0),'Tax Assumptions'!$B$11)*'Tax Assumptions'!$B$10+MAX(L143,0)*'Tax Assumptions'!$B$12+MAX(MAX(L143,0)-'Tax Assumptions'!$B$14,0)*'Tax Assumptions'!$B$13+MIN(L143*'Tax Assumptions'!$B$15,'Tax Assumptions'!$B$16)+MIN(L143*'Tax Assumptions'!$B$17,'Tax Assumptions'!$B$18)+IF(O143=0,0,LOOKUP(O143,'Tax Assumptions'!$K$9:$K$17,'Tax Assumptions'!$N$9:$N$17)+(O143-LOOKUP(O143,'Tax Assumptions'!$K$9:$K$17,'Tax Assumptions'!$K$9:$K$17))*LOOKUP(O143,'Tax Assumptions'!$K$9:$K$17,'Tax Assumptions'!$M$9:$M$17))+IF(O143=0,0,LOOKUP(O143,'Tax Assumptions'!$P$9:$P$12,'Tax Assumptions'!$S$9:$S$12)+(O143-LOOKUP(O143,'Tax Assumptions'!$P$9:$P$12,'Tax Assumptions'!$P$9:$P$12))*LOOKUP(O143,'Tax Assumptions'!$P$9:$P$12,'Tax Assumptions'!$R$9:$R$12))</f>
        <v>16289001.966089558</v>
      </c>
      <c r="Q143" s="218">
        <f t="shared" si="37"/>
        <v>14278439.847622074</v>
      </c>
      <c r="R143" s="218">
        <f>IF(D143&lt;=10,INDEX('Savings Projection'!$BL$19:$BL$28,D143),LOOKUP(2,1/('Savings Projection'!$BL$19:$BL$28&lt;&gt;""),'Savings Projection'!$BL$19:$BL$28))*(1+'Model Inputs'!$B$35)^(D143-1)+IF(D143&lt;=10,INDEX('Savings Projection'!$BM$19:$BM$28,D143),LOOKUP(2,1/('Savings Projection'!$BM$19:$BM$28&lt;&gt;""),'Savings Projection'!$BM$19:$BM$28))*(1+'Model Inputs'!$B$36)^(D143-1)</f>
        <v>214870.1921953276</v>
      </c>
      <c r="S143" s="218">
        <f t="shared" si="38"/>
        <v>14063569.655426746</v>
      </c>
      <c r="T143" s="218">
        <f>MIN(MAX(S143,0),'Tax Assumptions'!$B$20)</f>
        <v>7500</v>
      </c>
      <c r="U143" s="218">
        <f t="shared" si="39"/>
        <v>14056069.655426746</v>
      </c>
      <c r="V143" s="218">
        <f>MAX(V142*(1+'Model Inputs'!$B$13)+U143,0)</f>
        <v>88046767.466350123</v>
      </c>
      <c r="W143" s="218">
        <f>MAX(W142*(1+'Model Inputs'!$B$13)+M143+T143,0)</f>
        <v>988980.88155350462</v>
      </c>
      <c r="X143" s="218">
        <f t="shared" si="40"/>
        <v>89035748.347903624</v>
      </c>
      <c r="Y143" s="226" t="str">
        <f t="shared" si="41"/>
        <v/>
      </c>
      <c r="Z143" s="226" t="str">
        <f t="shared" si="42"/>
        <v/>
      </c>
      <c r="AA143" s="226" t="str">
        <f t="shared" si="43"/>
        <v/>
      </c>
      <c r="AB143" s="226" t="str">
        <f t="shared" si="44"/>
        <v/>
      </c>
    </row>
    <row r="144" spans="1:28" x14ac:dyDescent="0.2">
      <c r="A144" s="214" t="str">
        <f t="shared" si="45"/>
        <v>4Y 2x</v>
      </c>
      <c r="B144" s="214">
        <f t="shared" si="46"/>
        <v>4</v>
      </c>
      <c r="C144" s="223">
        <f t="shared" si="47"/>
        <v>2</v>
      </c>
      <c r="D144" s="214">
        <v>19</v>
      </c>
      <c r="E144" s="214">
        <f t="shared" si="34"/>
        <v>2044</v>
      </c>
      <c r="F144" s="218">
        <f>IF(D144=1,'Model Inputs'!$B$25*(13-'Model Inputs'!$B$23)/12,'Model Inputs'!$B$25)</f>
        <v>300000</v>
      </c>
      <c r="G144" s="218">
        <f>IF(D144=1,'Model Inputs'!$B$27*(13-'Model Inputs'!$B$23)/12,IF(D144=2,'Model Inputs'!$B$27,IF(D144&lt;=MAX(3,'Model Inputs'!$B$30+1),'Model Inputs'!$B$27*(1+'Model Inputs'!$B$28)^(D144-3),'Model Inputs'!$B$27*(1+'Model Inputs'!$B$28)^(MAX(3,'Model Inputs'!$B$30+1)-3)*(1+'Model Inputs'!$B$29)^(D144-MAX(3,'Model Inputs'!$B$30+1)))))</f>
        <v>27237984.409717187</v>
      </c>
      <c r="H144" s="224">
        <f>IF(D144&lt;=2,0,'Model Inputs'!$B$32*SIN(2*PI()*(D144-3+'Model Inputs'!$B$34)/MAX(1,'Model Inputs'!$B$33)))</f>
        <v>0.10392304845413286</v>
      </c>
      <c r="I144" s="218">
        <f t="shared" si="35"/>
        <v>30068638.783321142</v>
      </c>
      <c r="J144" s="218">
        <f t="shared" si="48"/>
        <v>19852239.851888295</v>
      </c>
      <c r="K144" s="218">
        <f>F144+J144+IF(D144=1,'Model Inputs'!$B$26,0)</f>
        <v>20152239.851888295</v>
      </c>
      <c r="L144" s="218">
        <f t="shared" si="36"/>
        <v>40304479.703776591</v>
      </c>
      <c r="M144" s="218">
        <f>MIN(L144,'Tax Assumptions'!$B$19)</f>
        <v>24500</v>
      </c>
      <c r="N144" s="218">
        <f>MAX(L144-M144-'Tax Assumptions'!$B$8,0)</f>
        <v>40263879.703776591</v>
      </c>
      <c r="O144" s="218">
        <f>MAX(L144-M144-'Tax Assumptions'!$B$9,0)</f>
        <v>40271979.703776591</v>
      </c>
      <c r="P144" s="218">
        <f>IF(N144=0,0,LOOKUP(N144,'Tax Assumptions'!$F$9:$F$15,'Tax Assumptions'!$I$9:$I$15)+(N144-LOOKUP(N144,'Tax Assumptions'!$F$9:$F$15,'Tax Assumptions'!$F$9:$F$15))*LOOKUP(N144,'Tax Assumptions'!$F$9:$F$15,'Tax Assumptions'!$H$9:$H$15))+MIN(MAX(L144,0),'Tax Assumptions'!$B$11)*'Tax Assumptions'!$B$10+MAX(L144,0)*'Tax Assumptions'!$B$12+MAX(MAX(L144,0)-'Tax Assumptions'!$B$14,0)*'Tax Assumptions'!$B$13+MIN(L144*'Tax Assumptions'!$B$15,'Tax Assumptions'!$B$16)+MIN(L144*'Tax Assumptions'!$B$17,'Tax Assumptions'!$B$18)+IF(O144=0,0,LOOKUP(O144,'Tax Assumptions'!$K$9:$K$17,'Tax Assumptions'!$N$9:$N$17)+(O144-LOOKUP(O144,'Tax Assumptions'!$K$9:$K$17,'Tax Assumptions'!$K$9:$K$17))*LOOKUP(O144,'Tax Assumptions'!$K$9:$K$17,'Tax Assumptions'!$M$9:$M$17))+IF(O144=0,0,LOOKUP(O144,'Tax Assumptions'!$P$9:$P$12,'Tax Assumptions'!$S$9:$S$12)+(O144-LOOKUP(O144,'Tax Assumptions'!$P$9:$P$12,'Tax Assumptions'!$P$9:$P$12))*LOOKUP(O144,'Tax Assumptions'!$P$9:$P$12,'Tax Assumptions'!$R$9:$R$12))</f>
        <v>21546010.224466115</v>
      </c>
      <c r="Q144" s="218">
        <f t="shared" si="37"/>
        <v>18733969.479310475</v>
      </c>
      <c r="R144" s="218">
        <f>IF(D144&lt;=10,INDEX('Savings Projection'!$BL$19:$BL$28,D144),LOOKUP(2,1/('Savings Projection'!$BL$19:$BL$28&lt;&gt;""),'Savings Projection'!$BL$19:$BL$28))*(1+'Model Inputs'!$B$35)^(D144-1)+IF(D144&lt;=10,INDEX('Savings Projection'!$BM$19:$BM$28,D144),LOOKUP(2,1/('Savings Projection'!$BM$19:$BM$28&lt;&gt;""),'Savings Projection'!$BM$19:$BM$28))*(1+'Model Inputs'!$B$36)^(D144-1)</f>
        <v>221316.29796118743</v>
      </c>
      <c r="S144" s="218">
        <f t="shared" si="38"/>
        <v>18512653.181349289</v>
      </c>
      <c r="T144" s="218">
        <f>MIN(MAX(S144,0),'Tax Assumptions'!$B$20)</f>
        <v>7500</v>
      </c>
      <c r="U144" s="218">
        <f t="shared" si="39"/>
        <v>18505153.181349289</v>
      </c>
      <c r="V144" s="218">
        <f>MAX(V143*(1+'Model Inputs'!$B$13)+U144,0)</f>
        <v>111834726.69568042</v>
      </c>
      <c r="W144" s="218">
        <f>MAX(W143*(1+'Model Inputs'!$B$13)+M144+T144,0)</f>
        <v>1080319.7344467151</v>
      </c>
      <c r="X144" s="218">
        <f t="shared" si="40"/>
        <v>112915046.43012714</v>
      </c>
      <c r="Y144" s="226" t="str">
        <f t="shared" si="41"/>
        <v/>
      </c>
      <c r="Z144" s="226" t="str">
        <f t="shared" si="42"/>
        <v/>
      </c>
      <c r="AA144" s="226" t="str">
        <f t="shared" si="43"/>
        <v/>
      </c>
      <c r="AB144" s="226" t="str">
        <f t="shared" si="44"/>
        <v/>
      </c>
    </row>
    <row r="145" spans="1:28" x14ac:dyDescent="0.2">
      <c r="A145" s="214" t="str">
        <f t="shared" si="45"/>
        <v>4Y 2x</v>
      </c>
      <c r="B145" s="214">
        <f t="shared" si="46"/>
        <v>4</v>
      </c>
      <c r="C145" s="223">
        <f t="shared" si="47"/>
        <v>2</v>
      </c>
      <c r="D145" s="214">
        <v>20</v>
      </c>
      <c r="E145" s="214">
        <f t="shared" si="34"/>
        <v>2045</v>
      </c>
      <c r="F145" s="218">
        <f>IF(D145=1,'Model Inputs'!$B$25*(13-'Model Inputs'!$B$23)/12,'Model Inputs'!$B$25)</f>
        <v>300000</v>
      </c>
      <c r="G145" s="218">
        <f>IF(D145=1,'Model Inputs'!$B$27*(13-'Model Inputs'!$B$23)/12,IF(D145=2,'Model Inputs'!$B$27,IF(D145&lt;=MAX(3,'Model Inputs'!$B$30+1),'Model Inputs'!$B$27*(1+'Model Inputs'!$B$28)^(D145-3),'Model Inputs'!$B$27*(1+'Model Inputs'!$B$28)^(MAX(3,'Model Inputs'!$B$30+1)-3)*(1+'Model Inputs'!$B$29)^(D145-MAX(3,'Model Inputs'!$B$30+1)))))</f>
        <v>34616139.762586243</v>
      </c>
      <c r="H145" s="224">
        <f>IF(D145&lt;=2,0,'Model Inputs'!$B$32*SIN(2*PI()*(D145-3+'Model Inputs'!$B$34)/MAX(1,'Model Inputs'!$B$33)))</f>
        <v>-0.10392304845413269</v>
      </c>
      <c r="I145" s="218">
        <f t="shared" si="35"/>
        <v>31018724.992743965</v>
      </c>
      <c r="J145" s="218">
        <f t="shared" si="48"/>
        <v>27909585.160209741</v>
      </c>
      <c r="K145" s="218">
        <f>F145+J145+IF(D145=1,'Model Inputs'!$B$26,0)</f>
        <v>28209585.160209741</v>
      </c>
      <c r="L145" s="218">
        <f t="shared" si="36"/>
        <v>56419170.320419483</v>
      </c>
      <c r="M145" s="218">
        <f>MIN(L145,'Tax Assumptions'!$B$19)</f>
        <v>24500</v>
      </c>
      <c r="N145" s="218">
        <f>MAX(L145-M145-'Tax Assumptions'!$B$8,0)</f>
        <v>56378570.320419483</v>
      </c>
      <c r="O145" s="218">
        <f>MAX(L145-M145-'Tax Assumptions'!$B$9,0)</f>
        <v>56386670.320419483</v>
      </c>
      <c r="P145" s="218">
        <f>IF(N145=0,0,LOOKUP(N145,'Tax Assumptions'!$F$9:$F$15,'Tax Assumptions'!$I$9:$I$15)+(N145-LOOKUP(N145,'Tax Assumptions'!$F$9:$F$15,'Tax Assumptions'!$F$9:$F$15))*LOOKUP(N145,'Tax Assumptions'!$F$9:$F$15,'Tax Assumptions'!$H$9:$H$15))+MIN(MAX(L145,0),'Tax Assumptions'!$B$11)*'Tax Assumptions'!$B$10+MAX(L145,0)*'Tax Assumptions'!$B$12+MAX(MAX(L145,0)-'Tax Assumptions'!$B$14,0)*'Tax Assumptions'!$B$13+MIN(L145*'Tax Assumptions'!$B$15,'Tax Assumptions'!$B$16)+MIN(L145*'Tax Assumptions'!$B$17,'Tax Assumptions'!$B$18)+IF(O145=0,0,LOOKUP(O145,'Tax Assumptions'!$K$9:$K$17,'Tax Assumptions'!$N$9:$N$17)+(O145-LOOKUP(O145,'Tax Assumptions'!$K$9:$K$17,'Tax Assumptions'!$K$9:$K$17))*LOOKUP(O145,'Tax Assumptions'!$K$9:$K$17,'Tax Assumptions'!$M$9:$M$17))+IF(O145=0,0,LOOKUP(O145,'Tax Assumptions'!$P$9:$P$12,'Tax Assumptions'!$S$9:$S$12)+(O145-LOOKUP(O145,'Tax Assumptions'!$P$9:$P$12,'Tax Assumptions'!$P$9:$P$12))*LOOKUP(O145,'Tax Assumptions'!$P$9:$P$12,'Tax Assumptions'!$R$9:$R$12))</f>
        <v>30268247.667630248</v>
      </c>
      <c r="Q145" s="218">
        <f t="shared" si="37"/>
        <v>26126422.652789235</v>
      </c>
      <c r="R145" s="218">
        <f>IF(D145&lt;=10,INDEX('Savings Projection'!$BL$19:$BL$28,D145),LOOKUP(2,1/('Savings Projection'!$BL$19:$BL$28&lt;&gt;""),'Savings Projection'!$BL$19:$BL$28))*(1+'Model Inputs'!$B$35)^(D145-1)+IF(D145&lt;=10,INDEX('Savings Projection'!$BM$19:$BM$28,D145),LOOKUP(2,1/('Savings Projection'!$BM$19:$BM$28&lt;&gt;""),'Savings Projection'!$BM$19:$BM$28))*(1+'Model Inputs'!$B$36)^(D145-1)</f>
        <v>227955.78690002306</v>
      </c>
      <c r="S145" s="218">
        <f t="shared" si="38"/>
        <v>25898466.86588921</v>
      </c>
      <c r="T145" s="218">
        <f>MIN(MAX(S145,0),'Tax Assumptions'!$B$20)</f>
        <v>7500</v>
      </c>
      <c r="U145" s="218">
        <f t="shared" si="39"/>
        <v>25890966.86588921</v>
      </c>
      <c r="V145" s="218">
        <f>MAX(V144*(1+'Model Inputs'!$B$13)+U145,0)</f>
        <v>144435777.16331047</v>
      </c>
      <c r="W145" s="218">
        <f>MAX(W144*(1+'Model Inputs'!$B$13)+M145+T145,0)</f>
        <v>1177138.9185135181</v>
      </c>
      <c r="X145" s="218">
        <f t="shared" si="40"/>
        <v>145612916.08182397</v>
      </c>
      <c r="Y145" s="226" t="str">
        <f t="shared" si="41"/>
        <v/>
      </c>
      <c r="Z145" s="226" t="str">
        <f t="shared" si="42"/>
        <v/>
      </c>
      <c r="AA145" s="226" t="str">
        <f t="shared" si="43"/>
        <v/>
      </c>
      <c r="AB145" s="226" t="str">
        <f t="shared" si="44"/>
        <v/>
      </c>
    </row>
    <row r="146" spans="1:28" x14ac:dyDescent="0.2">
      <c r="A146" s="214" t="str">
        <f t="shared" si="45"/>
        <v>4Y 2x</v>
      </c>
      <c r="B146" s="214">
        <f t="shared" si="46"/>
        <v>4</v>
      </c>
      <c r="C146" s="223">
        <f t="shared" si="47"/>
        <v>2</v>
      </c>
      <c r="D146" s="214">
        <v>21</v>
      </c>
      <c r="E146" s="214">
        <f t="shared" si="34"/>
        <v>2046</v>
      </c>
      <c r="F146" s="218">
        <f>IF(D146=1,'Model Inputs'!$B$25*(13-'Model Inputs'!$B$23)/12,'Model Inputs'!$B$25)</f>
        <v>300000</v>
      </c>
      <c r="G146" s="218">
        <f>IF(D146=1,'Model Inputs'!$B$27*(13-'Model Inputs'!$B$23)/12,IF(D146=2,'Model Inputs'!$B$27,IF(D146&lt;=MAX(3,'Model Inputs'!$B$30+1),'Model Inputs'!$B$27*(1+'Model Inputs'!$B$28)^(D146-3),'Model Inputs'!$B$27*(1+'Model Inputs'!$B$28)^(MAX(3,'Model Inputs'!$B$30+1)-3)*(1+'Model Inputs'!$B$29)^(D146-MAX(3,'Model Inputs'!$B$30+1)))))</f>
        <v>43992870.912849829</v>
      </c>
      <c r="H146" s="224">
        <f>IF(D146&lt;=2,0,'Model Inputs'!$B$32*SIN(2*PI()*(D146-3+'Model Inputs'!$B$34)/MAX(1,'Model Inputs'!$B$33)))</f>
        <v>-1.7634913907721884E-16</v>
      </c>
      <c r="I146" s="218">
        <f t="shared" si="35"/>
        <v>43992870.912849821</v>
      </c>
      <c r="J146" s="218">
        <f t="shared" si="48"/>
        <v>30781203.440388259</v>
      </c>
      <c r="K146" s="218">
        <f>F146+J146+IF(D146=1,'Model Inputs'!$B$26,0)</f>
        <v>31081203.440388259</v>
      </c>
      <c r="L146" s="218">
        <f t="shared" si="36"/>
        <v>62162406.880776517</v>
      </c>
      <c r="M146" s="218">
        <f>MIN(L146,'Tax Assumptions'!$B$19)</f>
        <v>24500</v>
      </c>
      <c r="N146" s="218">
        <f>MAX(L146-M146-'Tax Assumptions'!$B$8,0)</f>
        <v>62121806.880776517</v>
      </c>
      <c r="O146" s="218">
        <f>MAX(L146-M146-'Tax Assumptions'!$B$9,0)</f>
        <v>62129906.880776517</v>
      </c>
      <c r="P146" s="218">
        <f>IF(N146=0,0,LOOKUP(N146,'Tax Assumptions'!$F$9:$F$15,'Tax Assumptions'!$I$9:$I$15)+(N146-LOOKUP(N146,'Tax Assumptions'!$F$9:$F$15,'Tax Assumptions'!$F$9:$F$15))*LOOKUP(N146,'Tax Assumptions'!$F$9:$F$15,'Tax Assumptions'!$H$9:$H$15))+MIN(MAX(L146,0),'Tax Assumptions'!$B$11)*'Tax Assumptions'!$B$10+MAX(L146,0)*'Tax Assumptions'!$B$12+MAX(MAX(L146,0)-'Tax Assumptions'!$B$14,0)*'Tax Assumptions'!$B$13+MIN(L146*'Tax Assumptions'!$B$15,'Tax Assumptions'!$B$16)+MIN(L146*'Tax Assumptions'!$B$17,'Tax Assumptions'!$B$18)+IF(O146=0,0,LOOKUP(O146,'Tax Assumptions'!$K$9:$K$17,'Tax Assumptions'!$N$9:$N$17)+(O146-LOOKUP(O146,'Tax Assumptions'!$K$9:$K$17,'Tax Assumptions'!$K$9:$K$17))*LOOKUP(O146,'Tax Assumptions'!$K$9:$K$17,'Tax Assumptions'!$M$9:$M$17))+IF(O146=0,0,LOOKUP(O146,'Tax Assumptions'!$P$9:$P$12,'Tax Assumptions'!$S$9:$S$12)+(O146-LOOKUP(O146,'Tax Assumptions'!$P$9:$P$12,'Tax Assumptions'!$P$9:$P$12))*LOOKUP(O146,'Tax Assumptions'!$P$9:$P$12,'Tax Assumptions'!$R$9:$R$12))</f>
        <v>33376831.888289094</v>
      </c>
      <c r="Q146" s="218">
        <f t="shared" si="37"/>
        <v>28761074.992487423</v>
      </c>
      <c r="R146" s="218">
        <f>IF(D146&lt;=10,INDEX('Savings Projection'!$BL$19:$BL$28,D146),LOOKUP(2,1/('Savings Projection'!$BL$19:$BL$28&lt;&gt;""),'Savings Projection'!$BL$19:$BL$28))*(1+'Model Inputs'!$B$35)^(D146-1)+IF(D146&lt;=10,INDEX('Savings Projection'!$BM$19:$BM$28,D146),LOOKUP(2,1/('Savings Projection'!$BM$19:$BM$28&lt;&gt;""),'Savings Projection'!$BM$19:$BM$28))*(1+'Model Inputs'!$B$36)^(D146-1)</f>
        <v>234794.46050702373</v>
      </c>
      <c r="S146" s="218">
        <f t="shared" si="38"/>
        <v>28526280.531980399</v>
      </c>
      <c r="T146" s="218">
        <f>MIN(MAX(S146,0),'Tax Assumptions'!$B$20)</f>
        <v>7500</v>
      </c>
      <c r="U146" s="218">
        <f t="shared" si="39"/>
        <v>28518780.531980399</v>
      </c>
      <c r="V146" s="218">
        <f>MAX(V145*(1+'Model Inputs'!$B$13)+U146,0)</f>
        <v>181620704.32508948</v>
      </c>
      <c r="W146" s="218">
        <f>MAX(W145*(1+'Model Inputs'!$B$13)+M146+T146,0)</f>
        <v>1279767.2536243291</v>
      </c>
      <c r="X146" s="218">
        <f t="shared" si="40"/>
        <v>182900471.5787138</v>
      </c>
      <c r="Y146" s="226" t="str">
        <f t="shared" si="41"/>
        <v/>
      </c>
      <c r="Z146" s="226" t="str">
        <f t="shared" si="42"/>
        <v/>
      </c>
      <c r="AA146" s="226" t="str">
        <f t="shared" si="43"/>
        <v/>
      </c>
      <c r="AB146" s="226" t="str">
        <f t="shared" si="44"/>
        <v/>
      </c>
    </row>
    <row r="147" spans="1:28" x14ac:dyDescent="0.2">
      <c r="A147" s="214" t="str">
        <f t="shared" si="45"/>
        <v>4Y 2x</v>
      </c>
      <c r="B147" s="214">
        <f t="shared" si="46"/>
        <v>4</v>
      </c>
      <c r="C147" s="223">
        <f t="shared" si="47"/>
        <v>2</v>
      </c>
      <c r="D147" s="214">
        <v>22</v>
      </c>
      <c r="E147" s="214">
        <f t="shared" si="34"/>
        <v>2047</v>
      </c>
      <c r="F147" s="218">
        <f>IF(D147=1,'Model Inputs'!$B$25*(13-'Model Inputs'!$B$23)/12,'Model Inputs'!$B$25)</f>
        <v>300000</v>
      </c>
      <c r="G147" s="218">
        <f>IF(D147=1,'Model Inputs'!$B$27*(13-'Model Inputs'!$B$23)/12,IF(D147=2,'Model Inputs'!$B$27,IF(D147&lt;=MAX(3,'Model Inputs'!$B$30+1),'Model Inputs'!$B$27*(1+'Model Inputs'!$B$28)^(D147-3),'Model Inputs'!$B$27*(1+'Model Inputs'!$B$28)^(MAX(3,'Model Inputs'!$B$30+1)-3)*(1+'Model Inputs'!$B$29)^(D147-MAX(3,'Model Inputs'!$B$30+1)))))</f>
        <v>55909546.9462616</v>
      </c>
      <c r="H147" s="224">
        <f>IF(D147&lt;=2,0,'Model Inputs'!$B$32*SIN(2*PI()*(D147-3+'Model Inputs'!$B$34)/MAX(1,'Model Inputs'!$B$33)))</f>
        <v>0.10392304845413287</v>
      </c>
      <c r="I147" s="218">
        <f t="shared" si="35"/>
        <v>61719837.502606563</v>
      </c>
      <c r="J147" s="218">
        <f t="shared" si="48"/>
        <v>40749334.43282336</v>
      </c>
      <c r="K147" s="218">
        <f>F147+J147+IF(D147=1,'Model Inputs'!$B$26,0)</f>
        <v>41049334.43282336</v>
      </c>
      <c r="L147" s="218">
        <f t="shared" si="36"/>
        <v>82098668.86564672</v>
      </c>
      <c r="M147" s="218">
        <f>MIN(L147,'Tax Assumptions'!$B$19)</f>
        <v>24500</v>
      </c>
      <c r="N147" s="218">
        <f>MAX(L147-M147-'Tax Assumptions'!$B$8,0)</f>
        <v>82058068.86564672</v>
      </c>
      <c r="O147" s="218">
        <f>MAX(L147-M147-'Tax Assumptions'!$B$9,0)</f>
        <v>82066168.86564672</v>
      </c>
      <c r="P147" s="218">
        <f>IF(N147=0,0,LOOKUP(N147,'Tax Assumptions'!$F$9:$F$15,'Tax Assumptions'!$I$9:$I$15)+(N147-LOOKUP(N147,'Tax Assumptions'!$F$9:$F$15,'Tax Assumptions'!$F$9:$F$15))*LOOKUP(N147,'Tax Assumptions'!$F$9:$F$15,'Tax Assumptions'!$H$9:$H$15))+MIN(MAX(L147,0),'Tax Assumptions'!$B$11)*'Tax Assumptions'!$B$10+MAX(L147,0)*'Tax Assumptions'!$B$12+MAX(MAX(L147,0)-'Tax Assumptions'!$B$14,0)*'Tax Assumptions'!$B$13+MIN(L147*'Tax Assumptions'!$B$15,'Tax Assumptions'!$B$16)+MIN(L147*'Tax Assumptions'!$B$17,'Tax Assumptions'!$B$18)+IF(O147=0,0,LOOKUP(O147,'Tax Assumptions'!$K$9:$K$17,'Tax Assumptions'!$N$9:$N$17)+(O147-LOOKUP(O147,'Tax Assumptions'!$K$9:$K$17,'Tax Assumptions'!$K$9:$K$17))*LOOKUP(O147,'Tax Assumptions'!$K$9:$K$17,'Tax Assumptions'!$M$9:$M$17))+IF(O147=0,0,LOOKUP(O147,'Tax Assumptions'!$P$9:$P$12,'Tax Assumptions'!$S$9:$S$12)+(O147-LOOKUP(O147,'Tax Assumptions'!$P$9:$P$12,'Tax Assumptions'!$P$9:$P$12))*LOOKUP(O147,'Tax Assumptions'!$P$9:$P$12,'Tax Assumptions'!$R$9:$R$12))</f>
        <v>44167533.050219946</v>
      </c>
      <c r="Q147" s="218">
        <f t="shared" si="37"/>
        <v>37906635.815426774</v>
      </c>
      <c r="R147" s="218">
        <f>IF(D147&lt;=10,INDEX('Savings Projection'!$BL$19:$BL$28,D147),LOOKUP(2,1/('Savings Projection'!$BL$19:$BL$28&lt;&gt;""),'Savings Projection'!$BL$19:$BL$28))*(1+'Model Inputs'!$B$35)^(D147-1)+IF(D147&lt;=10,INDEX('Savings Projection'!$BM$19:$BM$28,D147),LOOKUP(2,1/('Savings Projection'!$BM$19:$BM$28&lt;&gt;""),'Savings Projection'!$BM$19:$BM$28))*(1+'Model Inputs'!$B$36)^(D147-1)</f>
        <v>241838.2943222344</v>
      </c>
      <c r="S147" s="218">
        <f t="shared" si="38"/>
        <v>37664797.521104537</v>
      </c>
      <c r="T147" s="218">
        <f>MIN(MAX(S147,0),'Tax Assumptions'!$B$20)</f>
        <v>7500</v>
      </c>
      <c r="U147" s="218">
        <f t="shared" si="39"/>
        <v>37657297.521104537</v>
      </c>
      <c r="V147" s="218">
        <f>MAX(V146*(1+'Model Inputs'!$B$13)+U147,0)</f>
        <v>230175244.10569942</v>
      </c>
      <c r="W147" s="218">
        <f>MAX(W146*(1+'Model Inputs'!$B$13)+M147+T147,0)</f>
        <v>1388553.2888417889</v>
      </c>
      <c r="X147" s="218">
        <f t="shared" si="40"/>
        <v>231563797.3945412</v>
      </c>
      <c r="Y147" s="226" t="str">
        <f t="shared" si="41"/>
        <v/>
      </c>
      <c r="Z147" s="226" t="str">
        <f t="shared" si="42"/>
        <v/>
      </c>
      <c r="AA147" s="226" t="str">
        <f t="shared" si="43"/>
        <v/>
      </c>
      <c r="AB147" s="226" t="str">
        <f t="shared" si="44"/>
        <v/>
      </c>
    </row>
    <row r="148" spans="1:28" x14ac:dyDescent="0.2">
      <c r="A148" s="214" t="str">
        <f t="shared" si="45"/>
        <v>4Y 2x</v>
      </c>
      <c r="B148" s="214">
        <f t="shared" si="46"/>
        <v>4</v>
      </c>
      <c r="C148" s="223">
        <f t="shared" si="47"/>
        <v>2</v>
      </c>
      <c r="D148" s="214">
        <v>23</v>
      </c>
      <c r="E148" s="214">
        <f t="shared" si="34"/>
        <v>2048</v>
      </c>
      <c r="F148" s="218">
        <f>IF(D148=1,'Model Inputs'!$B$25*(13-'Model Inputs'!$B$23)/12,'Model Inputs'!$B$25)</f>
        <v>300000</v>
      </c>
      <c r="G148" s="218">
        <f>IF(D148=1,'Model Inputs'!$B$27*(13-'Model Inputs'!$B$23)/12,IF(D148=2,'Model Inputs'!$B$27,IF(D148&lt;=MAX(3,'Model Inputs'!$B$30+1),'Model Inputs'!$B$27*(1+'Model Inputs'!$B$28)^(D148-3),'Model Inputs'!$B$27*(1+'Model Inputs'!$B$28)^(MAX(3,'Model Inputs'!$B$30+1)-3)*(1+'Model Inputs'!$B$29)^(D148-MAX(3,'Model Inputs'!$B$30+1)))))</f>
        <v>71054181.617940187</v>
      </c>
      <c r="H148" s="224">
        <f>IF(D148&lt;=2,0,'Model Inputs'!$B$32*SIN(2*PI()*(D148-3+'Model Inputs'!$B$34)/MAX(1,'Model Inputs'!$B$33)))</f>
        <v>-0.10392304845413268</v>
      </c>
      <c r="I148" s="218">
        <f t="shared" si="35"/>
        <v>63670014.458790243</v>
      </c>
      <c r="J148" s="218">
        <f t="shared" si="48"/>
        <v>57288095.855167374</v>
      </c>
      <c r="K148" s="218">
        <f>F148+J148+IF(D148=1,'Model Inputs'!$B$26,0)</f>
        <v>57588095.855167374</v>
      </c>
      <c r="L148" s="218">
        <f t="shared" si="36"/>
        <v>115176191.71033475</v>
      </c>
      <c r="M148" s="218">
        <f>MIN(L148,'Tax Assumptions'!$B$19)</f>
        <v>24500</v>
      </c>
      <c r="N148" s="218">
        <f>MAX(L148-M148-'Tax Assumptions'!$B$8,0)</f>
        <v>115135591.71033475</v>
      </c>
      <c r="O148" s="218">
        <f>MAX(L148-M148-'Tax Assumptions'!$B$9,0)</f>
        <v>115143691.71033475</v>
      </c>
      <c r="P148" s="218">
        <f>IF(N148=0,0,LOOKUP(N148,'Tax Assumptions'!$F$9:$F$15,'Tax Assumptions'!$I$9:$I$15)+(N148-LOOKUP(N148,'Tax Assumptions'!$F$9:$F$15,'Tax Assumptions'!$F$9:$F$15))*LOOKUP(N148,'Tax Assumptions'!$F$9:$F$15,'Tax Assumptions'!$H$9:$H$15))+MIN(MAX(L148,0),'Tax Assumptions'!$B$11)*'Tax Assumptions'!$B$10+MAX(L148,0)*'Tax Assumptions'!$B$12+MAX(MAX(L148,0)-'Tax Assumptions'!$B$14,0)*'Tax Assumptions'!$B$13+MIN(L148*'Tax Assumptions'!$B$15,'Tax Assumptions'!$B$16)+MIN(L148*'Tax Assumptions'!$B$17,'Tax Assumptions'!$B$18)+IF(O148=0,0,LOOKUP(O148,'Tax Assumptions'!$K$9:$K$17,'Tax Assumptions'!$N$9:$N$17)+(O148-LOOKUP(O148,'Tax Assumptions'!$K$9:$K$17,'Tax Assumptions'!$K$9:$K$17))*LOOKUP(O148,'Tax Assumptions'!$K$9:$K$17,'Tax Assumptions'!$M$9:$M$17))+IF(O148=0,0,LOOKUP(O148,'Tax Assumptions'!$P$9:$P$12,'Tax Assumptions'!$S$9:$S$12)+(O148-LOOKUP(O148,'Tax Assumptions'!$P$9:$P$12,'Tax Assumptions'!$P$9:$P$12))*LOOKUP(O148,'Tax Assumptions'!$P$9:$P$12,'Tax Assumptions'!$R$9:$R$12))</f>
        <v>62071073.065135792</v>
      </c>
      <c r="Q148" s="218">
        <f t="shared" si="37"/>
        <v>53080618.645198956</v>
      </c>
      <c r="R148" s="218">
        <f>IF(D148&lt;=10,INDEX('Savings Projection'!$BL$19:$BL$28,D148),LOOKUP(2,1/('Savings Projection'!$BL$19:$BL$28&lt;&gt;""),'Savings Projection'!$BL$19:$BL$28))*(1+'Model Inputs'!$B$35)^(D148-1)+IF(D148&lt;=10,INDEX('Savings Projection'!$BM$19:$BM$28,D148),LOOKUP(2,1/('Savings Projection'!$BM$19:$BM$28&lt;&gt;""),'Savings Projection'!$BM$19:$BM$28))*(1+'Model Inputs'!$B$36)^(D148-1)</f>
        <v>249093.44315190148</v>
      </c>
      <c r="S148" s="218">
        <f t="shared" si="38"/>
        <v>52831525.202047057</v>
      </c>
      <c r="T148" s="218">
        <f>MIN(MAX(S148,0),'Tax Assumptions'!$B$20)</f>
        <v>7500</v>
      </c>
      <c r="U148" s="218">
        <f t="shared" si="39"/>
        <v>52824025.202047057</v>
      </c>
      <c r="V148" s="218">
        <f>MAX(V147*(1+'Model Inputs'!$B$13)+U148,0)</f>
        <v>296809783.95408845</v>
      </c>
      <c r="W148" s="218">
        <f>MAX(W147*(1+'Model Inputs'!$B$13)+M148+T148,0)</f>
        <v>1503866.4861722963</v>
      </c>
      <c r="X148" s="218">
        <f t="shared" si="40"/>
        <v>298313650.44026077</v>
      </c>
      <c r="Y148" s="226" t="str">
        <f t="shared" si="41"/>
        <v/>
      </c>
      <c r="Z148" s="226" t="str">
        <f t="shared" si="42"/>
        <v/>
      </c>
      <c r="AA148" s="226" t="str">
        <f t="shared" si="43"/>
        <v/>
      </c>
      <c r="AB148" s="226" t="str">
        <f t="shared" si="44"/>
        <v/>
      </c>
    </row>
    <row r="149" spans="1:28" x14ac:dyDescent="0.2">
      <c r="A149" s="214" t="str">
        <f t="shared" si="45"/>
        <v>4Y 2x</v>
      </c>
      <c r="B149" s="214">
        <f t="shared" si="46"/>
        <v>4</v>
      </c>
      <c r="C149" s="223">
        <f t="shared" si="47"/>
        <v>2</v>
      </c>
      <c r="D149" s="214">
        <v>24</v>
      </c>
      <c r="E149" s="214">
        <f t="shared" si="34"/>
        <v>2049</v>
      </c>
      <c r="F149" s="218">
        <f>IF(D149=1,'Model Inputs'!$B$25*(13-'Model Inputs'!$B$23)/12,'Model Inputs'!$B$25)</f>
        <v>300000</v>
      </c>
      <c r="G149" s="218">
        <f>IF(D149=1,'Model Inputs'!$B$27*(13-'Model Inputs'!$B$23)/12,IF(D149=2,'Model Inputs'!$B$27,IF(D149&lt;=MAX(3,'Model Inputs'!$B$30+1),'Model Inputs'!$B$27*(1+'Model Inputs'!$B$28)^(D149-3),'Model Inputs'!$B$27*(1+'Model Inputs'!$B$28)^(MAX(3,'Model Inputs'!$B$30+1)-3)*(1+'Model Inputs'!$B$29)^(D149-MAX(3,'Model Inputs'!$B$30+1)))))</f>
        <v>90301156.084270701</v>
      </c>
      <c r="H149" s="224">
        <f>IF(D149&lt;=2,0,'Model Inputs'!$B$32*SIN(2*PI()*(D149-3+'Model Inputs'!$B$34)/MAX(1,'Model Inputs'!$B$33)))</f>
        <v>-2.0574066225675533E-16</v>
      </c>
      <c r="I149" s="218">
        <f t="shared" si="35"/>
        <v>90301156.084270686</v>
      </c>
      <c r="J149" s="218">
        <f t="shared" si="48"/>
        <v>63182470.219744325</v>
      </c>
      <c r="K149" s="218">
        <f>F149+J149+IF(D149=1,'Model Inputs'!$B$26,0)</f>
        <v>63482470.219744325</v>
      </c>
      <c r="L149" s="218">
        <f t="shared" si="36"/>
        <v>126964940.43948865</v>
      </c>
      <c r="M149" s="218">
        <f>MIN(L149,'Tax Assumptions'!$B$19)</f>
        <v>24500</v>
      </c>
      <c r="N149" s="218">
        <f>MAX(L149-M149-'Tax Assumptions'!$B$8,0)</f>
        <v>126924340.43948865</v>
      </c>
      <c r="O149" s="218">
        <f>MAX(L149-M149-'Tax Assumptions'!$B$9,0)</f>
        <v>126932440.43948865</v>
      </c>
      <c r="P149" s="218">
        <f>IF(N149=0,0,LOOKUP(N149,'Tax Assumptions'!$F$9:$F$15,'Tax Assumptions'!$I$9:$I$15)+(N149-LOOKUP(N149,'Tax Assumptions'!$F$9:$F$15,'Tax Assumptions'!$F$9:$F$15))*LOOKUP(N149,'Tax Assumptions'!$F$9:$F$15,'Tax Assumptions'!$H$9:$H$15))+MIN(MAX(L149,0),'Tax Assumptions'!$B$11)*'Tax Assumptions'!$B$10+MAX(L149,0)*'Tax Assumptions'!$B$12+MAX(MAX(L149,0)-'Tax Assumptions'!$B$14,0)*'Tax Assumptions'!$B$13+MIN(L149*'Tax Assumptions'!$B$15,'Tax Assumptions'!$B$16)+MIN(L149*'Tax Assumptions'!$B$17,'Tax Assumptions'!$B$18)+IF(O149=0,0,LOOKUP(O149,'Tax Assumptions'!$K$9:$K$17,'Tax Assumptions'!$N$9:$N$17)+(O149-LOOKUP(O149,'Tax Assumptions'!$K$9:$K$17,'Tax Assumptions'!$K$9:$K$17))*LOOKUP(O149,'Tax Assumptions'!$K$9:$K$17,'Tax Assumptions'!$M$9:$M$17))+IF(O149=0,0,LOOKUP(O149,'Tax Assumptions'!$P$9:$P$12,'Tax Assumptions'!$S$9:$S$12)+(O149-LOOKUP(O149,'Tax Assumptions'!$P$9:$P$12,'Tax Assumptions'!$P$9:$P$12))*LOOKUP(O149,'Tax Assumptions'!$P$9:$P$12,'Tax Assumptions'!$R$9:$R$12))</f>
        <v>68451851.202277616</v>
      </c>
      <c r="Q149" s="218">
        <f t="shared" si="37"/>
        <v>58488589.237211034</v>
      </c>
      <c r="R149" s="218">
        <f>IF(D149&lt;=10,INDEX('Savings Projection'!$BL$19:$BL$28,D149),LOOKUP(2,1/('Savings Projection'!$BL$19:$BL$28&lt;&gt;""),'Savings Projection'!$BL$19:$BL$28))*(1+'Model Inputs'!$B$35)^(D149-1)+IF(D149&lt;=10,INDEX('Savings Projection'!$BM$19:$BM$28,D149),LOOKUP(2,1/('Savings Projection'!$BM$19:$BM$28&lt;&gt;""),'Savings Projection'!$BM$19:$BM$28))*(1+'Model Inputs'!$B$36)^(D149-1)</f>
        <v>256566.24644645851</v>
      </c>
      <c r="S149" s="218">
        <f t="shared" si="38"/>
        <v>58232022.990764573</v>
      </c>
      <c r="T149" s="218">
        <f>MIN(MAX(S149,0),'Tax Assumptions'!$B$20)</f>
        <v>7500</v>
      </c>
      <c r="U149" s="218">
        <f t="shared" si="39"/>
        <v>58224522.990764573</v>
      </c>
      <c r="V149" s="218">
        <f>MAX(V148*(1+'Model Inputs'!$B$13)+U149,0)</f>
        <v>372842893.98209834</v>
      </c>
      <c r="W149" s="218">
        <f>MAX(W148*(1+'Model Inputs'!$B$13)+M149+T149,0)</f>
        <v>1626098.4753426341</v>
      </c>
      <c r="X149" s="218">
        <f t="shared" si="40"/>
        <v>374468992.45744097</v>
      </c>
      <c r="Y149" s="226" t="str">
        <f t="shared" si="41"/>
        <v/>
      </c>
      <c r="Z149" s="226" t="str">
        <f t="shared" si="42"/>
        <v/>
      </c>
      <c r="AA149" s="226" t="str">
        <f t="shared" si="43"/>
        <v/>
      </c>
      <c r="AB149" s="226" t="str">
        <f t="shared" si="44"/>
        <v/>
      </c>
    </row>
    <row r="150" spans="1:28" x14ac:dyDescent="0.2">
      <c r="A150" s="214" t="str">
        <f t="shared" si="45"/>
        <v>4Y 2x</v>
      </c>
      <c r="B150" s="214">
        <f t="shared" si="46"/>
        <v>4</v>
      </c>
      <c r="C150" s="223">
        <f t="shared" si="47"/>
        <v>2</v>
      </c>
      <c r="D150" s="214">
        <v>25</v>
      </c>
      <c r="E150" s="214">
        <f t="shared" si="34"/>
        <v>2050</v>
      </c>
      <c r="F150" s="218">
        <f>IF(D150=1,'Model Inputs'!$B$25*(13-'Model Inputs'!$B$23)/12,'Model Inputs'!$B$25)</f>
        <v>300000</v>
      </c>
      <c r="G150" s="218">
        <f>IF(D150=1,'Model Inputs'!$B$27*(13-'Model Inputs'!$B$23)/12,IF(D150=2,'Model Inputs'!$B$27,IF(D150&lt;=MAX(3,'Model Inputs'!$B$30+1),'Model Inputs'!$B$27*(1+'Model Inputs'!$B$28)^(D150-3),'Model Inputs'!$B$27*(1+'Model Inputs'!$B$28)^(MAX(3,'Model Inputs'!$B$30+1)-3)*(1+'Model Inputs'!$B$29)^(D150-MAX(3,'Model Inputs'!$B$30+1)))))</f>
        <v>114761701.62653697</v>
      </c>
      <c r="H150" s="224">
        <f>IF(D150&lt;=2,0,'Model Inputs'!$B$32*SIN(2*PI()*(D150-3+'Model Inputs'!$B$34)/MAX(1,'Model Inputs'!$B$33)))</f>
        <v>0.10392304845413287</v>
      </c>
      <c r="I150" s="218">
        <f t="shared" si="35"/>
        <v>126688087.50535031</v>
      </c>
      <c r="J150" s="218">
        <f t="shared" si="48"/>
        <v>83643370.677900568</v>
      </c>
      <c r="K150" s="218">
        <f>F150+J150+IF(D150=1,'Model Inputs'!$B$26,0)</f>
        <v>83943370.677900568</v>
      </c>
      <c r="L150" s="218">
        <f t="shared" si="36"/>
        <v>167886741.35580114</v>
      </c>
      <c r="M150" s="218">
        <f>MIN(L150,'Tax Assumptions'!$B$19)</f>
        <v>24500</v>
      </c>
      <c r="N150" s="218">
        <f>MAX(L150-M150-'Tax Assumptions'!$B$8,0)</f>
        <v>167846141.35580114</v>
      </c>
      <c r="O150" s="218">
        <f>MAX(L150-M150-'Tax Assumptions'!$B$9,0)</f>
        <v>167854241.35580114</v>
      </c>
      <c r="P150" s="218">
        <f>IF(N150=0,0,LOOKUP(N150,'Tax Assumptions'!$F$9:$F$15,'Tax Assumptions'!$I$9:$I$15)+(N150-LOOKUP(N150,'Tax Assumptions'!$F$9:$F$15,'Tax Assumptions'!$F$9:$F$15))*LOOKUP(N150,'Tax Assumptions'!$F$9:$F$15,'Tax Assumptions'!$H$9:$H$15))+MIN(MAX(L150,0),'Tax Assumptions'!$B$11)*'Tax Assumptions'!$B$10+MAX(L150,0)*'Tax Assumptions'!$B$12+MAX(MAX(L150,0)-'Tax Assumptions'!$B$14,0)*'Tax Assumptions'!$B$13+MIN(L150*'Tax Assumptions'!$B$15,'Tax Assumptions'!$B$16)+MIN(L150*'Tax Assumptions'!$B$17,'Tax Assumptions'!$B$18)+IF(O150=0,0,LOOKUP(O150,'Tax Assumptions'!$K$9:$K$17,'Tax Assumptions'!$N$9:$N$17)+(O150-LOOKUP(O150,'Tax Assumptions'!$K$9:$K$17,'Tax Assumptions'!$K$9:$K$17))*LOOKUP(O150,'Tax Assumptions'!$K$9:$K$17,'Tax Assumptions'!$M$9:$M$17))+IF(O150=0,0,LOOKUP(O150,'Tax Assumptions'!$P$9:$P$12,'Tax Assumptions'!$S$9:$S$12)+(O150-LOOKUP(O150,'Tax Assumptions'!$P$9:$P$12,'Tax Assumptions'!$P$9:$P$12))*LOOKUP(O150,'Tax Assumptions'!$P$9:$P$12,'Tax Assumptions'!$R$9:$R$12))</f>
        <v>90601185.166240916</v>
      </c>
      <c r="Q150" s="218">
        <f t="shared" si="37"/>
        <v>77261056.18956022</v>
      </c>
      <c r="R150" s="218">
        <f>IF(D150&lt;=10,INDEX('Savings Projection'!$BL$19:$BL$28,D150),LOOKUP(2,1/('Savings Projection'!$BL$19:$BL$28&lt;&gt;""),'Savings Projection'!$BL$19:$BL$28))*(1+'Model Inputs'!$B$35)^(D150-1)+IF(D150&lt;=10,INDEX('Savings Projection'!$BM$19:$BM$28,D150),LOOKUP(2,1/('Savings Projection'!$BM$19:$BM$28&lt;&gt;""),'Savings Projection'!$BM$19:$BM$28))*(1+'Model Inputs'!$B$36)^(D150-1)</f>
        <v>264263.23383985227</v>
      </c>
      <c r="S150" s="218">
        <f t="shared" si="38"/>
        <v>76996792.955720365</v>
      </c>
      <c r="T150" s="218">
        <f>MIN(MAX(S150,0),'Tax Assumptions'!$B$20)</f>
        <v>7500</v>
      </c>
      <c r="U150" s="218">
        <f t="shared" si="39"/>
        <v>76989292.955720365</v>
      </c>
      <c r="V150" s="218">
        <f>MAX(V149*(1+'Model Inputs'!$B$13)+U150,0)</f>
        <v>472202760.57674462</v>
      </c>
      <c r="W150" s="218">
        <f>MAX(W149*(1+'Model Inputs'!$B$13)+M150+T150,0)</f>
        <v>1755664.3838631923</v>
      </c>
      <c r="X150" s="218">
        <f t="shared" si="40"/>
        <v>473958424.96060783</v>
      </c>
      <c r="Y150" s="226" t="str">
        <f t="shared" si="41"/>
        <v/>
      </c>
      <c r="Z150" s="226" t="str">
        <f t="shared" si="42"/>
        <v/>
      </c>
      <c r="AA150" s="226" t="str">
        <f t="shared" si="43"/>
        <v/>
      </c>
      <c r="AB150" s="226" t="str">
        <f t="shared" si="44"/>
        <v/>
      </c>
    </row>
    <row r="151" spans="1:28" x14ac:dyDescent="0.2">
      <c r="A151" s="214" t="str">
        <f t="shared" si="45"/>
        <v>4Y 2x</v>
      </c>
      <c r="B151" s="214">
        <f t="shared" si="46"/>
        <v>4</v>
      </c>
      <c r="C151" s="223">
        <f t="shared" si="47"/>
        <v>2</v>
      </c>
      <c r="D151" s="214">
        <v>26</v>
      </c>
      <c r="E151" s="214">
        <f t="shared" si="34"/>
        <v>2051</v>
      </c>
      <c r="F151" s="218">
        <f>IF(D151=1,'Model Inputs'!$B$25*(13-'Model Inputs'!$B$23)/12,'Model Inputs'!$B$25)</f>
        <v>300000</v>
      </c>
      <c r="G151" s="218">
        <f>IF(D151=1,'Model Inputs'!$B$27*(13-'Model Inputs'!$B$23)/12,IF(D151=2,'Model Inputs'!$B$27,IF(D151&lt;=MAX(3,'Model Inputs'!$B$30+1),'Model Inputs'!$B$27*(1+'Model Inputs'!$B$28)^(D151-3),'Model Inputs'!$B$27*(1+'Model Inputs'!$B$28)^(MAX(3,'Model Inputs'!$B$30+1)-3)*(1+'Model Inputs'!$B$29)^(D151-MAX(3,'Model Inputs'!$B$30+1)))))</f>
        <v>145848057.00524563</v>
      </c>
      <c r="H151" s="224">
        <f>IF(D151&lt;=2,0,'Model Inputs'!$B$32*SIN(2*PI()*(D151-3+'Model Inputs'!$B$34)/MAX(1,'Model Inputs'!$B$33)))</f>
        <v>-0.10392304845413224</v>
      </c>
      <c r="I151" s="218">
        <f t="shared" si="35"/>
        <v>130691082.31014845</v>
      </c>
      <c r="J151" s="218">
        <f t="shared" si="48"/>
        <v>117591354.65008041</v>
      </c>
      <c r="K151" s="218">
        <f>F151+J151+IF(D151=1,'Model Inputs'!$B$26,0)</f>
        <v>117891354.65008041</v>
      </c>
      <c r="L151" s="218">
        <f t="shared" si="36"/>
        <v>235782709.30016083</v>
      </c>
      <c r="M151" s="218">
        <f>MIN(L151,'Tax Assumptions'!$B$19)</f>
        <v>24500</v>
      </c>
      <c r="N151" s="218">
        <f>MAX(L151-M151-'Tax Assumptions'!$B$8,0)</f>
        <v>235742109.30016083</v>
      </c>
      <c r="O151" s="218">
        <f>MAX(L151-M151-'Tax Assumptions'!$B$9,0)</f>
        <v>235750209.30016083</v>
      </c>
      <c r="P151" s="218">
        <f>IF(N151=0,0,LOOKUP(N151,'Tax Assumptions'!$F$9:$F$15,'Tax Assumptions'!$I$9:$I$15)+(N151-LOOKUP(N151,'Tax Assumptions'!$F$9:$F$15,'Tax Assumptions'!$F$9:$F$15))*LOOKUP(N151,'Tax Assumptions'!$F$9:$F$15,'Tax Assumptions'!$H$9:$H$15))+MIN(MAX(L151,0),'Tax Assumptions'!$B$11)*'Tax Assumptions'!$B$10+MAX(L151,0)*'Tax Assumptions'!$B$12+MAX(MAX(L151,0)-'Tax Assumptions'!$B$14,0)*'Tax Assumptions'!$B$13+MIN(L151*'Tax Assumptions'!$B$15,'Tax Assumptions'!$B$16)+MIN(L151*'Tax Assumptions'!$B$17,'Tax Assumptions'!$B$18)+IF(O151=0,0,LOOKUP(O151,'Tax Assumptions'!$K$9:$K$17,'Tax Assumptions'!$N$9:$N$17)+(O151-LOOKUP(O151,'Tax Assumptions'!$K$9:$K$17,'Tax Assumptions'!$K$9:$K$17))*LOOKUP(O151,'Tax Assumptions'!$K$9:$K$17,'Tax Assumptions'!$M$9:$M$17))+IF(O151=0,0,LOOKUP(O151,'Tax Assumptions'!$P$9:$P$12,'Tax Assumptions'!$S$9:$S$12)+(O151-LOOKUP(O151,'Tax Assumptions'!$P$9:$P$12,'Tax Assumptions'!$P$9:$P$12))*LOOKUP(O151,'Tax Assumptions'!$P$9:$P$12,'Tax Assumptions'!$R$9:$R$12))</f>
        <v>127350556.77580504</v>
      </c>
      <c r="Q151" s="218">
        <f t="shared" si="37"/>
        <v>108407652.52435578</v>
      </c>
      <c r="R151" s="218">
        <f>IF(D151&lt;=10,INDEX('Savings Projection'!$BL$19:$BL$28,D151),LOOKUP(2,1/('Savings Projection'!$BL$19:$BL$28&lt;&gt;""),'Savings Projection'!$BL$19:$BL$28))*(1+'Model Inputs'!$B$35)^(D151-1)+IF(D151&lt;=10,INDEX('Savings Projection'!$BM$19:$BM$28,D151),LOOKUP(2,1/('Savings Projection'!$BM$19:$BM$28&lt;&gt;""),'Savings Projection'!$BM$19:$BM$28))*(1+'Model Inputs'!$B$36)^(D151-1)</f>
        <v>272191.13085504784</v>
      </c>
      <c r="S151" s="218">
        <f t="shared" si="38"/>
        <v>108135461.39350073</v>
      </c>
      <c r="T151" s="218">
        <f>MIN(MAX(S151,0),'Tax Assumptions'!$B$20)</f>
        <v>7500</v>
      </c>
      <c r="U151" s="218">
        <f t="shared" si="39"/>
        <v>108127961.39350073</v>
      </c>
      <c r="V151" s="218">
        <f>MAX(V150*(1+'Model Inputs'!$B$13)+U151,0)</f>
        <v>608662887.60485005</v>
      </c>
      <c r="W151" s="218">
        <f>MAX(W150*(1+'Model Inputs'!$B$13)+M151+T151,0)</f>
        <v>1893004.2468949838</v>
      </c>
      <c r="X151" s="218">
        <f t="shared" si="40"/>
        <v>610555891.85174501</v>
      </c>
      <c r="Y151" s="226" t="str">
        <f t="shared" si="41"/>
        <v/>
      </c>
      <c r="Z151" s="226" t="str">
        <f t="shared" si="42"/>
        <v/>
      </c>
      <c r="AA151" s="226" t="str">
        <f t="shared" si="43"/>
        <v/>
      </c>
      <c r="AB151" s="226" t="str">
        <f t="shared" si="44"/>
        <v/>
      </c>
    </row>
    <row r="152" spans="1:28" x14ac:dyDescent="0.2">
      <c r="A152" s="214" t="str">
        <f t="shared" si="45"/>
        <v>4Y 2x</v>
      </c>
      <c r="B152" s="214">
        <f t="shared" si="46"/>
        <v>4</v>
      </c>
      <c r="C152" s="223">
        <f t="shared" si="47"/>
        <v>2</v>
      </c>
      <c r="D152" s="214">
        <v>27</v>
      </c>
      <c r="E152" s="214">
        <f t="shared" si="34"/>
        <v>2052</v>
      </c>
      <c r="F152" s="218">
        <f>IF(D152=1,'Model Inputs'!$B$25*(13-'Model Inputs'!$B$23)/12,'Model Inputs'!$B$25)</f>
        <v>300000</v>
      </c>
      <c r="G152" s="218">
        <f>IF(D152=1,'Model Inputs'!$B$27*(13-'Model Inputs'!$B$23)/12,IF(D152=2,'Model Inputs'!$B$27,IF(D152&lt;=MAX(3,'Model Inputs'!$B$30+1),'Model Inputs'!$B$27*(1+'Model Inputs'!$B$28)^(D152-3),'Model Inputs'!$B$27*(1+'Model Inputs'!$B$28)^(MAX(3,'Model Inputs'!$B$30+1)-3)*(1+'Model Inputs'!$B$29)^(D152-MAX(3,'Model Inputs'!$B$30+1)))))</f>
        <v>185355004.59402937</v>
      </c>
      <c r="H152" s="224">
        <f>IF(D152&lt;=2,0,'Model Inputs'!$B$32*SIN(2*PI()*(D152-3+'Model Inputs'!$B$34)/MAX(1,'Model Inputs'!$B$33)))</f>
        <v>-2.3513218543629179E-16</v>
      </c>
      <c r="I152" s="218">
        <f t="shared" si="35"/>
        <v>185355004.59402934</v>
      </c>
      <c r="J152" s="218">
        <f t="shared" si="48"/>
        <v>129690333.6089489</v>
      </c>
      <c r="K152" s="218">
        <f>F152+J152+IF(D152=1,'Model Inputs'!$B$26,0)</f>
        <v>129990333.6089489</v>
      </c>
      <c r="L152" s="218">
        <f t="shared" si="36"/>
        <v>259980667.2178978</v>
      </c>
      <c r="M152" s="218">
        <f>MIN(L152,'Tax Assumptions'!$B$19)</f>
        <v>24500</v>
      </c>
      <c r="N152" s="218">
        <f>MAX(L152-M152-'Tax Assumptions'!$B$8,0)</f>
        <v>259940067.2178978</v>
      </c>
      <c r="O152" s="218">
        <f>MAX(L152-M152-'Tax Assumptions'!$B$9,0)</f>
        <v>259948167.2178978</v>
      </c>
      <c r="P152" s="218">
        <f>IF(N152=0,0,LOOKUP(N152,'Tax Assumptions'!$F$9:$F$15,'Tax Assumptions'!$I$9:$I$15)+(N152-LOOKUP(N152,'Tax Assumptions'!$F$9:$F$15,'Tax Assumptions'!$F$9:$F$15))*LOOKUP(N152,'Tax Assumptions'!$F$9:$F$15,'Tax Assumptions'!$H$9:$H$15))+MIN(MAX(L152,0),'Tax Assumptions'!$B$11)*'Tax Assumptions'!$B$10+MAX(L152,0)*'Tax Assumptions'!$B$12+MAX(MAX(L152,0)-'Tax Assumptions'!$B$14,0)*'Tax Assumptions'!$B$13+MIN(L152*'Tax Assumptions'!$B$15,'Tax Assumptions'!$B$16)+MIN(L152*'Tax Assumptions'!$B$17,'Tax Assumptions'!$B$18)+IF(O152=0,0,LOOKUP(O152,'Tax Assumptions'!$K$9:$K$17,'Tax Assumptions'!$N$9:$N$17)+(O152-LOOKUP(O152,'Tax Assumptions'!$K$9:$K$17,'Tax Assumptions'!$K$9:$K$17))*LOOKUP(O152,'Tax Assumptions'!$K$9:$K$17,'Tax Assumptions'!$M$9:$M$17))+IF(O152=0,0,LOOKUP(O152,'Tax Assumptions'!$P$9:$P$12,'Tax Assumptions'!$S$9:$S$12)+(O152-LOOKUP(O152,'Tax Assumptions'!$P$9:$P$12,'Tax Assumptions'!$P$9:$P$12))*LOOKUP(O152,'Tax Assumptions'!$P$9:$P$12,'Tax Assumptions'!$R$9:$R$12))</f>
        <v>140447943.47835937</v>
      </c>
      <c r="Q152" s="218">
        <f t="shared" si="37"/>
        <v>119508223.73953843</v>
      </c>
      <c r="R152" s="218">
        <f>IF(D152&lt;=10,INDEX('Savings Projection'!$BL$19:$BL$28,D152),LOOKUP(2,1/('Savings Projection'!$BL$19:$BL$28&lt;&gt;""),'Savings Projection'!$BL$19:$BL$28))*(1+'Model Inputs'!$B$35)^(D152-1)+IF(D152&lt;=10,INDEX('Savings Projection'!$BM$19:$BM$28,D152),LOOKUP(2,1/('Savings Projection'!$BM$19:$BM$28&lt;&gt;""),'Savings Projection'!$BM$19:$BM$28))*(1+'Model Inputs'!$B$36)^(D152-1)</f>
        <v>280356.86478069925</v>
      </c>
      <c r="S152" s="218">
        <f t="shared" si="38"/>
        <v>119227866.87475774</v>
      </c>
      <c r="T152" s="218">
        <f>MIN(MAX(S152,0),'Tax Assumptions'!$B$20)</f>
        <v>7500</v>
      </c>
      <c r="U152" s="218">
        <f t="shared" si="39"/>
        <v>119220366.87475774</v>
      </c>
      <c r="V152" s="218">
        <f>MAX(V151*(1+'Model Inputs'!$B$13)+U152,0)</f>
        <v>764403027.73589885</v>
      </c>
      <c r="W152" s="218">
        <f>MAX(W151*(1+'Model Inputs'!$B$13)+M152+T152,0)</f>
        <v>2038584.5017086829</v>
      </c>
      <c r="X152" s="218">
        <f t="shared" si="40"/>
        <v>766441612.23760748</v>
      </c>
      <c r="Y152" s="226" t="str">
        <f t="shared" si="41"/>
        <v/>
      </c>
      <c r="Z152" s="226" t="str">
        <f t="shared" si="42"/>
        <v/>
      </c>
      <c r="AA152" s="226" t="str">
        <f t="shared" si="43"/>
        <v/>
      </c>
      <c r="AB152" s="226" t="str">
        <f t="shared" si="44"/>
        <v/>
      </c>
    </row>
    <row r="153" spans="1:28" x14ac:dyDescent="0.2">
      <c r="A153" s="214" t="str">
        <f t="shared" si="45"/>
        <v>4Y 2x</v>
      </c>
      <c r="B153" s="214">
        <f t="shared" si="46"/>
        <v>4</v>
      </c>
      <c r="C153" s="223">
        <f t="shared" si="47"/>
        <v>2</v>
      </c>
      <c r="D153" s="214">
        <v>28</v>
      </c>
      <c r="E153" s="214">
        <f t="shared" si="34"/>
        <v>2053</v>
      </c>
      <c r="F153" s="218">
        <f>IF(D153=1,'Model Inputs'!$B$25*(13-'Model Inputs'!$B$23)/12,'Model Inputs'!$B$25)</f>
        <v>300000</v>
      </c>
      <c r="G153" s="218">
        <f>IF(D153=1,'Model Inputs'!$B$27*(13-'Model Inputs'!$B$23)/12,IF(D153=2,'Model Inputs'!$B$27,IF(D153&lt;=MAX(3,'Model Inputs'!$B$30+1),'Model Inputs'!$B$27*(1+'Model Inputs'!$B$28)^(D153-3),'Model Inputs'!$B$27*(1+'Model Inputs'!$B$28)^(MAX(3,'Model Inputs'!$B$30+1)-3)*(1+'Model Inputs'!$B$29)^(D153-MAX(3,'Model Inputs'!$B$30+1)))))</f>
        <v>235563492.81236541</v>
      </c>
      <c r="H153" s="224">
        <f>IF(D153&lt;=2,0,'Model Inputs'!$B$32*SIN(2*PI()*(D153-3+'Model Inputs'!$B$34)/MAX(1,'Model Inputs'!$B$33)))</f>
        <v>0.10392304845413247</v>
      </c>
      <c r="I153" s="218">
        <f t="shared" si="35"/>
        <v>260043969.08992955</v>
      </c>
      <c r="J153" s="218">
        <f t="shared" si="48"/>
        <v>171689024.02305913</v>
      </c>
      <c r="K153" s="218">
        <f>F153+J153+IF(D153=1,'Model Inputs'!$B$26,0)</f>
        <v>171989024.02305913</v>
      </c>
      <c r="L153" s="218">
        <f t="shared" si="36"/>
        <v>343978048.04611826</v>
      </c>
      <c r="M153" s="218">
        <f>MIN(L153,'Tax Assumptions'!$B$19)</f>
        <v>24500</v>
      </c>
      <c r="N153" s="218">
        <f>MAX(L153-M153-'Tax Assumptions'!$B$8,0)</f>
        <v>343937448.04611826</v>
      </c>
      <c r="O153" s="218">
        <f>MAX(L153-M153-'Tax Assumptions'!$B$9,0)</f>
        <v>343945548.04611826</v>
      </c>
      <c r="P153" s="218">
        <f>IF(N153=0,0,LOOKUP(N153,'Tax Assumptions'!$F$9:$F$15,'Tax Assumptions'!$I$9:$I$15)+(N153-LOOKUP(N153,'Tax Assumptions'!$F$9:$F$15,'Tax Assumptions'!$F$9:$F$15))*LOOKUP(N153,'Tax Assumptions'!$F$9:$F$15,'Tax Assumptions'!$H$9:$H$15))+MIN(MAX(L153,0),'Tax Assumptions'!$B$11)*'Tax Assumptions'!$B$10+MAX(L153,0)*'Tax Assumptions'!$B$12+MAX(MAX(L153,0)-'Tax Assumptions'!$B$14,0)*'Tax Assumptions'!$B$13+MIN(L153*'Tax Assumptions'!$B$15,'Tax Assumptions'!$B$16)+MIN(L153*'Tax Assumptions'!$B$17,'Tax Assumptions'!$B$18)+IF(O153=0,0,LOOKUP(O153,'Tax Assumptions'!$K$9:$K$17,'Tax Assumptions'!$N$9:$N$17)+(O153-LOOKUP(O153,'Tax Assumptions'!$K$9:$K$17,'Tax Assumptions'!$K$9:$K$17))*LOOKUP(O153,'Tax Assumptions'!$K$9:$K$17,'Tax Assumptions'!$M$9:$M$17))+IF(O153=0,0,LOOKUP(O153,'Tax Assumptions'!$P$9:$P$12,'Tax Assumptions'!$S$9:$S$12)+(O153-LOOKUP(O153,'Tax Assumptions'!$P$9:$P$12,'Tax Assumptions'!$P$9:$P$12))*LOOKUP(O153,'Tax Assumptions'!$P$9:$P$12,'Tax Assumptions'!$R$9:$R$12))</f>
        <v>185912365.82544196</v>
      </c>
      <c r="Q153" s="218">
        <f t="shared" si="37"/>
        <v>158041182.2206763</v>
      </c>
      <c r="R153" s="218">
        <f>IF(D153&lt;=10,INDEX('Savings Projection'!$BL$19:$BL$28,D153),LOOKUP(2,1/('Savings Projection'!$BL$19:$BL$28&lt;&gt;""),'Savings Projection'!$BL$19:$BL$28))*(1+'Model Inputs'!$B$35)^(D153-1)+IF(D153&lt;=10,INDEX('Savings Projection'!$BM$19:$BM$28,D153),LOOKUP(2,1/('Savings Projection'!$BM$19:$BM$28&lt;&gt;""),'Savings Projection'!$BM$19:$BM$28))*(1+'Model Inputs'!$B$36)^(D153-1)</f>
        <v>288767.57072412025</v>
      </c>
      <c r="S153" s="218">
        <f t="shared" si="38"/>
        <v>157752414.64995217</v>
      </c>
      <c r="T153" s="218">
        <f>MIN(MAX(S153,0),'Tax Assumptions'!$B$20)</f>
        <v>7500</v>
      </c>
      <c r="U153" s="218">
        <f t="shared" si="39"/>
        <v>157744914.64995217</v>
      </c>
      <c r="V153" s="218">
        <f>MAX(V152*(1+'Model Inputs'!$B$13)+U153,0)</f>
        <v>968012124.05000496</v>
      </c>
      <c r="W153" s="218">
        <f>MAX(W152*(1+'Model Inputs'!$B$13)+M153+T153,0)</f>
        <v>2192899.5718112038</v>
      </c>
      <c r="X153" s="218">
        <f t="shared" si="40"/>
        <v>970205023.62181616</v>
      </c>
      <c r="Y153" s="226" t="str">
        <f t="shared" si="41"/>
        <v/>
      </c>
      <c r="Z153" s="226" t="str">
        <f t="shared" si="42"/>
        <v/>
      </c>
      <c r="AA153" s="226" t="str">
        <f t="shared" si="43"/>
        <v/>
      </c>
      <c r="AB153" s="226" t="str">
        <f t="shared" si="44"/>
        <v/>
      </c>
    </row>
    <row r="154" spans="1:28" x14ac:dyDescent="0.2">
      <c r="A154" s="214" t="str">
        <f t="shared" si="45"/>
        <v>4Y 2x</v>
      </c>
      <c r="B154" s="214">
        <f t="shared" si="46"/>
        <v>4</v>
      </c>
      <c r="C154" s="223">
        <f t="shared" si="47"/>
        <v>2</v>
      </c>
      <c r="D154" s="214">
        <v>29</v>
      </c>
      <c r="E154" s="214">
        <f t="shared" si="34"/>
        <v>2054</v>
      </c>
      <c r="F154" s="218">
        <f>IF(D154=1,'Model Inputs'!$B$25*(13-'Model Inputs'!$B$23)/12,'Model Inputs'!$B$25)</f>
        <v>300000</v>
      </c>
      <c r="G154" s="218">
        <f>IF(D154=1,'Model Inputs'!$B$27*(13-'Model Inputs'!$B$23)/12,IF(D154=2,'Model Inputs'!$B$27,IF(D154&lt;=MAX(3,'Model Inputs'!$B$30+1),'Model Inputs'!$B$27*(1+'Model Inputs'!$B$28)^(D154-3),'Model Inputs'!$B$27*(1+'Model Inputs'!$B$28)^(MAX(3,'Model Inputs'!$B$30+1)-3)*(1+'Model Inputs'!$B$29)^(D154-MAX(3,'Model Inputs'!$B$30+1)))))</f>
        <v>299372327.53708321</v>
      </c>
      <c r="H154" s="224">
        <f>IF(D154&lt;=2,0,'Model Inputs'!$B$32*SIN(2*PI()*(D154-3+'Model Inputs'!$B$34)/MAX(1,'Model Inputs'!$B$33)))</f>
        <v>-0.10392304845413265</v>
      </c>
      <c r="I154" s="218">
        <f t="shared" si="35"/>
        <v>268260642.63662043</v>
      </c>
      <c r="J154" s="218">
        <f t="shared" si="48"/>
        <v>241371727.96595448</v>
      </c>
      <c r="K154" s="218">
        <f>F154+J154+IF(D154=1,'Model Inputs'!$B$26,0)</f>
        <v>241671727.96595448</v>
      </c>
      <c r="L154" s="218">
        <f t="shared" si="36"/>
        <v>483343455.93190897</v>
      </c>
      <c r="M154" s="218">
        <f>MIN(L154,'Tax Assumptions'!$B$19)</f>
        <v>24500</v>
      </c>
      <c r="N154" s="218">
        <f>MAX(L154-M154-'Tax Assumptions'!$B$8,0)</f>
        <v>483302855.93190897</v>
      </c>
      <c r="O154" s="218">
        <f>MAX(L154-M154-'Tax Assumptions'!$B$9,0)</f>
        <v>483310955.93190897</v>
      </c>
      <c r="P154" s="218">
        <f>IF(N154=0,0,LOOKUP(N154,'Tax Assumptions'!$F$9:$F$15,'Tax Assumptions'!$I$9:$I$15)+(N154-LOOKUP(N154,'Tax Assumptions'!$F$9:$F$15,'Tax Assumptions'!$F$9:$F$15))*LOOKUP(N154,'Tax Assumptions'!$F$9:$F$15,'Tax Assumptions'!$H$9:$H$15))+MIN(MAX(L154,0),'Tax Assumptions'!$B$11)*'Tax Assumptions'!$B$10+MAX(L154,0)*'Tax Assumptions'!$B$12+MAX(MAX(L154,0)-'Tax Assumptions'!$B$14,0)*'Tax Assumptions'!$B$13+MIN(L154*'Tax Assumptions'!$B$15,'Tax Assumptions'!$B$16)+MIN(L154*'Tax Assumptions'!$B$17,'Tax Assumptions'!$B$18)+IF(O154=0,0,LOOKUP(O154,'Tax Assumptions'!$K$9:$K$17,'Tax Assumptions'!$N$9:$N$17)+(O154-LOOKUP(O154,'Tax Assumptions'!$K$9:$K$17,'Tax Assumptions'!$K$9:$K$17))*LOOKUP(O154,'Tax Assumptions'!$K$9:$K$17,'Tax Assumptions'!$M$9:$M$17))+IF(O154=0,0,LOOKUP(O154,'Tax Assumptions'!$P$9:$P$12,'Tax Assumptions'!$S$9:$S$12)+(O154-LOOKUP(O154,'Tax Assumptions'!$P$9:$P$12,'Tax Assumptions'!$P$9:$P$12))*LOOKUP(O154,'Tax Assumptions'!$P$9:$P$12,'Tax Assumptions'!$R$9:$R$12))</f>
        <v>261345286.49770501</v>
      </c>
      <c r="Q154" s="218">
        <f t="shared" si="37"/>
        <v>221973669.43420395</v>
      </c>
      <c r="R154" s="218">
        <f>IF(D154&lt;=10,INDEX('Savings Projection'!$BL$19:$BL$28,D154),LOOKUP(2,1/('Savings Projection'!$BL$19:$BL$28&lt;&gt;""),'Savings Projection'!$BL$19:$BL$28))*(1+'Model Inputs'!$B$35)^(D154-1)+IF(D154&lt;=10,INDEX('Savings Projection'!$BM$19:$BM$28,D154),LOOKUP(2,1/('Savings Projection'!$BM$19:$BM$28&lt;&gt;""),'Savings Projection'!$BM$19:$BM$28))*(1+'Model Inputs'!$B$36)^(D154-1)</f>
        <v>297430.59784584382</v>
      </c>
      <c r="S154" s="218">
        <f t="shared" si="38"/>
        <v>221676238.8363581</v>
      </c>
      <c r="T154" s="218">
        <f>MIN(MAX(S154,0),'Tax Assumptions'!$B$20)</f>
        <v>7500</v>
      </c>
      <c r="U154" s="218">
        <f t="shared" si="39"/>
        <v>221668738.8363581</v>
      </c>
      <c r="V154" s="218">
        <f>MAX(V153*(1+'Model Inputs'!$B$13)+U154,0)</f>
        <v>1247761590.3293633</v>
      </c>
      <c r="W154" s="218">
        <f>MAX(W153*(1+'Model Inputs'!$B$13)+M154+T154,0)</f>
        <v>2356473.5461198762</v>
      </c>
      <c r="X154" s="218">
        <f t="shared" si="40"/>
        <v>1250118063.8754833</v>
      </c>
      <c r="Y154" s="226" t="str">
        <f t="shared" si="41"/>
        <v/>
      </c>
      <c r="Z154" s="226" t="str">
        <f t="shared" si="42"/>
        <v/>
      </c>
      <c r="AA154" s="226" t="str">
        <f t="shared" si="43"/>
        <v/>
      </c>
      <c r="AB154" s="226" t="str">
        <f t="shared" si="44"/>
        <v/>
      </c>
    </row>
    <row r="155" spans="1:28" x14ac:dyDescent="0.2">
      <c r="A155" s="214" t="str">
        <f t="shared" si="45"/>
        <v>4Y 2x</v>
      </c>
      <c r="B155" s="214">
        <f t="shared" si="46"/>
        <v>4</v>
      </c>
      <c r="C155" s="223">
        <f t="shared" si="47"/>
        <v>2</v>
      </c>
      <c r="D155" s="214">
        <v>30</v>
      </c>
      <c r="E155" s="214">
        <f t="shared" si="34"/>
        <v>2055</v>
      </c>
      <c r="F155" s="218">
        <f>IF(D155=1,'Model Inputs'!$B$25*(13-'Model Inputs'!$B$23)/12,'Model Inputs'!$B$25)</f>
        <v>300000</v>
      </c>
      <c r="G155" s="218">
        <f>IF(D155=1,'Model Inputs'!$B$27*(13-'Model Inputs'!$B$23)/12,IF(D155=2,'Model Inputs'!$B$27,IF(D155&lt;=MAX(3,'Model Inputs'!$B$30+1),'Model Inputs'!$B$27*(1+'Model Inputs'!$B$28)^(D155-3),'Model Inputs'!$B$27*(1+'Model Inputs'!$B$28)^(MAX(3,'Model Inputs'!$B$30+1)-3)*(1+'Model Inputs'!$B$29)^(D155-MAX(3,'Model Inputs'!$B$30+1)))))</f>
        <v>380465535.74563926</v>
      </c>
      <c r="H155" s="224">
        <f>IF(D155&lt;=2,0,'Model Inputs'!$B$32*SIN(2*PI()*(D155-3+'Model Inputs'!$B$34)/MAX(1,'Model Inputs'!$B$33)))</f>
        <v>-2.645237086158283E-16</v>
      </c>
      <c r="I155" s="218">
        <f t="shared" si="35"/>
        <v>380465535.7456392</v>
      </c>
      <c r="J155" s="218">
        <f t="shared" si="48"/>
        <v>266206474.24994773</v>
      </c>
      <c r="K155" s="218">
        <f>F155+J155+IF(D155=1,'Model Inputs'!$B$26,0)</f>
        <v>266506474.24994773</v>
      </c>
      <c r="L155" s="218">
        <f t="shared" si="36"/>
        <v>533012948.49989545</v>
      </c>
      <c r="M155" s="218">
        <f>MIN(L155,'Tax Assumptions'!$B$19)</f>
        <v>24500</v>
      </c>
      <c r="N155" s="218">
        <f>MAX(L155-M155-'Tax Assumptions'!$B$8,0)</f>
        <v>532972348.49989545</v>
      </c>
      <c r="O155" s="218">
        <f>MAX(L155-M155-'Tax Assumptions'!$B$9,0)</f>
        <v>532980448.49989545</v>
      </c>
      <c r="P155" s="218">
        <f>IF(N155=0,0,LOOKUP(N155,'Tax Assumptions'!$F$9:$F$15,'Tax Assumptions'!$I$9:$I$15)+(N155-LOOKUP(N155,'Tax Assumptions'!$F$9:$F$15,'Tax Assumptions'!$F$9:$F$15))*LOOKUP(N155,'Tax Assumptions'!$F$9:$F$15,'Tax Assumptions'!$H$9:$H$15))+MIN(MAX(L155,0),'Tax Assumptions'!$B$11)*'Tax Assumptions'!$B$10+MAX(L155,0)*'Tax Assumptions'!$B$12+MAX(MAX(L155,0)-'Tax Assumptions'!$B$14,0)*'Tax Assumptions'!$B$13+MIN(L155*'Tax Assumptions'!$B$15,'Tax Assumptions'!$B$16)+MIN(L155*'Tax Assumptions'!$B$17,'Tax Assumptions'!$B$18)+IF(O155=0,0,LOOKUP(O155,'Tax Assumptions'!$K$9:$K$17,'Tax Assumptions'!$N$9:$N$17)+(O155-LOOKUP(O155,'Tax Assumptions'!$K$9:$K$17,'Tax Assumptions'!$K$9:$K$17))*LOOKUP(O155,'Tax Assumptions'!$K$9:$K$17,'Tax Assumptions'!$M$9:$M$17))+IF(O155=0,0,LOOKUP(O155,'Tax Assumptions'!$P$9:$P$12,'Tax Assumptions'!$S$9:$S$12)+(O155-LOOKUP(O155,'Tax Assumptions'!$P$9:$P$12,'Tax Assumptions'!$P$9:$P$12))*LOOKUP(O155,'Tax Assumptions'!$P$9:$P$12,'Tax Assumptions'!$R$9:$R$12))</f>
        <v>288229396.04505336</v>
      </c>
      <c r="Q155" s="218">
        <f t="shared" si="37"/>
        <v>244759052.45484209</v>
      </c>
      <c r="R155" s="218">
        <f>IF(D155&lt;=10,INDEX('Savings Projection'!$BL$19:$BL$28,D155),LOOKUP(2,1/('Savings Projection'!$BL$19:$BL$28&lt;&gt;""),'Savings Projection'!$BL$19:$BL$28))*(1+'Model Inputs'!$B$35)^(D155-1)+IF(D155&lt;=10,INDEX('Savings Projection'!$BM$19:$BM$28,D155),LOOKUP(2,1/('Savings Projection'!$BM$19:$BM$28&lt;&gt;""),'Savings Projection'!$BM$19:$BM$28))*(1+'Model Inputs'!$B$36)^(D155-1)</f>
        <v>306353.51578121912</v>
      </c>
      <c r="S155" s="218">
        <f t="shared" si="38"/>
        <v>244452698.93906087</v>
      </c>
      <c r="T155" s="218">
        <f>MIN(MAX(S155,0),'Tax Assumptions'!$B$20)</f>
        <v>7500</v>
      </c>
      <c r="U155" s="218">
        <f t="shared" si="39"/>
        <v>244445198.93906087</v>
      </c>
      <c r="V155" s="218">
        <f>MAX(V154*(1+'Model Inputs'!$B$13)+U155,0)</f>
        <v>1567072484.6881862</v>
      </c>
      <c r="W155" s="218">
        <f>MAX(W154*(1+'Model Inputs'!$B$13)+M155+T155,0)</f>
        <v>2529861.958887069</v>
      </c>
      <c r="X155" s="218">
        <f t="shared" si="40"/>
        <v>1569602346.6470733</v>
      </c>
      <c r="Y155" s="226" t="str">
        <f t="shared" si="41"/>
        <v/>
      </c>
      <c r="Z155" s="226" t="str">
        <f t="shared" si="42"/>
        <v/>
      </c>
      <c r="AA155" s="226" t="str">
        <f t="shared" si="43"/>
        <v/>
      </c>
      <c r="AB155" s="226" t="str">
        <f t="shared" si="44"/>
        <v/>
      </c>
    </row>
    <row r="156" spans="1:28" x14ac:dyDescent="0.2">
      <c r="A156" s="214" t="str">
        <f t="shared" ref="A156:A185" si="49">$A$26</f>
        <v>4Y 3x</v>
      </c>
      <c r="B156" s="214">
        <f t="shared" ref="B156:B185" si="50">$B$26</f>
        <v>4</v>
      </c>
      <c r="C156" s="223">
        <f t="shared" ref="C156:C185" si="51">$C$26</f>
        <v>3</v>
      </c>
      <c r="D156" s="214">
        <v>1</v>
      </c>
      <c r="E156" s="214">
        <f t="shared" si="34"/>
        <v>2026</v>
      </c>
      <c r="F156" s="218">
        <f>IF(D156=1,'Model Inputs'!$B$25*(13-'Model Inputs'!$B$23)/12,'Model Inputs'!$B$25)</f>
        <v>100000</v>
      </c>
      <c r="G156" s="218">
        <f>IF(D156=1,'Model Inputs'!$B$27*(13-'Model Inputs'!$B$23)/12,IF(D156=2,'Model Inputs'!$B$27,IF(D156&lt;=MAX(3,'Model Inputs'!$B$30+1),'Model Inputs'!$B$27*(1+'Model Inputs'!$B$28)^(D156-3),'Model Inputs'!$B$27*(1+'Model Inputs'!$B$28)^(MAX(3,'Model Inputs'!$B$30+1)-3)*(1+'Model Inputs'!$B$29)^(D156-MAX(3,'Model Inputs'!$B$30+1)))))</f>
        <v>150000</v>
      </c>
      <c r="H156" s="224">
        <f>IF(D156&lt;=2,0,'Model Inputs'!$B$32*SIN(2*PI()*(D156-3+'Model Inputs'!$B$34)/MAX(1,'Model Inputs'!$B$33)))</f>
        <v>0</v>
      </c>
      <c r="I156" s="218">
        <f t="shared" si="35"/>
        <v>150000</v>
      </c>
      <c r="J156" s="218">
        <f>0</f>
        <v>0</v>
      </c>
      <c r="K156" s="218">
        <f>F156+J156+IF(D156=1,'Model Inputs'!$B$26,0)</f>
        <v>550000</v>
      </c>
      <c r="L156" s="218">
        <f t="shared" si="36"/>
        <v>550000</v>
      </c>
      <c r="M156" s="218">
        <f>MIN(L156,'Tax Assumptions'!$B$19)</f>
        <v>24500</v>
      </c>
      <c r="N156" s="218">
        <f>MAX(L156-M156-'Tax Assumptions'!$B$8,0)</f>
        <v>509400</v>
      </c>
      <c r="O156" s="218">
        <f>MAX(L156-M156-'Tax Assumptions'!$B$9,0)</f>
        <v>517500</v>
      </c>
      <c r="P156" s="218">
        <f>IF(N156=0,0,LOOKUP(N156,'Tax Assumptions'!$F$9:$F$15,'Tax Assumptions'!$I$9:$I$15)+(N156-LOOKUP(N156,'Tax Assumptions'!$F$9:$F$15,'Tax Assumptions'!$F$9:$F$15))*LOOKUP(N156,'Tax Assumptions'!$F$9:$F$15,'Tax Assumptions'!$H$9:$H$15))+MIN(MAX(L156,0),'Tax Assumptions'!$B$11)*'Tax Assumptions'!$B$10+MAX(L156,0)*'Tax Assumptions'!$B$12+MAX(MAX(L156,0)-'Tax Assumptions'!$B$14,0)*'Tax Assumptions'!$B$13+MIN(L156*'Tax Assumptions'!$B$15,'Tax Assumptions'!$B$16)+MIN(L156*'Tax Assumptions'!$B$17,'Tax Assumptions'!$B$18)+IF(O156=0,0,LOOKUP(O156,'Tax Assumptions'!$K$9:$K$17,'Tax Assumptions'!$N$9:$N$17)+(O156-LOOKUP(O156,'Tax Assumptions'!$K$9:$K$17,'Tax Assumptions'!$K$9:$K$17))*LOOKUP(O156,'Tax Assumptions'!$K$9:$K$17,'Tax Assumptions'!$M$9:$M$17))+IF(O156=0,0,LOOKUP(O156,'Tax Assumptions'!$P$9:$P$12,'Tax Assumptions'!$S$9:$S$12)+(O156-LOOKUP(O156,'Tax Assumptions'!$P$9:$P$12,'Tax Assumptions'!$P$9:$P$12))*LOOKUP(O156,'Tax Assumptions'!$P$9:$P$12,'Tax Assumptions'!$R$9:$R$12))</f>
        <v>222834.53000000003</v>
      </c>
      <c r="Q156" s="218">
        <f t="shared" si="37"/>
        <v>302665.46999999997</v>
      </c>
      <c r="R156" s="218">
        <f>IF(D156&lt;=10,INDEX('Savings Projection'!$BL$19:$BL$28,D156),LOOKUP(2,1/('Savings Projection'!$BL$19:$BL$28&lt;&gt;""),'Savings Projection'!$BL$19:$BL$28))*(1+'Model Inputs'!$B$35)^(D156-1)+IF(D156&lt;=10,INDEX('Savings Projection'!$BM$19:$BM$28,D156),LOOKUP(2,1/('Savings Projection'!$BM$19:$BM$28&lt;&gt;""),'Savings Projection'!$BM$19:$BM$28))*(1+'Model Inputs'!$B$36)^(D156-1)</f>
        <v>118000</v>
      </c>
      <c r="S156" s="218">
        <f t="shared" si="38"/>
        <v>184665.46999999997</v>
      </c>
      <c r="T156" s="218">
        <f>MIN(MAX(S156,0),'Tax Assumptions'!$B$20)</f>
        <v>7500</v>
      </c>
      <c r="U156" s="218">
        <f t="shared" si="39"/>
        <v>177165.46999999997</v>
      </c>
      <c r="V156" s="218">
        <f>MAX('Model Inputs'!$B$7*(1+'Model Inputs'!$B$13)+U156,0)</f>
        <v>336165.47</v>
      </c>
      <c r="W156" s="218">
        <f>MAX(('Model Inputs'!$B$8+'Model Inputs'!$B$9+'Model Inputs'!$B$10)*(1+'Model Inputs'!$B$13)+M156+T156,0)</f>
        <v>32000</v>
      </c>
      <c r="X156" s="218">
        <f t="shared" si="40"/>
        <v>368165.47</v>
      </c>
      <c r="Y156" s="226" t="str">
        <f t="shared" si="41"/>
        <v/>
      </c>
      <c r="Z156" s="226" t="str">
        <f t="shared" si="42"/>
        <v/>
      </c>
      <c r="AA156" s="226" t="str">
        <f t="shared" si="43"/>
        <v/>
      </c>
      <c r="AB156" s="226" t="str">
        <f t="shared" si="44"/>
        <v/>
      </c>
    </row>
    <row r="157" spans="1:28" x14ac:dyDescent="0.2">
      <c r="A157" s="214" t="str">
        <f t="shared" si="49"/>
        <v>4Y 3x</v>
      </c>
      <c r="B157" s="214">
        <f t="shared" si="50"/>
        <v>4</v>
      </c>
      <c r="C157" s="223">
        <f t="shared" si="51"/>
        <v>3</v>
      </c>
      <c r="D157" s="214">
        <v>2</v>
      </c>
      <c r="E157" s="214">
        <f t="shared" si="34"/>
        <v>2027</v>
      </c>
      <c r="F157" s="218">
        <f>IF(D157=1,'Model Inputs'!$B$25*(13-'Model Inputs'!$B$23)/12,'Model Inputs'!$B$25)</f>
        <v>300000</v>
      </c>
      <c r="G157" s="218">
        <f>IF(D157=1,'Model Inputs'!$B$27*(13-'Model Inputs'!$B$23)/12,IF(D157=2,'Model Inputs'!$B$27,IF(D157&lt;=MAX(3,'Model Inputs'!$B$30+1),'Model Inputs'!$B$27*(1+'Model Inputs'!$B$28)^(D157-3),'Model Inputs'!$B$27*(1+'Model Inputs'!$B$28)^(MAX(3,'Model Inputs'!$B$30+1)-3)*(1+'Model Inputs'!$B$29)^(D157-MAX(3,'Model Inputs'!$B$30+1)))))</f>
        <v>450000</v>
      </c>
      <c r="H157" s="224">
        <f>IF(D157&lt;=2,0,'Model Inputs'!$B$32*SIN(2*PI()*(D157-3+'Model Inputs'!$B$34)/MAX(1,'Model Inputs'!$B$33)))</f>
        <v>0</v>
      </c>
      <c r="I157" s="218">
        <f t="shared" si="35"/>
        <v>450000</v>
      </c>
      <c r="J157" s="218">
        <f>0.75*I156</f>
        <v>112500</v>
      </c>
      <c r="K157" s="218">
        <f>F157+J157+IF(D157=1,'Model Inputs'!$B$26,0)</f>
        <v>412500</v>
      </c>
      <c r="L157" s="218">
        <f t="shared" si="36"/>
        <v>412500</v>
      </c>
      <c r="M157" s="218">
        <f>MIN(L157,'Tax Assumptions'!$B$19)</f>
        <v>24500</v>
      </c>
      <c r="N157" s="218">
        <f>MAX(L157-M157-'Tax Assumptions'!$B$8,0)</f>
        <v>371900</v>
      </c>
      <c r="O157" s="218">
        <f>MAX(L157-M157-'Tax Assumptions'!$B$9,0)</f>
        <v>380000</v>
      </c>
      <c r="P157" s="218">
        <f>IF(N157=0,0,LOOKUP(N157,'Tax Assumptions'!$F$9:$F$15,'Tax Assumptions'!$I$9:$I$15)+(N157-LOOKUP(N157,'Tax Assumptions'!$F$9:$F$15,'Tax Assumptions'!$F$9:$F$15))*LOOKUP(N157,'Tax Assumptions'!$F$9:$F$15,'Tax Assumptions'!$H$9:$H$15))+MIN(MAX(L157,0),'Tax Assumptions'!$B$11)*'Tax Assumptions'!$B$10+MAX(L157,0)*'Tax Assumptions'!$B$12+MAX(MAX(L157,0)-'Tax Assumptions'!$B$14,0)*'Tax Assumptions'!$B$13+MIN(L157*'Tax Assumptions'!$B$15,'Tax Assumptions'!$B$16)+MIN(L157*'Tax Assumptions'!$B$17,'Tax Assumptions'!$B$18)+IF(O157=0,0,LOOKUP(O157,'Tax Assumptions'!$K$9:$K$17,'Tax Assumptions'!$N$9:$N$17)+(O157-LOOKUP(O157,'Tax Assumptions'!$K$9:$K$17,'Tax Assumptions'!$K$9:$K$17))*LOOKUP(O157,'Tax Assumptions'!$K$9:$K$17,'Tax Assumptions'!$M$9:$M$17))+IF(O157=0,0,LOOKUP(O157,'Tax Assumptions'!$P$9:$P$12,'Tax Assumptions'!$S$9:$S$12)+(O157-LOOKUP(O157,'Tax Assumptions'!$P$9:$P$12,'Tax Assumptions'!$P$9:$P$12))*LOOKUP(O157,'Tax Assumptions'!$P$9:$P$12,'Tax Assumptions'!$R$9:$R$12))</f>
        <v>156730.03</v>
      </c>
      <c r="Q157" s="218">
        <f t="shared" si="37"/>
        <v>231269.97</v>
      </c>
      <c r="R157" s="218">
        <f>IF(D157&lt;=10,INDEX('Savings Projection'!$BL$19:$BL$28,D157),LOOKUP(2,1/('Savings Projection'!$BL$19:$BL$28&lt;&gt;""),'Savings Projection'!$BL$19:$BL$28))*(1+'Model Inputs'!$B$35)^(D157-1)+IF(D157&lt;=10,INDEX('Savings Projection'!$BM$19:$BM$28,D157),LOOKUP(2,1/('Savings Projection'!$BM$19:$BM$28&lt;&gt;""),'Savings Projection'!$BM$19:$BM$28))*(1+'Model Inputs'!$B$36)^(D157-1)</f>
        <v>121540</v>
      </c>
      <c r="S157" s="218">
        <f t="shared" si="38"/>
        <v>109729.97</v>
      </c>
      <c r="T157" s="218">
        <f>MIN(MAX(S157,0),'Tax Assumptions'!$B$20)</f>
        <v>7500</v>
      </c>
      <c r="U157" s="218">
        <f t="shared" si="39"/>
        <v>102229.97</v>
      </c>
      <c r="V157" s="218">
        <f>MAX(V156*(1+'Model Inputs'!$B$13)+U157,0)</f>
        <v>458565.36820000003</v>
      </c>
      <c r="W157" s="218">
        <f>MAX(W156*(1+'Model Inputs'!$B$13)+M157+T157,0)</f>
        <v>65920</v>
      </c>
      <c r="X157" s="218">
        <f t="shared" si="40"/>
        <v>524485.36820000003</v>
      </c>
      <c r="Y157" s="226" t="str">
        <f t="shared" si="41"/>
        <v/>
      </c>
      <c r="Z157" s="226" t="str">
        <f t="shared" si="42"/>
        <v/>
      </c>
      <c r="AA157" s="226" t="str">
        <f t="shared" si="43"/>
        <v/>
      </c>
      <c r="AB157" s="226" t="str">
        <f t="shared" si="44"/>
        <v/>
      </c>
    </row>
    <row r="158" spans="1:28" x14ac:dyDescent="0.2">
      <c r="A158" s="214" t="str">
        <f t="shared" si="49"/>
        <v>4Y 3x</v>
      </c>
      <c r="B158" s="214">
        <f t="shared" si="50"/>
        <v>4</v>
      </c>
      <c r="C158" s="223">
        <f t="shared" si="51"/>
        <v>3</v>
      </c>
      <c r="D158" s="214">
        <v>3</v>
      </c>
      <c r="E158" s="214">
        <f t="shared" si="34"/>
        <v>2028</v>
      </c>
      <c r="F158" s="218">
        <f>IF(D158=1,'Model Inputs'!$B$25*(13-'Model Inputs'!$B$23)/12,'Model Inputs'!$B$25)</f>
        <v>300000</v>
      </c>
      <c r="G158" s="218">
        <f>IF(D158=1,'Model Inputs'!$B$27*(13-'Model Inputs'!$B$23)/12,IF(D158=2,'Model Inputs'!$B$27,IF(D158&lt;=MAX(3,'Model Inputs'!$B$30+1),'Model Inputs'!$B$27*(1+'Model Inputs'!$B$28)^(D158-3),'Model Inputs'!$B$27*(1+'Model Inputs'!$B$28)^(MAX(3,'Model Inputs'!$B$30+1)-3)*(1+'Model Inputs'!$B$29)^(D158-MAX(3,'Model Inputs'!$B$30+1)))))</f>
        <v>450000</v>
      </c>
      <c r="H158" s="224">
        <f>IF(D158&lt;=2,0,'Model Inputs'!$B$32*SIN(2*PI()*(D158-3+'Model Inputs'!$B$34)/MAX(1,'Model Inputs'!$B$33)))</f>
        <v>0</v>
      </c>
      <c r="I158" s="218">
        <f t="shared" si="35"/>
        <v>450000</v>
      </c>
      <c r="J158" s="218">
        <f t="shared" ref="J158:J185" si="52">0.75*I157+0.25*I156</f>
        <v>375000</v>
      </c>
      <c r="K158" s="218">
        <f>F158+J158+IF(D158=1,'Model Inputs'!$B$26,0)</f>
        <v>675000</v>
      </c>
      <c r="L158" s="218">
        <f t="shared" si="36"/>
        <v>675000</v>
      </c>
      <c r="M158" s="218">
        <f>MIN(L158,'Tax Assumptions'!$B$19)</f>
        <v>24500</v>
      </c>
      <c r="N158" s="218">
        <f>MAX(L158-M158-'Tax Assumptions'!$B$8,0)</f>
        <v>634400</v>
      </c>
      <c r="O158" s="218">
        <f>MAX(L158-M158-'Tax Assumptions'!$B$9,0)</f>
        <v>642500</v>
      </c>
      <c r="P158" s="218">
        <f>IF(N158=0,0,LOOKUP(N158,'Tax Assumptions'!$F$9:$F$15,'Tax Assumptions'!$I$9:$I$15)+(N158-LOOKUP(N158,'Tax Assumptions'!$F$9:$F$15,'Tax Assumptions'!$F$9:$F$15))*LOOKUP(N158,'Tax Assumptions'!$F$9:$F$15,'Tax Assumptions'!$H$9:$H$15))+MIN(MAX(L158,0),'Tax Assumptions'!$B$11)*'Tax Assumptions'!$B$10+MAX(L158,0)*'Tax Assumptions'!$B$12+MAX(MAX(L158,0)-'Tax Assumptions'!$B$14,0)*'Tax Assumptions'!$B$13+MIN(L158*'Tax Assumptions'!$B$15,'Tax Assumptions'!$B$16)+MIN(L158*'Tax Assumptions'!$B$17,'Tax Assumptions'!$B$18)+IF(O158=0,0,LOOKUP(O158,'Tax Assumptions'!$K$9:$K$17,'Tax Assumptions'!$N$9:$N$17)+(O158-LOOKUP(O158,'Tax Assumptions'!$K$9:$K$17,'Tax Assumptions'!$K$9:$K$17))*LOOKUP(O158,'Tax Assumptions'!$K$9:$K$17,'Tax Assumptions'!$M$9:$M$17))+IF(O158=0,0,LOOKUP(O158,'Tax Assumptions'!$P$9:$P$12,'Tax Assumptions'!$S$9:$S$12)+(O158-LOOKUP(O158,'Tax Assumptions'!$P$9:$P$12,'Tax Assumptions'!$P$9:$P$12))*LOOKUP(O158,'Tax Assumptions'!$P$9:$P$12,'Tax Assumptions'!$R$9:$R$12))</f>
        <v>282929.53000000003</v>
      </c>
      <c r="Q158" s="218">
        <f t="shared" si="37"/>
        <v>367570.47</v>
      </c>
      <c r="R158" s="218">
        <f>IF(D158&lt;=10,INDEX('Savings Projection'!$BL$19:$BL$28,D158),LOOKUP(2,1/('Savings Projection'!$BL$19:$BL$28&lt;&gt;""),'Savings Projection'!$BL$19:$BL$28))*(1+'Model Inputs'!$B$35)^(D158-1)+IF(D158&lt;=10,INDEX('Savings Projection'!$BM$19:$BM$28,D158),LOOKUP(2,1/('Savings Projection'!$BM$19:$BM$28&lt;&gt;""),'Savings Projection'!$BM$19:$BM$28))*(1+'Model Inputs'!$B$36)^(D158-1)</f>
        <v>135795.20000000001</v>
      </c>
      <c r="S158" s="218">
        <f t="shared" si="38"/>
        <v>231775.26999999996</v>
      </c>
      <c r="T158" s="218">
        <f>MIN(MAX(S158,0),'Tax Assumptions'!$B$20)</f>
        <v>7500</v>
      </c>
      <c r="U158" s="218">
        <f t="shared" si="39"/>
        <v>224275.26999999996</v>
      </c>
      <c r="V158" s="218">
        <f>MAX(V157*(1+'Model Inputs'!$B$13)+U158,0)</f>
        <v>710354.56029199995</v>
      </c>
      <c r="W158" s="218">
        <f>MAX(W157*(1+'Model Inputs'!$B$13)+M158+T158,0)</f>
        <v>101875.2</v>
      </c>
      <c r="X158" s="218">
        <f t="shared" si="40"/>
        <v>812229.7602919999</v>
      </c>
      <c r="Y158" s="226" t="str">
        <f t="shared" si="41"/>
        <v/>
      </c>
      <c r="Z158" s="226" t="str">
        <f t="shared" si="42"/>
        <v/>
      </c>
      <c r="AA158" s="226" t="str">
        <f t="shared" si="43"/>
        <v/>
      </c>
      <c r="AB158" s="226" t="str">
        <f t="shared" si="44"/>
        <v/>
      </c>
    </row>
    <row r="159" spans="1:28" x14ac:dyDescent="0.2">
      <c r="A159" s="214" t="str">
        <f t="shared" si="49"/>
        <v>4Y 3x</v>
      </c>
      <c r="B159" s="214">
        <f t="shared" si="50"/>
        <v>4</v>
      </c>
      <c r="C159" s="223">
        <f t="shared" si="51"/>
        <v>3</v>
      </c>
      <c r="D159" s="214">
        <v>4</v>
      </c>
      <c r="E159" s="214">
        <f t="shared" si="34"/>
        <v>2029</v>
      </c>
      <c r="F159" s="218">
        <f>IF(D159=1,'Model Inputs'!$B$25*(13-'Model Inputs'!$B$23)/12,'Model Inputs'!$B$25)</f>
        <v>300000</v>
      </c>
      <c r="G159" s="218">
        <f>IF(D159=1,'Model Inputs'!$B$27*(13-'Model Inputs'!$B$23)/12,IF(D159=2,'Model Inputs'!$B$27,IF(D159&lt;=MAX(3,'Model Inputs'!$B$30+1),'Model Inputs'!$B$27*(1+'Model Inputs'!$B$28)^(D159-3),'Model Inputs'!$B$27*(1+'Model Inputs'!$B$28)^(MAX(3,'Model Inputs'!$B$30+1)-3)*(1+'Model Inputs'!$B$29)^(D159-MAX(3,'Model Inputs'!$B$30+1)))))</f>
        <v>653834.84153110103</v>
      </c>
      <c r="H159" s="224">
        <f>IF(D159&lt;=2,0,'Model Inputs'!$B$32*SIN(2*PI()*(D159-3+'Model Inputs'!$B$34)/MAX(1,'Model Inputs'!$B$33)))</f>
        <v>0.10392304845413264</v>
      </c>
      <c r="I159" s="218">
        <f t="shared" si="35"/>
        <v>721783.35144853778</v>
      </c>
      <c r="J159" s="218">
        <f t="shared" si="52"/>
        <v>450000</v>
      </c>
      <c r="K159" s="218">
        <f>F159+J159+IF(D159=1,'Model Inputs'!$B$26,0)</f>
        <v>750000</v>
      </c>
      <c r="L159" s="218">
        <f t="shared" si="36"/>
        <v>750000</v>
      </c>
      <c r="M159" s="218">
        <f>MIN(L159,'Tax Assumptions'!$B$19)</f>
        <v>24500</v>
      </c>
      <c r="N159" s="218">
        <f>MAX(L159-M159-'Tax Assumptions'!$B$8,0)</f>
        <v>709400</v>
      </c>
      <c r="O159" s="218">
        <f>MAX(L159-M159-'Tax Assumptions'!$B$9,0)</f>
        <v>717500</v>
      </c>
      <c r="P159" s="218">
        <f>IF(N159=0,0,LOOKUP(N159,'Tax Assumptions'!$F$9:$F$15,'Tax Assumptions'!$I$9:$I$15)+(N159-LOOKUP(N159,'Tax Assumptions'!$F$9:$F$15,'Tax Assumptions'!$F$9:$F$15))*LOOKUP(N159,'Tax Assumptions'!$F$9:$F$15,'Tax Assumptions'!$H$9:$H$15))+MIN(MAX(L159,0),'Tax Assumptions'!$B$11)*'Tax Assumptions'!$B$10+MAX(L159,0)*'Tax Assumptions'!$B$12+MAX(MAX(L159,0)-'Tax Assumptions'!$B$14,0)*'Tax Assumptions'!$B$13+MIN(L159*'Tax Assumptions'!$B$15,'Tax Assumptions'!$B$16)+MIN(L159*'Tax Assumptions'!$B$17,'Tax Assumptions'!$B$18)+IF(O159=0,0,LOOKUP(O159,'Tax Assumptions'!$K$9:$K$17,'Tax Assumptions'!$N$9:$N$17)+(O159-LOOKUP(O159,'Tax Assumptions'!$K$9:$K$17,'Tax Assumptions'!$K$9:$K$17))*LOOKUP(O159,'Tax Assumptions'!$K$9:$K$17,'Tax Assumptions'!$M$9:$M$17))+IF(O159=0,0,LOOKUP(O159,'Tax Assumptions'!$P$9:$P$12,'Tax Assumptions'!$S$9:$S$12)+(O159-LOOKUP(O159,'Tax Assumptions'!$P$9:$P$12,'Tax Assumptions'!$P$9:$P$12))*LOOKUP(O159,'Tax Assumptions'!$P$9:$P$12,'Tax Assumptions'!$R$9:$R$12))</f>
        <v>320362.53000000003</v>
      </c>
      <c r="Q159" s="218">
        <f t="shared" si="37"/>
        <v>405137.47</v>
      </c>
      <c r="R159" s="218">
        <f>IF(D159&lt;=10,INDEX('Savings Projection'!$BL$19:$BL$28,D159),LOOKUP(2,1/('Savings Projection'!$BL$19:$BL$28&lt;&gt;""),'Savings Projection'!$BL$19:$BL$28))*(1+'Model Inputs'!$B$35)^(D159-1)+IF(D159&lt;=10,INDEX('Savings Projection'!$BM$19:$BM$28,D159),LOOKUP(2,1/('Savings Projection'!$BM$19:$BM$28&lt;&gt;""),'Savings Projection'!$BM$19:$BM$28))*(1+'Model Inputs'!$B$36)^(D159-1)</f>
        <v>139869.05600000001</v>
      </c>
      <c r="S159" s="218">
        <f t="shared" si="38"/>
        <v>265268.41399999999</v>
      </c>
      <c r="T159" s="218">
        <f>MIN(MAX(S159,0),'Tax Assumptions'!$B$20)</f>
        <v>7500</v>
      </c>
      <c r="U159" s="218">
        <f t="shared" si="39"/>
        <v>257768.41399999999</v>
      </c>
      <c r="V159" s="218">
        <f>MAX(V158*(1+'Model Inputs'!$B$13)+U159,0)</f>
        <v>1010744.2479095199</v>
      </c>
      <c r="W159" s="218">
        <f>MAX(W158*(1+'Model Inputs'!$B$13)+M159+T159,0)</f>
        <v>139987.712</v>
      </c>
      <c r="X159" s="218">
        <f t="shared" si="40"/>
        <v>1150731.9599095199</v>
      </c>
      <c r="Y159" s="226" t="str">
        <f t="shared" si="41"/>
        <v/>
      </c>
      <c r="Z159" s="226" t="str">
        <f t="shared" si="42"/>
        <v/>
      </c>
      <c r="AA159" s="226" t="str">
        <f t="shared" si="43"/>
        <v/>
      </c>
      <c r="AB159" s="226" t="str">
        <f t="shared" si="44"/>
        <v/>
      </c>
    </row>
    <row r="160" spans="1:28" x14ac:dyDescent="0.2">
      <c r="A160" s="214" t="str">
        <f t="shared" si="49"/>
        <v>4Y 3x</v>
      </c>
      <c r="B160" s="214">
        <f t="shared" si="50"/>
        <v>4</v>
      </c>
      <c r="C160" s="223">
        <f t="shared" si="51"/>
        <v>3</v>
      </c>
      <c r="D160" s="214">
        <v>5</v>
      </c>
      <c r="E160" s="214">
        <f t="shared" si="34"/>
        <v>2030</v>
      </c>
      <c r="F160" s="218">
        <f>IF(D160=1,'Model Inputs'!$B$25*(13-'Model Inputs'!$B$23)/12,'Model Inputs'!$B$25)</f>
        <v>300000</v>
      </c>
      <c r="G160" s="218">
        <f>IF(D160=1,'Model Inputs'!$B$27*(13-'Model Inputs'!$B$23)/12,IF(D160=2,'Model Inputs'!$B$27,IF(D160&lt;=MAX(3,'Model Inputs'!$B$30+1),'Model Inputs'!$B$27*(1+'Model Inputs'!$B$28)^(D160-3),'Model Inputs'!$B$27*(1+'Model Inputs'!$B$28)^(MAX(3,'Model Inputs'!$B$30+1)-3)*(1+'Model Inputs'!$B$29)^(D160-MAX(3,'Model Inputs'!$B$30+1)))))</f>
        <v>950000</v>
      </c>
      <c r="H160" s="224">
        <f>IF(D160&lt;=2,0,'Model Inputs'!$B$32*SIN(2*PI()*(D160-3+'Model Inputs'!$B$34)/MAX(1,'Model Inputs'!$B$33)))</f>
        <v>-0.1039230484541326</v>
      </c>
      <c r="I160" s="218">
        <f t="shared" si="35"/>
        <v>851273.10396857408</v>
      </c>
      <c r="J160" s="218">
        <f t="shared" si="52"/>
        <v>653837.51358640334</v>
      </c>
      <c r="K160" s="218">
        <f>F160+J160+IF(D160=1,'Model Inputs'!$B$26,0)</f>
        <v>953837.51358640334</v>
      </c>
      <c r="L160" s="218">
        <f t="shared" si="36"/>
        <v>2861512.54075921</v>
      </c>
      <c r="M160" s="218">
        <f>MIN(L160,'Tax Assumptions'!$B$19)</f>
        <v>24500</v>
      </c>
      <c r="N160" s="218">
        <f>MAX(L160-M160-'Tax Assumptions'!$B$8,0)</f>
        <v>2820912.54075921</v>
      </c>
      <c r="O160" s="218">
        <f>MAX(L160-M160-'Tax Assumptions'!$B$9,0)</f>
        <v>2829012.54075921</v>
      </c>
      <c r="P160" s="218">
        <f>IF(N160=0,0,LOOKUP(N160,'Tax Assumptions'!$F$9:$F$15,'Tax Assumptions'!$I$9:$I$15)+(N160-LOOKUP(N160,'Tax Assumptions'!$F$9:$F$15,'Tax Assumptions'!$F$9:$F$15))*LOOKUP(N160,'Tax Assumptions'!$F$9:$F$15,'Tax Assumptions'!$H$9:$H$15))+MIN(MAX(L160,0),'Tax Assumptions'!$B$11)*'Tax Assumptions'!$B$10+MAX(L160,0)*'Tax Assumptions'!$B$12+MAX(MAX(L160,0)-'Tax Assumptions'!$B$14,0)*'Tax Assumptions'!$B$13+MIN(L160*'Tax Assumptions'!$B$15,'Tax Assumptions'!$B$16)+MIN(L160*'Tax Assumptions'!$B$17,'Tax Assumptions'!$B$18)+IF(O160=0,0,LOOKUP(O160,'Tax Assumptions'!$K$9:$K$17,'Tax Assumptions'!$N$9:$N$17)+(O160-LOOKUP(O160,'Tax Assumptions'!$K$9:$K$17,'Tax Assumptions'!$K$9:$K$17))*LOOKUP(O160,'Tax Assumptions'!$K$9:$K$17,'Tax Assumptions'!$M$9:$M$17))+IF(O160=0,0,LOOKUP(O160,'Tax Assumptions'!$P$9:$P$12,'Tax Assumptions'!$S$9:$S$12)+(O160-LOOKUP(O160,'Tax Assumptions'!$P$9:$P$12,'Tax Assumptions'!$P$9:$P$12))*LOOKUP(O160,'Tax Assumptions'!$P$9:$P$12,'Tax Assumptions'!$R$9:$R$12))</f>
        <v>1426764.0060518396</v>
      </c>
      <c r="Q160" s="218">
        <f t="shared" si="37"/>
        <v>1410248.5347073704</v>
      </c>
      <c r="R160" s="218">
        <f>IF(D160&lt;=10,INDEX('Savings Projection'!$BL$19:$BL$28,D160),LOOKUP(2,1/('Savings Projection'!$BL$19:$BL$28&lt;&gt;""),'Savings Projection'!$BL$19:$BL$28))*(1+'Model Inputs'!$B$35)^(D160-1)+IF(D160&lt;=10,INDEX('Savings Projection'!$BM$19:$BM$28,D160),LOOKUP(2,1/('Savings Projection'!$BM$19:$BM$28&lt;&gt;""),'Savings Projection'!$BM$19:$BM$28))*(1+'Model Inputs'!$B$36)^(D160-1)</f>
        <v>144065.12767999998</v>
      </c>
      <c r="S160" s="218">
        <f t="shared" si="38"/>
        <v>1266183.4070273705</v>
      </c>
      <c r="T160" s="218">
        <f>MIN(MAX(S160,0),'Tax Assumptions'!$B$20)</f>
        <v>7500</v>
      </c>
      <c r="U160" s="218">
        <f t="shared" si="39"/>
        <v>1258683.4070273705</v>
      </c>
      <c r="V160" s="218">
        <f>MAX(V159*(1+'Model Inputs'!$B$13)+U160,0)</f>
        <v>2330072.3098114617</v>
      </c>
      <c r="W160" s="218">
        <f>MAX(W159*(1+'Model Inputs'!$B$13)+M160+T160,0)</f>
        <v>180386.97472</v>
      </c>
      <c r="X160" s="218">
        <f t="shared" si="40"/>
        <v>2510459.2845314615</v>
      </c>
      <c r="Y160" s="226" t="str">
        <f t="shared" si="41"/>
        <v/>
      </c>
      <c r="Z160" s="226" t="str">
        <f t="shared" si="42"/>
        <v/>
      </c>
      <c r="AA160" s="226" t="str">
        <f t="shared" si="43"/>
        <v/>
      </c>
      <c r="AB160" s="226" t="str">
        <f t="shared" si="44"/>
        <v/>
      </c>
    </row>
    <row r="161" spans="1:28" x14ac:dyDescent="0.2">
      <c r="A161" s="214" t="str">
        <f t="shared" si="49"/>
        <v>4Y 3x</v>
      </c>
      <c r="B161" s="214">
        <f t="shared" si="50"/>
        <v>4</v>
      </c>
      <c r="C161" s="223">
        <f t="shared" si="51"/>
        <v>3</v>
      </c>
      <c r="D161" s="214">
        <v>6</v>
      </c>
      <c r="E161" s="214">
        <f t="shared" si="34"/>
        <v>2031</v>
      </c>
      <c r="F161" s="218">
        <f>IF(D161=1,'Model Inputs'!$B$25*(13-'Model Inputs'!$B$23)/12,'Model Inputs'!$B$25)</f>
        <v>300000</v>
      </c>
      <c r="G161" s="218">
        <f>IF(D161=1,'Model Inputs'!$B$27*(13-'Model Inputs'!$B$23)/12,IF(D161=2,'Model Inputs'!$B$27,IF(D161&lt;=MAX(3,'Model Inputs'!$B$30+1),'Model Inputs'!$B$27*(1+'Model Inputs'!$B$28)^(D161-3),'Model Inputs'!$B$27*(1+'Model Inputs'!$B$28)^(MAX(3,'Model Inputs'!$B$30+1)-3)*(1+'Model Inputs'!$B$29)^(D161-MAX(3,'Model Inputs'!$B$30+1)))))</f>
        <v>1207333.5632986501</v>
      </c>
      <c r="H161" s="224">
        <f>IF(D161&lt;=2,0,'Model Inputs'!$B$32*SIN(2*PI()*(D161-3+'Model Inputs'!$B$34)/MAX(1,'Model Inputs'!$B$33)))</f>
        <v>-2.9391523179536474E-17</v>
      </c>
      <c r="I161" s="218">
        <f t="shared" si="35"/>
        <v>1207333.5632986501</v>
      </c>
      <c r="J161" s="218">
        <f t="shared" si="52"/>
        <v>818900.66583856498</v>
      </c>
      <c r="K161" s="218">
        <f>F161+J161+IF(D161=1,'Model Inputs'!$B$26,0)</f>
        <v>1118900.665838565</v>
      </c>
      <c r="L161" s="218">
        <f t="shared" si="36"/>
        <v>3356701.9975156952</v>
      </c>
      <c r="M161" s="218">
        <f>MIN(L161,'Tax Assumptions'!$B$19)</f>
        <v>24500</v>
      </c>
      <c r="N161" s="218">
        <f>MAX(L161-M161-'Tax Assumptions'!$B$8,0)</f>
        <v>3316101.9975156952</v>
      </c>
      <c r="O161" s="218">
        <f>MAX(L161-M161-'Tax Assumptions'!$B$9,0)</f>
        <v>3324201.9975156952</v>
      </c>
      <c r="P161" s="218">
        <f>IF(N161=0,0,LOOKUP(N161,'Tax Assumptions'!$F$9:$F$15,'Tax Assumptions'!$I$9:$I$15)+(N161-LOOKUP(N161,'Tax Assumptions'!$F$9:$F$15,'Tax Assumptions'!$F$9:$F$15))*LOOKUP(N161,'Tax Assumptions'!$F$9:$F$15,'Tax Assumptions'!$H$9:$H$15))+MIN(MAX(L161,0),'Tax Assumptions'!$B$11)*'Tax Assumptions'!$B$10+MAX(L161,0)*'Tax Assumptions'!$B$12+MAX(MAX(L161,0)-'Tax Assumptions'!$B$14,0)*'Tax Assumptions'!$B$13+MIN(L161*'Tax Assumptions'!$B$15,'Tax Assumptions'!$B$16)+MIN(L161*'Tax Assumptions'!$B$17,'Tax Assumptions'!$B$18)+IF(O161=0,0,LOOKUP(O161,'Tax Assumptions'!$K$9:$K$17,'Tax Assumptions'!$N$9:$N$17)+(O161-LOOKUP(O161,'Tax Assumptions'!$K$9:$K$17,'Tax Assumptions'!$K$9:$K$17))*LOOKUP(O161,'Tax Assumptions'!$K$9:$K$17,'Tax Assumptions'!$M$9:$M$17))+IF(O161=0,0,LOOKUP(O161,'Tax Assumptions'!$P$9:$P$12,'Tax Assumptions'!$S$9:$S$12)+(O161-LOOKUP(O161,'Tax Assumptions'!$P$9:$P$12,'Tax Assumptions'!$P$9:$P$12))*LOOKUP(O161,'Tax Assumptions'!$P$9:$P$12,'Tax Assumptions'!$R$9:$R$12))</f>
        <v>1688600.3832063989</v>
      </c>
      <c r="Q161" s="218">
        <f t="shared" si="37"/>
        <v>1643601.6143092962</v>
      </c>
      <c r="R161" s="218">
        <f>IF(D161&lt;=10,INDEX('Savings Projection'!$BL$19:$BL$28,D161),LOOKUP(2,1/('Savings Projection'!$BL$19:$BL$28&lt;&gt;""),'Savings Projection'!$BL$19:$BL$28))*(1+'Model Inputs'!$B$35)^(D161-1)+IF(D161&lt;=10,INDEX('Savings Projection'!$BM$19:$BM$28,D161),LOOKUP(2,1/('Savings Projection'!$BM$19:$BM$28&lt;&gt;""),'Savings Projection'!$BM$19:$BM$28))*(1+'Model Inputs'!$B$36)^(D161-1)</f>
        <v>150705.62965899997</v>
      </c>
      <c r="S161" s="218">
        <f t="shared" si="38"/>
        <v>1492895.9846502962</v>
      </c>
      <c r="T161" s="218">
        <f>MIN(MAX(S161,0),'Tax Assumptions'!$B$20)</f>
        <v>7500</v>
      </c>
      <c r="U161" s="218">
        <f t="shared" si="39"/>
        <v>1485395.9846502962</v>
      </c>
      <c r="V161" s="218">
        <f>MAX(V160*(1+'Model Inputs'!$B$13)+U161,0)</f>
        <v>3955272.6330504459</v>
      </c>
      <c r="W161" s="218">
        <f>MAX(W160*(1+'Model Inputs'!$B$13)+M161+T161,0)</f>
        <v>223210.1932032</v>
      </c>
      <c r="X161" s="218">
        <f t="shared" si="40"/>
        <v>4178482.8262536461</v>
      </c>
      <c r="Y161" s="226" t="str">
        <f t="shared" si="41"/>
        <v/>
      </c>
      <c r="Z161" s="226" t="str">
        <f t="shared" si="42"/>
        <v/>
      </c>
      <c r="AA161" s="226" t="str">
        <f t="shared" si="43"/>
        <v/>
      </c>
      <c r="AB161" s="226" t="str">
        <f t="shared" si="44"/>
        <v/>
      </c>
    </row>
    <row r="162" spans="1:28" x14ac:dyDescent="0.2">
      <c r="A162" s="214" t="str">
        <f t="shared" si="49"/>
        <v>4Y 3x</v>
      </c>
      <c r="B162" s="214">
        <f t="shared" si="50"/>
        <v>4</v>
      </c>
      <c r="C162" s="223">
        <f t="shared" si="51"/>
        <v>3</v>
      </c>
      <c r="D162" s="214">
        <v>7</v>
      </c>
      <c r="E162" s="214">
        <f t="shared" si="34"/>
        <v>2032</v>
      </c>
      <c r="F162" s="218">
        <f>IF(D162=1,'Model Inputs'!$B$25*(13-'Model Inputs'!$B$23)/12,'Model Inputs'!$B$25)</f>
        <v>300000</v>
      </c>
      <c r="G162" s="218">
        <f>IF(D162=1,'Model Inputs'!$B$27*(13-'Model Inputs'!$B$23)/12,IF(D162=2,'Model Inputs'!$B$27,IF(D162&lt;=MAX(3,'Model Inputs'!$B$30+1),'Model Inputs'!$B$27*(1+'Model Inputs'!$B$28)^(D162-3),'Model Inputs'!$B$27*(1+'Model Inputs'!$B$28)^(MAX(3,'Model Inputs'!$B$30+1)-3)*(1+'Model Inputs'!$B$29)^(D162-MAX(3,'Model Inputs'!$B$30+1)))))</f>
        <v>1534372.9821762268</v>
      </c>
      <c r="H162" s="224">
        <f>IF(D162&lt;=2,0,'Model Inputs'!$B$32*SIN(2*PI()*(D162-3+'Model Inputs'!$B$34)/MAX(1,'Model Inputs'!$B$33)))</f>
        <v>0.10392304845413269</v>
      </c>
      <c r="I162" s="218">
        <f t="shared" si="35"/>
        <v>1693829.6999496389</v>
      </c>
      <c r="J162" s="218">
        <f t="shared" si="52"/>
        <v>1118318.448466131</v>
      </c>
      <c r="K162" s="218">
        <f>F162+J162+IF(D162=1,'Model Inputs'!$B$26,0)</f>
        <v>1418318.448466131</v>
      </c>
      <c r="L162" s="218">
        <f t="shared" si="36"/>
        <v>4254955.3453983925</v>
      </c>
      <c r="M162" s="218">
        <f>MIN(L162,'Tax Assumptions'!$B$19)</f>
        <v>24500</v>
      </c>
      <c r="N162" s="218">
        <f>MAX(L162-M162-'Tax Assumptions'!$B$8,0)</f>
        <v>4214355.3453983925</v>
      </c>
      <c r="O162" s="218">
        <f>MAX(L162-M162-'Tax Assumptions'!$B$9,0)</f>
        <v>4222455.3453983925</v>
      </c>
      <c r="P162" s="218">
        <f>IF(N162=0,0,LOOKUP(N162,'Tax Assumptions'!$F$9:$F$15,'Tax Assumptions'!$I$9:$I$15)+(N162-LOOKUP(N162,'Tax Assumptions'!$F$9:$F$15,'Tax Assumptions'!$F$9:$F$15))*LOOKUP(N162,'Tax Assumptions'!$F$9:$F$15,'Tax Assumptions'!$H$9:$H$15))+MIN(MAX(L162,0),'Tax Assumptions'!$B$11)*'Tax Assumptions'!$B$10+MAX(L162,0)*'Tax Assumptions'!$B$12+MAX(MAX(L162,0)-'Tax Assumptions'!$B$14,0)*'Tax Assumptions'!$B$13+MIN(L162*'Tax Assumptions'!$B$15,'Tax Assumptions'!$B$16)+MIN(L162*'Tax Assumptions'!$B$17,'Tax Assumptions'!$B$18)+IF(O162=0,0,LOOKUP(O162,'Tax Assumptions'!$K$9:$K$17,'Tax Assumptions'!$N$9:$N$17)+(O162-LOOKUP(O162,'Tax Assumptions'!$K$9:$K$17,'Tax Assumptions'!$K$9:$K$17))*LOOKUP(O162,'Tax Assumptions'!$K$9:$K$17,'Tax Assumptions'!$M$9:$M$17))+IF(O162=0,0,LOOKUP(O162,'Tax Assumptions'!$P$9:$P$12,'Tax Assumptions'!$S$9:$S$12)+(O162-LOOKUP(O162,'Tax Assumptions'!$P$9:$P$12,'Tax Assumptions'!$P$9:$P$12))*LOOKUP(O162,'Tax Assumptions'!$P$9:$P$12,'Tax Assumptions'!$R$9:$R$12))</f>
        <v>2163560.8234328539</v>
      </c>
      <c r="Q162" s="218">
        <f t="shared" si="37"/>
        <v>2066894.5219655386</v>
      </c>
      <c r="R162" s="218">
        <f>IF(D162&lt;=10,INDEX('Savings Projection'!$BL$19:$BL$28,D162),LOOKUP(2,1/('Savings Projection'!$BL$19:$BL$28&lt;&gt;""),'Savings Projection'!$BL$19:$BL$28))*(1+'Model Inputs'!$B$35)^(D162-1)+IF(D162&lt;=10,INDEX('Savings Projection'!$BM$19:$BM$28,D162),LOOKUP(2,1/('Savings Projection'!$BM$19:$BM$28&lt;&gt;""),'Savings Projection'!$BM$19:$BM$28))*(1+'Model Inputs'!$B$36)^(D162-1)</f>
        <v>155226.79854876999</v>
      </c>
      <c r="S162" s="218">
        <f t="shared" si="38"/>
        <v>1911667.7234167687</v>
      </c>
      <c r="T162" s="218">
        <f>MIN(MAX(S162,0),'Tax Assumptions'!$B$20)</f>
        <v>7500</v>
      </c>
      <c r="U162" s="218">
        <f t="shared" si="39"/>
        <v>1904167.7234167687</v>
      </c>
      <c r="V162" s="218">
        <f>MAX(V161*(1+'Model Inputs'!$B$13)+U162,0)</f>
        <v>6096756.714450242</v>
      </c>
      <c r="W162" s="218">
        <f>MAX(W161*(1+'Model Inputs'!$B$13)+M162+T162,0)</f>
        <v>268602.80479539197</v>
      </c>
      <c r="X162" s="218">
        <f t="shared" si="40"/>
        <v>6365359.5192456339</v>
      </c>
      <c r="Y162" s="226" t="str">
        <f t="shared" si="41"/>
        <v/>
      </c>
      <c r="Z162" s="226" t="str">
        <f t="shared" si="42"/>
        <v/>
      </c>
      <c r="AA162" s="226" t="str">
        <f t="shared" si="43"/>
        <v/>
      </c>
      <c r="AB162" s="226" t="str">
        <f t="shared" si="44"/>
        <v/>
      </c>
    </row>
    <row r="163" spans="1:28" x14ac:dyDescent="0.2">
      <c r="A163" s="214" t="str">
        <f t="shared" si="49"/>
        <v>4Y 3x</v>
      </c>
      <c r="B163" s="214">
        <f t="shared" si="50"/>
        <v>4</v>
      </c>
      <c r="C163" s="223">
        <f t="shared" si="51"/>
        <v>3</v>
      </c>
      <c r="D163" s="214">
        <v>8</v>
      </c>
      <c r="E163" s="214">
        <f t="shared" si="34"/>
        <v>2033</v>
      </c>
      <c r="F163" s="218">
        <f>IF(D163=1,'Model Inputs'!$B$25*(13-'Model Inputs'!$B$23)/12,'Model Inputs'!$B$25)</f>
        <v>300000</v>
      </c>
      <c r="G163" s="218">
        <f>IF(D163=1,'Model Inputs'!$B$27*(13-'Model Inputs'!$B$23)/12,IF(D163=2,'Model Inputs'!$B$27,IF(D163&lt;=MAX(3,'Model Inputs'!$B$30+1),'Model Inputs'!$B$27*(1+'Model Inputs'!$B$28)^(D163-3),'Model Inputs'!$B$27*(1+'Model Inputs'!$B$28)^(MAX(3,'Model Inputs'!$B$30+1)-3)*(1+'Model Inputs'!$B$29)^(D163-MAX(3,'Model Inputs'!$B$30+1)))))</f>
        <v>1950000.0000000002</v>
      </c>
      <c r="H163" s="224">
        <f>IF(D163&lt;=2,0,'Model Inputs'!$B$32*SIN(2*PI()*(D163-3+'Model Inputs'!$B$34)/MAX(1,'Model Inputs'!$B$33)))</f>
        <v>-0.10392304845413264</v>
      </c>
      <c r="I163" s="218">
        <f t="shared" si="35"/>
        <v>1747350.0555144416</v>
      </c>
      <c r="J163" s="218">
        <f t="shared" si="52"/>
        <v>1572205.6657868917</v>
      </c>
      <c r="K163" s="218">
        <f>F163+J163+IF(D163=1,'Model Inputs'!$B$26,0)</f>
        <v>1872205.6657868917</v>
      </c>
      <c r="L163" s="218">
        <f t="shared" si="36"/>
        <v>5616616.9973606747</v>
      </c>
      <c r="M163" s="218">
        <f>MIN(L163,'Tax Assumptions'!$B$19)</f>
        <v>24500</v>
      </c>
      <c r="N163" s="218">
        <f>MAX(L163-M163-'Tax Assumptions'!$B$8,0)</f>
        <v>5576016.9973606747</v>
      </c>
      <c r="O163" s="218">
        <f>MAX(L163-M163-'Tax Assumptions'!$B$9,0)</f>
        <v>5584116.9973606747</v>
      </c>
      <c r="P163" s="218">
        <f>IF(N163=0,0,LOOKUP(N163,'Tax Assumptions'!$F$9:$F$15,'Tax Assumptions'!$I$9:$I$15)+(N163-LOOKUP(N163,'Tax Assumptions'!$F$9:$F$15,'Tax Assumptions'!$F$9:$F$15))*LOOKUP(N163,'Tax Assumptions'!$F$9:$F$15,'Tax Assumptions'!$H$9:$H$15))+MIN(MAX(L163,0),'Tax Assumptions'!$B$11)*'Tax Assumptions'!$B$10+MAX(L163,0)*'Tax Assumptions'!$B$12+MAX(MAX(L163,0)-'Tax Assumptions'!$B$14,0)*'Tax Assumptions'!$B$13+MIN(L163*'Tax Assumptions'!$B$15,'Tax Assumptions'!$B$16)+MIN(L163*'Tax Assumptions'!$B$17,'Tax Assumptions'!$B$18)+IF(O163=0,0,LOOKUP(O163,'Tax Assumptions'!$K$9:$K$17,'Tax Assumptions'!$N$9:$N$17)+(O163-LOOKUP(O163,'Tax Assumptions'!$K$9:$K$17,'Tax Assumptions'!$K$9:$K$17))*LOOKUP(O163,'Tax Assumptions'!$K$9:$K$17,'Tax Assumptions'!$M$9:$M$17))+IF(O163=0,0,LOOKUP(O163,'Tax Assumptions'!$P$9:$P$12,'Tax Assumptions'!$S$9:$S$12)+(O163-LOOKUP(O163,'Tax Assumptions'!$P$9:$P$12,'Tax Assumptions'!$P$9:$P$12))*LOOKUP(O163,'Tax Assumptions'!$P$9:$P$12,'Tax Assumptions'!$R$9:$R$12))</f>
        <v>2887352.9540072749</v>
      </c>
      <c r="Q163" s="218">
        <f t="shared" si="37"/>
        <v>2704764.0433533997</v>
      </c>
      <c r="R163" s="218">
        <f>IF(D163&lt;=10,INDEX('Savings Projection'!$BL$19:$BL$28,D163),LOOKUP(2,1/('Savings Projection'!$BL$19:$BL$28&lt;&gt;""),'Savings Projection'!$BL$19:$BL$28))*(1+'Model Inputs'!$B$35)^(D163-1)+IF(D163&lt;=10,INDEX('Savings Projection'!$BM$19:$BM$28,D163),LOOKUP(2,1/('Savings Projection'!$BM$19:$BM$28&lt;&gt;""),'Savings Projection'!$BM$19:$BM$28))*(1+'Model Inputs'!$B$36)^(D163-1)</f>
        <v>159883.60250523311</v>
      </c>
      <c r="S163" s="218">
        <f t="shared" si="38"/>
        <v>2544880.4408481666</v>
      </c>
      <c r="T163" s="218">
        <f>MIN(MAX(S163,0),'Tax Assumptions'!$B$20)</f>
        <v>7500</v>
      </c>
      <c r="U163" s="218">
        <f t="shared" si="39"/>
        <v>2537380.4408481666</v>
      </c>
      <c r="V163" s="218">
        <f>MAX(V162*(1+'Model Inputs'!$B$13)+U163,0)</f>
        <v>8999942.5581654236</v>
      </c>
      <c r="W163" s="218">
        <f>MAX(W162*(1+'Model Inputs'!$B$13)+M163+T163,0)</f>
        <v>316718.97308311553</v>
      </c>
      <c r="X163" s="218">
        <f t="shared" si="40"/>
        <v>9316661.5312485397</v>
      </c>
      <c r="Y163" s="226" t="str">
        <f t="shared" si="41"/>
        <v/>
      </c>
      <c r="Z163" s="226" t="str">
        <f t="shared" si="42"/>
        <v/>
      </c>
      <c r="AA163" s="226" t="str">
        <f t="shared" si="43"/>
        <v/>
      </c>
      <c r="AB163" s="226" t="str">
        <f t="shared" si="44"/>
        <v/>
      </c>
    </row>
    <row r="164" spans="1:28" x14ac:dyDescent="0.2">
      <c r="A164" s="214" t="str">
        <f t="shared" si="49"/>
        <v>4Y 3x</v>
      </c>
      <c r="B164" s="214">
        <f t="shared" si="50"/>
        <v>4</v>
      </c>
      <c r="C164" s="223">
        <f t="shared" si="51"/>
        <v>3</v>
      </c>
      <c r="D164" s="214">
        <v>9</v>
      </c>
      <c r="E164" s="214">
        <f t="shared" ref="E164:E227" si="53">2025+D164</f>
        <v>2034</v>
      </c>
      <c r="F164" s="218">
        <f>IF(D164=1,'Model Inputs'!$B$25*(13-'Model Inputs'!$B$23)/12,'Model Inputs'!$B$25)</f>
        <v>300000</v>
      </c>
      <c r="G164" s="218">
        <f>IF(D164=1,'Model Inputs'!$B$27*(13-'Model Inputs'!$B$23)/12,IF(D164=2,'Model Inputs'!$B$27,IF(D164&lt;=MAX(3,'Model Inputs'!$B$30+1),'Model Inputs'!$B$27*(1+'Model Inputs'!$B$28)^(D164-3),'Model Inputs'!$B$27*(1+'Model Inputs'!$B$28)^(MAX(3,'Model Inputs'!$B$30+1)-3)*(1+'Model Inputs'!$B$29)^(D164-MAX(3,'Model Inputs'!$B$30+1)))))</f>
        <v>2478210.9983498608</v>
      </c>
      <c r="H164" s="224">
        <f>IF(D164&lt;=2,0,'Model Inputs'!$B$32*SIN(2*PI()*(D164-3+'Model Inputs'!$B$34)/MAX(1,'Model Inputs'!$B$33)))</f>
        <v>-5.8783046359072947E-17</v>
      </c>
      <c r="I164" s="218">
        <f t="shared" ref="I164:I227" si="54">G164*(1+H164)</f>
        <v>2478210.9983498603</v>
      </c>
      <c r="J164" s="218">
        <f t="shared" si="52"/>
        <v>1733969.9666232408</v>
      </c>
      <c r="K164" s="218">
        <f>F164+J164+IF(D164=1,'Model Inputs'!$B$26,0)</f>
        <v>2033969.9666232408</v>
      </c>
      <c r="L164" s="218">
        <f t="shared" ref="L164:L227" si="55">IF(D164&lt;=B164,K164,K164*C164)</f>
        <v>6101909.8998697223</v>
      </c>
      <c r="M164" s="218">
        <f>MIN(L164,'Tax Assumptions'!$B$19)</f>
        <v>24500</v>
      </c>
      <c r="N164" s="218">
        <f>MAX(L164-M164-'Tax Assumptions'!$B$8,0)</f>
        <v>6061309.8998697223</v>
      </c>
      <c r="O164" s="218">
        <f>MAX(L164-M164-'Tax Assumptions'!$B$9,0)</f>
        <v>6069409.8998697223</v>
      </c>
      <c r="P164" s="218">
        <f>IF(N164=0,0,LOOKUP(N164,'Tax Assumptions'!$F$9:$F$15,'Tax Assumptions'!$I$9:$I$15)+(N164-LOOKUP(N164,'Tax Assumptions'!$F$9:$F$15,'Tax Assumptions'!$F$9:$F$15))*LOOKUP(N164,'Tax Assumptions'!$F$9:$F$15,'Tax Assumptions'!$H$9:$H$15))+MIN(MAX(L164,0),'Tax Assumptions'!$B$11)*'Tax Assumptions'!$B$10+MAX(L164,0)*'Tax Assumptions'!$B$12+MAX(MAX(L164,0)-'Tax Assumptions'!$B$14,0)*'Tax Assumptions'!$B$13+MIN(L164*'Tax Assumptions'!$B$15,'Tax Assumptions'!$B$16)+MIN(L164*'Tax Assumptions'!$B$17,'Tax Assumptions'!$B$18)+IF(O164=0,0,LOOKUP(O164,'Tax Assumptions'!$K$9:$K$17,'Tax Assumptions'!$N$9:$N$17)+(O164-LOOKUP(O164,'Tax Assumptions'!$K$9:$K$17,'Tax Assumptions'!$K$9:$K$17))*LOOKUP(O164,'Tax Assumptions'!$K$9:$K$17,'Tax Assumptions'!$M$9:$M$17))+IF(O164=0,0,LOOKUP(O164,'Tax Assumptions'!$P$9:$P$12,'Tax Assumptions'!$S$9:$S$12)+(O164-LOOKUP(O164,'Tax Assumptions'!$P$9:$P$12,'Tax Assumptions'!$P$9:$P$12))*LOOKUP(O164,'Tax Assumptions'!$P$9:$P$12,'Tax Assumptions'!$R$9:$R$12))</f>
        <v>3147110.8330042674</v>
      </c>
      <c r="Q164" s="218">
        <f t="shared" ref="Q164:Q227" si="56">L164-M164-P164</f>
        <v>2930299.0668654549</v>
      </c>
      <c r="R164" s="218">
        <f>IF(D164&lt;=10,INDEX('Savings Projection'!$BL$19:$BL$28,D164),LOOKUP(2,1/('Savings Projection'!$BL$19:$BL$28&lt;&gt;""),'Savings Projection'!$BL$19:$BL$28))*(1+'Model Inputs'!$B$35)^(D164-1)+IF(D164&lt;=10,INDEX('Savings Projection'!$BM$19:$BM$28,D164),LOOKUP(2,1/('Savings Projection'!$BM$19:$BM$28&lt;&gt;""),'Savings Projection'!$BM$19:$BM$28))*(1+'Model Inputs'!$B$36)^(D164-1)</f>
        <v>164680.11058039009</v>
      </c>
      <c r="S164" s="218">
        <f t="shared" ref="S164:S227" si="57">Q164-R164</f>
        <v>2765618.956285065</v>
      </c>
      <c r="T164" s="218">
        <f>MIN(MAX(S164,0),'Tax Assumptions'!$B$20)</f>
        <v>7500</v>
      </c>
      <c r="U164" s="218">
        <f t="shared" ref="U164:U227" si="58">S164-T164</f>
        <v>2758118.956285065</v>
      </c>
      <c r="V164" s="218">
        <f>MAX(V163*(1+'Model Inputs'!$B$13)+U164,0)</f>
        <v>12298058.067940414</v>
      </c>
      <c r="W164" s="218">
        <f>MAX(W163*(1+'Model Inputs'!$B$13)+M164+T164,0)</f>
        <v>367722.11146810249</v>
      </c>
      <c r="X164" s="218">
        <f t="shared" ref="X164:X227" si="59">V164+W164</f>
        <v>12665780.179408517</v>
      </c>
      <c r="Y164" s="226" t="str">
        <f t="shared" si="41"/>
        <v/>
      </c>
      <c r="Z164" s="226" t="str">
        <f t="shared" si="42"/>
        <v/>
      </c>
      <c r="AA164" s="226" t="str">
        <f t="shared" si="43"/>
        <v/>
      </c>
      <c r="AB164" s="226" t="str">
        <f t="shared" si="44"/>
        <v/>
      </c>
    </row>
    <row r="165" spans="1:28" x14ac:dyDescent="0.2">
      <c r="A165" s="214" t="str">
        <f t="shared" si="49"/>
        <v>4Y 3x</v>
      </c>
      <c r="B165" s="214">
        <f t="shared" si="50"/>
        <v>4</v>
      </c>
      <c r="C165" s="223">
        <f t="shared" si="51"/>
        <v>3</v>
      </c>
      <c r="D165" s="214">
        <v>10</v>
      </c>
      <c r="E165" s="214">
        <f t="shared" si="53"/>
        <v>2035</v>
      </c>
      <c r="F165" s="218">
        <f>IF(D165=1,'Model Inputs'!$B$25*(13-'Model Inputs'!$B$23)/12,'Model Inputs'!$B$25)</f>
        <v>300000</v>
      </c>
      <c r="G165" s="218">
        <f>IF(D165=1,'Model Inputs'!$B$27*(13-'Model Inputs'!$B$23)/12,IF(D165=2,'Model Inputs'!$B$27,IF(D165&lt;=MAX(3,'Model Inputs'!$B$30+1),'Model Inputs'!$B$27*(1+'Model Inputs'!$B$28)^(D165-3),'Model Inputs'!$B$27*(1+'Model Inputs'!$B$28)^(MAX(3,'Model Inputs'!$B$30+1)-3)*(1+'Model Inputs'!$B$29)^(D165-MAX(3,'Model Inputs'!$B$30+1)))))</f>
        <v>3149502.4370985711</v>
      </c>
      <c r="H165" s="224">
        <f>IF(D165&lt;=2,0,'Model Inputs'!$B$32*SIN(2*PI()*(D165-3+'Model Inputs'!$B$34)/MAX(1,'Model Inputs'!$B$33)))</f>
        <v>0.10392304845413271</v>
      </c>
      <c r="I165" s="218">
        <f t="shared" si="54"/>
        <v>3476808.331475575</v>
      </c>
      <c r="J165" s="218">
        <f t="shared" si="52"/>
        <v>2295495.7626410057</v>
      </c>
      <c r="K165" s="218">
        <f>F165+J165+IF(D165=1,'Model Inputs'!$B$26,0)</f>
        <v>2595495.7626410057</v>
      </c>
      <c r="L165" s="218">
        <f t="shared" si="55"/>
        <v>7786487.2879230175</v>
      </c>
      <c r="M165" s="218">
        <f>MIN(L165,'Tax Assumptions'!$B$19)</f>
        <v>24500</v>
      </c>
      <c r="N165" s="218">
        <f>MAX(L165-M165-'Tax Assumptions'!$B$8,0)</f>
        <v>7745887.2879230175</v>
      </c>
      <c r="O165" s="218">
        <f>MAX(L165-M165-'Tax Assumptions'!$B$9,0)</f>
        <v>7753987.2879230175</v>
      </c>
      <c r="P165" s="218">
        <f>IF(N165=0,0,LOOKUP(N165,'Tax Assumptions'!$F$9:$F$15,'Tax Assumptions'!$I$9:$I$15)+(N165-LOOKUP(N165,'Tax Assumptions'!$F$9:$F$15,'Tax Assumptions'!$F$9:$F$15))*LOOKUP(N165,'Tax Assumptions'!$F$9:$F$15,'Tax Assumptions'!$H$9:$H$15))+MIN(MAX(L165,0),'Tax Assumptions'!$B$11)*'Tax Assumptions'!$B$10+MAX(L165,0)*'Tax Assumptions'!$B$12+MAX(MAX(L165,0)-'Tax Assumptions'!$B$14,0)*'Tax Assumptions'!$B$13+MIN(L165*'Tax Assumptions'!$B$15,'Tax Assumptions'!$B$16)+MIN(L165*'Tax Assumptions'!$B$17,'Tax Assumptions'!$B$18)+IF(O165=0,0,LOOKUP(O165,'Tax Assumptions'!$K$9:$K$17,'Tax Assumptions'!$N$9:$N$17)+(O165-LOOKUP(O165,'Tax Assumptions'!$K$9:$K$17,'Tax Assumptions'!$K$9:$K$17))*LOOKUP(O165,'Tax Assumptions'!$K$9:$K$17,'Tax Assumptions'!$M$9:$M$17))+IF(O165=0,0,LOOKUP(O165,'Tax Assumptions'!$P$9:$P$12,'Tax Assumptions'!$S$9:$S$12)+(O165-LOOKUP(O165,'Tax Assumptions'!$P$9:$P$12,'Tax Assumptions'!$P$9:$P$12))*LOOKUP(O165,'Tax Assumptions'!$P$9:$P$12,'Tax Assumptions'!$R$9:$R$12))</f>
        <v>4048797.7257336751</v>
      </c>
      <c r="Q165" s="218">
        <f t="shared" si="56"/>
        <v>3713189.5621893425</v>
      </c>
      <c r="R165" s="218">
        <f>IF(D165&lt;=10,INDEX('Savings Projection'!$BL$19:$BL$28,D165),LOOKUP(2,1/('Savings Projection'!$BL$19:$BL$28&lt;&gt;""),'Savings Projection'!$BL$19:$BL$28))*(1+'Model Inputs'!$B$35)^(D165-1)+IF(D165&lt;=10,INDEX('Savings Projection'!$BM$19:$BM$28,D165),LOOKUP(2,1/('Savings Projection'!$BM$19:$BM$28&lt;&gt;""),'Savings Projection'!$BM$19:$BM$28))*(1+'Model Inputs'!$B$36)^(D165-1)</f>
        <v>169620.51389780178</v>
      </c>
      <c r="S165" s="218">
        <f t="shared" si="57"/>
        <v>3543569.0482915407</v>
      </c>
      <c r="T165" s="218">
        <f>MIN(MAX(S165,0),'Tax Assumptions'!$B$20)</f>
        <v>7500</v>
      </c>
      <c r="U165" s="218">
        <f t="shared" si="58"/>
        <v>3536069.0482915407</v>
      </c>
      <c r="V165" s="218">
        <f>MAX(V164*(1+'Model Inputs'!$B$13)+U165,0)</f>
        <v>16572010.600308381</v>
      </c>
      <c r="W165" s="218">
        <f>MAX(W164*(1+'Model Inputs'!$B$13)+M165+T165,0)</f>
        <v>421785.43815618864</v>
      </c>
      <c r="X165" s="218">
        <f t="shared" si="59"/>
        <v>16993796.038464569</v>
      </c>
      <c r="Y165" s="226">
        <f t="shared" ref="Y165:Y228" si="60">IF(AND(X165&gt;=$F$14,IF(D165=1,0,X164)&lt;$F$14),D165,"")</f>
        <v>10</v>
      </c>
      <c r="Z165" s="226">
        <f t="shared" ref="Z165:Z228" si="61">IF(AND(X165&gt;=$F$15,IF(D165=1,0,X164)&lt;$F$15),D165,"")</f>
        <v>10</v>
      </c>
      <c r="AA165" s="226" t="str">
        <f t="shared" ref="AA165:AA228" si="62">IF(AND(X165&gt;=$F$16,IF(D165=1,0,X164)&lt;$F$16),D165,"")</f>
        <v/>
      </c>
      <c r="AB165" s="226" t="str">
        <f t="shared" ref="AB165:AB228" si="63">IF(AND(X165&gt;=$F$17,IF(D165=1,0,X164)&lt;$F$17),D165,"")</f>
        <v/>
      </c>
    </row>
    <row r="166" spans="1:28" x14ac:dyDescent="0.2">
      <c r="A166" s="214" t="str">
        <f t="shared" si="49"/>
        <v>4Y 3x</v>
      </c>
      <c r="B166" s="214">
        <f t="shared" si="50"/>
        <v>4</v>
      </c>
      <c r="C166" s="223">
        <f t="shared" si="51"/>
        <v>3</v>
      </c>
      <c r="D166" s="214">
        <v>11</v>
      </c>
      <c r="E166" s="214">
        <f t="shared" si="53"/>
        <v>2036</v>
      </c>
      <c r="F166" s="218">
        <f>IF(D166=1,'Model Inputs'!$B$25*(13-'Model Inputs'!$B$23)/12,'Model Inputs'!$B$25)</f>
        <v>300000</v>
      </c>
      <c r="G166" s="218">
        <f>IF(D166=1,'Model Inputs'!$B$27*(13-'Model Inputs'!$B$23)/12,IF(D166=2,'Model Inputs'!$B$27,IF(D166&lt;=MAX(3,'Model Inputs'!$B$30+1),'Model Inputs'!$B$27*(1+'Model Inputs'!$B$28)^(D166-3),'Model Inputs'!$B$27*(1+'Model Inputs'!$B$28)^(MAX(3,'Model Inputs'!$B$30+1)-3)*(1+'Model Inputs'!$B$29)^(D166-MAX(3,'Model Inputs'!$B$30+1)))))</f>
        <v>4002631.578947369</v>
      </c>
      <c r="H166" s="224">
        <f>IF(D166&lt;=2,0,'Model Inputs'!$B$32*SIN(2*PI()*(D166-3+'Model Inputs'!$B$34)/MAX(1,'Model Inputs'!$B$33)))</f>
        <v>-0.10392304845413253</v>
      </c>
      <c r="I166" s="218">
        <f t="shared" si="54"/>
        <v>3586665.9034243808</v>
      </c>
      <c r="J166" s="218">
        <f t="shared" si="52"/>
        <v>3227158.9981941464</v>
      </c>
      <c r="K166" s="218">
        <f>F166+J166+IF(D166=1,'Model Inputs'!$B$26,0)</f>
        <v>3527158.9981941464</v>
      </c>
      <c r="L166" s="218">
        <f t="shared" si="55"/>
        <v>10581476.994582439</v>
      </c>
      <c r="M166" s="218">
        <f>MIN(L166,'Tax Assumptions'!$B$19)</f>
        <v>24500</v>
      </c>
      <c r="N166" s="218">
        <f>MAX(L166-M166-'Tax Assumptions'!$B$8,0)</f>
        <v>10540876.994582439</v>
      </c>
      <c r="O166" s="218">
        <f>MAX(L166-M166-'Tax Assumptions'!$B$9,0)</f>
        <v>10548976.994582439</v>
      </c>
      <c r="P166" s="218">
        <f>IF(N166=0,0,LOOKUP(N166,'Tax Assumptions'!$F$9:$F$15,'Tax Assumptions'!$I$9:$I$15)+(N166-LOOKUP(N166,'Tax Assumptions'!$F$9:$F$15,'Tax Assumptions'!$F$9:$F$15))*LOOKUP(N166,'Tax Assumptions'!$F$9:$F$15,'Tax Assumptions'!$H$9:$H$15))+MIN(MAX(L166,0),'Tax Assumptions'!$B$11)*'Tax Assumptions'!$B$10+MAX(L166,0)*'Tax Assumptions'!$B$12+MAX(MAX(L166,0)-'Tax Assumptions'!$B$14,0)*'Tax Assumptions'!$B$13+MIN(L166*'Tax Assumptions'!$B$15,'Tax Assumptions'!$B$16)+MIN(L166*'Tax Assumptions'!$B$17,'Tax Assumptions'!$B$18)+IF(O166=0,0,LOOKUP(O166,'Tax Assumptions'!$K$9:$K$17,'Tax Assumptions'!$N$9:$N$17)+(O166-LOOKUP(O166,'Tax Assumptions'!$K$9:$K$17,'Tax Assumptions'!$K$9:$K$17))*LOOKUP(O166,'Tax Assumptions'!$K$9:$K$17,'Tax Assumptions'!$M$9:$M$17))+IF(O166=0,0,LOOKUP(O166,'Tax Assumptions'!$P$9:$P$12,'Tax Assumptions'!$S$9:$S$12)+(O166-LOOKUP(O166,'Tax Assumptions'!$P$9:$P$12,'Tax Assumptions'!$P$9:$P$12))*LOOKUP(O166,'Tax Assumptions'!$P$9:$P$12,'Tax Assumptions'!$R$9:$R$12))</f>
        <v>5544843.9161201967</v>
      </c>
      <c r="Q166" s="218">
        <f t="shared" si="56"/>
        <v>5012133.0784622421</v>
      </c>
      <c r="R166" s="218">
        <f>IF(D166&lt;=10,INDEX('Savings Projection'!$BL$19:$BL$28,D166),LOOKUP(2,1/('Savings Projection'!$BL$19:$BL$28&lt;&gt;""),'Savings Projection'!$BL$19:$BL$28))*(1+'Model Inputs'!$B$35)^(D166-1)+IF(D166&lt;=10,INDEX('Savings Projection'!$BM$19:$BM$28,D166),LOOKUP(2,1/('Savings Projection'!$BM$19:$BM$28&lt;&gt;""),'Savings Projection'!$BM$19:$BM$28))*(1+'Model Inputs'!$B$36)^(D166-1)</f>
        <v>174709.12931473582</v>
      </c>
      <c r="S166" s="218">
        <f t="shared" si="57"/>
        <v>4837423.9491475066</v>
      </c>
      <c r="T166" s="218">
        <f>MIN(MAX(S166,0),'Tax Assumptions'!$B$20)</f>
        <v>7500</v>
      </c>
      <c r="U166" s="218">
        <f t="shared" si="58"/>
        <v>4829923.9491475066</v>
      </c>
      <c r="V166" s="218">
        <f>MAX(V165*(1+'Model Inputs'!$B$13)+U166,0)</f>
        <v>22396255.185474392</v>
      </c>
      <c r="W166" s="218">
        <f>MAX(W165*(1+'Model Inputs'!$B$13)+M166+T166,0)</f>
        <v>479092.56444555998</v>
      </c>
      <c r="X166" s="218">
        <f t="shared" si="59"/>
        <v>22875347.749919951</v>
      </c>
      <c r="Y166" s="226" t="str">
        <f t="shared" si="60"/>
        <v/>
      </c>
      <c r="Z166" s="226" t="str">
        <f t="shared" si="61"/>
        <v/>
      </c>
      <c r="AA166" s="226">
        <f t="shared" si="62"/>
        <v>11</v>
      </c>
      <c r="AB166" s="226">
        <f t="shared" si="63"/>
        <v>11</v>
      </c>
    </row>
    <row r="167" spans="1:28" x14ac:dyDescent="0.2">
      <c r="A167" s="214" t="str">
        <f t="shared" si="49"/>
        <v>4Y 3x</v>
      </c>
      <c r="B167" s="214">
        <f t="shared" si="50"/>
        <v>4</v>
      </c>
      <c r="C167" s="223">
        <f t="shared" si="51"/>
        <v>3</v>
      </c>
      <c r="D167" s="214">
        <v>12</v>
      </c>
      <c r="E167" s="214">
        <f t="shared" si="53"/>
        <v>2037</v>
      </c>
      <c r="F167" s="218">
        <f>IF(D167=1,'Model Inputs'!$B$25*(13-'Model Inputs'!$B$23)/12,'Model Inputs'!$B$25)</f>
        <v>300000</v>
      </c>
      <c r="G167" s="218">
        <f>IF(D167=1,'Model Inputs'!$B$27*(13-'Model Inputs'!$B$23)/12,IF(D167=2,'Model Inputs'!$B$27,IF(D167&lt;=MAX(3,'Model Inputs'!$B$30+1),'Model Inputs'!$B$27*(1+'Model Inputs'!$B$28)^(D167-3),'Model Inputs'!$B$27*(1+'Model Inputs'!$B$28)^(MAX(3,'Model Inputs'!$B$30+1)-3)*(1+'Model Inputs'!$B$29)^(D167-MAX(3,'Model Inputs'!$B$30+1)))))</f>
        <v>5086854.15450761</v>
      </c>
      <c r="H167" s="224">
        <f>IF(D167&lt;=2,0,'Model Inputs'!$B$32*SIN(2*PI()*(D167-3+'Model Inputs'!$B$34)/MAX(1,'Model Inputs'!$B$33)))</f>
        <v>-8.8174569538609421E-17</v>
      </c>
      <c r="I167" s="218">
        <f t="shared" si="54"/>
        <v>5086854.1545076091</v>
      </c>
      <c r="J167" s="218">
        <f t="shared" si="52"/>
        <v>3559201.5104371794</v>
      </c>
      <c r="K167" s="218">
        <f>F167+J167+IF(D167=1,'Model Inputs'!$B$26,0)</f>
        <v>3859201.5104371794</v>
      </c>
      <c r="L167" s="218">
        <f t="shared" si="55"/>
        <v>11577604.531311538</v>
      </c>
      <c r="M167" s="218">
        <f>MIN(L167,'Tax Assumptions'!$B$19)</f>
        <v>24500</v>
      </c>
      <c r="N167" s="218">
        <f>MAX(L167-M167-'Tax Assumptions'!$B$8,0)</f>
        <v>11537004.531311538</v>
      </c>
      <c r="O167" s="218">
        <f>MAX(L167-M167-'Tax Assumptions'!$B$9,0)</f>
        <v>11545104.531311538</v>
      </c>
      <c r="P167" s="218">
        <f>IF(N167=0,0,LOOKUP(N167,'Tax Assumptions'!$F$9:$F$15,'Tax Assumptions'!$I$9:$I$15)+(N167-LOOKUP(N167,'Tax Assumptions'!$F$9:$F$15,'Tax Assumptions'!$F$9:$F$15))*LOOKUP(N167,'Tax Assumptions'!$F$9:$F$15,'Tax Assumptions'!$H$9:$H$15))+MIN(MAX(L167,0),'Tax Assumptions'!$B$11)*'Tax Assumptions'!$B$10+MAX(L167,0)*'Tax Assumptions'!$B$12+MAX(MAX(L167,0)-'Tax Assumptions'!$B$14,0)*'Tax Assumptions'!$B$13+MIN(L167*'Tax Assumptions'!$B$15,'Tax Assumptions'!$B$16)+MIN(L167*'Tax Assumptions'!$B$17,'Tax Assumptions'!$B$18)+IF(O167=0,0,LOOKUP(O167,'Tax Assumptions'!$K$9:$K$17,'Tax Assumptions'!$N$9:$N$17)+(O167-LOOKUP(O167,'Tax Assumptions'!$K$9:$K$17,'Tax Assumptions'!$K$9:$K$17))*LOOKUP(O167,'Tax Assumptions'!$K$9:$K$17,'Tax Assumptions'!$M$9:$M$17))+IF(O167=0,0,LOOKUP(O167,'Tax Assumptions'!$P$9:$P$12,'Tax Assumptions'!$S$9:$S$12)+(O167-LOOKUP(O167,'Tax Assumptions'!$P$9:$P$12,'Tax Assumptions'!$P$9:$P$12))*LOOKUP(O167,'Tax Assumptions'!$P$9:$P$12,'Tax Assumptions'!$R$9:$R$12))</f>
        <v>6078031.1414298145</v>
      </c>
      <c r="Q167" s="218">
        <f t="shared" si="56"/>
        <v>5475073.3898817236</v>
      </c>
      <c r="R167" s="218">
        <f>IF(D167&lt;=10,INDEX('Savings Projection'!$BL$19:$BL$28,D167),LOOKUP(2,1/('Savings Projection'!$BL$19:$BL$28&lt;&gt;""),'Savings Projection'!$BL$19:$BL$28))*(1+'Model Inputs'!$B$35)^(D167-1)+IF(D167&lt;=10,INDEX('Savings Projection'!$BM$19:$BM$28,D167),LOOKUP(2,1/('Savings Projection'!$BM$19:$BM$28&lt;&gt;""),'Savings Projection'!$BM$19:$BM$28))*(1+'Model Inputs'!$B$36)^(D167-1)</f>
        <v>179950.4031941779</v>
      </c>
      <c r="S167" s="218">
        <f t="shared" si="57"/>
        <v>5295122.9866875457</v>
      </c>
      <c r="T167" s="218">
        <f>MIN(MAX(S167,0),'Tax Assumptions'!$B$20)</f>
        <v>7500</v>
      </c>
      <c r="U167" s="218">
        <f t="shared" si="58"/>
        <v>5287622.9866875457</v>
      </c>
      <c r="V167" s="218">
        <f>MAX(V166*(1+'Model Inputs'!$B$13)+U167,0)</f>
        <v>29027653.4832904</v>
      </c>
      <c r="W167" s="218">
        <f>MAX(W166*(1+'Model Inputs'!$B$13)+M167+T167,0)</f>
        <v>539838.11831229366</v>
      </c>
      <c r="X167" s="218">
        <f t="shared" si="59"/>
        <v>29567491.601602696</v>
      </c>
      <c r="Y167" s="226" t="str">
        <f t="shared" si="60"/>
        <v/>
      </c>
      <c r="Z167" s="226" t="str">
        <f t="shared" si="61"/>
        <v/>
      </c>
      <c r="AA167" s="226" t="str">
        <f t="shared" si="62"/>
        <v/>
      </c>
      <c r="AB167" s="226" t="str">
        <f t="shared" si="63"/>
        <v/>
      </c>
    </row>
    <row r="168" spans="1:28" x14ac:dyDescent="0.2">
      <c r="A168" s="214" t="str">
        <f t="shared" si="49"/>
        <v>4Y 3x</v>
      </c>
      <c r="B168" s="214">
        <f t="shared" si="50"/>
        <v>4</v>
      </c>
      <c r="C168" s="223">
        <f t="shared" si="51"/>
        <v>3</v>
      </c>
      <c r="D168" s="214">
        <v>13</v>
      </c>
      <c r="E168" s="214">
        <f t="shared" si="53"/>
        <v>2038</v>
      </c>
      <c r="F168" s="218">
        <f>IF(D168=1,'Model Inputs'!$B$25*(13-'Model Inputs'!$B$23)/12,'Model Inputs'!$B$25)</f>
        <v>300000</v>
      </c>
      <c r="G168" s="218">
        <f>IF(D168=1,'Model Inputs'!$B$27*(13-'Model Inputs'!$B$23)/12,IF(D168=2,'Model Inputs'!$B$27,IF(D168&lt;=MAX(3,'Model Inputs'!$B$30+1),'Model Inputs'!$B$27*(1+'Model Inputs'!$B$28)^(D168-3),'Model Inputs'!$B$27*(1+'Model Inputs'!$B$28)^(MAX(3,'Model Inputs'!$B$30+1)-3)*(1+'Model Inputs'!$B$29)^(D168-MAX(3,'Model Inputs'!$B$30+1)))))</f>
        <v>6464768.1603602255</v>
      </c>
      <c r="H168" s="224">
        <f>IF(D168&lt;=2,0,'Model Inputs'!$B$32*SIN(2*PI()*(D168-3+'Model Inputs'!$B$34)/MAX(1,'Model Inputs'!$B$33)))</f>
        <v>0.10392304845413261</v>
      </c>
      <c r="I168" s="218">
        <f t="shared" si="54"/>
        <v>7136606.5751340752</v>
      </c>
      <c r="J168" s="218">
        <f t="shared" si="52"/>
        <v>4711807.0917368019</v>
      </c>
      <c r="K168" s="218">
        <f>F168+J168+IF(D168=1,'Model Inputs'!$B$26,0)</f>
        <v>5011807.0917368019</v>
      </c>
      <c r="L168" s="218">
        <f t="shared" si="55"/>
        <v>15035421.275210407</v>
      </c>
      <c r="M168" s="218">
        <f>MIN(L168,'Tax Assumptions'!$B$19)</f>
        <v>24500</v>
      </c>
      <c r="N168" s="218">
        <f>MAX(L168-M168-'Tax Assumptions'!$B$8,0)</f>
        <v>14994821.275210407</v>
      </c>
      <c r="O168" s="218">
        <f>MAX(L168-M168-'Tax Assumptions'!$B$9,0)</f>
        <v>15002921.275210407</v>
      </c>
      <c r="P168" s="218">
        <f>IF(N168=0,0,LOOKUP(N168,'Tax Assumptions'!$F$9:$F$15,'Tax Assumptions'!$I$9:$I$15)+(N168-LOOKUP(N168,'Tax Assumptions'!$F$9:$F$15,'Tax Assumptions'!$F$9:$F$15))*LOOKUP(N168,'Tax Assumptions'!$F$9:$F$15,'Tax Assumptions'!$H$9:$H$15))+MIN(MAX(L168,0),'Tax Assumptions'!$B$11)*'Tax Assumptions'!$B$10+MAX(L168,0)*'Tax Assumptions'!$B$12+MAX(MAX(L168,0)-'Tax Assumptions'!$B$14,0)*'Tax Assumptions'!$B$13+MIN(L168*'Tax Assumptions'!$B$15,'Tax Assumptions'!$B$16)+MIN(L168*'Tax Assumptions'!$B$17,'Tax Assumptions'!$B$18)+IF(O168=0,0,LOOKUP(O168,'Tax Assumptions'!$K$9:$K$17,'Tax Assumptions'!$N$9:$N$17)+(O168-LOOKUP(O168,'Tax Assumptions'!$K$9:$K$17,'Tax Assumptions'!$K$9:$K$17))*LOOKUP(O168,'Tax Assumptions'!$K$9:$K$17,'Tax Assumptions'!$M$9:$M$17))+IF(O168=0,0,LOOKUP(O168,'Tax Assumptions'!$P$9:$P$12,'Tax Assumptions'!$S$9:$S$12)+(O168-LOOKUP(O168,'Tax Assumptions'!$P$9:$P$12,'Tax Assumptions'!$P$9:$P$12))*LOOKUP(O168,'Tax Assumptions'!$P$9:$P$12,'Tax Assumptions'!$R$9:$R$12))</f>
        <v>7928862.1317691216</v>
      </c>
      <c r="Q168" s="218">
        <f t="shared" si="56"/>
        <v>7082059.143441285</v>
      </c>
      <c r="R168" s="218">
        <f>IF(D168&lt;=10,INDEX('Savings Projection'!$BL$19:$BL$28,D168),LOOKUP(2,1/('Savings Projection'!$BL$19:$BL$28&lt;&gt;""),'Savings Projection'!$BL$19:$BL$28))*(1+'Model Inputs'!$B$35)^(D168-1)+IF(D168&lt;=10,INDEX('Savings Projection'!$BM$19:$BM$28,D168),LOOKUP(2,1/('Savings Projection'!$BM$19:$BM$28&lt;&gt;""),'Savings Projection'!$BM$19:$BM$28))*(1+'Model Inputs'!$B$36)^(D168-1)</f>
        <v>185348.91529000323</v>
      </c>
      <c r="S168" s="218">
        <f t="shared" si="57"/>
        <v>6896710.2281512814</v>
      </c>
      <c r="T168" s="218">
        <f>MIN(MAX(S168,0),'Tax Assumptions'!$B$20)</f>
        <v>7500</v>
      </c>
      <c r="U168" s="218">
        <f t="shared" si="58"/>
        <v>6889210.2281512814</v>
      </c>
      <c r="V168" s="218">
        <f>MAX(V167*(1+'Model Inputs'!$B$13)+U168,0)</f>
        <v>37658522.920439109</v>
      </c>
      <c r="W168" s="218">
        <f>MAX(W167*(1+'Model Inputs'!$B$13)+M168+T168,0)</f>
        <v>604228.40541103133</v>
      </c>
      <c r="X168" s="218">
        <f t="shared" si="59"/>
        <v>38262751.325850144</v>
      </c>
      <c r="Y168" s="226" t="str">
        <f t="shared" si="60"/>
        <v/>
      </c>
      <c r="Z168" s="226" t="str">
        <f t="shared" si="61"/>
        <v/>
      </c>
      <c r="AA168" s="226" t="str">
        <f t="shared" si="62"/>
        <v/>
      </c>
      <c r="AB168" s="226" t="str">
        <f t="shared" si="63"/>
        <v/>
      </c>
    </row>
    <row r="169" spans="1:28" x14ac:dyDescent="0.2">
      <c r="A169" s="214" t="str">
        <f t="shared" si="49"/>
        <v>4Y 3x</v>
      </c>
      <c r="B169" s="214">
        <f t="shared" si="50"/>
        <v>4</v>
      </c>
      <c r="C169" s="223">
        <f t="shared" si="51"/>
        <v>3</v>
      </c>
      <c r="D169" s="214">
        <v>14</v>
      </c>
      <c r="E169" s="214">
        <f t="shared" si="53"/>
        <v>2039</v>
      </c>
      <c r="F169" s="218">
        <f>IF(D169=1,'Model Inputs'!$B$25*(13-'Model Inputs'!$B$23)/12,'Model Inputs'!$B$25)</f>
        <v>300000</v>
      </c>
      <c r="G169" s="218">
        <f>IF(D169=1,'Model Inputs'!$B$27*(13-'Model Inputs'!$B$23)/12,IF(D169=2,'Model Inputs'!$B$27,IF(D169&lt;=MAX(3,'Model Inputs'!$B$30+1),'Model Inputs'!$B$27*(1+'Model Inputs'!$B$28)^(D169-3),'Model Inputs'!$B$27*(1+'Model Inputs'!$B$28)^(MAX(3,'Model Inputs'!$B$30+1)-3)*(1+'Model Inputs'!$B$29)^(D169-MAX(3,'Model Inputs'!$B$30+1)))))</f>
        <v>8215927.9778393377</v>
      </c>
      <c r="H169" s="224">
        <f>IF(D169&lt;=2,0,'Model Inputs'!$B$32*SIN(2*PI()*(D169-3+'Model Inputs'!$B$34)/MAX(1,'Model Inputs'!$B$33)))</f>
        <v>-0.10392304845413251</v>
      </c>
      <c r="I169" s="218">
        <f t="shared" si="54"/>
        <v>7362103.6965026772</v>
      </c>
      <c r="J169" s="218">
        <f t="shared" si="52"/>
        <v>6624168.4699774589</v>
      </c>
      <c r="K169" s="218">
        <f>F169+J169+IF(D169=1,'Model Inputs'!$B$26,0)</f>
        <v>6924168.4699774589</v>
      </c>
      <c r="L169" s="218">
        <f t="shared" si="55"/>
        <v>20772505.409932375</v>
      </c>
      <c r="M169" s="218">
        <f>MIN(L169,'Tax Assumptions'!$B$19)</f>
        <v>24500</v>
      </c>
      <c r="N169" s="218">
        <f>MAX(L169-M169-'Tax Assumptions'!$B$8,0)</f>
        <v>20731905.409932375</v>
      </c>
      <c r="O169" s="218">
        <f>MAX(L169-M169-'Tax Assumptions'!$B$9,0)</f>
        <v>20740005.409932375</v>
      </c>
      <c r="P169" s="218">
        <f>IF(N169=0,0,LOOKUP(N169,'Tax Assumptions'!$F$9:$F$15,'Tax Assumptions'!$I$9:$I$15)+(N169-LOOKUP(N169,'Tax Assumptions'!$F$9:$F$15,'Tax Assumptions'!$F$9:$F$15))*LOOKUP(N169,'Tax Assumptions'!$F$9:$F$15,'Tax Assumptions'!$H$9:$H$15))+MIN(MAX(L169,0),'Tax Assumptions'!$B$11)*'Tax Assumptions'!$B$10+MAX(L169,0)*'Tax Assumptions'!$B$12+MAX(MAX(L169,0)-'Tax Assumptions'!$B$14,0)*'Tax Assumptions'!$B$13+MIN(L169*'Tax Assumptions'!$B$15,'Tax Assumptions'!$B$16)+MIN(L169*'Tax Assumptions'!$B$17,'Tax Assumptions'!$B$18)+IF(O169=0,0,LOOKUP(O169,'Tax Assumptions'!$K$9:$K$17,'Tax Assumptions'!$N$9:$N$17)+(O169-LOOKUP(O169,'Tax Assumptions'!$K$9:$K$17,'Tax Assumptions'!$K$9:$K$17))*LOOKUP(O169,'Tax Assumptions'!$K$9:$K$17,'Tax Assumptions'!$M$9:$M$17))+IF(O169=0,0,LOOKUP(O169,'Tax Assumptions'!$P$9:$P$12,'Tax Assumptions'!$S$9:$S$12)+(O169-LOOKUP(O169,'Tax Assumptions'!$P$9:$P$12,'Tax Assumptions'!$P$9:$P$12))*LOOKUP(O169,'Tax Assumptions'!$P$9:$P$12,'Tax Assumptions'!$R$9:$R$12))</f>
        <v>10999693.785720404</v>
      </c>
      <c r="Q169" s="218">
        <f t="shared" si="56"/>
        <v>9748311.6242119707</v>
      </c>
      <c r="R169" s="218">
        <f>IF(D169&lt;=10,INDEX('Savings Projection'!$BL$19:$BL$28,D169),LOOKUP(2,1/('Savings Projection'!$BL$19:$BL$28&lt;&gt;""),'Savings Projection'!$BL$19:$BL$28))*(1+'Model Inputs'!$B$35)^(D169-1)+IF(D169&lt;=10,INDEX('Savings Projection'!$BM$19:$BM$28,D169),LOOKUP(2,1/('Savings Projection'!$BM$19:$BM$28&lt;&gt;""),'Savings Projection'!$BM$19:$BM$28))*(1+'Model Inputs'!$B$36)^(D169-1)</f>
        <v>190909.3827487033</v>
      </c>
      <c r="S169" s="218">
        <f t="shared" si="57"/>
        <v>9557402.2414632682</v>
      </c>
      <c r="T169" s="218">
        <f>MIN(MAX(S169,0),'Tax Assumptions'!$B$20)</f>
        <v>7500</v>
      </c>
      <c r="U169" s="218">
        <f t="shared" si="58"/>
        <v>9549902.2414632682</v>
      </c>
      <c r="V169" s="218">
        <f>MAX(V168*(1+'Model Inputs'!$B$13)+U169,0)</f>
        <v>49467936.537128724</v>
      </c>
      <c r="W169" s="218">
        <f>MAX(W168*(1+'Model Inputs'!$B$13)+M169+T169,0)</f>
        <v>672482.1097356932</v>
      </c>
      <c r="X169" s="218">
        <f t="shared" si="59"/>
        <v>50140418.646864414</v>
      </c>
      <c r="Y169" s="226" t="str">
        <f t="shared" si="60"/>
        <v/>
      </c>
      <c r="Z169" s="226" t="str">
        <f t="shared" si="61"/>
        <v/>
      </c>
      <c r="AA169" s="226" t="str">
        <f t="shared" si="62"/>
        <v/>
      </c>
      <c r="AB169" s="226" t="str">
        <f t="shared" si="63"/>
        <v/>
      </c>
    </row>
    <row r="170" spans="1:28" x14ac:dyDescent="0.2">
      <c r="A170" s="214" t="str">
        <f t="shared" si="49"/>
        <v>4Y 3x</v>
      </c>
      <c r="B170" s="214">
        <f t="shared" si="50"/>
        <v>4</v>
      </c>
      <c r="C170" s="223">
        <f t="shared" si="51"/>
        <v>3</v>
      </c>
      <c r="D170" s="214">
        <v>15</v>
      </c>
      <c r="E170" s="214">
        <f t="shared" si="53"/>
        <v>2040</v>
      </c>
      <c r="F170" s="218">
        <f>IF(D170=1,'Model Inputs'!$B$25*(13-'Model Inputs'!$B$23)/12,'Model Inputs'!$B$25)</f>
        <v>300000</v>
      </c>
      <c r="G170" s="218">
        <f>IF(D170=1,'Model Inputs'!$B$27*(13-'Model Inputs'!$B$23)/12,IF(D170=2,'Model Inputs'!$B$27,IF(D170&lt;=MAX(3,'Model Inputs'!$B$30+1),'Model Inputs'!$B$27*(1+'Model Inputs'!$B$28)^(D170-3),'Model Inputs'!$B$27*(1+'Model Inputs'!$B$28)^(MAX(3,'Model Inputs'!$B$30+1)-3)*(1+'Model Inputs'!$B$29)^(D170-MAX(3,'Model Inputs'!$B$30+1)))))</f>
        <v>10441437.475041937</v>
      </c>
      <c r="H170" s="224">
        <f>IF(D170&lt;=2,0,'Model Inputs'!$B$32*SIN(2*PI()*(D170-3+'Model Inputs'!$B$34)/MAX(1,'Model Inputs'!$B$33)))</f>
        <v>-1.1756609271814589E-16</v>
      </c>
      <c r="I170" s="218">
        <f t="shared" si="54"/>
        <v>10441437.475041935</v>
      </c>
      <c r="J170" s="218">
        <f t="shared" si="52"/>
        <v>7305729.4161605267</v>
      </c>
      <c r="K170" s="218">
        <f>F170+J170+IF(D170=1,'Model Inputs'!$B$26,0)</f>
        <v>7605729.4161605267</v>
      </c>
      <c r="L170" s="218">
        <f t="shared" si="55"/>
        <v>22817188.248481579</v>
      </c>
      <c r="M170" s="218">
        <f>MIN(L170,'Tax Assumptions'!$B$19)</f>
        <v>24500</v>
      </c>
      <c r="N170" s="218">
        <f>MAX(L170-M170-'Tax Assumptions'!$B$8,0)</f>
        <v>22776588.248481579</v>
      </c>
      <c r="O170" s="218">
        <f>MAX(L170-M170-'Tax Assumptions'!$B$9,0)</f>
        <v>22784688.248481579</v>
      </c>
      <c r="P170" s="218">
        <f>IF(N170=0,0,LOOKUP(N170,'Tax Assumptions'!$F$9:$F$15,'Tax Assumptions'!$I$9:$I$15)+(N170-LOOKUP(N170,'Tax Assumptions'!$F$9:$F$15,'Tax Assumptions'!$F$9:$F$15))*LOOKUP(N170,'Tax Assumptions'!$F$9:$F$15,'Tax Assumptions'!$H$9:$H$15))+MIN(MAX(L170,0),'Tax Assumptions'!$B$11)*'Tax Assumptions'!$B$10+MAX(L170,0)*'Tax Assumptions'!$B$12+MAX(MAX(L170,0)-'Tax Assumptions'!$B$14,0)*'Tax Assumptions'!$B$13+MIN(L170*'Tax Assumptions'!$B$15,'Tax Assumptions'!$B$16)+MIN(L170*'Tax Assumptions'!$B$17,'Tax Assumptions'!$B$18)+IF(O170=0,0,LOOKUP(O170,'Tax Assumptions'!$K$9:$K$17,'Tax Assumptions'!$N$9:$N$17)+(O170-LOOKUP(O170,'Tax Assumptions'!$K$9:$K$17,'Tax Assumptions'!$K$9:$K$17))*LOOKUP(O170,'Tax Assumptions'!$K$9:$K$17,'Tax Assumptions'!$M$9:$M$17))+IF(O170=0,0,LOOKUP(O170,'Tax Assumptions'!$P$9:$P$12,'Tax Assumptions'!$S$9:$S$12)+(O170-LOOKUP(O170,'Tax Assumptions'!$P$9:$P$12,'Tax Assumptions'!$P$9:$P$12))*LOOKUP(O170,'Tax Assumptions'!$P$9:$P$12,'Tax Assumptions'!$R$9:$R$12))</f>
        <v>12094130.72188225</v>
      </c>
      <c r="Q170" s="218">
        <f t="shared" si="56"/>
        <v>10698557.526599329</v>
      </c>
      <c r="R170" s="218">
        <f>IF(D170&lt;=10,INDEX('Savings Projection'!$BL$19:$BL$28,D170),LOOKUP(2,1/('Savings Projection'!$BL$19:$BL$28&lt;&gt;""),'Savings Projection'!$BL$19:$BL$28))*(1+'Model Inputs'!$B$35)^(D170-1)+IF(D170&lt;=10,INDEX('Savings Projection'!$BM$19:$BM$28,D170),LOOKUP(2,1/('Savings Projection'!$BM$19:$BM$28&lt;&gt;""),'Savings Projection'!$BM$19:$BM$28))*(1+'Model Inputs'!$B$36)^(D170-1)</f>
        <v>196636.66423116444</v>
      </c>
      <c r="S170" s="218">
        <f t="shared" si="57"/>
        <v>10501920.862368165</v>
      </c>
      <c r="T170" s="218">
        <f>MIN(MAX(S170,0),'Tax Assumptions'!$B$20)</f>
        <v>7500</v>
      </c>
      <c r="U170" s="218">
        <f t="shared" si="58"/>
        <v>10494420.862368165</v>
      </c>
      <c r="V170" s="218">
        <f>MAX(V169*(1+'Model Inputs'!$B$13)+U170,0)</f>
        <v>62930433.591724619</v>
      </c>
      <c r="W170" s="218">
        <f>MAX(W169*(1+'Model Inputs'!$B$13)+M170+T170,0)</f>
        <v>744831.03631983488</v>
      </c>
      <c r="X170" s="218">
        <f t="shared" si="59"/>
        <v>63675264.628044456</v>
      </c>
      <c r="Y170" s="226" t="str">
        <f t="shared" si="60"/>
        <v/>
      </c>
      <c r="Z170" s="226" t="str">
        <f t="shared" si="61"/>
        <v/>
      </c>
      <c r="AA170" s="226" t="str">
        <f t="shared" si="62"/>
        <v/>
      </c>
      <c r="AB170" s="226" t="str">
        <f t="shared" si="63"/>
        <v/>
      </c>
    </row>
    <row r="171" spans="1:28" x14ac:dyDescent="0.2">
      <c r="A171" s="214" t="str">
        <f t="shared" si="49"/>
        <v>4Y 3x</v>
      </c>
      <c r="B171" s="214">
        <f t="shared" si="50"/>
        <v>4</v>
      </c>
      <c r="C171" s="223">
        <f t="shared" si="51"/>
        <v>3</v>
      </c>
      <c r="D171" s="214">
        <v>16</v>
      </c>
      <c r="E171" s="214">
        <f t="shared" si="53"/>
        <v>2041</v>
      </c>
      <c r="F171" s="218">
        <f>IF(D171=1,'Model Inputs'!$B$25*(13-'Model Inputs'!$B$23)/12,'Model Inputs'!$B$25)</f>
        <v>300000</v>
      </c>
      <c r="G171" s="218">
        <f>IF(D171=1,'Model Inputs'!$B$27*(13-'Model Inputs'!$B$23)/12,IF(D171=2,'Model Inputs'!$B$27,IF(D171&lt;=MAX(3,'Model Inputs'!$B$30+1),'Model Inputs'!$B$27*(1+'Model Inputs'!$B$28)^(D171-3),'Model Inputs'!$B$27*(1+'Model Inputs'!$B$28)^(MAX(3,'Model Inputs'!$B$30+1)-3)*(1+'Model Inputs'!$B$29)^(D171-MAX(3,'Model Inputs'!$B$30+1)))))</f>
        <v>13269787.276528884</v>
      </c>
      <c r="H171" s="224">
        <f>IF(D171&lt;=2,0,'Model Inputs'!$B$32*SIN(2*PI()*(D171-3+'Model Inputs'!$B$34)/MAX(1,'Model Inputs'!$B$33)))</f>
        <v>0.10392304845413262</v>
      </c>
      <c r="I171" s="218">
        <f t="shared" si="54"/>
        <v>14648824.022643628</v>
      </c>
      <c r="J171" s="218">
        <f t="shared" si="52"/>
        <v>9671604.0304071214</v>
      </c>
      <c r="K171" s="218">
        <f>F171+J171+IF(D171=1,'Model Inputs'!$B$26,0)</f>
        <v>9971604.0304071214</v>
      </c>
      <c r="L171" s="218">
        <f t="shared" si="55"/>
        <v>29914812.091221362</v>
      </c>
      <c r="M171" s="218">
        <f>MIN(L171,'Tax Assumptions'!$B$19)</f>
        <v>24500</v>
      </c>
      <c r="N171" s="218">
        <f>MAX(L171-M171-'Tax Assumptions'!$B$8,0)</f>
        <v>29874212.091221362</v>
      </c>
      <c r="O171" s="218">
        <f>MAX(L171-M171-'Tax Assumptions'!$B$9,0)</f>
        <v>29882312.091221362</v>
      </c>
      <c r="P171" s="218">
        <f>IF(N171=0,0,LOOKUP(N171,'Tax Assumptions'!$F$9:$F$15,'Tax Assumptions'!$I$9:$I$15)+(N171-LOOKUP(N171,'Tax Assumptions'!$F$9:$F$15,'Tax Assumptions'!$F$9:$F$15))*LOOKUP(N171,'Tax Assumptions'!$F$9:$F$15,'Tax Assumptions'!$H$9:$H$15))+MIN(MAX(L171,0),'Tax Assumptions'!$B$11)*'Tax Assumptions'!$B$10+MAX(L171,0)*'Tax Assumptions'!$B$12+MAX(MAX(L171,0)-'Tax Assumptions'!$B$14,0)*'Tax Assumptions'!$B$13+MIN(L171*'Tax Assumptions'!$B$15,'Tax Assumptions'!$B$16)+MIN(L171*'Tax Assumptions'!$B$17,'Tax Assumptions'!$B$18)+IF(O171=0,0,LOOKUP(O171,'Tax Assumptions'!$K$9:$K$17,'Tax Assumptions'!$N$9:$N$17)+(O171-LOOKUP(O171,'Tax Assumptions'!$K$9:$K$17,'Tax Assumptions'!$K$9:$K$17))*LOOKUP(O171,'Tax Assumptions'!$K$9:$K$17,'Tax Assumptions'!$M$9:$M$17))+IF(O171=0,0,LOOKUP(O171,'Tax Assumptions'!$P$9:$P$12,'Tax Assumptions'!$S$9:$S$12)+(O171-LOOKUP(O171,'Tax Assumptions'!$P$9:$P$12,'Tax Assumptions'!$P$9:$P$12))*LOOKUP(O171,'Tax Assumptions'!$P$9:$P$12,'Tax Assumptions'!$R$9:$R$12))</f>
        <v>15922498.732494473</v>
      </c>
      <c r="Q171" s="218">
        <f t="shared" si="56"/>
        <v>13967813.358726889</v>
      </c>
      <c r="R171" s="218">
        <f>IF(D171&lt;=10,INDEX('Savings Projection'!$BL$19:$BL$28,D171),LOOKUP(2,1/('Savings Projection'!$BL$19:$BL$28&lt;&gt;""),'Savings Projection'!$BL$19:$BL$28))*(1+'Model Inputs'!$B$35)^(D171-1)+IF(D171&lt;=10,INDEX('Savings Projection'!$BM$19:$BM$28,D171),LOOKUP(2,1/('Savings Projection'!$BM$19:$BM$28&lt;&gt;""),'Savings Projection'!$BM$19:$BM$28))*(1+'Model Inputs'!$B$36)^(D171-1)</f>
        <v>202535.76415809937</v>
      </c>
      <c r="S171" s="218">
        <f t="shared" si="57"/>
        <v>13765277.594568789</v>
      </c>
      <c r="T171" s="218">
        <f>MIN(MAX(S171,0),'Tax Assumptions'!$B$20)</f>
        <v>7500</v>
      </c>
      <c r="U171" s="218">
        <f t="shared" si="58"/>
        <v>13757777.594568789</v>
      </c>
      <c r="V171" s="218">
        <f>MAX(V170*(1+'Model Inputs'!$B$13)+U171,0)</f>
        <v>80464037.201796889</v>
      </c>
      <c r="W171" s="218">
        <f>MAX(W170*(1+'Model Inputs'!$B$13)+M171+T171,0)</f>
        <v>821520.89849902503</v>
      </c>
      <c r="X171" s="218">
        <f t="shared" si="59"/>
        <v>81285558.100295916</v>
      </c>
      <c r="Y171" s="226" t="str">
        <f t="shared" si="60"/>
        <v/>
      </c>
      <c r="Z171" s="226" t="str">
        <f t="shared" si="61"/>
        <v/>
      </c>
      <c r="AA171" s="226" t="str">
        <f t="shared" si="62"/>
        <v/>
      </c>
      <c r="AB171" s="226" t="str">
        <f t="shared" si="63"/>
        <v/>
      </c>
    </row>
    <row r="172" spans="1:28" x14ac:dyDescent="0.2">
      <c r="A172" s="214" t="str">
        <f t="shared" si="49"/>
        <v>4Y 3x</v>
      </c>
      <c r="B172" s="214">
        <f t="shared" si="50"/>
        <v>4</v>
      </c>
      <c r="C172" s="223">
        <f t="shared" si="51"/>
        <v>3</v>
      </c>
      <c r="D172" s="214">
        <v>17</v>
      </c>
      <c r="E172" s="214">
        <f t="shared" si="53"/>
        <v>2042</v>
      </c>
      <c r="F172" s="218">
        <f>IF(D172=1,'Model Inputs'!$B$25*(13-'Model Inputs'!$B$23)/12,'Model Inputs'!$B$25)</f>
        <v>300000</v>
      </c>
      <c r="G172" s="218">
        <f>IF(D172=1,'Model Inputs'!$B$27*(13-'Model Inputs'!$B$23)/12,IF(D172=2,'Model Inputs'!$B$27,IF(D172&lt;=MAX(3,'Model Inputs'!$B$30+1),'Model Inputs'!$B$27*(1+'Model Inputs'!$B$28)^(D172-3),'Model Inputs'!$B$27*(1+'Model Inputs'!$B$28)^(MAX(3,'Model Inputs'!$B$30+1)-3)*(1+'Model Inputs'!$B$29)^(D172-MAX(3,'Model Inputs'!$B$30+1)))))</f>
        <v>16864273.217670217</v>
      </c>
      <c r="H172" s="224">
        <f>IF(D172&lt;=2,0,'Model Inputs'!$B$32*SIN(2*PI()*(D172-3+'Model Inputs'!$B$34)/MAX(1,'Model Inputs'!$B$33)))</f>
        <v>-0.1039230484541325</v>
      </c>
      <c r="I172" s="218">
        <f t="shared" si="54"/>
        <v>15111686.534926547</v>
      </c>
      <c r="J172" s="218">
        <f t="shared" si="52"/>
        <v>13596977.385743205</v>
      </c>
      <c r="K172" s="218">
        <f>F172+J172+IF(D172=1,'Model Inputs'!$B$26,0)</f>
        <v>13896977.385743205</v>
      </c>
      <c r="L172" s="218">
        <f t="shared" si="55"/>
        <v>41690932.157229617</v>
      </c>
      <c r="M172" s="218">
        <f>MIN(L172,'Tax Assumptions'!$B$19)</f>
        <v>24500</v>
      </c>
      <c r="N172" s="218">
        <f>MAX(L172-M172-'Tax Assumptions'!$B$8,0)</f>
        <v>41650332.157229617</v>
      </c>
      <c r="O172" s="218">
        <f>MAX(L172-M172-'Tax Assumptions'!$B$9,0)</f>
        <v>41658432.157229617</v>
      </c>
      <c r="P172" s="218">
        <f>IF(N172=0,0,LOOKUP(N172,'Tax Assumptions'!$F$9:$F$15,'Tax Assumptions'!$I$9:$I$15)+(N172-LOOKUP(N172,'Tax Assumptions'!$F$9:$F$15,'Tax Assumptions'!$F$9:$F$15))*LOOKUP(N172,'Tax Assumptions'!$F$9:$F$15,'Tax Assumptions'!$H$9:$H$15))+MIN(MAX(L172,0),'Tax Assumptions'!$B$11)*'Tax Assumptions'!$B$10+MAX(L172,0)*'Tax Assumptions'!$B$12+MAX(MAX(L172,0)-'Tax Assumptions'!$B$14,0)*'Tax Assumptions'!$B$13+MIN(L172*'Tax Assumptions'!$B$15,'Tax Assumptions'!$B$16)+MIN(L172*'Tax Assumptions'!$B$17,'Tax Assumptions'!$B$18)+IF(O172=0,0,LOOKUP(O172,'Tax Assumptions'!$K$9:$K$17,'Tax Assumptions'!$N$9:$N$17)+(O172-LOOKUP(O172,'Tax Assumptions'!$K$9:$K$17,'Tax Assumptions'!$K$9:$K$17))*LOOKUP(O172,'Tax Assumptions'!$K$9:$K$17,'Tax Assumptions'!$M$9:$M$17))+IF(O172=0,0,LOOKUP(O172,'Tax Assumptions'!$P$9:$P$12,'Tax Assumptions'!$S$9:$S$12)+(O172-LOOKUP(O172,'Tax Assumptions'!$P$9:$P$12,'Tax Assumptions'!$P$9:$P$12))*LOOKUP(O172,'Tax Assumptions'!$P$9:$P$12,'Tax Assumptions'!$R$9:$R$12))</f>
        <v>22296441.4794221</v>
      </c>
      <c r="Q172" s="218">
        <f t="shared" si="56"/>
        <v>19369990.677807517</v>
      </c>
      <c r="R172" s="218">
        <f>IF(D172&lt;=10,INDEX('Savings Projection'!$BL$19:$BL$28,D172),LOOKUP(2,1/('Savings Projection'!$BL$19:$BL$28&lt;&gt;""),'Savings Projection'!$BL$19:$BL$28))*(1+'Model Inputs'!$B$35)^(D172-1)+IF(D172&lt;=10,INDEX('Savings Projection'!$BM$19:$BM$28,D172),LOOKUP(2,1/('Savings Projection'!$BM$19:$BM$28&lt;&gt;""),'Savings Projection'!$BM$19:$BM$28))*(1+'Model Inputs'!$B$36)^(D172-1)</f>
        <v>208611.83708284231</v>
      </c>
      <c r="S172" s="218">
        <f t="shared" si="57"/>
        <v>19161378.840724677</v>
      </c>
      <c r="T172" s="218">
        <f>MIN(MAX(S172,0),'Tax Assumptions'!$B$20)</f>
        <v>7500</v>
      </c>
      <c r="U172" s="218">
        <f t="shared" si="58"/>
        <v>19153878.840724677</v>
      </c>
      <c r="V172" s="218">
        <f>MAX(V171*(1+'Model Inputs'!$B$13)+U172,0)</f>
        <v>104445758.27462938</v>
      </c>
      <c r="W172" s="218">
        <f>MAX(W171*(1+'Model Inputs'!$B$13)+M172+T172,0)</f>
        <v>902812.15240896656</v>
      </c>
      <c r="X172" s="218">
        <f t="shared" si="59"/>
        <v>105348570.42703836</v>
      </c>
      <c r="Y172" s="226" t="str">
        <f t="shared" si="60"/>
        <v/>
      </c>
      <c r="Z172" s="226" t="str">
        <f t="shared" si="61"/>
        <v/>
      </c>
      <c r="AA172" s="226" t="str">
        <f t="shared" si="62"/>
        <v/>
      </c>
      <c r="AB172" s="226" t="str">
        <f t="shared" si="63"/>
        <v/>
      </c>
    </row>
    <row r="173" spans="1:28" x14ac:dyDescent="0.2">
      <c r="A173" s="214" t="str">
        <f t="shared" si="49"/>
        <v>4Y 3x</v>
      </c>
      <c r="B173" s="214">
        <f t="shared" si="50"/>
        <v>4</v>
      </c>
      <c r="C173" s="223">
        <f t="shared" si="51"/>
        <v>3</v>
      </c>
      <c r="D173" s="214">
        <v>18</v>
      </c>
      <c r="E173" s="214">
        <f t="shared" si="53"/>
        <v>2043</v>
      </c>
      <c r="F173" s="218">
        <f>IF(D173=1,'Model Inputs'!$B$25*(13-'Model Inputs'!$B$23)/12,'Model Inputs'!$B$25)</f>
        <v>300000</v>
      </c>
      <c r="G173" s="218">
        <f>IF(D173=1,'Model Inputs'!$B$27*(13-'Model Inputs'!$B$23)/12,IF(D173=2,'Model Inputs'!$B$27,IF(D173&lt;=MAX(3,'Model Inputs'!$B$30+1),'Model Inputs'!$B$27*(1+'Model Inputs'!$B$28)^(D173-3),'Model Inputs'!$B$27*(1+'Model Inputs'!$B$28)^(MAX(3,'Model Inputs'!$B$30+1)-3)*(1+'Model Inputs'!$B$29)^(D173-MAX(3,'Model Inputs'!$B$30+1)))))</f>
        <v>21432424.290875554</v>
      </c>
      <c r="H173" s="224">
        <f>IF(D173&lt;=2,0,'Model Inputs'!$B$32*SIN(2*PI()*(D173-3+'Model Inputs'!$B$34)/MAX(1,'Model Inputs'!$B$33)))</f>
        <v>-5.7328325735374245E-16</v>
      </c>
      <c r="I173" s="218">
        <f t="shared" si="54"/>
        <v>21432424.290875543</v>
      </c>
      <c r="J173" s="218">
        <f t="shared" si="52"/>
        <v>14995970.906855816</v>
      </c>
      <c r="K173" s="218">
        <f>F173+J173+IF(D173=1,'Model Inputs'!$B$26,0)</f>
        <v>15295970.906855816</v>
      </c>
      <c r="L173" s="218">
        <f t="shared" si="55"/>
        <v>45887912.72056745</v>
      </c>
      <c r="M173" s="218">
        <f>MIN(L173,'Tax Assumptions'!$B$19)</f>
        <v>24500</v>
      </c>
      <c r="N173" s="218">
        <f>MAX(L173-M173-'Tax Assumptions'!$B$8,0)</f>
        <v>45847312.72056745</v>
      </c>
      <c r="O173" s="218">
        <f>MAX(L173-M173-'Tax Assumptions'!$B$9,0)</f>
        <v>45855412.72056745</v>
      </c>
      <c r="P173" s="218">
        <f>IF(N173=0,0,LOOKUP(N173,'Tax Assumptions'!$F$9:$F$15,'Tax Assumptions'!$I$9:$I$15)+(N173-LOOKUP(N173,'Tax Assumptions'!$F$9:$F$15,'Tax Assumptions'!$F$9:$F$15))*LOOKUP(N173,'Tax Assumptions'!$F$9:$F$15,'Tax Assumptions'!$H$9:$H$15))+MIN(MAX(L173,0),'Tax Assumptions'!$B$11)*'Tax Assumptions'!$B$10+MAX(L173,0)*'Tax Assumptions'!$B$12+MAX(MAX(L173,0)-'Tax Assumptions'!$B$14,0)*'Tax Assumptions'!$B$13+MIN(L173*'Tax Assumptions'!$B$15,'Tax Assumptions'!$B$16)+MIN(L173*'Tax Assumptions'!$B$17,'Tax Assumptions'!$B$18)+IF(O173=0,0,LOOKUP(O173,'Tax Assumptions'!$K$9:$K$17,'Tax Assumptions'!$N$9:$N$17)+(O173-LOOKUP(O173,'Tax Assumptions'!$K$9:$K$17,'Tax Assumptions'!$K$9:$K$17))*LOOKUP(O173,'Tax Assumptions'!$K$9:$K$17,'Tax Assumptions'!$M$9:$M$17))+IF(O173=0,0,LOOKUP(O173,'Tax Assumptions'!$P$9:$P$12,'Tax Assumptions'!$S$9:$S$12)+(O173-LOOKUP(O173,'Tax Assumptions'!$P$9:$P$12,'Tax Assumptions'!$P$9:$P$12))*LOOKUP(O173,'Tax Assumptions'!$P$9:$P$12,'Tax Assumptions'!$R$9:$R$12))</f>
        <v>24568099.179134339</v>
      </c>
      <c r="Q173" s="218">
        <f t="shared" si="56"/>
        <v>21295313.541433111</v>
      </c>
      <c r="R173" s="218">
        <f>IF(D173&lt;=10,INDEX('Savings Projection'!$BL$19:$BL$28,D173),LOOKUP(2,1/('Savings Projection'!$BL$19:$BL$28&lt;&gt;""),'Savings Projection'!$BL$19:$BL$28))*(1+'Model Inputs'!$B$35)^(D173-1)+IF(D173&lt;=10,INDEX('Savings Projection'!$BM$19:$BM$28,D173),LOOKUP(2,1/('Savings Projection'!$BM$19:$BM$28&lt;&gt;""),'Savings Projection'!$BM$19:$BM$28))*(1+'Model Inputs'!$B$36)^(D173-1)</f>
        <v>214870.1921953276</v>
      </c>
      <c r="S173" s="218">
        <f t="shared" si="57"/>
        <v>21080443.349237785</v>
      </c>
      <c r="T173" s="218">
        <f>MIN(MAX(S173,0),'Tax Assumptions'!$B$20)</f>
        <v>7500</v>
      </c>
      <c r="U173" s="218">
        <f t="shared" si="58"/>
        <v>21072943.349237785</v>
      </c>
      <c r="V173" s="218">
        <f>MAX(V172*(1+'Model Inputs'!$B$13)+U173,0)</f>
        <v>131785447.12034494</v>
      </c>
      <c r="W173" s="218">
        <f>MAX(W172*(1+'Model Inputs'!$B$13)+M173+T173,0)</f>
        <v>988980.88155350462</v>
      </c>
      <c r="X173" s="218">
        <f t="shared" si="59"/>
        <v>132774428.00189844</v>
      </c>
      <c r="Y173" s="226" t="str">
        <f t="shared" si="60"/>
        <v/>
      </c>
      <c r="Z173" s="226" t="str">
        <f t="shared" si="61"/>
        <v/>
      </c>
      <c r="AA173" s="226" t="str">
        <f t="shared" si="62"/>
        <v/>
      </c>
      <c r="AB173" s="226" t="str">
        <f t="shared" si="63"/>
        <v/>
      </c>
    </row>
    <row r="174" spans="1:28" x14ac:dyDescent="0.2">
      <c r="A174" s="214" t="str">
        <f t="shared" si="49"/>
        <v>4Y 3x</v>
      </c>
      <c r="B174" s="214">
        <f t="shared" si="50"/>
        <v>4</v>
      </c>
      <c r="C174" s="223">
        <f t="shared" si="51"/>
        <v>3</v>
      </c>
      <c r="D174" s="214">
        <v>19</v>
      </c>
      <c r="E174" s="214">
        <f t="shared" si="53"/>
        <v>2044</v>
      </c>
      <c r="F174" s="218">
        <f>IF(D174=1,'Model Inputs'!$B$25*(13-'Model Inputs'!$B$23)/12,'Model Inputs'!$B$25)</f>
        <v>300000</v>
      </c>
      <c r="G174" s="218">
        <f>IF(D174=1,'Model Inputs'!$B$27*(13-'Model Inputs'!$B$23)/12,IF(D174=2,'Model Inputs'!$B$27,IF(D174&lt;=MAX(3,'Model Inputs'!$B$30+1),'Model Inputs'!$B$27*(1+'Model Inputs'!$B$28)^(D174-3),'Model Inputs'!$B$27*(1+'Model Inputs'!$B$28)^(MAX(3,'Model Inputs'!$B$30+1)-3)*(1+'Model Inputs'!$B$29)^(D174-MAX(3,'Model Inputs'!$B$30+1)))))</f>
        <v>27237984.409717187</v>
      </c>
      <c r="H174" s="224">
        <f>IF(D174&lt;=2,0,'Model Inputs'!$B$32*SIN(2*PI()*(D174-3+'Model Inputs'!$B$34)/MAX(1,'Model Inputs'!$B$33)))</f>
        <v>0.10392304845413286</v>
      </c>
      <c r="I174" s="218">
        <f t="shared" si="54"/>
        <v>30068638.783321142</v>
      </c>
      <c r="J174" s="218">
        <f t="shared" si="52"/>
        <v>19852239.851888295</v>
      </c>
      <c r="K174" s="218">
        <f>F174+J174+IF(D174=1,'Model Inputs'!$B$26,0)</f>
        <v>20152239.851888295</v>
      </c>
      <c r="L174" s="218">
        <f t="shared" si="55"/>
        <v>60456719.555664882</v>
      </c>
      <c r="M174" s="218">
        <f>MIN(L174,'Tax Assumptions'!$B$19)</f>
        <v>24500</v>
      </c>
      <c r="N174" s="218">
        <f>MAX(L174-M174-'Tax Assumptions'!$B$8,0)</f>
        <v>60416119.555664882</v>
      </c>
      <c r="O174" s="218">
        <f>MAX(L174-M174-'Tax Assumptions'!$B$9,0)</f>
        <v>60424219.555664882</v>
      </c>
      <c r="P174" s="218">
        <f>IF(N174=0,0,LOOKUP(N174,'Tax Assumptions'!$F$9:$F$15,'Tax Assumptions'!$I$9:$I$15)+(N174-LOOKUP(N174,'Tax Assumptions'!$F$9:$F$15,'Tax Assumptions'!$F$9:$F$15))*LOOKUP(N174,'Tax Assumptions'!$F$9:$F$15,'Tax Assumptions'!$H$9:$H$15))+MIN(MAX(L174,0),'Tax Assumptions'!$B$11)*'Tax Assumptions'!$B$10+MAX(L174,0)*'Tax Assumptions'!$B$12+MAX(MAX(L174,0)-'Tax Assumptions'!$B$14,0)*'Tax Assumptions'!$B$13+MIN(L174*'Tax Assumptions'!$B$15,'Tax Assumptions'!$B$16)+MIN(L174*'Tax Assumptions'!$B$17,'Tax Assumptions'!$B$18)+IF(O174=0,0,LOOKUP(O174,'Tax Assumptions'!$K$9:$K$17,'Tax Assumptions'!$N$9:$N$17)+(O174-LOOKUP(O174,'Tax Assumptions'!$K$9:$K$17,'Tax Assumptions'!$K$9:$K$17))*LOOKUP(O174,'Tax Assumptions'!$K$9:$K$17,'Tax Assumptions'!$M$9:$M$17))+IF(O174=0,0,LOOKUP(O174,'Tax Assumptions'!$P$9:$P$12,'Tax Assumptions'!$S$9:$S$12)+(O174-LOOKUP(O174,'Tax Assumptions'!$P$9:$P$12,'Tax Assumptions'!$P$9:$P$12))*LOOKUP(O174,'Tax Assumptions'!$P$9:$P$12,'Tax Assumptions'!$R$9:$R$12))</f>
        <v>32453611.566699173</v>
      </c>
      <c r="Q174" s="218">
        <f t="shared" si="56"/>
        <v>27978607.988965709</v>
      </c>
      <c r="R174" s="218">
        <f>IF(D174&lt;=10,INDEX('Savings Projection'!$BL$19:$BL$28,D174),LOOKUP(2,1/('Savings Projection'!$BL$19:$BL$28&lt;&gt;""),'Savings Projection'!$BL$19:$BL$28))*(1+'Model Inputs'!$B$35)^(D174-1)+IF(D174&lt;=10,INDEX('Savings Projection'!$BM$19:$BM$28,D174),LOOKUP(2,1/('Savings Projection'!$BM$19:$BM$28&lt;&gt;""),'Savings Projection'!$BM$19:$BM$28))*(1+'Model Inputs'!$B$36)^(D174-1)</f>
        <v>221316.29796118743</v>
      </c>
      <c r="S174" s="218">
        <f t="shared" si="57"/>
        <v>27757291.691004522</v>
      </c>
      <c r="T174" s="218">
        <f>MIN(MAX(S174,0),'Tax Assumptions'!$B$20)</f>
        <v>7500</v>
      </c>
      <c r="U174" s="218">
        <f t="shared" si="58"/>
        <v>27749791.691004522</v>
      </c>
      <c r="V174" s="218">
        <f>MAX(V173*(1+'Model Inputs'!$B$13)+U174,0)</f>
        <v>167442365.63857016</v>
      </c>
      <c r="W174" s="218">
        <f>MAX(W173*(1+'Model Inputs'!$B$13)+M174+T174,0)</f>
        <v>1080319.7344467151</v>
      </c>
      <c r="X174" s="218">
        <f t="shared" si="59"/>
        <v>168522685.37301686</v>
      </c>
      <c r="Y174" s="226" t="str">
        <f t="shared" si="60"/>
        <v/>
      </c>
      <c r="Z174" s="226" t="str">
        <f t="shared" si="61"/>
        <v/>
      </c>
      <c r="AA174" s="226" t="str">
        <f t="shared" si="62"/>
        <v/>
      </c>
      <c r="AB174" s="226" t="str">
        <f t="shared" si="63"/>
        <v/>
      </c>
    </row>
    <row r="175" spans="1:28" x14ac:dyDescent="0.2">
      <c r="A175" s="214" t="str">
        <f t="shared" si="49"/>
        <v>4Y 3x</v>
      </c>
      <c r="B175" s="214">
        <f t="shared" si="50"/>
        <v>4</v>
      </c>
      <c r="C175" s="223">
        <f t="shared" si="51"/>
        <v>3</v>
      </c>
      <c r="D175" s="214">
        <v>20</v>
      </c>
      <c r="E175" s="214">
        <f t="shared" si="53"/>
        <v>2045</v>
      </c>
      <c r="F175" s="218">
        <f>IF(D175=1,'Model Inputs'!$B$25*(13-'Model Inputs'!$B$23)/12,'Model Inputs'!$B$25)</f>
        <v>300000</v>
      </c>
      <c r="G175" s="218">
        <f>IF(D175=1,'Model Inputs'!$B$27*(13-'Model Inputs'!$B$23)/12,IF(D175=2,'Model Inputs'!$B$27,IF(D175&lt;=MAX(3,'Model Inputs'!$B$30+1),'Model Inputs'!$B$27*(1+'Model Inputs'!$B$28)^(D175-3),'Model Inputs'!$B$27*(1+'Model Inputs'!$B$28)^(MAX(3,'Model Inputs'!$B$30+1)-3)*(1+'Model Inputs'!$B$29)^(D175-MAX(3,'Model Inputs'!$B$30+1)))))</f>
        <v>34616139.762586243</v>
      </c>
      <c r="H175" s="224">
        <f>IF(D175&lt;=2,0,'Model Inputs'!$B$32*SIN(2*PI()*(D175-3+'Model Inputs'!$B$34)/MAX(1,'Model Inputs'!$B$33)))</f>
        <v>-0.10392304845413269</v>
      </c>
      <c r="I175" s="218">
        <f t="shared" si="54"/>
        <v>31018724.992743965</v>
      </c>
      <c r="J175" s="218">
        <f t="shared" si="52"/>
        <v>27909585.160209741</v>
      </c>
      <c r="K175" s="218">
        <f>F175+J175+IF(D175=1,'Model Inputs'!$B$26,0)</f>
        <v>28209585.160209741</v>
      </c>
      <c r="L175" s="218">
        <f t="shared" si="55"/>
        <v>84628755.480629221</v>
      </c>
      <c r="M175" s="218">
        <f>MIN(L175,'Tax Assumptions'!$B$19)</f>
        <v>24500</v>
      </c>
      <c r="N175" s="218">
        <f>MAX(L175-M175-'Tax Assumptions'!$B$8,0)</f>
        <v>84588155.480629221</v>
      </c>
      <c r="O175" s="218">
        <f>MAX(L175-M175-'Tax Assumptions'!$B$9,0)</f>
        <v>84596255.480629221</v>
      </c>
      <c r="P175" s="218">
        <f>IF(N175=0,0,LOOKUP(N175,'Tax Assumptions'!$F$9:$F$15,'Tax Assumptions'!$I$9:$I$15)+(N175-LOOKUP(N175,'Tax Assumptions'!$F$9:$F$15,'Tax Assumptions'!$F$9:$F$15))*LOOKUP(N175,'Tax Assumptions'!$F$9:$F$15,'Tax Assumptions'!$H$9:$H$15))+MIN(MAX(L175,0),'Tax Assumptions'!$B$11)*'Tax Assumptions'!$B$10+MAX(L175,0)*'Tax Assumptions'!$B$12+MAX(MAX(L175,0)-'Tax Assumptions'!$B$14,0)*'Tax Assumptions'!$B$13+MIN(L175*'Tax Assumptions'!$B$15,'Tax Assumptions'!$B$16)+MIN(L175*'Tax Assumptions'!$B$17,'Tax Assumptions'!$B$18)+IF(O175=0,0,LOOKUP(O175,'Tax Assumptions'!$K$9:$K$17,'Tax Assumptions'!$N$9:$N$17)+(O175-LOOKUP(O175,'Tax Assumptions'!$K$9:$K$17,'Tax Assumptions'!$K$9:$K$17))*LOOKUP(O175,'Tax Assumptions'!$K$9:$K$17,'Tax Assumptions'!$M$9:$M$17))+IF(O175=0,0,LOOKUP(O175,'Tax Assumptions'!$P$9:$P$12,'Tax Assumptions'!$S$9:$S$12)+(O175-LOOKUP(O175,'Tax Assumptions'!$P$9:$P$12,'Tax Assumptions'!$P$9:$P$12))*LOOKUP(O175,'Tax Assumptions'!$P$9:$P$12,'Tax Assumptions'!$R$9:$R$12))</f>
        <v>45536967.731445372</v>
      </c>
      <c r="Q175" s="218">
        <f t="shared" si="56"/>
        <v>39067287.749183849</v>
      </c>
      <c r="R175" s="218">
        <f>IF(D175&lt;=10,INDEX('Savings Projection'!$BL$19:$BL$28,D175),LOOKUP(2,1/('Savings Projection'!$BL$19:$BL$28&lt;&gt;""),'Savings Projection'!$BL$19:$BL$28))*(1+'Model Inputs'!$B$35)^(D175-1)+IF(D175&lt;=10,INDEX('Savings Projection'!$BM$19:$BM$28,D175),LOOKUP(2,1/('Savings Projection'!$BM$19:$BM$28&lt;&gt;""),'Savings Projection'!$BM$19:$BM$28))*(1+'Model Inputs'!$B$36)^(D175-1)</f>
        <v>227955.78690002306</v>
      </c>
      <c r="S175" s="218">
        <f t="shared" si="57"/>
        <v>38839331.962283827</v>
      </c>
      <c r="T175" s="218">
        <f>MIN(MAX(S175,0),'Tax Assumptions'!$B$20)</f>
        <v>7500</v>
      </c>
      <c r="U175" s="218">
        <f t="shared" si="58"/>
        <v>38831831.962283827</v>
      </c>
      <c r="V175" s="218">
        <f>MAX(V174*(1+'Model Inputs'!$B$13)+U175,0)</f>
        <v>216320739.53916821</v>
      </c>
      <c r="W175" s="218">
        <f>MAX(W174*(1+'Model Inputs'!$B$13)+M175+T175,0)</f>
        <v>1177138.9185135181</v>
      </c>
      <c r="X175" s="218">
        <f t="shared" si="59"/>
        <v>217497878.45768172</v>
      </c>
      <c r="Y175" s="226" t="str">
        <f t="shared" si="60"/>
        <v/>
      </c>
      <c r="Z175" s="226" t="str">
        <f t="shared" si="61"/>
        <v/>
      </c>
      <c r="AA175" s="226" t="str">
        <f t="shared" si="62"/>
        <v/>
      </c>
      <c r="AB175" s="226" t="str">
        <f t="shared" si="63"/>
        <v/>
      </c>
    </row>
    <row r="176" spans="1:28" x14ac:dyDescent="0.2">
      <c r="A176" s="214" t="str">
        <f t="shared" si="49"/>
        <v>4Y 3x</v>
      </c>
      <c r="B176" s="214">
        <f t="shared" si="50"/>
        <v>4</v>
      </c>
      <c r="C176" s="223">
        <f t="shared" si="51"/>
        <v>3</v>
      </c>
      <c r="D176" s="214">
        <v>21</v>
      </c>
      <c r="E176" s="214">
        <f t="shared" si="53"/>
        <v>2046</v>
      </c>
      <c r="F176" s="218">
        <f>IF(D176=1,'Model Inputs'!$B$25*(13-'Model Inputs'!$B$23)/12,'Model Inputs'!$B$25)</f>
        <v>300000</v>
      </c>
      <c r="G176" s="218">
        <f>IF(D176=1,'Model Inputs'!$B$27*(13-'Model Inputs'!$B$23)/12,IF(D176=2,'Model Inputs'!$B$27,IF(D176&lt;=MAX(3,'Model Inputs'!$B$30+1),'Model Inputs'!$B$27*(1+'Model Inputs'!$B$28)^(D176-3),'Model Inputs'!$B$27*(1+'Model Inputs'!$B$28)^(MAX(3,'Model Inputs'!$B$30+1)-3)*(1+'Model Inputs'!$B$29)^(D176-MAX(3,'Model Inputs'!$B$30+1)))))</f>
        <v>43992870.912849829</v>
      </c>
      <c r="H176" s="224">
        <f>IF(D176&lt;=2,0,'Model Inputs'!$B$32*SIN(2*PI()*(D176-3+'Model Inputs'!$B$34)/MAX(1,'Model Inputs'!$B$33)))</f>
        <v>-1.7634913907721884E-16</v>
      </c>
      <c r="I176" s="218">
        <f t="shared" si="54"/>
        <v>43992870.912849821</v>
      </c>
      <c r="J176" s="218">
        <f t="shared" si="52"/>
        <v>30781203.440388259</v>
      </c>
      <c r="K176" s="218">
        <f>F176+J176+IF(D176=1,'Model Inputs'!$B$26,0)</f>
        <v>31081203.440388259</v>
      </c>
      <c r="L176" s="218">
        <f t="shared" si="55"/>
        <v>93243610.321164772</v>
      </c>
      <c r="M176" s="218">
        <f>MIN(L176,'Tax Assumptions'!$B$19)</f>
        <v>24500</v>
      </c>
      <c r="N176" s="218">
        <f>MAX(L176-M176-'Tax Assumptions'!$B$8,0)</f>
        <v>93203010.321164772</v>
      </c>
      <c r="O176" s="218">
        <f>MAX(L176-M176-'Tax Assumptions'!$B$9,0)</f>
        <v>93211110.321164772</v>
      </c>
      <c r="P176" s="218">
        <f>IF(N176=0,0,LOOKUP(N176,'Tax Assumptions'!$F$9:$F$15,'Tax Assumptions'!$I$9:$I$15)+(N176-LOOKUP(N176,'Tax Assumptions'!$F$9:$F$15,'Tax Assumptions'!$F$9:$F$15))*LOOKUP(N176,'Tax Assumptions'!$F$9:$F$15,'Tax Assumptions'!$H$9:$H$15))+MIN(MAX(L176,0),'Tax Assumptions'!$B$11)*'Tax Assumptions'!$B$10+MAX(L176,0)*'Tax Assumptions'!$B$12+MAX(MAX(L176,0)-'Tax Assumptions'!$B$14,0)*'Tax Assumptions'!$B$13+MIN(L176*'Tax Assumptions'!$B$15,'Tax Assumptions'!$B$16)+MIN(L176*'Tax Assumptions'!$B$17,'Tax Assumptions'!$B$18)+IF(O176=0,0,LOOKUP(O176,'Tax Assumptions'!$K$9:$K$17,'Tax Assumptions'!$N$9:$N$17)+(O176-LOOKUP(O176,'Tax Assumptions'!$K$9:$K$17,'Tax Assumptions'!$K$9:$K$17))*LOOKUP(O176,'Tax Assumptions'!$K$9:$K$17,'Tax Assumptions'!$M$9:$M$17))+IF(O176=0,0,LOOKUP(O176,'Tax Assumptions'!$P$9:$P$12,'Tax Assumptions'!$S$9:$S$12)+(O176-LOOKUP(O176,'Tax Assumptions'!$P$9:$P$12,'Tax Assumptions'!$P$9:$P$12))*LOOKUP(O176,'Tax Assumptions'!$P$9:$P$12,'Tax Assumptions'!$R$9:$R$12))</f>
        <v>50199844.062433645</v>
      </c>
      <c r="Q176" s="218">
        <f t="shared" si="56"/>
        <v>43019266.258731127</v>
      </c>
      <c r="R176" s="218">
        <f>IF(D176&lt;=10,INDEX('Savings Projection'!$BL$19:$BL$28,D176),LOOKUP(2,1/('Savings Projection'!$BL$19:$BL$28&lt;&gt;""),'Savings Projection'!$BL$19:$BL$28))*(1+'Model Inputs'!$B$35)^(D176-1)+IF(D176&lt;=10,INDEX('Savings Projection'!$BM$19:$BM$28,D176),LOOKUP(2,1/('Savings Projection'!$BM$19:$BM$28&lt;&gt;""),'Savings Projection'!$BM$19:$BM$28))*(1+'Model Inputs'!$B$36)^(D176-1)</f>
        <v>234794.46050702373</v>
      </c>
      <c r="S176" s="218">
        <f t="shared" si="57"/>
        <v>42784471.798224106</v>
      </c>
      <c r="T176" s="218">
        <f>MIN(MAX(S176,0),'Tax Assumptions'!$B$20)</f>
        <v>7500</v>
      </c>
      <c r="U176" s="218">
        <f t="shared" si="58"/>
        <v>42776971.798224106</v>
      </c>
      <c r="V176" s="218">
        <f>MAX(V175*(1+'Model Inputs'!$B$13)+U176,0)</f>
        <v>272076955.70974243</v>
      </c>
      <c r="W176" s="218">
        <f>MAX(W175*(1+'Model Inputs'!$B$13)+M176+T176,0)</f>
        <v>1279767.2536243291</v>
      </c>
      <c r="X176" s="218">
        <f t="shared" si="59"/>
        <v>273356722.96336675</v>
      </c>
      <c r="Y176" s="226" t="str">
        <f t="shared" si="60"/>
        <v/>
      </c>
      <c r="Z176" s="226" t="str">
        <f t="shared" si="61"/>
        <v/>
      </c>
      <c r="AA176" s="226" t="str">
        <f t="shared" si="62"/>
        <v/>
      </c>
      <c r="AB176" s="226" t="str">
        <f t="shared" si="63"/>
        <v/>
      </c>
    </row>
    <row r="177" spans="1:28" x14ac:dyDescent="0.2">
      <c r="A177" s="214" t="str">
        <f t="shared" si="49"/>
        <v>4Y 3x</v>
      </c>
      <c r="B177" s="214">
        <f t="shared" si="50"/>
        <v>4</v>
      </c>
      <c r="C177" s="223">
        <f t="shared" si="51"/>
        <v>3</v>
      </c>
      <c r="D177" s="214">
        <v>22</v>
      </c>
      <c r="E177" s="214">
        <f t="shared" si="53"/>
        <v>2047</v>
      </c>
      <c r="F177" s="218">
        <f>IF(D177=1,'Model Inputs'!$B$25*(13-'Model Inputs'!$B$23)/12,'Model Inputs'!$B$25)</f>
        <v>300000</v>
      </c>
      <c r="G177" s="218">
        <f>IF(D177=1,'Model Inputs'!$B$27*(13-'Model Inputs'!$B$23)/12,IF(D177=2,'Model Inputs'!$B$27,IF(D177&lt;=MAX(3,'Model Inputs'!$B$30+1),'Model Inputs'!$B$27*(1+'Model Inputs'!$B$28)^(D177-3),'Model Inputs'!$B$27*(1+'Model Inputs'!$B$28)^(MAX(3,'Model Inputs'!$B$30+1)-3)*(1+'Model Inputs'!$B$29)^(D177-MAX(3,'Model Inputs'!$B$30+1)))))</f>
        <v>55909546.9462616</v>
      </c>
      <c r="H177" s="224">
        <f>IF(D177&lt;=2,0,'Model Inputs'!$B$32*SIN(2*PI()*(D177-3+'Model Inputs'!$B$34)/MAX(1,'Model Inputs'!$B$33)))</f>
        <v>0.10392304845413287</v>
      </c>
      <c r="I177" s="218">
        <f t="shared" si="54"/>
        <v>61719837.502606563</v>
      </c>
      <c r="J177" s="218">
        <f t="shared" si="52"/>
        <v>40749334.43282336</v>
      </c>
      <c r="K177" s="218">
        <f>F177+J177+IF(D177=1,'Model Inputs'!$B$26,0)</f>
        <v>41049334.43282336</v>
      </c>
      <c r="L177" s="218">
        <f t="shared" si="55"/>
        <v>123148003.29847008</v>
      </c>
      <c r="M177" s="218">
        <f>MIN(L177,'Tax Assumptions'!$B$19)</f>
        <v>24500</v>
      </c>
      <c r="N177" s="218">
        <f>MAX(L177-M177-'Tax Assumptions'!$B$8,0)</f>
        <v>123107403.29847008</v>
      </c>
      <c r="O177" s="218">
        <f>MAX(L177-M177-'Tax Assumptions'!$B$9,0)</f>
        <v>123115503.29847008</v>
      </c>
      <c r="P177" s="218">
        <f>IF(N177=0,0,LOOKUP(N177,'Tax Assumptions'!$F$9:$F$15,'Tax Assumptions'!$I$9:$I$15)+(N177-LOOKUP(N177,'Tax Assumptions'!$F$9:$F$15,'Tax Assumptions'!$F$9:$F$15))*LOOKUP(N177,'Tax Assumptions'!$F$9:$F$15,'Tax Assumptions'!$H$9:$H$15))+MIN(MAX(L177,0),'Tax Assumptions'!$B$11)*'Tax Assumptions'!$B$10+MAX(L177,0)*'Tax Assumptions'!$B$12+MAX(MAX(L177,0)-'Tax Assumptions'!$B$14,0)*'Tax Assumptions'!$B$13+MIN(L177*'Tax Assumptions'!$B$15,'Tax Assumptions'!$B$16)+MIN(L177*'Tax Assumptions'!$B$17,'Tax Assumptions'!$B$18)+IF(O177=0,0,LOOKUP(O177,'Tax Assumptions'!$K$9:$K$17,'Tax Assumptions'!$N$9:$N$17)+(O177-LOOKUP(O177,'Tax Assumptions'!$K$9:$K$17,'Tax Assumptions'!$K$9:$K$17))*LOOKUP(O177,'Tax Assumptions'!$K$9:$K$17,'Tax Assumptions'!$M$9:$M$17))+IF(O177=0,0,LOOKUP(O177,'Tax Assumptions'!$P$9:$P$12,'Tax Assumptions'!$S$9:$S$12)+(O177-LOOKUP(O177,'Tax Assumptions'!$P$9:$P$12,'Tax Assumptions'!$P$9:$P$12))*LOOKUP(O177,'Tax Assumptions'!$P$9:$P$12,'Tax Assumptions'!$R$9:$R$12))</f>
        <v>66385895.805329919</v>
      </c>
      <c r="Q177" s="218">
        <f t="shared" si="56"/>
        <v>56737607.493140161</v>
      </c>
      <c r="R177" s="218">
        <f>IF(D177&lt;=10,INDEX('Savings Projection'!$BL$19:$BL$28,D177),LOOKUP(2,1/('Savings Projection'!$BL$19:$BL$28&lt;&gt;""),'Savings Projection'!$BL$19:$BL$28))*(1+'Model Inputs'!$B$35)^(D177-1)+IF(D177&lt;=10,INDEX('Savings Projection'!$BM$19:$BM$28,D177),LOOKUP(2,1/('Savings Projection'!$BM$19:$BM$28&lt;&gt;""),'Savings Projection'!$BM$19:$BM$28))*(1+'Model Inputs'!$B$36)^(D177-1)</f>
        <v>241838.2943222344</v>
      </c>
      <c r="S177" s="218">
        <f t="shared" si="57"/>
        <v>56495769.198817924</v>
      </c>
      <c r="T177" s="218">
        <f>MIN(MAX(S177,0),'Tax Assumptions'!$B$20)</f>
        <v>7500</v>
      </c>
      <c r="U177" s="218">
        <f t="shared" si="58"/>
        <v>56488269.198817924</v>
      </c>
      <c r="V177" s="218">
        <f>MAX(V176*(1+'Model Inputs'!$B$13)+U177,0)</f>
        <v>344889842.25114489</v>
      </c>
      <c r="W177" s="218">
        <f>MAX(W176*(1+'Model Inputs'!$B$13)+M177+T177,0)</f>
        <v>1388553.2888417889</v>
      </c>
      <c r="X177" s="218">
        <f t="shared" si="59"/>
        <v>346278395.53998667</v>
      </c>
      <c r="Y177" s="226" t="str">
        <f t="shared" si="60"/>
        <v/>
      </c>
      <c r="Z177" s="226" t="str">
        <f t="shared" si="61"/>
        <v/>
      </c>
      <c r="AA177" s="226" t="str">
        <f t="shared" si="62"/>
        <v/>
      </c>
      <c r="AB177" s="226" t="str">
        <f t="shared" si="63"/>
        <v/>
      </c>
    </row>
    <row r="178" spans="1:28" x14ac:dyDescent="0.2">
      <c r="A178" s="214" t="str">
        <f t="shared" si="49"/>
        <v>4Y 3x</v>
      </c>
      <c r="B178" s="214">
        <f t="shared" si="50"/>
        <v>4</v>
      </c>
      <c r="C178" s="223">
        <f t="shared" si="51"/>
        <v>3</v>
      </c>
      <c r="D178" s="214">
        <v>23</v>
      </c>
      <c r="E178" s="214">
        <f t="shared" si="53"/>
        <v>2048</v>
      </c>
      <c r="F178" s="218">
        <f>IF(D178=1,'Model Inputs'!$B$25*(13-'Model Inputs'!$B$23)/12,'Model Inputs'!$B$25)</f>
        <v>300000</v>
      </c>
      <c r="G178" s="218">
        <f>IF(D178=1,'Model Inputs'!$B$27*(13-'Model Inputs'!$B$23)/12,IF(D178=2,'Model Inputs'!$B$27,IF(D178&lt;=MAX(3,'Model Inputs'!$B$30+1),'Model Inputs'!$B$27*(1+'Model Inputs'!$B$28)^(D178-3),'Model Inputs'!$B$27*(1+'Model Inputs'!$B$28)^(MAX(3,'Model Inputs'!$B$30+1)-3)*(1+'Model Inputs'!$B$29)^(D178-MAX(3,'Model Inputs'!$B$30+1)))))</f>
        <v>71054181.617940187</v>
      </c>
      <c r="H178" s="224">
        <f>IF(D178&lt;=2,0,'Model Inputs'!$B$32*SIN(2*PI()*(D178-3+'Model Inputs'!$B$34)/MAX(1,'Model Inputs'!$B$33)))</f>
        <v>-0.10392304845413268</v>
      </c>
      <c r="I178" s="218">
        <f t="shared" si="54"/>
        <v>63670014.458790243</v>
      </c>
      <c r="J178" s="218">
        <f t="shared" si="52"/>
        <v>57288095.855167374</v>
      </c>
      <c r="K178" s="218">
        <f>F178+J178+IF(D178=1,'Model Inputs'!$B$26,0)</f>
        <v>57588095.855167374</v>
      </c>
      <c r="L178" s="218">
        <f t="shared" si="55"/>
        <v>172764287.56550211</v>
      </c>
      <c r="M178" s="218">
        <f>MIN(L178,'Tax Assumptions'!$B$19)</f>
        <v>24500</v>
      </c>
      <c r="N178" s="218">
        <f>MAX(L178-M178-'Tax Assumptions'!$B$8,0)</f>
        <v>172723687.56550211</v>
      </c>
      <c r="O178" s="218">
        <f>MAX(L178-M178-'Tax Assumptions'!$B$9,0)</f>
        <v>172731787.56550211</v>
      </c>
      <c r="P178" s="218">
        <f>IF(N178=0,0,LOOKUP(N178,'Tax Assumptions'!$F$9:$F$15,'Tax Assumptions'!$I$9:$I$15)+(N178-LOOKUP(N178,'Tax Assumptions'!$F$9:$F$15,'Tax Assumptions'!$F$9:$F$15))*LOOKUP(N178,'Tax Assumptions'!$F$9:$F$15,'Tax Assumptions'!$H$9:$H$15))+MIN(MAX(L178,0),'Tax Assumptions'!$B$11)*'Tax Assumptions'!$B$10+MAX(L178,0)*'Tax Assumptions'!$B$12+MAX(MAX(L178,0)-'Tax Assumptions'!$B$14,0)*'Tax Assumptions'!$B$13+MIN(L178*'Tax Assumptions'!$B$15,'Tax Assumptions'!$B$16)+MIN(L178*'Tax Assumptions'!$B$17,'Tax Assumptions'!$B$18)+IF(O178=0,0,LOOKUP(O178,'Tax Assumptions'!$K$9:$K$17,'Tax Assumptions'!$N$9:$N$17)+(O178-LOOKUP(O178,'Tax Assumptions'!$K$9:$K$17,'Tax Assumptions'!$K$9:$K$17))*LOOKUP(O178,'Tax Assumptions'!$K$9:$K$17,'Tax Assumptions'!$M$9:$M$17))+IF(O178=0,0,LOOKUP(O178,'Tax Assumptions'!$P$9:$P$12,'Tax Assumptions'!$S$9:$S$12)+(O178-LOOKUP(O178,'Tax Assumptions'!$P$9:$P$12,'Tax Assumptions'!$P$9:$P$12))*LOOKUP(O178,'Tax Assumptions'!$P$9:$P$12,'Tax Assumptions'!$R$9:$R$12))</f>
        <v>93241205.82770367</v>
      </c>
      <c r="Q178" s="218">
        <f t="shared" si="56"/>
        <v>79498581.737798437</v>
      </c>
      <c r="R178" s="218">
        <f>IF(D178&lt;=10,INDEX('Savings Projection'!$BL$19:$BL$28,D178),LOOKUP(2,1/('Savings Projection'!$BL$19:$BL$28&lt;&gt;""),'Savings Projection'!$BL$19:$BL$28))*(1+'Model Inputs'!$B$35)^(D178-1)+IF(D178&lt;=10,INDEX('Savings Projection'!$BM$19:$BM$28,D178),LOOKUP(2,1/('Savings Projection'!$BM$19:$BM$28&lt;&gt;""),'Savings Projection'!$BM$19:$BM$28))*(1+'Model Inputs'!$B$36)^(D178-1)</f>
        <v>249093.44315190148</v>
      </c>
      <c r="S178" s="218">
        <f t="shared" si="57"/>
        <v>79249488.294646531</v>
      </c>
      <c r="T178" s="218">
        <f>MIN(MAX(S178,0),'Tax Assumptions'!$B$20)</f>
        <v>7500</v>
      </c>
      <c r="U178" s="218">
        <f t="shared" si="58"/>
        <v>79241988.294646531</v>
      </c>
      <c r="V178" s="218">
        <f>MAX(V177*(1+'Model Inputs'!$B$13)+U178,0)</f>
        <v>444825221.08086014</v>
      </c>
      <c r="W178" s="218">
        <f>MAX(W177*(1+'Model Inputs'!$B$13)+M178+T178,0)</f>
        <v>1503866.4861722963</v>
      </c>
      <c r="X178" s="218">
        <f t="shared" si="59"/>
        <v>446329087.56703246</v>
      </c>
      <c r="Y178" s="226" t="str">
        <f t="shared" si="60"/>
        <v/>
      </c>
      <c r="Z178" s="226" t="str">
        <f t="shared" si="61"/>
        <v/>
      </c>
      <c r="AA178" s="226" t="str">
        <f t="shared" si="62"/>
        <v/>
      </c>
      <c r="AB178" s="226" t="str">
        <f t="shared" si="63"/>
        <v/>
      </c>
    </row>
    <row r="179" spans="1:28" x14ac:dyDescent="0.2">
      <c r="A179" s="214" t="str">
        <f t="shared" si="49"/>
        <v>4Y 3x</v>
      </c>
      <c r="B179" s="214">
        <f t="shared" si="50"/>
        <v>4</v>
      </c>
      <c r="C179" s="223">
        <f t="shared" si="51"/>
        <v>3</v>
      </c>
      <c r="D179" s="214">
        <v>24</v>
      </c>
      <c r="E179" s="214">
        <f t="shared" si="53"/>
        <v>2049</v>
      </c>
      <c r="F179" s="218">
        <f>IF(D179=1,'Model Inputs'!$B$25*(13-'Model Inputs'!$B$23)/12,'Model Inputs'!$B$25)</f>
        <v>300000</v>
      </c>
      <c r="G179" s="218">
        <f>IF(D179=1,'Model Inputs'!$B$27*(13-'Model Inputs'!$B$23)/12,IF(D179=2,'Model Inputs'!$B$27,IF(D179&lt;=MAX(3,'Model Inputs'!$B$30+1),'Model Inputs'!$B$27*(1+'Model Inputs'!$B$28)^(D179-3),'Model Inputs'!$B$27*(1+'Model Inputs'!$B$28)^(MAX(3,'Model Inputs'!$B$30+1)-3)*(1+'Model Inputs'!$B$29)^(D179-MAX(3,'Model Inputs'!$B$30+1)))))</f>
        <v>90301156.084270701</v>
      </c>
      <c r="H179" s="224">
        <f>IF(D179&lt;=2,0,'Model Inputs'!$B$32*SIN(2*PI()*(D179-3+'Model Inputs'!$B$34)/MAX(1,'Model Inputs'!$B$33)))</f>
        <v>-2.0574066225675533E-16</v>
      </c>
      <c r="I179" s="218">
        <f t="shared" si="54"/>
        <v>90301156.084270686</v>
      </c>
      <c r="J179" s="218">
        <f t="shared" si="52"/>
        <v>63182470.219744325</v>
      </c>
      <c r="K179" s="218">
        <f>F179+J179+IF(D179=1,'Model Inputs'!$B$26,0)</f>
        <v>63482470.219744325</v>
      </c>
      <c r="L179" s="218">
        <f t="shared" si="55"/>
        <v>190447410.65923297</v>
      </c>
      <c r="M179" s="218">
        <f>MIN(L179,'Tax Assumptions'!$B$19)</f>
        <v>24500</v>
      </c>
      <c r="N179" s="218">
        <f>MAX(L179-M179-'Tax Assumptions'!$B$8,0)</f>
        <v>190406810.65923297</v>
      </c>
      <c r="O179" s="218">
        <f>MAX(L179-M179-'Tax Assumptions'!$B$9,0)</f>
        <v>190414910.65923297</v>
      </c>
      <c r="P179" s="218">
        <f>IF(N179=0,0,LOOKUP(N179,'Tax Assumptions'!$F$9:$F$15,'Tax Assumptions'!$I$9:$I$15)+(N179-LOOKUP(N179,'Tax Assumptions'!$F$9:$F$15,'Tax Assumptions'!$F$9:$F$15))*LOOKUP(N179,'Tax Assumptions'!$F$9:$F$15,'Tax Assumptions'!$H$9:$H$15))+MIN(MAX(L179,0),'Tax Assumptions'!$B$11)*'Tax Assumptions'!$B$10+MAX(L179,0)*'Tax Assumptions'!$B$12+MAX(MAX(L179,0)-'Tax Assumptions'!$B$14,0)*'Tax Assumptions'!$B$13+MIN(L179*'Tax Assumptions'!$B$15,'Tax Assumptions'!$B$16)+MIN(L179*'Tax Assumptions'!$B$17,'Tax Assumptions'!$B$18)+IF(O179=0,0,LOOKUP(O179,'Tax Assumptions'!$K$9:$K$17,'Tax Assumptions'!$N$9:$N$17)+(O179-LOOKUP(O179,'Tax Assumptions'!$K$9:$K$17,'Tax Assumptions'!$K$9:$K$17))*LOOKUP(O179,'Tax Assumptions'!$K$9:$K$17,'Tax Assumptions'!$M$9:$M$17))+IF(O179=0,0,LOOKUP(O179,'Tax Assumptions'!$P$9:$P$12,'Tax Assumptions'!$S$9:$S$12)+(O179-LOOKUP(O179,'Tax Assumptions'!$P$9:$P$12,'Tax Assumptions'!$P$9:$P$12))*LOOKUP(O179,'Tax Assumptions'!$P$9:$P$12,'Tax Assumptions'!$R$9:$R$12))</f>
        <v>102812373.03341645</v>
      </c>
      <c r="Q179" s="218">
        <f t="shared" si="56"/>
        <v>87610537.625816524</v>
      </c>
      <c r="R179" s="218">
        <f>IF(D179&lt;=10,INDEX('Savings Projection'!$BL$19:$BL$28,D179),LOOKUP(2,1/('Savings Projection'!$BL$19:$BL$28&lt;&gt;""),'Savings Projection'!$BL$19:$BL$28))*(1+'Model Inputs'!$B$35)^(D179-1)+IF(D179&lt;=10,INDEX('Savings Projection'!$BM$19:$BM$28,D179),LOOKUP(2,1/('Savings Projection'!$BM$19:$BM$28&lt;&gt;""),'Savings Projection'!$BM$19:$BM$28))*(1+'Model Inputs'!$B$36)^(D179-1)</f>
        <v>256566.24644645851</v>
      </c>
      <c r="S179" s="218">
        <f t="shared" si="57"/>
        <v>87353971.379370064</v>
      </c>
      <c r="T179" s="218">
        <f>MIN(MAX(S179,0),'Tax Assumptions'!$B$20)</f>
        <v>7500</v>
      </c>
      <c r="U179" s="218">
        <f t="shared" si="58"/>
        <v>87346471.379370064</v>
      </c>
      <c r="V179" s="218">
        <f>MAX(V178*(1+'Model Inputs'!$B$13)+U179,0)</f>
        <v>558861205.7250818</v>
      </c>
      <c r="W179" s="218">
        <f>MAX(W178*(1+'Model Inputs'!$B$13)+M179+T179,0)</f>
        <v>1626098.4753426341</v>
      </c>
      <c r="X179" s="218">
        <f t="shared" si="59"/>
        <v>560487304.20042443</v>
      </c>
      <c r="Y179" s="226" t="str">
        <f t="shared" si="60"/>
        <v/>
      </c>
      <c r="Z179" s="226" t="str">
        <f t="shared" si="61"/>
        <v/>
      </c>
      <c r="AA179" s="226" t="str">
        <f t="shared" si="62"/>
        <v/>
      </c>
      <c r="AB179" s="226" t="str">
        <f t="shared" si="63"/>
        <v/>
      </c>
    </row>
    <row r="180" spans="1:28" x14ac:dyDescent="0.2">
      <c r="A180" s="214" t="str">
        <f t="shared" si="49"/>
        <v>4Y 3x</v>
      </c>
      <c r="B180" s="214">
        <f t="shared" si="50"/>
        <v>4</v>
      </c>
      <c r="C180" s="223">
        <f t="shared" si="51"/>
        <v>3</v>
      </c>
      <c r="D180" s="214">
        <v>25</v>
      </c>
      <c r="E180" s="214">
        <f t="shared" si="53"/>
        <v>2050</v>
      </c>
      <c r="F180" s="218">
        <f>IF(D180=1,'Model Inputs'!$B$25*(13-'Model Inputs'!$B$23)/12,'Model Inputs'!$B$25)</f>
        <v>300000</v>
      </c>
      <c r="G180" s="218">
        <f>IF(D180=1,'Model Inputs'!$B$27*(13-'Model Inputs'!$B$23)/12,IF(D180=2,'Model Inputs'!$B$27,IF(D180&lt;=MAX(3,'Model Inputs'!$B$30+1),'Model Inputs'!$B$27*(1+'Model Inputs'!$B$28)^(D180-3),'Model Inputs'!$B$27*(1+'Model Inputs'!$B$28)^(MAX(3,'Model Inputs'!$B$30+1)-3)*(1+'Model Inputs'!$B$29)^(D180-MAX(3,'Model Inputs'!$B$30+1)))))</f>
        <v>114761701.62653697</v>
      </c>
      <c r="H180" s="224">
        <f>IF(D180&lt;=2,0,'Model Inputs'!$B$32*SIN(2*PI()*(D180-3+'Model Inputs'!$B$34)/MAX(1,'Model Inputs'!$B$33)))</f>
        <v>0.10392304845413287</v>
      </c>
      <c r="I180" s="218">
        <f t="shared" si="54"/>
        <v>126688087.50535031</v>
      </c>
      <c r="J180" s="218">
        <f t="shared" si="52"/>
        <v>83643370.677900568</v>
      </c>
      <c r="K180" s="218">
        <f>F180+J180+IF(D180=1,'Model Inputs'!$B$26,0)</f>
        <v>83943370.677900568</v>
      </c>
      <c r="L180" s="218">
        <f t="shared" si="55"/>
        <v>251830112.03370172</v>
      </c>
      <c r="M180" s="218">
        <f>MIN(L180,'Tax Assumptions'!$B$19)</f>
        <v>24500</v>
      </c>
      <c r="N180" s="218">
        <f>MAX(L180-M180-'Tax Assumptions'!$B$8,0)</f>
        <v>251789512.03370172</v>
      </c>
      <c r="O180" s="218">
        <f>MAX(L180-M180-'Tax Assumptions'!$B$9,0)</f>
        <v>251797612.03370172</v>
      </c>
      <c r="P180" s="218">
        <f>IF(N180=0,0,LOOKUP(N180,'Tax Assumptions'!$F$9:$F$15,'Tax Assumptions'!$I$9:$I$15)+(N180-LOOKUP(N180,'Tax Assumptions'!$F$9:$F$15,'Tax Assumptions'!$F$9:$F$15))*LOOKUP(N180,'Tax Assumptions'!$F$9:$F$15,'Tax Assumptions'!$H$9:$H$15))+MIN(MAX(L180,0),'Tax Assumptions'!$B$11)*'Tax Assumptions'!$B$10+MAX(L180,0)*'Tax Assumptions'!$B$12+MAX(MAX(L180,0)-'Tax Assumptions'!$B$14,0)*'Tax Assumptions'!$B$13+MIN(L180*'Tax Assumptions'!$B$15,'Tax Assumptions'!$B$16)+MIN(L180*'Tax Assumptions'!$B$17,'Tax Assumptions'!$B$18)+IF(O180=0,0,LOOKUP(O180,'Tax Assumptions'!$K$9:$K$17,'Tax Assumptions'!$N$9:$N$17)+(O180-LOOKUP(O180,'Tax Assumptions'!$K$9:$K$17,'Tax Assumptions'!$K$9:$K$17))*LOOKUP(O180,'Tax Assumptions'!$K$9:$K$17,'Tax Assumptions'!$M$9:$M$17))+IF(O180=0,0,LOOKUP(O180,'Tax Assumptions'!$P$9:$P$12,'Tax Assumptions'!$S$9:$S$12)+(O180-LOOKUP(O180,'Tax Assumptions'!$P$9:$P$12,'Tax Assumptions'!$P$9:$P$12))*LOOKUP(O180,'Tax Assumptions'!$P$9:$P$12,'Tax Assumptions'!$R$9:$R$12))</f>
        <v>136036373.97936139</v>
      </c>
      <c r="Q180" s="218">
        <f t="shared" si="56"/>
        <v>115769238.05434033</v>
      </c>
      <c r="R180" s="218">
        <f>IF(D180&lt;=10,INDEX('Savings Projection'!$BL$19:$BL$28,D180),LOOKUP(2,1/('Savings Projection'!$BL$19:$BL$28&lt;&gt;""),'Savings Projection'!$BL$19:$BL$28))*(1+'Model Inputs'!$B$35)^(D180-1)+IF(D180&lt;=10,INDEX('Savings Projection'!$BM$19:$BM$28,D180),LOOKUP(2,1/('Savings Projection'!$BM$19:$BM$28&lt;&gt;""),'Savings Projection'!$BM$19:$BM$28))*(1+'Model Inputs'!$B$36)^(D180-1)</f>
        <v>264263.23383985227</v>
      </c>
      <c r="S180" s="218">
        <f t="shared" si="57"/>
        <v>115504974.82050048</v>
      </c>
      <c r="T180" s="218">
        <f>MIN(MAX(S180,0),'Tax Assumptions'!$B$20)</f>
        <v>7500</v>
      </c>
      <c r="U180" s="218">
        <f t="shared" si="58"/>
        <v>115497474.82050048</v>
      </c>
      <c r="V180" s="218">
        <f>MAX(V179*(1+'Model Inputs'!$B$13)+U180,0)</f>
        <v>707890352.8890872</v>
      </c>
      <c r="W180" s="218">
        <f>MAX(W179*(1+'Model Inputs'!$B$13)+M180+T180,0)</f>
        <v>1755664.3838631923</v>
      </c>
      <c r="X180" s="218">
        <f t="shared" si="59"/>
        <v>709646017.27295041</v>
      </c>
      <c r="Y180" s="226" t="str">
        <f t="shared" si="60"/>
        <v/>
      </c>
      <c r="Z180" s="226" t="str">
        <f t="shared" si="61"/>
        <v/>
      </c>
      <c r="AA180" s="226" t="str">
        <f t="shared" si="62"/>
        <v/>
      </c>
      <c r="AB180" s="226" t="str">
        <f t="shared" si="63"/>
        <v/>
      </c>
    </row>
    <row r="181" spans="1:28" x14ac:dyDescent="0.2">
      <c r="A181" s="214" t="str">
        <f t="shared" si="49"/>
        <v>4Y 3x</v>
      </c>
      <c r="B181" s="214">
        <f t="shared" si="50"/>
        <v>4</v>
      </c>
      <c r="C181" s="223">
        <f t="shared" si="51"/>
        <v>3</v>
      </c>
      <c r="D181" s="214">
        <v>26</v>
      </c>
      <c r="E181" s="214">
        <f t="shared" si="53"/>
        <v>2051</v>
      </c>
      <c r="F181" s="218">
        <f>IF(D181=1,'Model Inputs'!$B$25*(13-'Model Inputs'!$B$23)/12,'Model Inputs'!$B$25)</f>
        <v>300000</v>
      </c>
      <c r="G181" s="218">
        <f>IF(D181=1,'Model Inputs'!$B$27*(13-'Model Inputs'!$B$23)/12,IF(D181=2,'Model Inputs'!$B$27,IF(D181&lt;=MAX(3,'Model Inputs'!$B$30+1),'Model Inputs'!$B$27*(1+'Model Inputs'!$B$28)^(D181-3),'Model Inputs'!$B$27*(1+'Model Inputs'!$B$28)^(MAX(3,'Model Inputs'!$B$30+1)-3)*(1+'Model Inputs'!$B$29)^(D181-MAX(3,'Model Inputs'!$B$30+1)))))</f>
        <v>145848057.00524563</v>
      </c>
      <c r="H181" s="224">
        <f>IF(D181&lt;=2,0,'Model Inputs'!$B$32*SIN(2*PI()*(D181-3+'Model Inputs'!$B$34)/MAX(1,'Model Inputs'!$B$33)))</f>
        <v>-0.10392304845413224</v>
      </c>
      <c r="I181" s="218">
        <f t="shared" si="54"/>
        <v>130691082.31014845</v>
      </c>
      <c r="J181" s="218">
        <f t="shared" si="52"/>
        <v>117591354.65008041</v>
      </c>
      <c r="K181" s="218">
        <f>F181+J181+IF(D181=1,'Model Inputs'!$B$26,0)</f>
        <v>117891354.65008041</v>
      </c>
      <c r="L181" s="218">
        <f t="shared" si="55"/>
        <v>353674063.95024121</v>
      </c>
      <c r="M181" s="218">
        <f>MIN(L181,'Tax Assumptions'!$B$19)</f>
        <v>24500</v>
      </c>
      <c r="N181" s="218">
        <f>MAX(L181-M181-'Tax Assumptions'!$B$8,0)</f>
        <v>353633463.95024121</v>
      </c>
      <c r="O181" s="218">
        <f>MAX(L181-M181-'Tax Assumptions'!$B$9,0)</f>
        <v>353641563.95024121</v>
      </c>
      <c r="P181" s="218">
        <f>IF(N181=0,0,LOOKUP(N181,'Tax Assumptions'!$F$9:$F$15,'Tax Assumptions'!$I$9:$I$15)+(N181-LOOKUP(N181,'Tax Assumptions'!$F$9:$F$15,'Tax Assumptions'!$F$9:$F$15))*LOOKUP(N181,'Tax Assumptions'!$F$9:$F$15,'Tax Assumptions'!$H$9:$H$15))+MIN(MAX(L181,0),'Tax Assumptions'!$B$11)*'Tax Assumptions'!$B$10+MAX(L181,0)*'Tax Assumptions'!$B$12+MAX(MAX(L181,0)-'Tax Assumptions'!$B$14,0)*'Tax Assumptions'!$B$13+MIN(L181*'Tax Assumptions'!$B$15,'Tax Assumptions'!$B$16)+MIN(L181*'Tax Assumptions'!$B$17,'Tax Assumptions'!$B$18)+IF(O181=0,0,LOOKUP(O181,'Tax Assumptions'!$K$9:$K$17,'Tax Assumptions'!$N$9:$N$17)+(O181-LOOKUP(O181,'Tax Assumptions'!$K$9:$K$17,'Tax Assumptions'!$K$9:$K$17))*LOOKUP(O181,'Tax Assumptions'!$K$9:$K$17,'Tax Assumptions'!$M$9:$M$17))+IF(O181=0,0,LOOKUP(O181,'Tax Assumptions'!$P$9:$P$12,'Tax Assumptions'!$S$9:$S$12)+(O181-LOOKUP(O181,'Tax Assumptions'!$P$9:$P$12,'Tax Assumptions'!$P$9:$P$12))*LOOKUP(O181,'Tax Assumptions'!$P$9:$P$12,'Tax Assumptions'!$R$9:$R$12))</f>
        <v>191160431.39370754</v>
      </c>
      <c r="Q181" s="218">
        <f t="shared" si="56"/>
        <v>162489132.55653366</v>
      </c>
      <c r="R181" s="218">
        <f>IF(D181&lt;=10,INDEX('Savings Projection'!$BL$19:$BL$28,D181),LOOKUP(2,1/('Savings Projection'!$BL$19:$BL$28&lt;&gt;""),'Savings Projection'!$BL$19:$BL$28))*(1+'Model Inputs'!$B$35)^(D181-1)+IF(D181&lt;=10,INDEX('Savings Projection'!$BM$19:$BM$28,D181),LOOKUP(2,1/('Savings Projection'!$BM$19:$BM$28&lt;&gt;""),'Savings Projection'!$BM$19:$BM$28))*(1+'Model Inputs'!$B$36)^(D181-1)</f>
        <v>272191.13085504784</v>
      </c>
      <c r="S181" s="218">
        <f t="shared" si="57"/>
        <v>162216941.42567861</v>
      </c>
      <c r="T181" s="218">
        <f>MIN(MAX(S181,0),'Tax Assumptions'!$B$20)</f>
        <v>7500</v>
      </c>
      <c r="U181" s="218">
        <f t="shared" si="58"/>
        <v>162209441.42567861</v>
      </c>
      <c r="V181" s="218">
        <f>MAX(V180*(1+'Model Inputs'!$B$13)+U181,0)</f>
        <v>912573215.48811114</v>
      </c>
      <c r="W181" s="218">
        <f>MAX(W180*(1+'Model Inputs'!$B$13)+M181+T181,0)</f>
        <v>1893004.2468949838</v>
      </c>
      <c r="X181" s="218">
        <f t="shared" si="59"/>
        <v>914466219.73500609</v>
      </c>
      <c r="Y181" s="226" t="str">
        <f t="shared" si="60"/>
        <v/>
      </c>
      <c r="Z181" s="226" t="str">
        <f t="shared" si="61"/>
        <v/>
      </c>
      <c r="AA181" s="226" t="str">
        <f t="shared" si="62"/>
        <v/>
      </c>
      <c r="AB181" s="226" t="str">
        <f t="shared" si="63"/>
        <v/>
      </c>
    </row>
    <row r="182" spans="1:28" x14ac:dyDescent="0.2">
      <c r="A182" s="214" t="str">
        <f t="shared" si="49"/>
        <v>4Y 3x</v>
      </c>
      <c r="B182" s="214">
        <f t="shared" si="50"/>
        <v>4</v>
      </c>
      <c r="C182" s="223">
        <f t="shared" si="51"/>
        <v>3</v>
      </c>
      <c r="D182" s="214">
        <v>27</v>
      </c>
      <c r="E182" s="214">
        <f t="shared" si="53"/>
        <v>2052</v>
      </c>
      <c r="F182" s="218">
        <f>IF(D182=1,'Model Inputs'!$B$25*(13-'Model Inputs'!$B$23)/12,'Model Inputs'!$B$25)</f>
        <v>300000</v>
      </c>
      <c r="G182" s="218">
        <f>IF(D182=1,'Model Inputs'!$B$27*(13-'Model Inputs'!$B$23)/12,IF(D182=2,'Model Inputs'!$B$27,IF(D182&lt;=MAX(3,'Model Inputs'!$B$30+1),'Model Inputs'!$B$27*(1+'Model Inputs'!$B$28)^(D182-3),'Model Inputs'!$B$27*(1+'Model Inputs'!$B$28)^(MAX(3,'Model Inputs'!$B$30+1)-3)*(1+'Model Inputs'!$B$29)^(D182-MAX(3,'Model Inputs'!$B$30+1)))))</f>
        <v>185355004.59402937</v>
      </c>
      <c r="H182" s="224">
        <f>IF(D182&lt;=2,0,'Model Inputs'!$B$32*SIN(2*PI()*(D182-3+'Model Inputs'!$B$34)/MAX(1,'Model Inputs'!$B$33)))</f>
        <v>-2.3513218543629179E-16</v>
      </c>
      <c r="I182" s="218">
        <f t="shared" si="54"/>
        <v>185355004.59402934</v>
      </c>
      <c r="J182" s="218">
        <f t="shared" si="52"/>
        <v>129690333.6089489</v>
      </c>
      <c r="K182" s="218">
        <f>F182+J182+IF(D182=1,'Model Inputs'!$B$26,0)</f>
        <v>129990333.6089489</v>
      </c>
      <c r="L182" s="218">
        <f t="shared" si="55"/>
        <v>389971000.82684672</v>
      </c>
      <c r="M182" s="218">
        <f>MIN(L182,'Tax Assumptions'!$B$19)</f>
        <v>24500</v>
      </c>
      <c r="N182" s="218">
        <f>MAX(L182-M182-'Tax Assumptions'!$B$8,0)</f>
        <v>389930400.82684672</v>
      </c>
      <c r="O182" s="218">
        <f>MAX(L182-M182-'Tax Assumptions'!$B$9,0)</f>
        <v>389938500.82684672</v>
      </c>
      <c r="P182" s="218">
        <f>IF(N182=0,0,LOOKUP(N182,'Tax Assumptions'!$F$9:$F$15,'Tax Assumptions'!$I$9:$I$15)+(N182-LOOKUP(N182,'Tax Assumptions'!$F$9:$F$15,'Tax Assumptions'!$F$9:$F$15))*LOOKUP(N182,'Tax Assumptions'!$F$9:$F$15,'Tax Assumptions'!$H$9:$H$15))+MIN(MAX(L182,0),'Tax Assumptions'!$B$11)*'Tax Assumptions'!$B$10+MAX(L182,0)*'Tax Assumptions'!$B$12+MAX(MAX(L182,0)-'Tax Assumptions'!$B$14,0)*'Tax Assumptions'!$B$13+MIN(L182*'Tax Assumptions'!$B$15,'Tax Assumptions'!$B$16)+MIN(L182*'Tax Assumptions'!$B$17,'Tax Assumptions'!$B$18)+IF(O182=0,0,LOOKUP(O182,'Tax Assumptions'!$K$9:$K$17,'Tax Assumptions'!$N$9:$N$17)+(O182-LOOKUP(O182,'Tax Assumptions'!$K$9:$K$17,'Tax Assumptions'!$K$9:$K$17))*LOOKUP(O182,'Tax Assumptions'!$K$9:$K$17,'Tax Assumptions'!$M$9:$M$17))+IF(O182=0,0,LOOKUP(O182,'Tax Assumptions'!$P$9:$P$12,'Tax Assumptions'!$S$9:$S$12)+(O182-LOOKUP(O182,'Tax Assumptions'!$P$9:$P$12,'Tax Assumptions'!$P$9:$P$12))*LOOKUP(O182,'Tax Assumptions'!$P$9:$P$12,'Tax Assumptions'!$R$9:$R$12))</f>
        <v>210806511.44753903</v>
      </c>
      <c r="Q182" s="218">
        <f t="shared" si="56"/>
        <v>179139989.37930769</v>
      </c>
      <c r="R182" s="218">
        <f>IF(D182&lt;=10,INDEX('Savings Projection'!$BL$19:$BL$28,D182),LOOKUP(2,1/('Savings Projection'!$BL$19:$BL$28&lt;&gt;""),'Savings Projection'!$BL$19:$BL$28))*(1+'Model Inputs'!$B$35)^(D182-1)+IF(D182&lt;=10,INDEX('Savings Projection'!$BM$19:$BM$28,D182),LOOKUP(2,1/('Savings Projection'!$BM$19:$BM$28&lt;&gt;""),'Savings Projection'!$BM$19:$BM$28))*(1+'Model Inputs'!$B$36)^(D182-1)</f>
        <v>280356.86478069925</v>
      </c>
      <c r="S182" s="218">
        <f t="shared" si="57"/>
        <v>178859632.51452699</v>
      </c>
      <c r="T182" s="218">
        <f>MIN(MAX(S182,0),'Tax Assumptions'!$B$20)</f>
        <v>7500</v>
      </c>
      <c r="U182" s="218">
        <f t="shared" si="58"/>
        <v>178852132.51452699</v>
      </c>
      <c r="V182" s="218">
        <f>MAX(V181*(1+'Model Inputs'!$B$13)+U182,0)</f>
        <v>1146179740.9319248</v>
      </c>
      <c r="W182" s="218">
        <f>MAX(W181*(1+'Model Inputs'!$B$13)+M182+T182,0)</f>
        <v>2038584.5017086829</v>
      </c>
      <c r="X182" s="218">
        <f t="shared" si="59"/>
        <v>1148218325.4336336</v>
      </c>
      <c r="Y182" s="226" t="str">
        <f t="shared" si="60"/>
        <v/>
      </c>
      <c r="Z182" s="226" t="str">
        <f t="shared" si="61"/>
        <v/>
      </c>
      <c r="AA182" s="226" t="str">
        <f t="shared" si="62"/>
        <v/>
      </c>
      <c r="AB182" s="226" t="str">
        <f t="shared" si="63"/>
        <v/>
      </c>
    </row>
    <row r="183" spans="1:28" x14ac:dyDescent="0.2">
      <c r="A183" s="214" t="str">
        <f t="shared" si="49"/>
        <v>4Y 3x</v>
      </c>
      <c r="B183" s="214">
        <f t="shared" si="50"/>
        <v>4</v>
      </c>
      <c r="C183" s="223">
        <f t="shared" si="51"/>
        <v>3</v>
      </c>
      <c r="D183" s="214">
        <v>28</v>
      </c>
      <c r="E183" s="214">
        <f t="shared" si="53"/>
        <v>2053</v>
      </c>
      <c r="F183" s="218">
        <f>IF(D183=1,'Model Inputs'!$B$25*(13-'Model Inputs'!$B$23)/12,'Model Inputs'!$B$25)</f>
        <v>300000</v>
      </c>
      <c r="G183" s="218">
        <f>IF(D183=1,'Model Inputs'!$B$27*(13-'Model Inputs'!$B$23)/12,IF(D183=2,'Model Inputs'!$B$27,IF(D183&lt;=MAX(3,'Model Inputs'!$B$30+1),'Model Inputs'!$B$27*(1+'Model Inputs'!$B$28)^(D183-3),'Model Inputs'!$B$27*(1+'Model Inputs'!$B$28)^(MAX(3,'Model Inputs'!$B$30+1)-3)*(1+'Model Inputs'!$B$29)^(D183-MAX(3,'Model Inputs'!$B$30+1)))))</f>
        <v>235563492.81236541</v>
      </c>
      <c r="H183" s="224">
        <f>IF(D183&lt;=2,0,'Model Inputs'!$B$32*SIN(2*PI()*(D183-3+'Model Inputs'!$B$34)/MAX(1,'Model Inputs'!$B$33)))</f>
        <v>0.10392304845413247</v>
      </c>
      <c r="I183" s="218">
        <f t="shared" si="54"/>
        <v>260043969.08992955</v>
      </c>
      <c r="J183" s="218">
        <f t="shared" si="52"/>
        <v>171689024.02305913</v>
      </c>
      <c r="K183" s="218">
        <f>F183+J183+IF(D183=1,'Model Inputs'!$B$26,0)</f>
        <v>171989024.02305913</v>
      </c>
      <c r="L183" s="218">
        <f t="shared" si="55"/>
        <v>515967072.06917739</v>
      </c>
      <c r="M183" s="218">
        <f>MIN(L183,'Tax Assumptions'!$B$19)</f>
        <v>24500</v>
      </c>
      <c r="N183" s="218">
        <f>MAX(L183-M183-'Tax Assumptions'!$B$8,0)</f>
        <v>515926472.06917739</v>
      </c>
      <c r="O183" s="218">
        <f>MAX(L183-M183-'Tax Assumptions'!$B$9,0)</f>
        <v>515934572.06917739</v>
      </c>
      <c r="P183" s="218">
        <f>IF(N183=0,0,LOOKUP(N183,'Tax Assumptions'!$F$9:$F$15,'Tax Assumptions'!$I$9:$I$15)+(N183-LOOKUP(N183,'Tax Assumptions'!$F$9:$F$15,'Tax Assumptions'!$F$9:$F$15))*LOOKUP(N183,'Tax Assumptions'!$F$9:$F$15,'Tax Assumptions'!$H$9:$H$15))+MIN(MAX(L183,0),'Tax Assumptions'!$B$11)*'Tax Assumptions'!$B$10+MAX(L183,0)*'Tax Assumptions'!$B$12+MAX(MAX(L183,0)-'Tax Assumptions'!$B$14,0)*'Tax Assumptions'!$B$13+MIN(L183*'Tax Assumptions'!$B$15,'Tax Assumptions'!$B$16)+MIN(L183*'Tax Assumptions'!$B$17,'Tax Assumptions'!$B$18)+IF(O183=0,0,LOOKUP(O183,'Tax Assumptions'!$K$9:$K$17,'Tax Assumptions'!$N$9:$N$17)+(O183-LOOKUP(O183,'Tax Assumptions'!$K$9:$K$17,'Tax Assumptions'!$K$9:$K$17))*LOOKUP(O183,'Tax Assumptions'!$K$9:$K$17,'Tax Assumptions'!$M$9:$M$17))+IF(O183=0,0,LOOKUP(O183,'Tax Assumptions'!$P$9:$P$12,'Tax Assumptions'!$S$9:$S$12)+(O183-LOOKUP(O183,'Tax Assumptions'!$P$9:$P$12,'Tax Assumptions'!$P$9:$P$12))*LOOKUP(O183,'Tax Assumptions'!$P$9:$P$12,'Tax Assumptions'!$R$9:$R$12))</f>
        <v>279003144.96816295</v>
      </c>
      <c r="Q183" s="218">
        <f t="shared" si="56"/>
        <v>236939427.10101444</v>
      </c>
      <c r="R183" s="218">
        <f>IF(D183&lt;=10,INDEX('Savings Projection'!$BL$19:$BL$28,D183),LOOKUP(2,1/('Savings Projection'!$BL$19:$BL$28&lt;&gt;""),'Savings Projection'!$BL$19:$BL$28))*(1+'Model Inputs'!$B$35)^(D183-1)+IF(D183&lt;=10,INDEX('Savings Projection'!$BM$19:$BM$28,D183),LOOKUP(2,1/('Savings Projection'!$BM$19:$BM$28&lt;&gt;""),'Savings Projection'!$BM$19:$BM$28))*(1+'Model Inputs'!$B$36)^(D183-1)</f>
        <v>288767.57072412025</v>
      </c>
      <c r="S183" s="218">
        <f t="shared" si="57"/>
        <v>236650659.53029031</v>
      </c>
      <c r="T183" s="218">
        <f>MIN(MAX(S183,0),'Tax Assumptions'!$B$20)</f>
        <v>7500</v>
      </c>
      <c r="U183" s="218">
        <f t="shared" si="58"/>
        <v>236643159.53029031</v>
      </c>
      <c r="V183" s="218">
        <f>MAX(V182*(1+'Model Inputs'!$B$13)+U183,0)</f>
        <v>1451593684.9181306</v>
      </c>
      <c r="W183" s="218">
        <f>MAX(W182*(1+'Model Inputs'!$B$13)+M183+T183,0)</f>
        <v>2192899.5718112038</v>
      </c>
      <c r="X183" s="218">
        <f t="shared" si="59"/>
        <v>1453786584.4899418</v>
      </c>
      <c r="Y183" s="226" t="str">
        <f t="shared" si="60"/>
        <v/>
      </c>
      <c r="Z183" s="226" t="str">
        <f t="shared" si="61"/>
        <v/>
      </c>
      <c r="AA183" s="226" t="str">
        <f t="shared" si="62"/>
        <v/>
      </c>
      <c r="AB183" s="226" t="str">
        <f t="shared" si="63"/>
        <v/>
      </c>
    </row>
    <row r="184" spans="1:28" x14ac:dyDescent="0.2">
      <c r="A184" s="214" t="str">
        <f t="shared" si="49"/>
        <v>4Y 3x</v>
      </c>
      <c r="B184" s="214">
        <f t="shared" si="50"/>
        <v>4</v>
      </c>
      <c r="C184" s="223">
        <f t="shared" si="51"/>
        <v>3</v>
      </c>
      <c r="D184" s="214">
        <v>29</v>
      </c>
      <c r="E184" s="214">
        <f t="shared" si="53"/>
        <v>2054</v>
      </c>
      <c r="F184" s="218">
        <f>IF(D184=1,'Model Inputs'!$B$25*(13-'Model Inputs'!$B$23)/12,'Model Inputs'!$B$25)</f>
        <v>300000</v>
      </c>
      <c r="G184" s="218">
        <f>IF(D184=1,'Model Inputs'!$B$27*(13-'Model Inputs'!$B$23)/12,IF(D184=2,'Model Inputs'!$B$27,IF(D184&lt;=MAX(3,'Model Inputs'!$B$30+1),'Model Inputs'!$B$27*(1+'Model Inputs'!$B$28)^(D184-3),'Model Inputs'!$B$27*(1+'Model Inputs'!$B$28)^(MAX(3,'Model Inputs'!$B$30+1)-3)*(1+'Model Inputs'!$B$29)^(D184-MAX(3,'Model Inputs'!$B$30+1)))))</f>
        <v>299372327.53708321</v>
      </c>
      <c r="H184" s="224">
        <f>IF(D184&lt;=2,0,'Model Inputs'!$B$32*SIN(2*PI()*(D184-3+'Model Inputs'!$B$34)/MAX(1,'Model Inputs'!$B$33)))</f>
        <v>-0.10392304845413265</v>
      </c>
      <c r="I184" s="218">
        <f t="shared" si="54"/>
        <v>268260642.63662043</v>
      </c>
      <c r="J184" s="218">
        <f t="shared" si="52"/>
        <v>241371727.96595448</v>
      </c>
      <c r="K184" s="218">
        <f>F184+J184+IF(D184=1,'Model Inputs'!$B$26,0)</f>
        <v>241671727.96595448</v>
      </c>
      <c r="L184" s="218">
        <f t="shared" si="55"/>
        <v>725015183.89786339</v>
      </c>
      <c r="M184" s="218">
        <f>MIN(L184,'Tax Assumptions'!$B$19)</f>
        <v>24500</v>
      </c>
      <c r="N184" s="218">
        <f>MAX(L184-M184-'Tax Assumptions'!$B$8,0)</f>
        <v>724974583.89786339</v>
      </c>
      <c r="O184" s="218">
        <f>MAX(L184-M184-'Tax Assumptions'!$B$9,0)</f>
        <v>724982683.89786339</v>
      </c>
      <c r="P184" s="218">
        <f>IF(N184=0,0,LOOKUP(N184,'Tax Assumptions'!$F$9:$F$15,'Tax Assumptions'!$I$9:$I$15)+(N184-LOOKUP(N184,'Tax Assumptions'!$F$9:$F$15,'Tax Assumptions'!$F$9:$F$15))*LOOKUP(N184,'Tax Assumptions'!$F$9:$F$15,'Tax Assumptions'!$H$9:$H$15))+MIN(MAX(L184,0),'Tax Assumptions'!$B$11)*'Tax Assumptions'!$B$10+MAX(L184,0)*'Tax Assumptions'!$B$12+MAX(MAX(L184,0)-'Tax Assumptions'!$B$14,0)*'Tax Assumptions'!$B$13+MIN(L184*'Tax Assumptions'!$B$15,'Tax Assumptions'!$B$16)+MIN(L184*'Tax Assumptions'!$B$17,'Tax Assumptions'!$B$18)+IF(O184=0,0,LOOKUP(O184,'Tax Assumptions'!$K$9:$K$17,'Tax Assumptions'!$N$9:$N$17)+(O184-LOOKUP(O184,'Tax Assumptions'!$K$9:$K$17,'Tax Assumptions'!$K$9:$K$17))*LOOKUP(O184,'Tax Assumptions'!$K$9:$K$17,'Tax Assumptions'!$M$9:$M$17))+IF(O184=0,0,LOOKUP(O184,'Tax Assumptions'!$P$9:$P$12,'Tax Assumptions'!$S$9:$S$12)+(O184-LOOKUP(O184,'Tax Assumptions'!$P$9:$P$12,'Tax Assumptions'!$P$9:$P$12))*LOOKUP(O184,'Tax Assumptions'!$P$9:$P$12,'Tax Assumptions'!$R$9:$R$12))</f>
        <v>392152525.97655761</v>
      </c>
      <c r="Q184" s="218">
        <f t="shared" si="56"/>
        <v>332838157.92130578</v>
      </c>
      <c r="R184" s="218">
        <f>IF(D184&lt;=10,INDEX('Savings Projection'!$BL$19:$BL$28,D184),LOOKUP(2,1/('Savings Projection'!$BL$19:$BL$28&lt;&gt;""),'Savings Projection'!$BL$19:$BL$28))*(1+'Model Inputs'!$B$35)^(D184-1)+IF(D184&lt;=10,INDEX('Savings Projection'!$BM$19:$BM$28,D184),LOOKUP(2,1/('Savings Projection'!$BM$19:$BM$28&lt;&gt;""),'Savings Projection'!$BM$19:$BM$28))*(1+'Model Inputs'!$B$36)^(D184-1)</f>
        <v>297430.59784584382</v>
      </c>
      <c r="S184" s="218">
        <f t="shared" si="57"/>
        <v>332540727.32345992</v>
      </c>
      <c r="T184" s="218">
        <f>MIN(MAX(S184,0),'Tax Assumptions'!$B$20)</f>
        <v>7500</v>
      </c>
      <c r="U184" s="218">
        <f t="shared" si="58"/>
        <v>332533227.32345992</v>
      </c>
      <c r="V184" s="218">
        <f>MAX(V183*(1+'Model Inputs'!$B$13)+U184,0)</f>
        <v>1871222533.3366785</v>
      </c>
      <c r="W184" s="218">
        <f>MAX(W183*(1+'Model Inputs'!$B$13)+M184+T184,0)</f>
        <v>2356473.5461198762</v>
      </c>
      <c r="X184" s="218">
        <f t="shared" si="59"/>
        <v>1873579006.8827984</v>
      </c>
      <c r="Y184" s="226" t="str">
        <f t="shared" si="60"/>
        <v/>
      </c>
      <c r="Z184" s="226" t="str">
        <f t="shared" si="61"/>
        <v/>
      </c>
      <c r="AA184" s="226" t="str">
        <f t="shared" si="62"/>
        <v/>
      </c>
      <c r="AB184" s="226" t="str">
        <f t="shared" si="63"/>
        <v/>
      </c>
    </row>
    <row r="185" spans="1:28" x14ac:dyDescent="0.2">
      <c r="A185" s="214" t="str">
        <f t="shared" si="49"/>
        <v>4Y 3x</v>
      </c>
      <c r="B185" s="214">
        <f t="shared" si="50"/>
        <v>4</v>
      </c>
      <c r="C185" s="223">
        <f t="shared" si="51"/>
        <v>3</v>
      </c>
      <c r="D185" s="214">
        <v>30</v>
      </c>
      <c r="E185" s="214">
        <f t="shared" si="53"/>
        <v>2055</v>
      </c>
      <c r="F185" s="218">
        <f>IF(D185=1,'Model Inputs'!$B$25*(13-'Model Inputs'!$B$23)/12,'Model Inputs'!$B$25)</f>
        <v>300000</v>
      </c>
      <c r="G185" s="218">
        <f>IF(D185=1,'Model Inputs'!$B$27*(13-'Model Inputs'!$B$23)/12,IF(D185=2,'Model Inputs'!$B$27,IF(D185&lt;=MAX(3,'Model Inputs'!$B$30+1),'Model Inputs'!$B$27*(1+'Model Inputs'!$B$28)^(D185-3),'Model Inputs'!$B$27*(1+'Model Inputs'!$B$28)^(MAX(3,'Model Inputs'!$B$30+1)-3)*(1+'Model Inputs'!$B$29)^(D185-MAX(3,'Model Inputs'!$B$30+1)))))</f>
        <v>380465535.74563926</v>
      </c>
      <c r="H185" s="224">
        <f>IF(D185&lt;=2,0,'Model Inputs'!$B$32*SIN(2*PI()*(D185-3+'Model Inputs'!$B$34)/MAX(1,'Model Inputs'!$B$33)))</f>
        <v>-2.645237086158283E-16</v>
      </c>
      <c r="I185" s="218">
        <f t="shared" si="54"/>
        <v>380465535.7456392</v>
      </c>
      <c r="J185" s="218">
        <f t="shared" si="52"/>
        <v>266206474.24994773</v>
      </c>
      <c r="K185" s="218">
        <f>F185+J185+IF(D185=1,'Model Inputs'!$B$26,0)</f>
        <v>266506474.24994773</v>
      </c>
      <c r="L185" s="218">
        <f t="shared" si="55"/>
        <v>799519422.74984312</v>
      </c>
      <c r="M185" s="218">
        <f>MIN(L185,'Tax Assumptions'!$B$19)</f>
        <v>24500</v>
      </c>
      <c r="N185" s="218">
        <f>MAX(L185-M185-'Tax Assumptions'!$B$8,0)</f>
        <v>799478822.74984312</v>
      </c>
      <c r="O185" s="218">
        <f>MAX(L185-M185-'Tax Assumptions'!$B$9,0)</f>
        <v>799486922.74984312</v>
      </c>
      <c r="P185" s="218">
        <f>IF(N185=0,0,LOOKUP(N185,'Tax Assumptions'!$F$9:$F$15,'Tax Assumptions'!$I$9:$I$15)+(N185-LOOKUP(N185,'Tax Assumptions'!$F$9:$F$15,'Tax Assumptions'!$F$9:$F$15))*LOOKUP(N185,'Tax Assumptions'!$F$9:$F$15,'Tax Assumptions'!$H$9:$H$15))+MIN(MAX(L185,0),'Tax Assumptions'!$B$11)*'Tax Assumptions'!$B$10+MAX(L185,0)*'Tax Assumptions'!$B$12+MAX(MAX(L185,0)-'Tax Assumptions'!$B$14,0)*'Tax Assumptions'!$B$13+MIN(L185*'Tax Assumptions'!$B$15,'Tax Assumptions'!$B$16)+MIN(L185*'Tax Assumptions'!$B$17,'Tax Assumptions'!$B$18)+IF(O185=0,0,LOOKUP(O185,'Tax Assumptions'!$K$9:$K$17,'Tax Assumptions'!$N$9:$N$17)+(O185-LOOKUP(O185,'Tax Assumptions'!$K$9:$K$17,'Tax Assumptions'!$K$9:$K$17))*LOOKUP(O185,'Tax Assumptions'!$K$9:$K$17,'Tax Assumptions'!$M$9:$M$17))+IF(O185=0,0,LOOKUP(O185,'Tax Assumptions'!$P$9:$P$12,'Tax Assumptions'!$S$9:$S$12)+(O185-LOOKUP(O185,'Tax Assumptions'!$P$9:$P$12,'Tax Assumptions'!$P$9:$P$12))*LOOKUP(O185,'Tax Assumptions'!$P$9:$P$12,'Tax Assumptions'!$R$9:$R$12))</f>
        <v>432478690.29758012</v>
      </c>
      <c r="Q185" s="218">
        <f t="shared" si="56"/>
        <v>367016232.452263</v>
      </c>
      <c r="R185" s="218">
        <f>IF(D185&lt;=10,INDEX('Savings Projection'!$BL$19:$BL$28,D185),LOOKUP(2,1/('Savings Projection'!$BL$19:$BL$28&lt;&gt;""),'Savings Projection'!$BL$19:$BL$28))*(1+'Model Inputs'!$B$35)^(D185-1)+IF(D185&lt;=10,INDEX('Savings Projection'!$BM$19:$BM$28,D185),LOOKUP(2,1/('Savings Projection'!$BM$19:$BM$28&lt;&gt;""),'Savings Projection'!$BM$19:$BM$28))*(1+'Model Inputs'!$B$36)^(D185-1)</f>
        <v>306353.51578121912</v>
      </c>
      <c r="S185" s="218">
        <f t="shared" si="57"/>
        <v>366709878.93648177</v>
      </c>
      <c r="T185" s="218">
        <f>MIN(MAX(S185,0),'Tax Assumptions'!$B$20)</f>
        <v>7500</v>
      </c>
      <c r="U185" s="218">
        <f t="shared" si="58"/>
        <v>366702378.93648177</v>
      </c>
      <c r="V185" s="218">
        <f>MAX(V184*(1+'Model Inputs'!$B$13)+U185,0)</f>
        <v>2350198264.2733612</v>
      </c>
      <c r="W185" s="218">
        <f>MAX(W184*(1+'Model Inputs'!$B$13)+M185+T185,0)</f>
        <v>2529861.958887069</v>
      </c>
      <c r="X185" s="218">
        <f t="shared" si="59"/>
        <v>2352728126.2322483</v>
      </c>
      <c r="Y185" s="226" t="str">
        <f t="shared" si="60"/>
        <v/>
      </c>
      <c r="Z185" s="226" t="str">
        <f t="shared" si="61"/>
        <v/>
      </c>
      <c r="AA185" s="226" t="str">
        <f t="shared" si="62"/>
        <v/>
      </c>
      <c r="AB185" s="226" t="str">
        <f t="shared" si="63"/>
        <v/>
      </c>
    </row>
    <row r="186" spans="1:28" x14ac:dyDescent="0.2">
      <c r="A186" s="214" t="str">
        <f t="shared" ref="A186:A215" si="64">$A$27</f>
        <v>4Y 4x</v>
      </c>
      <c r="B186" s="214">
        <f t="shared" ref="B186:B215" si="65">$B$27</f>
        <v>4</v>
      </c>
      <c r="C186" s="223">
        <f t="shared" ref="C186:C215" si="66">$C$27</f>
        <v>4</v>
      </c>
      <c r="D186" s="214">
        <v>1</v>
      </c>
      <c r="E186" s="214">
        <f t="shared" si="53"/>
        <v>2026</v>
      </c>
      <c r="F186" s="218">
        <f>IF(D186=1,'Model Inputs'!$B$25*(13-'Model Inputs'!$B$23)/12,'Model Inputs'!$B$25)</f>
        <v>100000</v>
      </c>
      <c r="G186" s="218">
        <f>IF(D186=1,'Model Inputs'!$B$27*(13-'Model Inputs'!$B$23)/12,IF(D186=2,'Model Inputs'!$B$27,IF(D186&lt;=MAX(3,'Model Inputs'!$B$30+1),'Model Inputs'!$B$27*(1+'Model Inputs'!$B$28)^(D186-3),'Model Inputs'!$B$27*(1+'Model Inputs'!$B$28)^(MAX(3,'Model Inputs'!$B$30+1)-3)*(1+'Model Inputs'!$B$29)^(D186-MAX(3,'Model Inputs'!$B$30+1)))))</f>
        <v>150000</v>
      </c>
      <c r="H186" s="224">
        <f>IF(D186&lt;=2,0,'Model Inputs'!$B$32*SIN(2*PI()*(D186-3+'Model Inputs'!$B$34)/MAX(1,'Model Inputs'!$B$33)))</f>
        <v>0</v>
      </c>
      <c r="I186" s="218">
        <f t="shared" si="54"/>
        <v>150000</v>
      </c>
      <c r="J186" s="218">
        <f>0</f>
        <v>0</v>
      </c>
      <c r="K186" s="218">
        <f>F186+J186+IF(D186=1,'Model Inputs'!$B$26,0)</f>
        <v>550000</v>
      </c>
      <c r="L186" s="218">
        <f t="shared" si="55"/>
        <v>550000</v>
      </c>
      <c r="M186" s="218">
        <f>MIN(L186,'Tax Assumptions'!$B$19)</f>
        <v>24500</v>
      </c>
      <c r="N186" s="218">
        <f>MAX(L186-M186-'Tax Assumptions'!$B$8,0)</f>
        <v>509400</v>
      </c>
      <c r="O186" s="218">
        <f>MAX(L186-M186-'Tax Assumptions'!$B$9,0)</f>
        <v>517500</v>
      </c>
      <c r="P186" s="218">
        <f>IF(N186=0,0,LOOKUP(N186,'Tax Assumptions'!$F$9:$F$15,'Tax Assumptions'!$I$9:$I$15)+(N186-LOOKUP(N186,'Tax Assumptions'!$F$9:$F$15,'Tax Assumptions'!$F$9:$F$15))*LOOKUP(N186,'Tax Assumptions'!$F$9:$F$15,'Tax Assumptions'!$H$9:$H$15))+MIN(MAX(L186,0),'Tax Assumptions'!$B$11)*'Tax Assumptions'!$B$10+MAX(L186,0)*'Tax Assumptions'!$B$12+MAX(MAX(L186,0)-'Tax Assumptions'!$B$14,0)*'Tax Assumptions'!$B$13+MIN(L186*'Tax Assumptions'!$B$15,'Tax Assumptions'!$B$16)+MIN(L186*'Tax Assumptions'!$B$17,'Tax Assumptions'!$B$18)+IF(O186=0,0,LOOKUP(O186,'Tax Assumptions'!$K$9:$K$17,'Tax Assumptions'!$N$9:$N$17)+(O186-LOOKUP(O186,'Tax Assumptions'!$K$9:$K$17,'Tax Assumptions'!$K$9:$K$17))*LOOKUP(O186,'Tax Assumptions'!$K$9:$K$17,'Tax Assumptions'!$M$9:$M$17))+IF(O186=0,0,LOOKUP(O186,'Tax Assumptions'!$P$9:$P$12,'Tax Assumptions'!$S$9:$S$12)+(O186-LOOKUP(O186,'Tax Assumptions'!$P$9:$P$12,'Tax Assumptions'!$P$9:$P$12))*LOOKUP(O186,'Tax Assumptions'!$P$9:$P$12,'Tax Assumptions'!$R$9:$R$12))</f>
        <v>222834.53000000003</v>
      </c>
      <c r="Q186" s="218">
        <f t="shared" si="56"/>
        <v>302665.46999999997</v>
      </c>
      <c r="R186" s="218">
        <f>IF(D186&lt;=10,INDEX('Savings Projection'!$BL$19:$BL$28,D186),LOOKUP(2,1/('Savings Projection'!$BL$19:$BL$28&lt;&gt;""),'Savings Projection'!$BL$19:$BL$28))*(1+'Model Inputs'!$B$35)^(D186-1)+IF(D186&lt;=10,INDEX('Savings Projection'!$BM$19:$BM$28,D186),LOOKUP(2,1/('Savings Projection'!$BM$19:$BM$28&lt;&gt;""),'Savings Projection'!$BM$19:$BM$28))*(1+'Model Inputs'!$B$36)^(D186-1)</f>
        <v>118000</v>
      </c>
      <c r="S186" s="218">
        <f t="shared" si="57"/>
        <v>184665.46999999997</v>
      </c>
      <c r="T186" s="218">
        <f>MIN(MAX(S186,0),'Tax Assumptions'!$B$20)</f>
        <v>7500</v>
      </c>
      <c r="U186" s="218">
        <f t="shared" si="58"/>
        <v>177165.46999999997</v>
      </c>
      <c r="V186" s="218">
        <f>MAX('Model Inputs'!$B$7*(1+'Model Inputs'!$B$13)+U186,0)</f>
        <v>336165.47</v>
      </c>
      <c r="W186" s="218">
        <f>MAX(('Model Inputs'!$B$8+'Model Inputs'!$B$9+'Model Inputs'!$B$10)*(1+'Model Inputs'!$B$13)+M186+T186,0)</f>
        <v>32000</v>
      </c>
      <c r="X186" s="218">
        <f t="shared" si="59"/>
        <v>368165.47</v>
      </c>
      <c r="Y186" s="226" t="str">
        <f t="shared" si="60"/>
        <v/>
      </c>
      <c r="Z186" s="226" t="str">
        <f t="shared" si="61"/>
        <v/>
      </c>
      <c r="AA186" s="226" t="str">
        <f t="shared" si="62"/>
        <v/>
      </c>
      <c r="AB186" s="226" t="str">
        <f t="shared" si="63"/>
        <v/>
      </c>
    </row>
    <row r="187" spans="1:28" x14ac:dyDescent="0.2">
      <c r="A187" s="214" t="str">
        <f t="shared" si="64"/>
        <v>4Y 4x</v>
      </c>
      <c r="B187" s="214">
        <f t="shared" si="65"/>
        <v>4</v>
      </c>
      <c r="C187" s="223">
        <f t="shared" si="66"/>
        <v>4</v>
      </c>
      <c r="D187" s="214">
        <v>2</v>
      </c>
      <c r="E187" s="214">
        <f t="shared" si="53"/>
        <v>2027</v>
      </c>
      <c r="F187" s="218">
        <f>IF(D187=1,'Model Inputs'!$B$25*(13-'Model Inputs'!$B$23)/12,'Model Inputs'!$B$25)</f>
        <v>300000</v>
      </c>
      <c r="G187" s="218">
        <f>IF(D187=1,'Model Inputs'!$B$27*(13-'Model Inputs'!$B$23)/12,IF(D187=2,'Model Inputs'!$B$27,IF(D187&lt;=MAX(3,'Model Inputs'!$B$30+1),'Model Inputs'!$B$27*(1+'Model Inputs'!$B$28)^(D187-3),'Model Inputs'!$B$27*(1+'Model Inputs'!$B$28)^(MAX(3,'Model Inputs'!$B$30+1)-3)*(1+'Model Inputs'!$B$29)^(D187-MAX(3,'Model Inputs'!$B$30+1)))))</f>
        <v>450000</v>
      </c>
      <c r="H187" s="224">
        <f>IF(D187&lt;=2,0,'Model Inputs'!$B$32*SIN(2*PI()*(D187-3+'Model Inputs'!$B$34)/MAX(1,'Model Inputs'!$B$33)))</f>
        <v>0</v>
      </c>
      <c r="I187" s="218">
        <f t="shared" si="54"/>
        <v>450000</v>
      </c>
      <c r="J187" s="218">
        <f>0.75*I186</f>
        <v>112500</v>
      </c>
      <c r="K187" s="218">
        <f>F187+J187+IF(D187=1,'Model Inputs'!$B$26,0)</f>
        <v>412500</v>
      </c>
      <c r="L187" s="218">
        <f t="shared" si="55"/>
        <v>412500</v>
      </c>
      <c r="M187" s="218">
        <f>MIN(L187,'Tax Assumptions'!$B$19)</f>
        <v>24500</v>
      </c>
      <c r="N187" s="218">
        <f>MAX(L187-M187-'Tax Assumptions'!$B$8,0)</f>
        <v>371900</v>
      </c>
      <c r="O187" s="218">
        <f>MAX(L187-M187-'Tax Assumptions'!$B$9,0)</f>
        <v>380000</v>
      </c>
      <c r="P187" s="218">
        <f>IF(N187=0,0,LOOKUP(N187,'Tax Assumptions'!$F$9:$F$15,'Tax Assumptions'!$I$9:$I$15)+(N187-LOOKUP(N187,'Tax Assumptions'!$F$9:$F$15,'Tax Assumptions'!$F$9:$F$15))*LOOKUP(N187,'Tax Assumptions'!$F$9:$F$15,'Tax Assumptions'!$H$9:$H$15))+MIN(MAX(L187,0),'Tax Assumptions'!$B$11)*'Tax Assumptions'!$B$10+MAX(L187,0)*'Tax Assumptions'!$B$12+MAX(MAX(L187,0)-'Tax Assumptions'!$B$14,0)*'Tax Assumptions'!$B$13+MIN(L187*'Tax Assumptions'!$B$15,'Tax Assumptions'!$B$16)+MIN(L187*'Tax Assumptions'!$B$17,'Tax Assumptions'!$B$18)+IF(O187=0,0,LOOKUP(O187,'Tax Assumptions'!$K$9:$K$17,'Tax Assumptions'!$N$9:$N$17)+(O187-LOOKUP(O187,'Tax Assumptions'!$K$9:$K$17,'Tax Assumptions'!$K$9:$K$17))*LOOKUP(O187,'Tax Assumptions'!$K$9:$K$17,'Tax Assumptions'!$M$9:$M$17))+IF(O187=0,0,LOOKUP(O187,'Tax Assumptions'!$P$9:$P$12,'Tax Assumptions'!$S$9:$S$12)+(O187-LOOKUP(O187,'Tax Assumptions'!$P$9:$P$12,'Tax Assumptions'!$P$9:$P$12))*LOOKUP(O187,'Tax Assumptions'!$P$9:$P$12,'Tax Assumptions'!$R$9:$R$12))</f>
        <v>156730.03</v>
      </c>
      <c r="Q187" s="218">
        <f t="shared" si="56"/>
        <v>231269.97</v>
      </c>
      <c r="R187" s="218">
        <f>IF(D187&lt;=10,INDEX('Savings Projection'!$BL$19:$BL$28,D187),LOOKUP(2,1/('Savings Projection'!$BL$19:$BL$28&lt;&gt;""),'Savings Projection'!$BL$19:$BL$28))*(1+'Model Inputs'!$B$35)^(D187-1)+IF(D187&lt;=10,INDEX('Savings Projection'!$BM$19:$BM$28,D187),LOOKUP(2,1/('Savings Projection'!$BM$19:$BM$28&lt;&gt;""),'Savings Projection'!$BM$19:$BM$28))*(1+'Model Inputs'!$B$36)^(D187-1)</f>
        <v>121540</v>
      </c>
      <c r="S187" s="218">
        <f t="shared" si="57"/>
        <v>109729.97</v>
      </c>
      <c r="T187" s="218">
        <f>MIN(MAX(S187,0),'Tax Assumptions'!$B$20)</f>
        <v>7500</v>
      </c>
      <c r="U187" s="218">
        <f t="shared" si="58"/>
        <v>102229.97</v>
      </c>
      <c r="V187" s="218">
        <f>MAX(V186*(1+'Model Inputs'!$B$13)+U187,0)</f>
        <v>458565.36820000003</v>
      </c>
      <c r="W187" s="218">
        <f>MAX(W186*(1+'Model Inputs'!$B$13)+M187+T187,0)</f>
        <v>65920</v>
      </c>
      <c r="X187" s="218">
        <f t="shared" si="59"/>
        <v>524485.36820000003</v>
      </c>
      <c r="Y187" s="226" t="str">
        <f t="shared" si="60"/>
        <v/>
      </c>
      <c r="Z187" s="226" t="str">
        <f t="shared" si="61"/>
        <v/>
      </c>
      <c r="AA187" s="226" t="str">
        <f t="shared" si="62"/>
        <v/>
      </c>
      <c r="AB187" s="226" t="str">
        <f t="shared" si="63"/>
        <v/>
      </c>
    </row>
    <row r="188" spans="1:28" x14ac:dyDescent="0.2">
      <c r="A188" s="214" t="str">
        <f t="shared" si="64"/>
        <v>4Y 4x</v>
      </c>
      <c r="B188" s="214">
        <f t="shared" si="65"/>
        <v>4</v>
      </c>
      <c r="C188" s="223">
        <f t="shared" si="66"/>
        <v>4</v>
      </c>
      <c r="D188" s="214">
        <v>3</v>
      </c>
      <c r="E188" s="214">
        <f t="shared" si="53"/>
        <v>2028</v>
      </c>
      <c r="F188" s="218">
        <f>IF(D188=1,'Model Inputs'!$B$25*(13-'Model Inputs'!$B$23)/12,'Model Inputs'!$B$25)</f>
        <v>300000</v>
      </c>
      <c r="G188" s="218">
        <f>IF(D188=1,'Model Inputs'!$B$27*(13-'Model Inputs'!$B$23)/12,IF(D188=2,'Model Inputs'!$B$27,IF(D188&lt;=MAX(3,'Model Inputs'!$B$30+1),'Model Inputs'!$B$27*(1+'Model Inputs'!$B$28)^(D188-3),'Model Inputs'!$B$27*(1+'Model Inputs'!$B$28)^(MAX(3,'Model Inputs'!$B$30+1)-3)*(1+'Model Inputs'!$B$29)^(D188-MAX(3,'Model Inputs'!$B$30+1)))))</f>
        <v>450000</v>
      </c>
      <c r="H188" s="224">
        <f>IF(D188&lt;=2,0,'Model Inputs'!$B$32*SIN(2*PI()*(D188-3+'Model Inputs'!$B$34)/MAX(1,'Model Inputs'!$B$33)))</f>
        <v>0</v>
      </c>
      <c r="I188" s="218">
        <f t="shared" si="54"/>
        <v>450000</v>
      </c>
      <c r="J188" s="218">
        <f t="shared" ref="J188:J215" si="67">0.75*I187+0.25*I186</f>
        <v>375000</v>
      </c>
      <c r="K188" s="218">
        <f>F188+J188+IF(D188=1,'Model Inputs'!$B$26,0)</f>
        <v>675000</v>
      </c>
      <c r="L188" s="218">
        <f t="shared" si="55"/>
        <v>675000</v>
      </c>
      <c r="M188" s="218">
        <f>MIN(L188,'Tax Assumptions'!$B$19)</f>
        <v>24500</v>
      </c>
      <c r="N188" s="218">
        <f>MAX(L188-M188-'Tax Assumptions'!$B$8,0)</f>
        <v>634400</v>
      </c>
      <c r="O188" s="218">
        <f>MAX(L188-M188-'Tax Assumptions'!$B$9,0)</f>
        <v>642500</v>
      </c>
      <c r="P188" s="218">
        <f>IF(N188=0,0,LOOKUP(N188,'Tax Assumptions'!$F$9:$F$15,'Tax Assumptions'!$I$9:$I$15)+(N188-LOOKUP(N188,'Tax Assumptions'!$F$9:$F$15,'Tax Assumptions'!$F$9:$F$15))*LOOKUP(N188,'Tax Assumptions'!$F$9:$F$15,'Tax Assumptions'!$H$9:$H$15))+MIN(MAX(L188,0),'Tax Assumptions'!$B$11)*'Tax Assumptions'!$B$10+MAX(L188,0)*'Tax Assumptions'!$B$12+MAX(MAX(L188,0)-'Tax Assumptions'!$B$14,0)*'Tax Assumptions'!$B$13+MIN(L188*'Tax Assumptions'!$B$15,'Tax Assumptions'!$B$16)+MIN(L188*'Tax Assumptions'!$B$17,'Tax Assumptions'!$B$18)+IF(O188=0,0,LOOKUP(O188,'Tax Assumptions'!$K$9:$K$17,'Tax Assumptions'!$N$9:$N$17)+(O188-LOOKUP(O188,'Tax Assumptions'!$K$9:$K$17,'Tax Assumptions'!$K$9:$K$17))*LOOKUP(O188,'Tax Assumptions'!$K$9:$K$17,'Tax Assumptions'!$M$9:$M$17))+IF(O188=0,0,LOOKUP(O188,'Tax Assumptions'!$P$9:$P$12,'Tax Assumptions'!$S$9:$S$12)+(O188-LOOKUP(O188,'Tax Assumptions'!$P$9:$P$12,'Tax Assumptions'!$P$9:$P$12))*LOOKUP(O188,'Tax Assumptions'!$P$9:$P$12,'Tax Assumptions'!$R$9:$R$12))</f>
        <v>282929.53000000003</v>
      </c>
      <c r="Q188" s="218">
        <f t="shared" si="56"/>
        <v>367570.47</v>
      </c>
      <c r="R188" s="218">
        <f>IF(D188&lt;=10,INDEX('Savings Projection'!$BL$19:$BL$28,D188),LOOKUP(2,1/('Savings Projection'!$BL$19:$BL$28&lt;&gt;""),'Savings Projection'!$BL$19:$BL$28))*(1+'Model Inputs'!$B$35)^(D188-1)+IF(D188&lt;=10,INDEX('Savings Projection'!$BM$19:$BM$28,D188),LOOKUP(2,1/('Savings Projection'!$BM$19:$BM$28&lt;&gt;""),'Savings Projection'!$BM$19:$BM$28))*(1+'Model Inputs'!$B$36)^(D188-1)</f>
        <v>135795.20000000001</v>
      </c>
      <c r="S188" s="218">
        <f t="shared" si="57"/>
        <v>231775.26999999996</v>
      </c>
      <c r="T188" s="218">
        <f>MIN(MAX(S188,0),'Tax Assumptions'!$B$20)</f>
        <v>7500</v>
      </c>
      <c r="U188" s="218">
        <f t="shared" si="58"/>
        <v>224275.26999999996</v>
      </c>
      <c r="V188" s="218">
        <f>MAX(V187*(1+'Model Inputs'!$B$13)+U188,0)</f>
        <v>710354.56029199995</v>
      </c>
      <c r="W188" s="218">
        <f>MAX(W187*(1+'Model Inputs'!$B$13)+M188+T188,0)</f>
        <v>101875.2</v>
      </c>
      <c r="X188" s="218">
        <f t="shared" si="59"/>
        <v>812229.7602919999</v>
      </c>
      <c r="Y188" s="226" t="str">
        <f t="shared" si="60"/>
        <v/>
      </c>
      <c r="Z188" s="226" t="str">
        <f t="shared" si="61"/>
        <v/>
      </c>
      <c r="AA188" s="226" t="str">
        <f t="shared" si="62"/>
        <v/>
      </c>
      <c r="AB188" s="226" t="str">
        <f t="shared" si="63"/>
        <v/>
      </c>
    </row>
    <row r="189" spans="1:28" x14ac:dyDescent="0.2">
      <c r="A189" s="214" t="str">
        <f t="shared" si="64"/>
        <v>4Y 4x</v>
      </c>
      <c r="B189" s="214">
        <f t="shared" si="65"/>
        <v>4</v>
      </c>
      <c r="C189" s="223">
        <f t="shared" si="66"/>
        <v>4</v>
      </c>
      <c r="D189" s="214">
        <v>4</v>
      </c>
      <c r="E189" s="214">
        <f t="shared" si="53"/>
        <v>2029</v>
      </c>
      <c r="F189" s="218">
        <f>IF(D189=1,'Model Inputs'!$B$25*(13-'Model Inputs'!$B$23)/12,'Model Inputs'!$B$25)</f>
        <v>300000</v>
      </c>
      <c r="G189" s="218">
        <f>IF(D189=1,'Model Inputs'!$B$27*(13-'Model Inputs'!$B$23)/12,IF(D189=2,'Model Inputs'!$B$27,IF(D189&lt;=MAX(3,'Model Inputs'!$B$30+1),'Model Inputs'!$B$27*(1+'Model Inputs'!$B$28)^(D189-3),'Model Inputs'!$B$27*(1+'Model Inputs'!$B$28)^(MAX(3,'Model Inputs'!$B$30+1)-3)*(1+'Model Inputs'!$B$29)^(D189-MAX(3,'Model Inputs'!$B$30+1)))))</f>
        <v>653834.84153110103</v>
      </c>
      <c r="H189" s="224">
        <f>IF(D189&lt;=2,0,'Model Inputs'!$B$32*SIN(2*PI()*(D189-3+'Model Inputs'!$B$34)/MAX(1,'Model Inputs'!$B$33)))</f>
        <v>0.10392304845413264</v>
      </c>
      <c r="I189" s="218">
        <f t="shared" si="54"/>
        <v>721783.35144853778</v>
      </c>
      <c r="J189" s="218">
        <f t="shared" si="67"/>
        <v>450000</v>
      </c>
      <c r="K189" s="218">
        <f>F189+J189+IF(D189=1,'Model Inputs'!$B$26,0)</f>
        <v>750000</v>
      </c>
      <c r="L189" s="218">
        <f t="shared" si="55"/>
        <v>750000</v>
      </c>
      <c r="M189" s="218">
        <f>MIN(L189,'Tax Assumptions'!$B$19)</f>
        <v>24500</v>
      </c>
      <c r="N189" s="218">
        <f>MAX(L189-M189-'Tax Assumptions'!$B$8,0)</f>
        <v>709400</v>
      </c>
      <c r="O189" s="218">
        <f>MAX(L189-M189-'Tax Assumptions'!$B$9,0)</f>
        <v>717500</v>
      </c>
      <c r="P189" s="218">
        <f>IF(N189=0,0,LOOKUP(N189,'Tax Assumptions'!$F$9:$F$15,'Tax Assumptions'!$I$9:$I$15)+(N189-LOOKUP(N189,'Tax Assumptions'!$F$9:$F$15,'Tax Assumptions'!$F$9:$F$15))*LOOKUP(N189,'Tax Assumptions'!$F$9:$F$15,'Tax Assumptions'!$H$9:$H$15))+MIN(MAX(L189,0),'Tax Assumptions'!$B$11)*'Tax Assumptions'!$B$10+MAX(L189,0)*'Tax Assumptions'!$B$12+MAX(MAX(L189,0)-'Tax Assumptions'!$B$14,0)*'Tax Assumptions'!$B$13+MIN(L189*'Tax Assumptions'!$B$15,'Tax Assumptions'!$B$16)+MIN(L189*'Tax Assumptions'!$B$17,'Tax Assumptions'!$B$18)+IF(O189=0,0,LOOKUP(O189,'Tax Assumptions'!$K$9:$K$17,'Tax Assumptions'!$N$9:$N$17)+(O189-LOOKUP(O189,'Tax Assumptions'!$K$9:$K$17,'Tax Assumptions'!$K$9:$K$17))*LOOKUP(O189,'Tax Assumptions'!$K$9:$K$17,'Tax Assumptions'!$M$9:$M$17))+IF(O189=0,0,LOOKUP(O189,'Tax Assumptions'!$P$9:$P$12,'Tax Assumptions'!$S$9:$S$12)+(O189-LOOKUP(O189,'Tax Assumptions'!$P$9:$P$12,'Tax Assumptions'!$P$9:$P$12))*LOOKUP(O189,'Tax Assumptions'!$P$9:$P$12,'Tax Assumptions'!$R$9:$R$12))</f>
        <v>320362.53000000003</v>
      </c>
      <c r="Q189" s="218">
        <f t="shared" si="56"/>
        <v>405137.47</v>
      </c>
      <c r="R189" s="218">
        <f>IF(D189&lt;=10,INDEX('Savings Projection'!$BL$19:$BL$28,D189),LOOKUP(2,1/('Savings Projection'!$BL$19:$BL$28&lt;&gt;""),'Savings Projection'!$BL$19:$BL$28))*(1+'Model Inputs'!$B$35)^(D189-1)+IF(D189&lt;=10,INDEX('Savings Projection'!$BM$19:$BM$28,D189),LOOKUP(2,1/('Savings Projection'!$BM$19:$BM$28&lt;&gt;""),'Savings Projection'!$BM$19:$BM$28))*(1+'Model Inputs'!$B$36)^(D189-1)</f>
        <v>139869.05600000001</v>
      </c>
      <c r="S189" s="218">
        <f t="shared" si="57"/>
        <v>265268.41399999999</v>
      </c>
      <c r="T189" s="218">
        <f>MIN(MAX(S189,0),'Tax Assumptions'!$B$20)</f>
        <v>7500</v>
      </c>
      <c r="U189" s="218">
        <f t="shared" si="58"/>
        <v>257768.41399999999</v>
      </c>
      <c r="V189" s="218">
        <f>MAX(V188*(1+'Model Inputs'!$B$13)+U189,0)</f>
        <v>1010744.2479095199</v>
      </c>
      <c r="W189" s="218">
        <f>MAX(W188*(1+'Model Inputs'!$B$13)+M189+T189,0)</f>
        <v>139987.712</v>
      </c>
      <c r="X189" s="218">
        <f t="shared" si="59"/>
        <v>1150731.9599095199</v>
      </c>
      <c r="Y189" s="226" t="str">
        <f t="shared" si="60"/>
        <v/>
      </c>
      <c r="Z189" s="226" t="str">
        <f t="shared" si="61"/>
        <v/>
      </c>
      <c r="AA189" s="226" t="str">
        <f t="shared" si="62"/>
        <v/>
      </c>
      <c r="AB189" s="226" t="str">
        <f t="shared" si="63"/>
        <v/>
      </c>
    </row>
    <row r="190" spans="1:28" x14ac:dyDescent="0.2">
      <c r="A190" s="214" t="str">
        <f t="shared" si="64"/>
        <v>4Y 4x</v>
      </c>
      <c r="B190" s="214">
        <f t="shared" si="65"/>
        <v>4</v>
      </c>
      <c r="C190" s="223">
        <f t="shared" si="66"/>
        <v>4</v>
      </c>
      <c r="D190" s="214">
        <v>5</v>
      </c>
      <c r="E190" s="214">
        <f t="shared" si="53"/>
        <v>2030</v>
      </c>
      <c r="F190" s="218">
        <f>IF(D190=1,'Model Inputs'!$B$25*(13-'Model Inputs'!$B$23)/12,'Model Inputs'!$B$25)</f>
        <v>300000</v>
      </c>
      <c r="G190" s="218">
        <f>IF(D190=1,'Model Inputs'!$B$27*(13-'Model Inputs'!$B$23)/12,IF(D190=2,'Model Inputs'!$B$27,IF(D190&lt;=MAX(3,'Model Inputs'!$B$30+1),'Model Inputs'!$B$27*(1+'Model Inputs'!$B$28)^(D190-3),'Model Inputs'!$B$27*(1+'Model Inputs'!$B$28)^(MAX(3,'Model Inputs'!$B$30+1)-3)*(1+'Model Inputs'!$B$29)^(D190-MAX(3,'Model Inputs'!$B$30+1)))))</f>
        <v>950000</v>
      </c>
      <c r="H190" s="224">
        <f>IF(D190&lt;=2,0,'Model Inputs'!$B$32*SIN(2*PI()*(D190-3+'Model Inputs'!$B$34)/MAX(1,'Model Inputs'!$B$33)))</f>
        <v>-0.1039230484541326</v>
      </c>
      <c r="I190" s="218">
        <f t="shared" si="54"/>
        <v>851273.10396857408</v>
      </c>
      <c r="J190" s="218">
        <f t="shared" si="67"/>
        <v>653837.51358640334</v>
      </c>
      <c r="K190" s="218">
        <f>F190+J190+IF(D190=1,'Model Inputs'!$B$26,0)</f>
        <v>953837.51358640334</v>
      </c>
      <c r="L190" s="218">
        <f t="shared" si="55"/>
        <v>3815350.0543456133</v>
      </c>
      <c r="M190" s="218">
        <f>MIN(L190,'Tax Assumptions'!$B$19)</f>
        <v>24500</v>
      </c>
      <c r="N190" s="218">
        <f>MAX(L190-M190-'Tax Assumptions'!$B$8,0)</f>
        <v>3774750.0543456133</v>
      </c>
      <c r="O190" s="218">
        <f>MAX(L190-M190-'Tax Assumptions'!$B$9,0)</f>
        <v>3782850.0543456133</v>
      </c>
      <c r="P190" s="218">
        <f>IF(N190=0,0,LOOKUP(N190,'Tax Assumptions'!$F$9:$F$15,'Tax Assumptions'!$I$9:$I$15)+(N190-LOOKUP(N190,'Tax Assumptions'!$F$9:$F$15,'Tax Assumptions'!$F$9:$F$15))*LOOKUP(N190,'Tax Assumptions'!$F$9:$F$15,'Tax Assumptions'!$H$9:$H$15))+MIN(MAX(L190,0),'Tax Assumptions'!$B$11)*'Tax Assumptions'!$B$10+MAX(L190,0)*'Tax Assumptions'!$B$12+MAX(MAX(L190,0)-'Tax Assumptions'!$B$14,0)*'Tax Assumptions'!$B$13+MIN(L190*'Tax Assumptions'!$B$15,'Tax Assumptions'!$B$16)+MIN(L190*'Tax Assumptions'!$B$17,'Tax Assumptions'!$B$18)+IF(O190=0,0,LOOKUP(O190,'Tax Assumptions'!$K$9:$K$17,'Tax Assumptions'!$N$9:$N$17)+(O190-LOOKUP(O190,'Tax Assumptions'!$K$9:$K$17,'Tax Assumptions'!$K$9:$K$17))*LOOKUP(O190,'Tax Assumptions'!$K$9:$K$17,'Tax Assumptions'!$M$9:$M$17))+IF(O190=0,0,LOOKUP(O190,'Tax Assumptions'!$P$9:$P$12,'Tax Assumptions'!$S$9:$S$12)+(O190-LOOKUP(O190,'Tax Assumptions'!$P$9:$P$12,'Tax Assumptions'!$P$9:$P$12))*LOOKUP(O190,'Tax Assumptions'!$P$9:$P$12,'Tax Assumptions'!$R$9:$R$12))</f>
        <v>1931115.1297357865</v>
      </c>
      <c r="Q190" s="218">
        <f t="shared" si="56"/>
        <v>1859734.9246098269</v>
      </c>
      <c r="R190" s="218">
        <f>IF(D190&lt;=10,INDEX('Savings Projection'!$BL$19:$BL$28,D190),LOOKUP(2,1/('Savings Projection'!$BL$19:$BL$28&lt;&gt;""),'Savings Projection'!$BL$19:$BL$28))*(1+'Model Inputs'!$B$35)^(D190-1)+IF(D190&lt;=10,INDEX('Savings Projection'!$BM$19:$BM$28,D190),LOOKUP(2,1/('Savings Projection'!$BM$19:$BM$28&lt;&gt;""),'Savings Projection'!$BM$19:$BM$28))*(1+'Model Inputs'!$B$36)^(D190-1)</f>
        <v>144065.12767999998</v>
      </c>
      <c r="S190" s="218">
        <f t="shared" si="57"/>
        <v>1715669.796929827</v>
      </c>
      <c r="T190" s="218">
        <f>MIN(MAX(S190,0),'Tax Assumptions'!$B$20)</f>
        <v>7500</v>
      </c>
      <c r="U190" s="218">
        <f t="shared" si="58"/>
        <v>1708169.796929827</v>
      </c>
      <c r="V190" s="218">
        <f>MAX(V189*(1+'Model Inputs'!$B$13)+U190,0)</f>
        <v>2779558.6997139184</v>
      </c>
      <c r="W190" s="218">
        <f>MAX(W189*(1+'Model Inputs'!$B$13)+M190+T190,0)</f>
        <v>180386.97472</v>
      </c>
      <c r="X190" s="218">
        <f t="shared" si="59"/>
        <v>2959945.6744339182</v>
      </c>
      <c r="Y190" s="226" t="str">
        <f t="shared" si="60"/>
        <v/>
      </c>
      <c r="Z190" s="226" t="str">
        <f t="shared" si="61"/>
        <v/>
      </c>
      <c r="AA190" s="226" t="str">
        <f t="shared" si="62"/>
        <v/>
      </c>
      <c r="AB190" s="226" t="str">
        <f t="shared" si="63"/>
        <v/>
      </c>
    </row>
    <row r="191" spans="1:28" x14ac:dyDescent="0.2">
      <c r="A191" s="214" t="str">
        <f t="shared" si="64"/>
        <v>4Y 4x</v>
      </c>
      <c r="B191" s="214">
        <f t="shared" si="65"/>
        <v>4</v>
      </c>
      <c r="C191" s="223">
        <f t="shared" si="66"/>
        <v>4</v>
      </c>
      <c r="D191" s="214">
        <v>6</v>
      </c>
      <c r="E191" s="214">
        <f t="shared" si="53"/>
        <v>2031</v>
      </c>
      <c r="F191" s="218">
        <f>IF(D191=1,'Model Inputs'!$B$25*(13-'Model Inputs'!$B$23)/12,'Model Inputs'!$B$25)</f>
        <v>300000</v>
      </c>
      <c r="G191" s="218">
        <f>IF(D191=1,'Model Inputs'!$B$27*(13-'Model Inputs'!$B$23)/12,IF(D191=2,'Model Inputs'!$B$27,IF(D191&lt;=MAX(3,'Model Inputs'!$B$30+1),'Model Inputs'!$B$27*(1+'Model Inputs'!$B$28)^(D191-3),'Model Inputs'!$B$27*(1+'Model Inputs'!$B$28)^(MAX(3,'Model Inputs'!$B$30+1)-3)*(1+'Model Inputs'!$B$29)^(D191-MAX(3,'Model Inputs'!$B$30+1)))))</f>
        <v>1207333.5632986501</v>
      </c>
      <c r="H191" s="224">
        <f>IF(D191&lt;=2,0,'Model Inputs'!$B$32*SIN(2*PI()*(D191-3+'Model Inputs'!$B$34)/MAX(1,'Model Inputs'!$B$33)))</f>
        <v>-2.9391523179536474E-17</v>
      </c>
      <c r="I191" s="218">
        <f t="shared" si="54"/>
        <v>1207333.5632986501</v>
      </c>
      <c r="J191" s="218">
        <f t="shared" si="67"/>
        <v>818900.66583856498</v>
      </c>
      <c r="K191" s="218">
        <f>F191+J191+IF(D191=1,'Model Inputs'!$B$26,0)</f>
        <v>1118900.665838565</v>
      </c>
      <c r="L191" s="218">
        <f t="shared" si="55"/>
        <v>4475602.6633542599</v>
      </c>
      <c r="M191" s="218">
        <f>MIN(L191,'Tax Assumptions'!$B$19)</f>
        <v>24500</v>
      </c>
      <c r="N191" s="218">
        <f>MAX(L191-M191-'Tax Assumptions'!$B$8,0)</f>
        <v>4435002.6633542599</v>
      </c>
      <c r="O191" s="218">
        <f>MAX(L191-M191-'Tax Assumptions'!$B$9,0)</f>
        <v>4443102.6633542599</v>
      </c>
      <c r="P191" s="218">
        <f>IF(N191=0,0,LOOKUP(N191,'Tax Assumptions'!$F$9:$F$15,'Tax Assumptions'!$I$9:$I$15)+(N191-LOOKUP(N191,'Tax Assumptions'!$F$9:$F$15,'Tax Assumptions'!$F$9:$F$15))*LOOKUP(N191,'Tax Assumptions'!$F$9:$F$15,'Tax Assumptions'!$H$9:$H$15))+MIN(MAX(L191,0),'Tax Assumptions'!$B$11)*'Tax Assumptions'!$B$10+MAX(L191,0)*'Tax Assumptions'!$B$12+MAX(MAX(L191,0)-'Tax Assumptions'!$B$14,0)*'Tax Assumptions'!$B$13+MIN(L191*'Tax Assumptions'!$B$15,'Tax Assumptions'!$B$16)+MIN(L191*'Tax Assumptions'!$B$17,'Tax Assumptions'!$B$18)+IF(O191=0,0,LOOKUP(O191,'Tax Assumptions'!$K$9:$K$17,'Tax Assumptions'!$N$9:$N$17)+(O191-LOOKUP(O191,'Tax Assumptions'!$K$9:$K$17,'Tax Assumptions'!$K$9:$K$17))*LOOKUP(O191,'Tax Assumptions'!$K$9:$K$17,'Tax Assumptions'!$M$9:$M$17))+IF(O191=0,0,LOOKUP(O191,'Tax Assumptions'!$P$9:$P$12,'Tax Assumptions'!$S$9:$S$12)+(O191-LOOKUP(O191,'Tax Assumptions'!$P$9:$P$12,'Tax Assumptions'!$P$9:$P$12))*LOOKUP(O191,'Tax Assumptions'!$P$9:$P$12,'Tax Assumptions'!$R$9:$R$12))</f>
        <v>2280230.299275198</v>
      </c>
      <c r="Q191" s="218">
        <f t="shared" si="56"/>
        <v>2170872.3640790619</v>
      </c>
      <c r="R191" s="218">
        <f>IF(D191&lt;=10,INDEX('Savings Projection'!$BL$19:$BL$28,D191),LOOKUP(2,1/('Savings Projection'!$BL$19:$BL$28&lt;&gt;""),'Savings Projection'!$BL$19:$BL$28))*(1+'Model Inputs'!$B$35)^(D191-1)+IF(D191&lt;=10,INDEX('Savings Projection'!$BM$19:$BM$28,D191),LOOKUP(2,1/('Savings Projection'!$BM$19:$BM$28&lt;&gt;""),'Savings Projection'!$BM$19:$BM$28))*(1+'Model Inputs'!$B$36)^(D191-1)</f>
        <v>150705.62965899997</v>
      </c>
      <c r="S191" s="218">
        <f t="shared" si="57"/>
        <v>2020166.734420062</v>
      </c>
      <c r="T191" s="218">
        <f>MIN(MAX(S191,0),'Tax Assumptions'!$B$20)</f>
        <v>7500</v>
      </c>
      <c r="U191" s="218">
        <f t="shared" si="58"/>
        <v>2012666.734420062</v>
      </c>
      <c r="V191" s="218">
        <f>MAX(V190*(1+'Model Inputs'!$B$13)+U191,0)</f>
        <v>4958998.956116816</v>
      </c>
      <c r="W191" s="218">
        <f>MAX(W190*(1+'Model Inputs'!$B$13)+M191+T191,0)</f>
        <v>223210.1932032</v>
      </c>
      <c r="X191" s="218">
        <f t="shared" si="59"/>
        <v>5182209.1493200157</v>
      </c>
      <c r="Y191" s="226" t="str">
        <f t="shared" si="60"/>
        <v/>
      </c>
      <c r="Z191" s="226" t="str">
        <f t="shared" si="61"/>
        <v/>
      </c>
      <c r="AA191" s="226" t="str">
        <f t="shared" si="62"/>
        <v/>
      </c>
      <c r="AB191" s="226" t="str">
        <f t="shared" si="63"/>
        <v/>
      </c>
    </row>
    <row r="192" spans="1:28" x14ac:dyDescent="0.2">
      <c r="A192" s="214" t="str">
        <f t="shared" si="64"/>
        <v>4Y 4x</v>
      </c>
      <c r="B192" s="214">
        <f t="shared" si="65"/>
        <v>4</v>
      </c>
      <c r="C192" s="223">
        <f t="shared" si="66"/>
        <v>4</v>
      </c>
      <c r="D192" s="214">
        <v>7</v>
      </c>
      <c r="E192" s="214">
        <f t="shared" si="53"/>
        <v>2032</v>
      </c>
      <c r="F192" s="218">
        <f>IF(D192=1,'Model Inputs'!$B$25*(13-'Model Inputs'!$B$23)/12,'Model Inputs'!$B$25)</f>
        <v>300000</v>
      </c>
      <c r="G192" s="218">
        <f>IF(D192=1,'Model Inputs'!$B$27*(13-'Model Inputs'!$B$23)/12,IF(D192=2,'Model Inputs'!$B$27,IF(D192&lt;=MAX(3,'Model Inputs'!$B$30+1),'Model Inputs'!$B$27*(1+'Model Inputs'!$B$28)^(D192-3),'Model Inputs'!$B$27*(1+'Model Inputs'!$B$28)^(MAX(3,'Model Inputs'!$B$30+1)-3)*(1+'Model Inputs'!$B$29)^(D192-MAX(3,'Model Inputs'!$B$30+1)))))</f>
        <v>1534372.9821762268</v>
      </c>
      <c r="H192" s="224">
        <f>IF(D192&lt;=2,0,'Model Inputs'!$B$32*SIN(2*PI()*(D192-3+'Model Inputs'!$B$34)/MAX(1,'Model Inputs'!$B$33)))</f>
        <v>0.10392304845413269</v>
      </c>
      <c r="I192" s="218">
        <f t="shared" si="54"/>
        <v>1693829.6999496389</v>
      </c>
      <c r="J192" s="218">
        <f t="shared" si="67"/>
        <v>1118318.448466131</v>
      </c>
      <c r="K192" s="218">
        <f>F192+J192+IF(D192=1,'Model Inputs'!$B$26,0)</f>
        <v>1418318.448466131</v>
      </c>
      <c r="L192" s="218">
        <f t="shared" si="55"/>
        <v>5673273.793864524</v>
      </c>
      <c r="M192" s="218">
        <f>MIN(L192,'Tax Assumptions'!$B$19)</f>
        <v>24500</v>
      </c>
      <c r="N192" s="218">
        <f>MAX(L192-M192-'Tax Assumptions'!$B$8,0)</f>
        <v>5632673.793864524</v>
      </c>
      <c r="O192" s="218">
        <f>MAX(L192-M192-'Tax Assumptions'!$B$9,0)</f>
        <v>5640773.793864524</v>
      </c>
      <c r="P192" s="218">
        <f>IF(N192=0,0,LOOKUP(N192,'Tax Assumptions'!$F$9:$F$15,'Tax Assumptions'!$I$9:$I$15)+(N192-LOOKUP(N192,'Tax Assumptions'!$F$9:$F$15,'Tax Assumptions'!$F$9:$F$15))*LOOKUP(N192,'Tax Assumptions'!$F$9:$F$15,'Tax Assumptions'!$H$9:$H$15))+MIN(MAX(L192,0),'Tax Assumptions'!$B$11)*'Tax Assumptions'!$B$10+MAX(L192,0)*'Tax Assumptions'!$B$12+MAX(MAX(L192,0)-'Tax Assumptions'!$B$14,0)*'Tax Assumptions'!$B$13+MIN(L192*'Tax Assumptions'!$B$15,'Tax Assumptions'!$B$16)+MIN(L192*'Tax Assumptions'!$B$17,'Tax Assumptions'!$B$18)+IF(O192=0,0,LOOKUP(O192,'Tax Assumptions'!$K$9:$K$17,'Tax Assumptions'!$N$9:$N$17)+(O192-LOOKUP(O192,'Tax Assumptions'!$K$9:$K$17,'Tax Assumptions'!$K$9:$K$17))*LOOKUP(O192,'Tax Assumptions'!$K$9:$K$17,'Tax Assumptions'!$M$9:$M$17))+IF(O192=0,0,LOOKUP(O192,'Tax Assumptions'!$P$9:$P$12,'Tax Assumptions'!$S$9:$S$12)+(O192-LOOKUP(O192,'Tax Assumptions'!$P$9:$P$12,'Tax Assumptions'!$P$9:$P$12))*LOOKUP(O192,'Tax Assumptions'!$P$9:$P$12,'Tax Assumptions'!$R$9:$R$12))</f>
        <v>2917679.0709039257</v>
      </c>
      <c r="Q192" s="218">
        <f t="shared" si="56"/>
        <v>2731094.7229605983</v>
      </c>
      <c r="R192" s="218">
        <f>IF(D192&lt;=10,INDEX('Savings Projection'!$BL$19:$BL$28,D192),LOOKUP(2,1/('Savings Projection'!$BL$19:$BL$28&lt;&gt;""),'Savings Projection'!$BL$19:$BL$28))*(1+'Model Inputs'!$B$35)^(D192-1)+IF(D192&lt;=10,INDEX('Savings Projection'!$BM$19:$BM$28,D192),LOOKUP(2,1/('Savings Projection'!$BM$19:$BM$28&lt;&gt;""),'Savings Projection'!$BM$19:$BM$28))*(1+'Model Inputs'!$B$36)^(D192-1)</f>
        <v>155226.79854876999</v>
      </c>
      <c r="S192" s="218">
        <f t="shared" si="57"/>
        <v>2575867.9244118282</v>
      </c>
      <c r="T192" s="218">
        <f>MIN(MAX(S192,0),'Tax Assumptions'!$B$20)</f>
        <v>7500</v>
      </c>
      <c r="U192" s="218">
        <f t="shared" si="58"/>
        <v>2568367.9244118282</v>
      </c>
      <c r="V192" s="218">
        <f>MAX(V191*(1+'Model Inputs'!$B$13)+U192,0)</f>
        <v>7824906.8178956527</v>
      </c>
      <c r="W192" s="218">
        <f>MAX(W191*(1+'Model Inputs'!$B$13)+M192+T192,0)</f>
        <v>268602.80479539197</v>
      </c>
      <c r="X192" s="218">
        <f t="shared" si="59"/>
        <v>8093509.6226910446</v>
      </c>
      <c r="Y192" s="226" t="str">
        <f t="shared" si="60"/>
        <v/>
      </c>
      <c r="Z192" s="226" t="str">
        <f t="shared" si="61"/>
        <v/>
      </c>
      <c r="AA192" s="226" t="str">
        <f t="shared" si="62"/>
        <v/>
      </c>
      <c r="AB192" s="226" t="str">
        <f t="shared" si="63"/>
        <v/>
      </c>
    </row>
    <row r="193" spans="1:28" x14ac:dyDescent="0.2">
      <c r="A193" s="214" t="str">
        <f t="shared" si="64"/>
        <v>4Y 4x</v>
      </c>
      <c r="B193" s="214">
        <f t="shared" si="65"/>
        <v>4</v>
      </c>
      <c r="C193" s="223">
        <f t="shared" si="66"/>
        <v>4</v>
      </c>
      <c r="D193" s="214">
        <v>8</v>
      </c>
      <c r="E193" s="214">
        <f t="shared" si="53"/>
        <v>2033</v>
      </c>
      <c r="F193" s="218">
        <f>IF(D193=1,'Model Inputs'!$B$25*(13-'Model Inputs'!$B$23)/12,'Model Inputs'!$B$25)</f>
        <v>300000</v>
      </c>
      <c r="G193" s="218">
        <f>IF(D193=1,'Model Inputs'!$B$27*(13-'Model Inputs'!$B$23)/12,IF(D193=2,'Model Inputs'!$B$27,IF(D193&lt;=MAX(3,'Model Inputs'!$B$30+1),'Model Inputs'!$B$27*(1+'Model Inputs'!$B$28)^(D193-3),'Model Inputs'!$B$27*(1+'Model Inputs'!$B$28)^(MAX(3,'Model Inputs'!$B$30+1)-3)*(1+'Model Inputs'!$B$29)^(D193-MAX(3,'Model Inputs'!$B$30+1)))))</f>
        <v>1950000.0000000002</v>
      </c>
      <c r="H193" s="224">
        <f>IF(D193&lt;=2,0,'Model Inputs'!$B$32*SIN(2*PI()*(D193-3+'Model Inputs'!$B$34)/MAX(1,'Model Inputs'!$B$33)))</f>
        <v>-0.10392304845413264</v>
      </c>
      <c r="I193" s="218">
        <f t="shared" si="54"/>
        <v>1747350.0555144416</v>
      </c>
      <c r="J193" s="218">
        <f t="shared" si="67"/>
        <v>1572205.6657868917</v>
      </c>
      <c r="K193" s="218">
        <f>F193+J193+IF(D193=1,'Model Inputs'!$B$26,0)</f>
        <v>1872205.6657868917</v>
      </c>
      <c r="L193" s="218">
        <f t="shared" si="55"/>
        <v>7488822.6631475668</v>
      </c>
      <c r="M193" s="218">
        <f>MIN(L193,'Tax Assumptions'!$B$19)</f>
        <v>24500</v>
      </c>
      <c r="N193" s="218">
        <f>MAX(L193-M193-'Tax Assumptions'!$B$8,0)</f>
        <v>7448222.6631475668</v>
      </c>
      <c r="O193" s="218">
        <f>MAX(L193-M193-'Tax Assumptions'!$B$9,0)</f>
        <v>7456322.6631475668</v>
      </c>
      <c r="P193" s="218">
        <f>IF(N193=0,0,LOOKUP(N193,'Tax Assumptions'!$F$9:$F$15,'Tax Assumptions'!$I$9:$I$15)+(N193-LOOKUP(N193,'Tax Assumptions'!$F$9:$F$15,'Tax Assumptions'!$F$9:$F$15))*LOOKUP(N193,'Tax Assumptions'!$F$9:$F$15,'Tax Assumptions'!$H$9:$H$15))+MIN(MAX(L193,0),'Tax Assumptions'!$B$11)*'Tax Assumptions'!$B$10+MAX(L193,0)*'Tax Assumptions'!$B$12+MAX(MAX(L193,0)-'Tax Assumptions'!$B$14,0)*'Tax Assumptions'!$B$13+MIN(L193*'Tax Assumptions'!$B$15,'Tax Assumptions'!$B$16)+MIN(L193*'Tax Assumptions'!$B$17,'Tax Assumptions'!$B$18)+IF(O193=0,0,LOOKUP(O193,'Tax Assumptions'!$K$9:$K$17,'Tax Assumptions'!$N$9:$N$17)+(O193-LOOKUP(O193,'Tax Assumptions'!$K$9:$K$17,'Tax Assumptions'!$K$9:$K$17))*LOOKUP(O193,'Tax Assumptions'!$K$9:$K$17,'Tax Assumptions'!$M$9:$M$17))+IF(O193=0,0,LOOKUP(O193,'Tax Assumptions'!$P$9:$P$12,'Tax Assumptions'!$S$9:$S$12)+(O193-LOOKUP(O193,'Tax Assumptions'!$P$9:$P$12,'Tax Assumptions'!$P$9:$P$12))*LOOKUP(O193,'Tax Assumptions'!$P$9:$P$12,'Tax Assumptions'!$R$9:$R$12))</f>
        <v>3889469.7586763669</v>
      </c>
      <c r="Q193" s="218">
        <f t="shared" si="56"/>
        <v>3574852.9044712</v>
      </c>
      <c r="R193" s="218">
        <f>IF(D193&lt;=10,INDEX('Savings Projection'!$BL$19:$BL$28,D193),LOOKUP(2,1/('Savings Projection'!$BL$19:$BL$28&lt;&gt;""),'Savings Projection'!$BL$19:$BL$28))*(1+'Model Inputs'!$B$35)^(D193-1)+IF(D193&lt;=10,INDEX('Savings Projection'!$BM$19:$BM$28,D193),LOOKUP(2,1/('Savings Projection'!$BM$19:$BM$28&lt;&gt;""),'Savings Projection'!$BM$19:$BM$28))*(1+'Model Inputs'!$B$36)^(D193-1)</f>
        <v>159883.60250523311</v>
      </c>
      <c r="S193" s="218">
        <f t="shared" si="57"/>
        <v>3414969.3019659668</v>
      </c>
      <c r="T193" s="218">
        <f>MIN(MAX(S193,0),'Tax Assumptions'!$B$20)</f>
        <v>7500</v>
      </c>
      <c r="U193" s="218">
        <f t="shared" si="58"/>
        <v>3407469.3019659668</v>
      </c>
      <c r="V193" s="218">
        <f>MAX(V192*(1+'Model Inputs'!$B$13)+U193,0)</f>
        <v>11701870.528935358</v>
      </c>
      <c r="W193" s="218">
        <f>MAX(W192*(1+'Model Inputs'!$B$13)+M193+T193,0)</f>
        <v>316718.97308311553</v>
      </c>
      <c r="X193" s="218">
        <f t="shared" si="59"/>
        <v>12018589.502018474</v>
      </c>
      <c r="Y193" s="226" t="str">
        <f t="shared" si="60"/>
        <v/>
      </c>
      <c r="Z193" s="226" t="str">
        <f t="shared" si="61"/>
        <v/>
      </c>
      <c r="AA193" s="226" t="str">
        <f t="shared" si="62"/>
        <v/>
      </c>
      <c r="AB193" s="226" t="str">
        <f t="shared" si="63"/>
        <v/>
      </c>
    </row>
    <row r="194" spans="1:28" x14ac:dyDescent="0.2">
      <c r="A194" s="214" t="str">
        <f t="shared" si="64"/>
        <v>4Y 4x</v>
      </c>
      <c r="B194" s="214">
        <f t="shared" si="65"/>
        <v>4</v>
      </c>
      <c r="C194" s="223">
        <f t="shared" si="66"/>
        <v>4</v>
      </c>
      <c r="D194" s="214">
        <v>9</v>
      </c>
      <c r="E194" s="214">
        <f t="shared" si="53"/>
        <v>2034</v>
      </c>
      <c r="F194" s="218">
        <f>IF(D194=1,'Model Inputs'!$B$25*(13-'Model Inputs'!$B$23)/12,'Model Inputs'!$B$25)</f>
        <v>300000</v>
      </c>
      <c r="G194" s="218">
        <f>IF(D194=1,'Model Inputs'!$B$27*(13-'Model Inputs'!$B$23)/12,IF(D194=2,'Model Inputs'!$B$27,IF(D194&lt;=MAX(3,'Model Inputs'!$B$30+1),'Model Inputs'!$B$27*(1+'Model Inputs'!$B$28)^(D194-3),'Model Inputs'!$B$27*(1+'Model Inputs'!$B$28)^(MAX(3,'Model Inputs'!$B$30+1)-3)*(1+'Model Inputs'!$B$29)^(D194-MAX(3,'Model Inputs'!$B$30+1)))))</f>
        <v>2478210.9983498608</v>
      </c>
      <c r="H194" s="224">
        <f>IF(D194&lt;=2,0,'Model Inputs'!$B$32*SIN(2*PI()*(D194-3+'Model Inputs'!$B$34)/MAX(1,'Model Inputs'!$B$33)))</f>
        <v>-5.8783046359072947E-17</v>
      </c>
      <c r="I194" s="218">
        <f t="shared" si="54"/>
        <v>2478210.9983498603</v>
      </c>
      <c r="J194" s="218">
        <f t="shared" si="67"/>
        <v>1733969.9666232408</v>
      </c>
      <c r="K194" s="218">
        <f>F194+J194+IF(D194=1,'Model Inputs'!$B$26,0)</f>
        <v>2033969.9666232408</v>
      </c>
      <c r="L194" s="218">
        <f t="shared" si="55"/>
        <v>8135879.8664929634</v>
      </c>
      <c r="M194" s="218">
        <f>MIN(L194,'Tax Assumptions'!$B$19)</f>
        <v>24500</v>
      </c>
      <c r="N194" s="218">
        <f>MAX(L194-M194-'Tax Assumptions'!$B$8,0)</f>
        <v>8095279.8664929634</v>
      </c>
      <c r="O194" s="218">
        <f>MAX(L194-M194-'Tax Assumptions'!$B$9,0)</f>
        <v>8103379.8664929634</v>
      </c>
      <c r="P194" s="218">
        <f>IF(N194=0,0,LOOKUP(N194,'Tax Assumptions'!$F$9:$F$15,'Tax Assumptions'!$I$9:$I$15)+(N194-LOOKUP(N194,'Tax Assumptions'!$F$9:$F$15,'Tax Assumptions'!$F$9:$F$15))*LOOKUP(N194,'Tax Assumptions'!$F$9:$F$15,'Tax Assumptions'!$H$9:$H$15))+MIN(MAX(L194,0),'Tax Assumptions'!$B$11)*'Tax Assumptions'!$B$10+MAX(L194,0)*'Tax Assumptions'!$B$12+MAX(MAX(L194,0)-'Tax Assumptions'!$B$14,0)*'Tax Assumptions'!$B$13+MIN(L194*'Tax Assumptions'!$B$15,'Tax Assumptions'!$B$16)+MIN(L194*'Tax Assumptions'!$B$17,'Tax Assumptions'!$B$18)+IF(O194=0,0,LOOKUP(O194,'Tax Assumptions'!$K$9:$K$17,'Tax Assumptions'!$N$9:$N$17)+(O194-LOOKUP(O194,'Tax Assumptions'!$K$9:$K$17,'Tax Assumptions'!$K$9:$K$17))*LOOKUP(O194,'Tax Assumptions'!$K$9:$K$17,'Tax Assumptions'!$M$9:$M$17))+IF(O194=0,0,LOOKUP(O194,'Tax Assumptions'!$P$9:$P$12,'Tax Assumptions'!$S$9:$S$12)+(O194-LOOKUP(O194,'Tax Assumptions'!$P$9:$P$12,'Tax Assumptions'!$P$9:$P$12))*LOOKUP(O194,'Tax Assumptions'!$P$9:$P$12,'Tax Assumptions'!$R$9:$R$12))</f>
        <v>4235813.5973390238</v>
      </c>
      <c r="Q194" s="218">
        <f t="shared" si="56"/>
        <v>3875566.2691539396</v>
      </c>
      <c r="R194" s="218">
        <f>IF(D194&lt;=10,INDEX('Savings Projection'!$BL$19:$BL$28,D194),LOOKUP(2,1/('Savings Projection'!$BL$19:$BL$28&lt;&gt;""),'Savings Projection'!$BL$19:$BL$28))*(1+'Model Inputs'!$B$35)^(D194-1)+IF(D194&lt;=10,INDEX('Savings Projection'!$BM$19:$BM$28,D194),LOOKUP(2,1/('Savings Projection'!$BM$19:$BM$28&lt;&gt;""),'Savings Projection'!$BM$19:$BM$28))*(1+'Model Inputs'!$B$36)^(D194-1)</f>
        <v>164680.11058039009</v>
      </c>
      <c r="S194" s="218">
        <f t="shared" si="57"/>
        <v>3710886.1585735492</v>
      </c>
      <c r="T194" s="218">
        <f>MIN(MAX(S194,0),'Tax Assumptions'!$B$20)</f>
        <v>7500</v>
      </c>
      <c r="U194" s="218">
        <f t="shared" si="58"/>
        <v>3703386.1585735492</v>
      </c>
      <c r="V194" s="218">
        <f>MAX(V193*(1+'Model Inputs'!$B$13)+U194,0)</f>
        <v>16107368.919245029</v>
      </c>
      <c r="W194" s="218">
        <f>MAX(W193*(1+'Model Inputs'!$B$13)+M194+T194,0)</f>
        <v>367722.11146810249</v>
      </c>
      <c r="X194" s="218">
        <f t="shared" si="59"/>
        <v>16475091.030713132</v>
      </c>
      <c r="Y194" s="226">
        <f t="shared" si="60"/>
        <v>9</v>
      </c>
      <c r="Z194" s="226" t="str">
        <f t="shared" si="61"/>
        <v/>
      </c>
      <c r="AA194" s="226" t="str">
        <f t="shared" si="62"/>
        <v/>
      </c>
      <c r="AB194" s="226" t="str">
        <f t="shared" si="63"/>
        <v/>
      </c>
    </row>
    <row r="195" spans="1:28" x14ac:dyDescent="0.2">
      <c r="A195" s="214" t="str">
        <f t="shared" si="64"/>
        <v>4Y 4x</v>
      </c>
      <c r="B195" s="214">
        <f t="shared" si="65"/>
        <v>4</v>
      </c>
      <c r="C195" s="223">
        <f t="shared" si="66"/>
        <v>4</v>
      </c>
      <c r="D195" s="214">
        <v>10</v>
      </c>
      <c r="E195" s="214">
        <f t="shared" si="53"/>
        <v>2035</v>
      </c>
      <c r="F195" s="218">
        <f>IF(D195=1,'Model Inputs'!$B$25*(13-'Model Inputs'!$B$23)/12,'Model Inputs'!$B$25)</f>
        <v>300000</v>
      </c>
      <c r="G195" s="218">
        <f>IF(D195=1,'Model Inputs'!$B$27*(13-'Model Inputs'!$B$23)/12,IF(D195=2,'Model Inputs'!$B$27,IF(D195&lt;=MAX(3,'Model Inputs'!$B$30+1),'Model Inputs'!$B$27*(1+'Model Inputs'!$B$28)^(D195-3),'Model Inputs'!$B$27*(1+'Model Inputs'!$B$28)^(MAX(3,'Model Inputs'!$B$30+1)-3)*(1+'Model Inputs'!$B$29)^(D195-MAX(3,'Model Inputs'!$B$30+1)))))</f>
        <v>3149502.4370985711</v>
      </c>
      <c r="H195" s="224">
        <f>IF(D195&lt;=2,0,'Model Inputs'!$B$32*SIN(2*PI()*(D195-3+'Model Inputs'!$B$34)/MAX(1,'Model Inputs'!$B$33)))</f>
        <v>0.10392304845413271</v>
      </c>
      <c r="I195" s="218">
        <f t="shared" si="54"/>
        <v>3476808.331475575</v>
      </c>
      <c r="J195" s="218">
        <f t="shared" si="67"/>
        <v>2295495.7626410057</v>
      </c>
      <c r="K195" s="218">
        <f>F195+J195+IF(D195=1,'Model Inputs'!$B$26,0)</f>
        <v>2595495.7626410057</v>
      </c>
      <c r="L195" s="218">
        <f t="shared" si="55"/>
        <v>10381983.050564023</v>
      </c>
      <c r="M195" s="218">
        <f>MIN(L195,'Tax Assumptions'!$B$19)</f>
        <v>24500</v>
      </c>
      <c r="N195" s="218">
        <f>MAX(L195-M195-'Tax Assumptions'!$B$8,0)</f>
        <v>10341383.050564023</v>
      </c>
      <c r="O195" s="218">
        <f>MAX(L195-M195-'Tax Assumptions'!$B$9,0)</f>
        <v>10349483.050564023</v>
      </c>
      <c r="P195" s="218">
        <f>IF(N195=0,0,LOOKUP(N195,'Tax Assumptions'!$F$9:$F$15,'Tax Assumptions'!$I$9:$I$15)+(N195-LOOKUP(N195,'Tax Assumptions'!$F$9:$F$15,'Tax Assumptions'!$F$9:$F$15))*LOOKUP(N195,'Tax Assumptions'!$F$9:$F$15,'Tax Assumptions'!$H$9:$H$15))+MIN(MAX(L195,0),'Tax Assumptions'!$B$11)*'Tax Assumptions'!$B$10+MAX(L195,0)*'Tax Assumptions'!$B$12+MAX(MAX(L195,0)-'Tax Assumptions'!$B$14,0)*'Tax Assumptions'!$B$13+MIN(L195*'Tax Assumptions'!$B$15,'Tax Assumptions'!$B$16)+MIN(L195*'Tax Assumptions'!$B$17,'Tax Assumptions'!$B$18)+IF(O195=0,0,LOOKUP(O195,'Tax Assumptions'!$K$9:$K$17,'Tax Assumptions'!$N$9:$N$17)+(O195-LOOKUP(O195,'Tax Assumptions'!$K$9:$K$17,'Tax Assumptions'!$K$9:$K$17))*LOOKUP(O195,'Tax Assumptions'!$K$9:$K$17,'Tax Assumptions'!$M$9:$M$17))+IF(O195=0,0,LOOKUP(O195,'Tax Assumptions'!$P$9:$P$12,'Tax Assumptions'!$S$9:$S$12)+(O195-LOOKUP(O195,'Tax Assumptions'!$P$9:$P$12,'Tax Assumptions'!$P$9:$P$12))*LOOKUP(O195,'Tax Assumptions'!$P$9:$P$12,'Tax Assumptions'!$R$9:$R$12))</f>
        <v>5438062.7876448995</v>
      </c>
      <c r="Q195" s="218">
        <f t="shared" si="56"/>
        <v>4919420.2629191233</v>
      </c>
      <c r="R195" s="218">
        <f>IF(D195&lt;=10,INDEX('Savings Projection'!$BL$19:$BL$28,D195),LOOKUP(2,1/('Savings Projection'!$BL$19:$BL$28&lt;&gt;""),'Savings Projection'!$BL$19:$BL$28))*(1+'Model Inputs'!$B$35)^(D195-1)+IF(D195&lt;=10,INDEX('Savings Projection'!$BM$19:$BM$28,D195),LOOKUP(2,1/('Savings Projection'!$BM$19:$BM$28&lt;&gt;""),'Savings Projection'!$BM$19:$BM$28))*(1+'Model Inputs'!$B$36)^(D195-1)</f>
        <v>169620.51389780178</v>
      </c>
      <c r="S195" s="218">
        <f t="shared" si="57"/>
        <v>4749799.7490213215</v>
      </c>
      <c r="T195" s="218">
        <f>MIN(MAX(S195,0),'Tax Assumptions'!$B$20)</f>
        <v>7500</v>
      </c>
      <c r="U195" s="218">
        <f t="shared" si="58"/>
        <v>4742299.7490213215</v>
      </c>
      <c r="V195" s="218">
        <f>MAX(V194*(1+'Model Inputs'!$B$13)+U195,0)</f>
        <v>21816110.803421054</v>
      </c>
      <c r="W195" s="218">
        <f>MAX(W194*(1+'Model Inputs'!$B$13)+M195+T195,0)</f>
        <v>421785.43815618864</v>
      </c>
      <c r="X195" s="218">
        <f t="shared" si="59"/>
        <v>22237896.241577242</v>
      </c>
      <c r="Y195" s="226" t="str">
        <f t="shared" si="60"/>
        <v/>
      </c>
      <c r="Z195" s="226">
        <f t="shared" si="61"/>
        <v>10</v>
      </c>
      <c r="AA195" s="226">
        <f t="shared" si="62"/>
        <v>10</v>
      </c>
      <c r="AB195" s="226">
        <f t="shared" si="63"/>
        <v>10</v>
      </c>
    </row>
    <row r="196" spans="1:28" x14ac:dyDescent="0.2">
      <c r="A196" s="214" t="str">
        <f t="shared" si="64"/>
        <v>4Y 4x</v>
      </c>
      <c r="B196" s="214">
        <f t="shared" si="65"/>
        <v>4</v>
      </c>
      <c r="C196" s="223">
        <f t="shared" si="66"/>
        <v>4</v>
      </c>
      <c r="D196" s="214">
        <v>11</v>
      </c>
      <c r="E196" s="214">
        <f t="shared" si="53"/>
        <v>2036</v>
      </c>
      <c r="F196" s="218">
        <f>IF(D196=1,'Model Inputs'!$B$25*(13-'Model Inputs'!$B$23)/12,'Model Inputs'!$B$25)</f>
        <v>300000</v>
      </c>
      <c r="G196" s="218">
        <f>IF(D196=1,'Model Inputs'!$B$27*(13-'Model Inputs'!$B$23)/12,IF(D196=2,'Model Inputs'!$B$27,IF(D196&lt;=MAX(3,'Model Inputs'!$B$30+1),'Model Inputs'!$B$27*(1+'Model Inputs'!$B$28)^(D196-3),'Model Inputs'!$B$27*(1+'Model Inputs'!$B$28)^(MAX(3,'Model Inputs'!$B$30+1)-3)*(1+'Model Inputs'!$B$29)^(D196-MAX(3,'Model Inputs'!$B$30+1)))))</f>
        <v>4002631.578947369</v>
      </c>
      <c r="H196" s="224">
        <f>IF(D196&lt;=2,0,'Model Inputs'!$B$32*SIN(2*PI()*(D196-3+'Model Inputs'!$B$34)/MAX(1,'Model Inputs'!$B$33)))</f>
        <v>-0.10392304845413253</v>
      </c>
      <c r="I196" s="218">
        <f t="shared" si="54"/>
        <v>3586665.9034243808</v>
      </c>
      <c r="J196" s="218">
        <f t="shared" si="67"/>
        <v>3227158.9981941464</v>
      </c>
      <c r="K196" s="218">
        <f>F196+J196+IF(D196=1,'Model Inputs'!$B$26,0)</f>
        <v>3527158.9981941464</v>
      </c>
      <c r="L196" s="218">
        <f t="shared" si="55"/>
        <v>14108635.992776586</v>
      </c>
      <c r="M196" s="218">
        <f>MIN(L196,'Tax Assumptions'!$B$19)</f>
        <v>24500</v>
      </c>
      <c r="N196" s="218">
        <f>MAX(L196-M196-'Tax Assumptions'!$B$8,0)</f>
        <v>14068035.992776586</v>
      </c>
      <c r="O196" s="218">
        <f>MAX(L196-M196-'Tax Assumptions'!$B$9,0)</f>
        <v>14076135.992776586</v>
      </c>
      <c r="P196" s="218">
        <f>IF(N196=0,0,LOOKUP(N196,'Tax Assumptions'!$F$9:$F$15,'Tax Assumptions'!$I$9:$I$15)+(N196-LOOKUP(N196,'Tax Assumptions'!$F$9:$F$15,'Tax Assumptions'!$F$9:$F$15))*LOOKUP(N196,'Tax Assumptions'!$F$9:$F$15,'Tax Assumptions'!$H$9:$H$15))+MIN(MAX(L196,0),'Tax Assumptions'!$B$11)*'Tax Assumptions'!$B$10+MAX(L196,0)*'Tax Assumptions'!$B$12+MAX(MAX(L196,0)-'Tax Assumptions'!$B$14,0)*'Tax Assumptions'!$B$13+MIN(L196*'Tax Assumptions'!$B$15,'Tax Assumptions'!$B$16)+MIN(L196*'Tax Assumptions'!$B$17,'Tax Assumptions'!$B$18)+IF(O196=0,0,LOOKUP(O196,'Tax Assumptions'!$K$9:$K$17,'Tax Assumptions'!$N$9:$N$17)+(O196-LOOKUP(O196,'Tax Assumptions'!$K$9:$K$17,'Tax Assumptions'!$K$9:$K$17))*LOOKUP(O196,'Tax Assumptions'!$K$9:$K$17,'Tax Assumptions'!$M$9:$M$17))+IF(O196=0,0,LOOKUP(O196,'Tax Assumptions'!$P$9:$P$12,'Tax Assumptions'!$S$9:$S$12)+(O196-LOOKUP(O196,'Tax Assumptions'!$P$9:$P$12,'Tax Assumptions'!$P$9:$P$12))*LOOKUP(O196,'Tax Assumptions'!$P$9:$P$12,'Tax Assumptions'!$R$9:$R$12))</f>
        <v>7432791.0414935956</v>
      </c>
      <c r="Q196" s="218">
        <f t="shared" si="56"/>
        <v>6651344.9512829902</v>
      </c>
      <c r="R196" s="218">
        <f>IF(D196&lt;=10,INDEX('Savings Projection'!$BL$19:$BL$28,D196),LOOKUP(2,1/('Savings Projection'!$BL$19:$BL$28&lt;&gt;""),'Savings Projection'!$BL$19:$BL$28))*(1+'Model Inputs'!$B$35)^(D196-1)+IF(D196&lt;=10,INDEX('Savings Projection'!$BM$19:$BM$28,D196),LOOKUP(2,1/('Savings Projection'!$BM$19:$BM$28&lt;&gt;""),'Savings Projection'!$BM$19:$BM$28))*(1+'Model Inputs'!$B$36)^(D196-1)</f>
        <v>174709.12931473582</v>
      </c>
      <c r="S196" s="218">
        <f t="shared" si="57"/>
        <v>6476635.8219682546</v>
      </c>
      <c r="T196" s="218">
        <f>MIN(MAX(S196,0),'Tax Assumptions'!$B$20)</f>
        <v>7500</v>
      </c>
      <c r="U196" s="218">
        <f t="shared" si="58"/>
        <v>6469135.8219682546</v>
      </c>
      <c r="V196" s="218">
        <f>MAX(V195*(1+'Model Inputs'!$B$13)+U196,0)</f>
        <v>29594213.273594573</v>
      </c>
      <c r="W196" s="218">
        <f>MAX(W195*(1+'Model Inputs'!$B$13)+M196+T196,0)</f>
        <v>479092.56444555998</v>
      </c>
      <c r="X196" s="218">
        <f t="shared" si="59"/>
        <v>30073305.838040132</v>
      </c>
      <c r="Y196" s="226" t="str">
        <f t="shared" si="60"/>
        <v/>
      </c>
      <c r="Z196" s="226" t="str">
        <f t="shared" si="61"/>
        <v/>
      </c>
      <c r="AA196" s="226" t="str">
        <f t="shared" si="62"/>
        <v/>
      </c>
      <c r="AB196" s="226" t="str">
        <f t="shared" si="63"/>
        <v/>
      </c>
    </row>
    <row r="197" spans="1:28" x14ac:dyDescent="0.2">
      <c r="A197" s="214" t="str">
        <f t="shared" si="64"/>
        <v>4Y 4x</v>
      </c>
      <c r="B197" s="214">
        <f t="shared" si="65"/>
        <v>4</v>
      </c>
      <c r="C197" s="223">
        <f t="shared" si="66"/>
        <v>4</v>
      </c>
      <c r="D197" s="214">
        <v>12</v>
      </c>
      <c r="E197" s="214">
        <f t="shared" si="53"/>
        <v>2037</v>
      </c>
      <c r="F197" s="218">
        <f>IF(D197=1,'Model Inputs'!$B$25*(13-'Model Inputs'!$B$23)/12,'Model Inputs'!$B$25)</f>
        <v>300000</v>
      </c>
      <c r="G197" s="218">
        <f>IF(D197=1,'Model Inputs'!$B$27*(13-'Model Inputs'!$B$23)/12,IF(D197=2,'Model Inputs'!$B$27,IF(D197&lt;=MAX(3,'Model Inputs'!$B$30+1),'Model Inputs'!$B$27*(1+'Model Inputs'!$B$28)^(D197-3),'Model Inputs'!$B$27*(1+'Model Inputs'!$B$28)^(MAX(3,'Model Inputs'!$B$30+1)-3)*(1+'Model Inputs'!$B$29)^(D197-MAX(3,'Model Inputs'!$B$30+1)))))</f>
        <v>5086854.15450761</v>
      </c>
      <c r="H197" s="224">
        <f>IF(D197&lt;=2,0,'Model Inputs'!$B$32*SIN(2*PI()*(D197-3+'Model Inputs'!$B$34)/MAX(1,'Model Inputs'!$B$33)))</f>
        <v>-8.8174569538609421E-17</v>
      </c>
      <c r="I197" s="218">
        <f t="shared" si="54"/>
        <v>5086854.1545076091</v>
      </c>
      <c r="J197" s="218">
        <f t="shared" si="67"/>
        <v>3559201.5104371794</v>
      </c>
      <c r="K197" s="218">
        <f>F197+J197+IF(D197=1,'Model Inputs'!$B$26,0)</f>
        <v>3859201.5104371794</v>
      </c>
      <c r="L197" s="218">
        <f t="shared" si="55"/>
        <v>15436806.041748717</v>
      </c>
      <c r="M197" s="218">
        <f>MIN(L197,'Tax Assumptions'!$B$19)</f>
        <v>24500</v>
      </c>
      <c r="N197" s="218">
        <f>MAX(L197-M197-'Tax Assumptions'!$B$8,0)</f>
        <v>15396206.041748717</v>
      </c>
      <c r="O197" s="218">
        <f>MAX(L197-M197-'Tax Assumptions'!$B$9,0)</f>
        <v>15404306.041748717</v>
      </c>
      <c r="P197" s="218">
        <f>IF(N197=0,0,LOOKUP(N197,'Tax Assumptions'!$F$9:$F$15,'Tax Assumptions'!$I$9:$I$15)+(N197-LOOKUP(N197,'Tax Assumptions'!$F$9:$F$15,'Tax Assumptions'!$F$9:$F$15))*LOOKUP(N197,'Tax Assumptions'!$F$9:$F$15,'Tax Assumptions'!$H$9:$H$15))+MIN(MAX(L197,0),'Tax Assumptions'!$B$11)*'Tax Assumptions'!$B$10+MAX(L197,0)*'Tax Assumptions'!$B$12+MAX(MAX(L197,0)-'Tax Assumptions'!$B$14,0)*'Tax Assumptions'!$B$13+MIN(L197*'Tax Assumptions'!$B$15,'Tax Assumptions'!$B$16)+MIN(L197*'Tax Assumptions'!$B$17,'Tax Assumptions'!$B$18)+IF(O197=0,0,LOOKUP(O197,'Tax Assumptions'!$K$9:$K$17,'Tax Assumptions'!$N$9:$N$17)+(O197-LOOKUP(O197,'Tax Assumptions'!$K$9:$K$17,'Tax Assumptions'!$K$9:$K$17))*LOOKUP(O197,'Tax Assumptions'!$K$9:$K$17,'Tax Assumptions'!$M$9:$M$17))+IF(O197=0,0,LOOKUP(O197,'Tax Assumptions'!$P$9:$P$12,'Tax Assumptions'!$S$9:$S$12)+(O197-LOOKUP(O197,'Tax Assumptions'!$P$9:$P$12,'Tax Assumptions'!$P$9:$P$12))*LOOKUP(O197,'Tax Assumptions'!$P$9:$P$12,'Tax Assumptions'!$R$9:$R$12))</f>
        <v>8143707.3419064181</v>
      </c>
      <c r="Q197" s="218">
        <f t="shared" si="56"/>
        <v>7268598.6998422993</v>
      </c>
      <c r="R197" s="218">
        <f>IF(D197&lt;=10,INDEX('Savings Projection'!$BL$19:$BL$28,D197),LOOKUP(2,1/('Savings Projection'!$BL$19:$BL$28&lt;&gt;""),'Savings Projection'!$BL$19:$BL$28))*(1+'Model Inputs'!$B$35)^(D197-1)+IF(D197&lt;=10,INDEX('Savings Projection'!$BM$19:$BM$28,D197),LOOKUP(2,1/('Savings Projection'!$BM$19:$BM$28&lt;&gt;""),'Savings Projection'!$BM$19:$BM$28))*(1+'Model Inputs'!$B$36)^(D197-1)</f>
        <v>179950.4031941779</v>
      </c>
      <c r="S197" s="218">
        <f t="shared" si="57"/>
        <v>7088648.2966481214</v>
      </c>
      <c r="T197" s="218">
        <f>MIN(MAX(S197,0),'Tax Assumptions'!$B$20)</f>
        <v>7500</v>
      </c>
      <c r="U197" s="218">
        <f t="shared" si="58"/>
        <v>7081148.2966481214</v>
      </c>
      <c r="V197" s="218">
        <f>MAX(V196*(1+'Model Inputs'!$B$13)+U197,0)</f>
        <v>38451014.366658367</v>
      </c>
      <c r="W197" s="218">
        <f>MAX(W196*(1+'Model Inputs'!$B$13)+M197+T197,0)</f>
        <v>539838.11831229366</v>
      </c>
      <c r="X197" s="218">
        <f t="shared" si="59"/>
        <v>38990852.484970659</v>
      </c>
      <c r="Y197" s="226" t="str">
        <f t="shared" si="60"/>
        <v/>
      </c>
      <c r="Z197" s="226" t="str">
        <f t="shared" si="61"/>
        <v/>
      </c>
      <c r="AA197" s="226" t="str">
        <f t="shared" si="62"/>
        <v/>
      </c>
      <c r="AB197" s="226" t="str">
        <f t="shared" si="63"/>
        <v/>
      </c>
    </row>
    <row r="198" spans="1:28" x14ac:dyDescent="0.2">
      <c r="A198" s="214" t="str">
        <f t="shared" si="64"/>
        <v>4Y 4x</v>
      </c>
      <c r="B198" s="214">
        <f t="shared" si="65"/>
        <v>4</v>
      </c>
      <c r="C198" s="223">
        <f t="shared" si="66"/>
        <v>4</v>
      </c>
      <c r="D198" s="214">
        <v>13</v>
      </c>
      <c r="E198" s="214">
        <f t="shared" si="53"/>
        <v>2038</v>
      </c>
      <c r="F198" s="218">
        <f>IF(D198=1,'Model Inputs'!$B$25*(13-'Model Inputs'!$B$23)/12,'Model Inputs'!$B$25)</f>
        <v>300000</v>
      </c>
      <c r="G198" s="218">
        <f>IF(D198=1,'Model Inputs'!$B$27*(13-'Model Inputs'!$B$23)/12,IF(D198=2,'Model Inputs'!$B$27,IF(D198&lt;=MAX(3,'Model Inputs'!$B$30+1),'Model Inputs'!$B$27*(1+'Model Inputs'!$B$28)^(D198-3),'Model Inputs'!$B$27*(1+'Model Inputs'!$B$28)^(MAX(3,'Model Inputs'!$B$30+1)-3)*(1+'Model Inputs'!$B$29)^(D198-MAX(3,'Model Inputs'!$B$30+1)))))</f>
        <v>6464768.1603602255</v>
      </c>
      <c r="H198" s="224">
        <f>IF(D198&lt;=2,0,'Model Inputs'!$B$32*SIN(2*PI()*(D198-3+'Model Inputs'!$B$34)/MAX(1,'Model Inputs'!$B$33)))</f>
        <v>0.10392304845413261</v>
      </c>
      <c r="I198" s="218">
        <f t="shared" si="54"/>
        <v>7136606.5751340752</v>
      </c>
      <c r="J198" s="218">
        <f t="shared" si="67"/>
        <v>4711807.0917368019</v>
      </c>
      <c r="K198" s="218">
        <f>F198+J198+IF(D198=1,'Model Inputs'!$B$26,0)</f>
        <v>5011807.0917368019</v>
      </c>
      <c r="L198" s="218">
        <f t="shared" si="55"/>
        <v>20047228.366947208</v>
      </c>
      <c r="M198" s="218">
        <f>MIN(L198,'Tax Assumptions'!$B$19)</f>
        <v>24500</v>
      </c>
      <c r="N198" s="218">
        <f>MAX(L198-M198-'Tax Assumptions'!$B$8,0)</f>
        <v>20006628.366947208</v>
      </c>
      <c r="O198" s="218">
        <f>MAX(L198-M198-'Tax Assumptions'!$B$9,0)</f>
        <v>20014728.366947208</v>
      </c>
      <c r="P198" s="218">
        <f>IF(N198=0,0,LOOKUP(N198,'Tax Assumptions'!$F$9:$F$15,'Tax Assumptions'!$I$9:$I$15)+(N198-LOOKUP(N198,'Tax Assumptions'!$F$9:$F$15,'Tax Assumptions'!$F$9:$F$15))*LOOKUP(N198,'Tax Assumptions'!$F$9:$F$15,'Tax Assumptions'!$H$9:$H$15))+MIN(MAX(L198,0),'Tax Assumptions'!$B$11)*'Tax Assumptions'!$B$10+MAX(L198,0)*'Tax Assumptions'!$B$12+MAX(MAX(L198,0)-'Tax Assumptions'!$B$14,0)*'Tax Assumptions'!$B$13+MIN(L198*'Tax Assumptions'!$B$15,'Tax Assumptions'!$B$16)+MIN(L198*'Tax Assumptions'!$B$17,'Tax Assumptions'!$B$18)+IF(O198=0,0,LOOKUP(O198,'Tax Assumptions'!$K$9:$K$17,'Tax Assumptions'!$N$9:$N$17)+(O198-LOOKUP(O198,'Tax Assumptions'!$K$9:$K$17,'Tax Assumptions'!$K$9:$K$17))*LOOKUP(O198,'Tax Assumptions'!$K$9:$K$17,'Tax Assumptions'!$M$9:$M$17))+IF(O198=0,0,LOOKUP(O198,'Tax Assumptions'!$P$9:$P$12,'Tax Assumptions'!$S$9:$S$12)+(O198-LOOKUP(O198,'Tax Assumptions'!$P$9:$P$12,'Tax Assumptions'!$P$9:$P$12))*LOOKUP(O198,'Tax Assumptions'!$P$9:$P$12,'Tax Assumptions'!$R$9:$R$12))</f>
        <v>10611481.995692162</v>
      </c>
      <c r="Q198" s="218">
        <f t="shared" si="56"/>
        <v>9411246.3712550458</v>
      </c>
      <c r="R198" s="218">
        <f>IF(D198&lt;=10,INDEX('Savings Projection'!$BL$19:$BL$28,D198),LOOKUP(2,1/('Savings Projection'!$BL$19:$BL$28&lt;&gt;""),'Savings Projection'!$BL$19:$BL$28))*(1+'Model Inputs'!$B$35)^(D198-1)+IF(D198&lt;=10,INDEX('Savings Projection'!$BM$19:$BM$28,D198),LOOKUP(2,1/('Savings Projection'!$BM$19:$BM$28&lt;&gt;""),'Savings Projection'!$BM$19:$BM$28))*(1+'Model Inputs'!$B$36)^(D198-1)</f>
        <v>185348.91529000323</v>
      </c>
      <c r="S198" s="218">
        <f t="shared" si="57"/>
        <v>9225897.4559650421</v>
      </c>
      <c r="T198" s="218">
        <f>MIN(MAX(S198,0),'Tax Assumptions'!$B$20)</f>
        <v>7500</v>
      </c>
      <c r="U198" s="218">
        <f t="shared" si="58"/>
        <v>9218397.4559650421</v>
      </c>
      <c r="V198" s="218">
        <f>MAX(V197*(1+'Model Inputs'!$B$13)+U198,0)</f>
        <v>49976472.684622914</v>
      </c>
      <c r="W198" s="218">
        <f>MAX(W197*(1+'Model Inputs'!$B$13)+M198+T198,0)</f>
        <v>604228.40541103133</v>
      </c>
      <c r="X198" s="218">
        <f t="shared" si="59"/>
        <v>50580701.090033948</v>
      </c>
      <c r="Y198" s="226" t="str">
        <f t="shared" si="60"/>
        <v/>
      </c>
      <c r="Z198" s="226" t="str">
        <f t="shared" si="61"/>
        <v/>
      </c>
      <c r="AA198" s="226" t="str">
        <f t="shared" si="62"/>
        <v/>
      </c>
      <c r="AB198" s="226" t="str">
        <f t="shared" si="63"/>
        <v/>
      </c>
    </row>
    <row r="199" spans="1:28" x14ac:dyDescent="0.2">
      <c r="A199" s="214" t="str">
        <f t="shared" si="64"/>
        <v>4Y 4x</v>
      </c>
      <c r="B199" s="214">
        <f t="shared" si="65"/>
        <v>4</v>
      </c>
      <c r="C199" s="223">
        <f t="shared" si="66"/>
        <v>4</v>
      </c>
      <c r="D199" s="214">
        <v>14</v>
      </c>
      <c r="E199" s="214">
        <f t="shared" si="53"/>
        <v>2039</v>
      </c>
      <c r="F199" s="218">
        <f>IF(D199=1,'Model Inputs'!$B$25*(13-'Model Inputs'!$B$23)/12,'Model Inputs'!$B$25)</f>
        <v>300000</v>
      </c>
      <c r="G199" s="218">
        <f>IF(D199=1,'Model Inputs'!$B$27*(13-'Model Inputs'!$B$23)/12,IF(D199=2,'Model Inputs'!$B$27,IF(D199&lt;=MAX(3,'Model Inputs'!$B$30+1),'Model Inputs'!$B$27*(1+'Model Inputs'!$B$28)^(D199-3),'Model Inputs'!$B$27*(1+'Model Inputs'!$B$28)^(MAX(3,'Model Inputs'!$B$30+1)-3)*(1+'Model Inputs'!$B$29)^(D199-MAX(3,'Model Inputs'!$B$30+1)))))</f>
        <v>8215927.9778393377</v>
      </c>
      <c r="H199" s="224">
        <f>IF(D199&lt;=2,0,'Model Inputs'!$B$32*SIN(2*PI()*(D199-3+'Model Inputs'!$B$34)/MAX(1,'Model Inputs'!$B$33)))</f>
        <v>-0.10392304845413251</v>
      </c>
      <c r="I199" s="218">
        <f t="shared" si="54"/>
        <v>7362103.6965026772</v>
      </c>
      <c r="J199" s="218">
        <f t="shared" si="67"/>
        <v>6624168.4699774589</v>
      </c>
      <c r="K199" s="218">
        <f>F199+J199+IF(D199=1,'Model Inputs'!$B$26,0)</f>
        <v>6924168.4699774589</v>
      </c>
      <c r="L199" s="218">
        <f t="shared" si="55"/>
        <v>27696673.879909836</v>
      </c>
      <c r="M199" s="218">
        <f>MIN(L199,'Tax Assumptions'!$B$19)</f>
        <v>24500</v>
      </c>
      <c r="N199" s="218">
        <f>MAX(L199-M199-'Tax Assumptions'!$B$8,0)</f>
        <v>27656073.879909836</v>
      </c>
      <c r="O199" s="218">
        <f>MAX(L199-M199-'Tax Assumptions'!$B$9,0)</f>
        <v>27664173.879909836</v>
      </c>
      <c r="P199" s="218">
        <f>IF(N199=0,0,LOOKUP(N199,'Tax Assumptions'!$F$9:$F$15,'Tax Assumptions'!$I$9:$I$15)+(N199-LOOKUP(N199,'Tax Assumptions'!$F$9:$F$15,'Tax Assumptions'!$F$9:$F$15))*LOOKUP(N199,'Tax Assumptions'!$F$9:$F$15,'Tax Assumptions'!$H$9:$H$15))+MIN(MAX(L199,0),'Tax Assumptions'!$B$11)*'Tax Assumptions'!$B$10+MAX(L199,0)*'Tax Assumptions'!$B$12+MAX(MAX(L199,0)-'Tax Assumptions'!$B$14,0)*'Tax Assumptions'!$B$13+MIN(L199*'Tax Assumptions'!$B$15,'Tax Assumptions'!$B$16)+MIN(L199*'Tax Assumptions'!$B$17,'Tax Assumptions'!$B$18)+IF(O199=0,0,LOOKUP(O199,'Tax Assumptions'!$K$9:$K$17,'Tax Assumptions'!$N$9:$N$17)+(O199-LOOKUP(O199,'Tax Assumptions'!$K$9:$K$17,'Tax Assumptions'!$K$9:$K$17))*LOOKUP(O199,'Tax Assumptions'!$K$9:$K$17,'Tax Assumptions'!$M$9:$M$17))+IF(O199=0,0,LOOKUP(O199,'Tax Assumptions'!$P$9:$P$12,'Tax Assumptions'!$S$9:$S$12)+(O199-LOOKUP(O199,'Tax Assumptions'!$P$9:$P$12,'Tax Assumptions'!$P$9:$P$12))*LOOKUP(O199,'Tax Assumptions'!$P$9:$P$12,'Tax Assumptions'!$R$9:$R$12))</f>
        <v>14721909.244239999</v>
      </c>
      <c r="Q199" s="218">
        <f t="shared" si="56"/>
        <v>12950264.635669837</v>
      </c>
      <c r="R199" s="218">
        <f>IF(D199&lt;=10,INDEX('Savings Projection'!$BL$19:$BL$28,D199),LOOKUP(2,1/('Savings Projection'!$BL$19:$BL$28&lt;&gt;""),'Savings Projection'!$BL$19:$BL$28))*(1+'Model Inputs'!$B$35)^(D199-1)+IF(D199&lt;=10,INDEX('Savings Projection'!$BM$19:$BM$28,D199),LOOKUP(2,1/('Savings Projection'!$BM$19:$BM$28&lt;&gt;""),'Savings Projection'!$BM$19:$BM$28))*(1+'Model Inputs'!$B$36)^(D199-1)</f>
        <v>190909.3827487033</v>
      </c>
      <c r="S199" s="218">
        <f t="shared" si="57"/>
        <v>12759355.252921134</v>
      </c>
      <c r="T199" s="218">
        <f>MIN(MAX(S199,0),'Tax Assumptions'!$B$20)</f>
        <v>7500</v>
      </c>
      <c r="U199" s="218">
        <f t="shared" si="58"/>
        <v>12751855.252921134</v>
      </c>
      <c r="V199" s="218">
        <f>MAX(V198*(1+'Model Inputs'!$B$13)+U199,0)</f>
        <v>65726916.298621424</v>
      </c>
      <c r="W199" s="218">
        <f>MAX(W198*(1+'Model Inputs'!$B$13)+M199+T199,0)</f>
        <v>672482.1097356932</v>
      </c>
      <c r="X199" s="218">
        <f t="shared" si="59"/>
        <v>66399398.408357114</v>
      </c>
      <c r="Y199" s="226" t="str">
        <f t="shared" si="60"/>
        <v/>
      </c>
      <c r="Z199" s="226" t="str">
        <f t="shared" si="61"/>
        <v/>
      </c>
      <c r="AA199" s="226" t="str">
        <f t="shared" si="62"/>
        <v/>
      </c>
      <c r="AB199" s="226" t="str">
        <f t="shared" si="63"/>
        <v/>
      </c>
    </row>
    <row r="200" spans="1:28" x14ac:dyDescent="0.2">
      <c r="A200" s="214" t="str">
        <f t="shared" si="64"/>
        <v>4Y 4x</v>
      </c>
      <c r="B200" s="214">
        <f t="shared" si="65"/>
        <v>4</v>
      </c>
      <c r="C200" s="223">
        <f t="shared" si="66"/>
        <v>4</v>
      </c>
      <c r="D200" s="214">
        <v>15</v>
      </c>
      <c r="E200" s="214">
        <f t="shared" si="53"/>
        <v>2040</v>
      </c>
      <c r="F200" s="218">
        <f>IF(D200=1,'Model Inputs'!$B$25*(13-'Model Inputs'!$B$23)/12,'Model Inputs'!$B$25)</f>
        <v>300000</v>
      </c>
      <c r="G200" s="218">
        <f>IF(D200=1,'Model Inputs'!$B$27*(13-'Model Inputs'!$B$23)/12,IF(D200=2,'Model Inputs'!$B$27,IF(D200&lt;=MAX(3,'Model Inputs'!$B$30+1),'Model Inputs'!$B$27*(1+'Model Inputs'!$B$28)^(D200-3),'Model Inputs'!$B$27*(1+'Model Inputs'!$B$28)^(MAX(3,'Model Inputs'!$B$30+1)-3)*(1+'Model Inputs'!$B$29)^(D200-MAX(3,'Model Inputs'!$B$30+1)))))</f>
        <v>10441437.475041937</v>
      </c>
      <c r="H200" s="224">
        <f>IF(D200&lt;=2,0,'Model Inputs'!$B$32*SIN(2*PI()*(D200-3+'Model Inputs'!$B$34)/MAX(1,'Model Inputs'!$B$33)))</f>
        <v>-1.1756609271814589E-16</v>
      </c>
      <c r="I200" s="218">
        <f t="shared" si="54"/>
        <v>10441437.475041935</v>
      </c>
      <c r="J200" s="218">
        <f t="shared" si="67"/>
        <v>7305729.4161605267</v>
      </c>
      <c r="K200" s="218">
        <f>F200+J200+IF(D200=1,'Model Inputs'!$B$26,0)</f>
        <v>7605729.4161605267</v>
      </c>
      <c r="L200" s="218">
        <f t="shared" si="55"/>
        <v>30422917.664642107</v>
      </c>
      <c r="M200" s="218">
        <f>MIN(L200,'Tax Assumptions'!$B$19)</f>
        <v>24500</v>
      </c>
      <c r="N200" s="218">
        <f>MAX(L200-M200-'Tax Assumptions'!$B$8,0)</f>
        <v>30382317.664642107</v>
      </c>
      <c r="O200" s="218">
        <f>MAX(L200-M200-'Tax Assumptions'!$B$9,0)</f>
        <v>30390417.664642107</v>
      </c>
      <c r="P200" s="218">
        <f>IF(N200=0,0,LOOKUP(N200,'Tax Assumptions'!$F$9:$F$15,'Tax Assumptions'!$I$9:$I$15)+(N200-LOOKUP(N200,'Tax Assumptions'!$F$9:$F$15,'Tax Assumptions'!$F$9:$F$15))*LOOKUP(N200,'Tax Assumptions'!$F$9:$F$15,'Tax Assumptions'!$H$9:$H$15))+MIN(MAX(L200,0),'Tax Assumptions'!$B$11)*'Tax Assumptions'!$B$10+MAX(L200,0)*'Tax Assumptions'!$B$12+MAX(MAX(L200,0)-'Tax Assumptions'!$B$14,0)*'Tax Assumptions'!$B$13+MIN(L200*'Tax Assumptions'!$B$15,'Tax Assumptions'!$B$16)+MIN(L200*'Tax Assumptions'!$B$17,'Tax Assumptions'!$B$18)+IF(O200=0,0,LOOKUP(O200,'Tax Assumptions'!$K$9:$K$17,'Tax Assumptions'!$N$9:$N$17)+(O200-LOOKUP(O200,'Tax Assumptions'!$K$9:$K$17,'Tax Assumptions'!$K$9:$K$17))*LOOKUP(O200,'Tax Assumptions'!$K$9:$K$17,'Tax Assumptions'!$M$9:$M$17))+IF(O200=0,0,LOOKUP(O200,'Tax Assumptions'!$P$9:$P$12,'Tax Assumptions'!$S$9:$S$12)+(O200-LOOKUP(O200,'Tax Assumptions'!$P$9:$P$12,'Tax Assumptions'!$P$9:$P$12))*LOOKUP(O200,'Tax Assumptions'!$P$9:$P$12,'Tax Assumptions'!$R$9:$R$12))</f>
        <v>16197515.955164187</v>
      </c>
      <c r="Q200" s="218">
        <f t="shared" si="56"/>
        <v>14200901.70947792</v>
      </c>
      <c r="R200" s="218">
        <f>IF(D200&lt;=10,INDEX('Savings Projection'!$BL$19:$BL$28,D200),LOOKUP(2,1/('Savings Projection'!$BL$19:$BL$28&lt;&gt;""),'Savings Projection'!$BL$19:$BL$28))*(1+'Model Inputs'!$B$35)^(D200-1)+IF(D200&lt;=10,INDEX('Savings Projection'!$BM$19:$BM$28,D200),LOOKUP(2,1/('Savings Projection'!$BM$19:$BM$28&lt;&gt;""),'Savings Projection'!$BM$19:$BM$28))*(1+'Model Inputs'!$B$36)^(D200-1)</f>
        <v>196636.66423116444</v>
      </c>
      <c r="S200" s="218">
        <f t="shared" si="57"/>
        <v>14004265.045246756</v>
      </c>
      <c r="T200" s="218">
        <f>MIN(MAX(S200,0),'Tax Assumptions'!$B$20)</f>
        <v>7500</v>
      </c>
      <c r="U200" s="218">
        <f t="shared" si="58"/>
        <v>13996765.045246756</v>
      </c>
      <c r="V200" s="218">
        <f>MAX(V199*(1+'Model Inputs'!$B$13)+U200,0)</f>
        <v>83667296.321785465</v>
      </c>
      <c r="W200" s="218">
        <f>MAX(W199*(1+'Model Inputs'!$B$13)+M200+T200,0)</f>
        <v>744831.03631983488</v>
      </c>
      <c r="X200" s="218">
        <f t="shared" si="59"/>
        <v>84412127.358105302</v>
      </c>
      <c r="Y200" s="226" t="str">
        <f t="shared" si="60"/>
        <v/>
      </c>
      <c r="Z200" s="226" t="str">
        <f t="shared" si="61"/>
        <v/>
      </c>
      <c r="AA200" s="226" t="str">
        <f t="shared" si="62"/>
        <v/>
      </c>
      <c r="AB200" s="226" t="str">
        <f t="shared" si="63"/>
        <v/>
      </c>
    </row>
    <row r="201" spans="1:28" x14ac:dyDescent="0.2">
      <c r="A201" s="214" t="str">
        <f t="shared" si="64"/>
        <v>4Y 4x</v>
      </c>
      <c r="B201" s="214">
        <f t="shared" si="65"/>
        <v>4</v>
      </c>
      <c r="C201" s="223">
        <f t="shared" si="66"/>
        <v>4</v>
      </c>
      <c r="D201" s="214">
        <v>16</v>
      </c>
      <c r="E201" s="214">
        <f t="shared" si="53"/>
        <v>2041</v>
      </c>
      <c r="F201" s="218">
        <f>IF(D201=1,'Model Inputs'!$B$25*(13-'Model Inputs'!$B$23)/12,'Model Inputs'!$B$25)</f>
        <v>300000</v>
      </c>
      <c r="G201" s="218">
        <f>IF(D201=1,'Model Inputs'!$B$27*(13-'Model Inputs'!$B$23)/12,IF(D201=2,'Model Inputs'!$B$27,IF(D201&lt;=MAX(3,'Model Inputs'!$B$30+1),'Model Inputs'!$B$27*(1+'Model Inputs'!$B$28)^(D201-3),'Model Inputs'!$B$27*(1+'Model Inputs'!$B$28)^(MAX(3,'Model Inputs'!$B$30+1)-3)*(1+'Model Inputs'!$B$29)^(D201-MAX(3,'Model Inputs'!$B$30+1)))))</f>
        <v>13269787.276528884</v>
      </c>
      <c r="H201" s="224">
        <f>IF(D201&lt;=2,0,'Model Inputs'!$B$32*SIN(2*PI()*(D201-3+'Model Inputs'!$B$34)/MAX(1,'Model Inputs'!$B$33)))</f>
        <v>0.10392304845413262</v>
      </c>
      <c r="I201" s="218">
        <f t="shared" si="54"/>
        <v>14648824.022643628</v>
      </c>
      <c r="J201" s="218">
        <f t="shared" si="67"/>
        <v>9671604.0304071214</v>
      </c>
      <c r="K201" s="218">
        <f>F201+J201+IF(D201=1,'Model Inputs'!$B$26,0)</f>
        <v>9971604.0304071214</v>
      </c>
      <c r="L201" s="218">
        <f t="shared" si="55"/>
        <v>39886416.121628486</v>
      </c>
      <c r="M201" s="218">
        <f>MIN(L201,'Tax Assumptions'!$B$19)</f>
        <v>24500</v>
      </c>
      <c r="N201" s="218">
        <f>MAX(L201-M201-'Tax Assumptions'!$B$8,0)</f>
        <v>39845816.121628486</v>
      </c>
      <c r="O201" s="218">
        <f>MAX(L201-M201-'Tax Assumptions'!$B$9,0)</f>
        <v>39853916.121628486</v>
      </c>
      <c r="P201" s="218">
        <f>IF(N201=0,0,LOOKUP(N201,'Tax Assumptions'!$F$9:$F$15,'Tax Assumptions'!$I$9:$I$15)+(N201-LOOKUP(N201,'Tax Assumptions'!$F$9:$F$15,'Tax Assumptions'!$F$9:$F$15))*LOOKUP(N201,'Tax Assumptions'!$F$9:$F$15,'Tax Assumptions'!$H$9:$H$15))+MIN(MAX(L201,0),'Tax Assumptions'!$B$11)*'Tax Assumptions'!$B$10+MAX(L201,0)*'Tax Assumptions'!$B$12+MAX(MAX(L201,0)-'Tax Assumptions'!$B$14,0)*'Tax Assumptions'!$B$13+MIN(L201*'Tax Assumptions'!$B$15,'Tax Assumptions'!$B$16)+MIN(L201*'Tax Assumptions'!$B$17,'Tax Assumptions'!$B$18)+IF(O201=0,0,LOOKUP(O201,'Tax Assumptions'!$K$9:$K$17,'Tax Assumptions'!$N$9:$N$17)+(O201-LOOKUP(O201,'Tax Assumptions'!$K$9:$K$17,'Tax Assumptions'!$K$9:$K$17))*LOOKUP(O201,'Tax Assumptions'!$K$9:$K$17,'Tax Assumptions'!$M$9:$M$17))+IF(O201=0,0,LOOKUP(O201,'Tax Assumptions'!$P$9:$P$12,'Tax Assumptions'!$S$9:$S$12)+(O201-LOOKUP(O201,'Tax Assumptions'!$P$9:$P$12,'Tax Assumptions'!$P$9:$P$12))*LOOKUP(O201,'Tax Assumptions'!$P$9:$P$12,'Tax Assumptions'!$R$9:$R$12))</f>
        <v>21319729.12999263</v>
      </c>
      <c r="Q201" s="218">
        <f t="shared" si="56"/>
        <v>18542186.991635855</v>
      </c>
      <c r="R201" s="218">
        <f>IF(D201&lt;=10,INDEX('Savings Projection'!$BL$19:$BL$28,D201),LOOKUP(2,1/('Savings Projection'!$BL$19:$BL$28&lt;&gt;""),'Savings Projection'!$BL$19:$BL$28))*(1+'Model Inputs'!$B$35)^(D201-1)+IF(D201&lt;=10,INDEX('Savings Projection'!$BM$19:$BM$28,D201),LOOKUP(2,1/('Savings Projection'!$BM$19:$BM$28&lt;&gt;""),'Savings Projection'!$BM$19:$BM$28))*(1+'Model Inputs'!$B$36)^(D201-1)</f>
        <v>202535.76415809937</v>
      </c>
      <c r="S201" s="218">
        <f t="shared" si="57"/>
        <v>18339651.227477755</v>
      </c>
      <c r="T201" s="218">
        <f>MIN(MAX(S201,0),'Tax Assumptions'!$B$20)</f>
        <v>7500</v>
      </c>
      <c r="U201" s="218">
        <f t="shared" si="58"/>
        <v>18332151.227477755</v>
      </c>
      <c r="V201" s="218">
        <f>MAX(V200*(1+'Model Inputs'!$B$13)+U201,0)</f>
        <v>107019485.32857035</v>
      </c>
      <c r="W201" s="218">
        <f>MAX(W200*(1+'Model Inputs'!$B$13)+M201+T201,0)</f>
        <v>821520.89849902503</v>
      </c>
      <c r="X201" s="218">
        <f t="shared" si="59"/>
        <v>107841006.22706938</v>
      </c>
      <c r="Y201" s="226" t="str">
        <f t="shared" si="60"/>
        <v/>
      </c>
      <c r="Z201" s="226" t="str">
        <f t="shared" si="61"/>
        <v/>
      </c>
      <c r="AA201" s="226" t="str">
        <f t="shared" si="62"/>
        <v/>
      </c>
      <c r="AB201" s="226" t="str">
        <f t="shared" si="63"/>
        <v/>
      </c>
    </row>
    <row r="202" spans="1:28" x14ac:dyDescent="0.2">
      <c r="A202" s="214" t="str">
        <f t="shared" si="64"/>
        <v>4Y 4x</v>
      </c>
      <c r="B202" s="214">
        <f t="shared" si="65"/>
        <v>4</v>
      </c>
      <c r="C202" s="223">
        <f t="shared" si="66"/>
        <v>4</v>
      </c>
      <c r="D202" s="214">
        <v>17</v>
      </c>
      <c r="E202" s="214">
        <f t="shared" si="53"/>
        <v>2042</v>
      </c>
      <c r="F202" s="218">
        <f>IF(D202=1,'Model Inputs'!$B$25*(13-'Model Inputs'!$B$23)/12,'Model Inputs'!$B$25)</f>
        <v>300000</v>
      </c>
      <c r="G202" s="218">
        <f>IF(D202=1,'Model Inputs'!$B$27*(13-'Model Inputs'!$B$23)/12,IF(D202=2,'Model Inputs'!$B$27,IF(D202&lt;=MAX(3,'Model Inputs'!$B$30+1),'Model Inputs'!$B$27*(1+'Model Inputs'!$B$28)^(D202-3),'Model Inputs'!$B$27*(1+'Model Inputs'!$B$28)^(MAX(3,'Model Inputs'!$B$30+1)-3)*(1+'Model Inputs'!$B$29)^(D202-MAX(3,'Model Inputs'!$B$30+1)))))</f>
        <v>16864273.217670217</v>
      </c>
      <c r="H202" s="224">
        <f>IF(D202&lt;=2,0,'Model Inputs'!$B$32*SIN(2*PI()*(D202-3+'Model Inputs'!$B$34)/MAX(1,'Model Inputs'!$B$33)))</f>
        <v>-0.1039230484541325</v>
      </c>
      <c r="I202" s="218">
        <f t="shared" si="54"/>
        <v>15111686.534926547</v>
      </c>
      <c r="J202" s="218">
        <f t="shared" si="67"/>
        <v>13596977.385743205</v>
      </c>
      <c r="K202" s="218">
        <f>F202+J202+IF(D202=1,'Model Inputs'!$B$26,0)</f>
        <v>13896977.385743205</v>
      </c>
      <c r="L202" s="218">
        <f t="shared" si="55"/>
        <v>55587909.542972818</v>
      </c>
      <c r="M202" s="218">
        <f>MIN(L202,'Tax Assumptions'!$B$19)</f>
        <v>24500</v>
      </c>
      <c r="N202" s="218">
        <f>MAX(L202-M202-'Tax Assumptions'!$B$8,0)</f>
        <v>55547309.542972818</v>
      </c>
      <c r="O202" s="218">
        <f>MAX(L202-M202-'Tax Assumptions'!$B$9,0)</f>
        <v>55555409.542972818</v>
      </c>
      <c r="P202" s="218">
        <f>IF(N202=0,0,LOOKUP(N202,'Tax Assumptions'!$F$9:$F$15,'Tax Assumptions'!$I$9:$I$15)+(N202-LOOKUP(N202,'Tax Assumptions'!$F$9:$F$15,'Tax Assumptions'!$F$9:$F$15))*LOOKUP(N202,'Tax Assumptions'!$F$9:$F$15,'Tax Assumptions'!$H$9:$H$15))+MIN(MAX(L202,0),'Tax Assumptions'!$B$11)*'Tax Assumptions'!$B$10+MAX(L202,0)*'Tax Assumptions'!$B$12+MAX(MAX(L202,0)-'Tax Assumptions'!$B$14,0)*'Tax Assumptions'!$B$13+MIN(L202*'Tax Assumptions'!$B$15,'Tax Assumptions'!$B$16)+MIN(L202*'Tax Assumptions'!$B$17,'Tax Assumptions'!$B$18)+IF(O202=0,0,LOOKUP(O202,'Tax Assumptions'!$K$9:$K$17,'Tax Assumptions'!$N$9:$N$17)+(O202-LOOKUP(O202,'Tax Assumptions'!$K$9:$K$17,'Tax Assumptions'!$K$9:$K$17))*LOOKUP(O202,'Tax Assumptions'!$K$9:$K$17,'Tax Assumptions'!$M$9:$M$17))+IF(O202=0,0,LOOKUP(O202,'Tax Assumptions'!$P$9:$P$12,'Tax Assumptions'!$S$9:$S$12)+(O202-LOOKUP(O202,'Tax Assumptions'!$P$9:$P$12,'Tax Assumptions'!$P$9:$P$12))*LOOKUP(O202,'Tax Assumptions'!$P$9:$P$12,'Tax Assumptions'!$R$9:$R$12))</f>
        <v>29818319.459229466</v>
      </c>
      <c r="Q202" s="218">
        <f t="shared" si="56"/>
        <v>25745090.083743352</v>
      </c>
      <c r="R202" s="218">
        <f>IF(D202&lt;=10,INDEX('Savings Projection'!$BL$19:$BL$28,D202),LOOKUP(2,1/('Savings Projection'!$BL$19:$BL$28&lt;&gt;""),'Savings Projection'!$BL$19:$BL$28))*(1+'Model Inputs'!$B$35)^(D202-1)+IF(D202&lt;=10,INDEX('Savings Projection'!$BM$19:$BM$28,D202),LOOKUP(2,1/('Savings Projection'!$BM$19:$BM$28&lt;&gt;""),'Savings Projection'!$BM$19:$BM$28))*(1+'Model Inputs'!$B$36)^(D202-1)</f>
        <v>208611.83708284231</v>
      </c>
      <c r="S202" s="218">
        <f t="shared" si="57"/>
        <v>25536478.246660512</v>
      </c>
      <c r="T202" s="218">
        <f>MIN(MAX(S202,0),'Tax Assumptions'!$B$20)</f>
        <v>7500</v>
      </c>
      <c r="U202" s="218">
        <f t="shared" si="58"/>
        <v>25528978.246660512</v>
      </c>
      <c r="V202" s="218">
        <f>MAX(V201*(1+'Model Inputs'!$B$13)+U202,0)</f>
        <v>138969632.6949451</v>
      </c>
      <c r="W202" s="218">
        <f>MAX(W201*(1+'Model Inputs'!$B$13)+M202+T202,0)</f>
        <v>902812.15240896656</v>
      </c>
      <c r="X202" s="218">
        <f t="shared" si="59"/>
        <v>139872444.84735405</v>
      </c>
      <c r="Y202" s="226" t="str">
        <f t="shared" si="60"/>
        <v/>
      </c>
      <c r="Z202" s="226" t="str">
        <f t="shared" si="61"/>
        <v/>
      </c>
      <c r="AA202" s="226" t="str">
        <f t="shared" si="62"/>
        <v/>
      </c>
      <c r="AB202" s="226" t="str">
        <f t="shared" si="63"/>
        <v/>
      </c>
    </row>
    <row r="203" spans="1:28" x14ac:dyDescent="0.2">
      <c r="A203" s="214" t="str">
        <f t="shared" si="64"/>
        <v>4Y 4x</v>
      </c>
      <c r="B203" s="214">
        <f t="shared" si="65"/>
        <v>4</v>
      </c>
      <c r="C203" s="223">
        <f t="shared" si="66"/>
        <v>4</v>
      </c>
      <c r="D203" s="214">
        <v>18</v>
      </c>
      <c r="E203" s="214">
        <f t="shared" si="53"/>
        <v>2043</v>
      </c>
      <c r="F203" s="218">
        <f>IF(D203=1,'Model Inputs'!$B$25*(13-'Model Inputs'!$B$23)/12,'Model Inputs'!$B$25)</f>
        <v>300000</v>
      </c>
      <c r="G203" s="218">
        <f>IF(D203=1,'Model Inputs'!$B$27*(13-'Model Inputs'!$B$23)/12,IF(D203=2,'Model Inputs'!$B$27,IF(D203&lt;=MAX(3,'Model Inputs'!$B$30+1),'Model Inputs'!$B$27*(1+'Model Inputs'!$B$28)^(D203-3),'Model Inputs'!$B$27*(1+'Model Inputs'!$B$28)^(MAX(3,'Model Inputs'!$B$30+1)-3)*(1+'Model Inputs'!$B$29)^(D203-MAX(3,'Model Inputs'!$B$30+1)))))</f>
        <v>21432424.290875554</v>
      </c>
      <c r="H203" s="224">
        <f>IF(D203&lt;=2,0,'Model Inputs'!$B$32*SIN(2*PI()*(D203-3+'Model Inputs'!$B$34)/MAX(1,'Model Inputs'!$B$33)))</f>
        <v>-5.7328325735374245E-16</v>
      </c>
      <c r="I203" s="218">
        <f t="shared" si="54"/>
        <v>21432424.290875543</v>
      </c>
      <c r="J203" s="218">
        <f t="shared" si="67"/>
        <v>14995970.906855816</v>
      </c>
      <c r="K203" s="218">
        <f>F203+J203+IF(D203=1,'Model Inputs'!$B$26,0)</f>
        <v>15295970.906855816</v>
      </c>
      <c r="L203" s="218">
        <f t="shared" si="55"/>
        <v>61183883.627423264</v>
      </c>
      <c r="M203" s="218">
        <f>MIN(L203,'Tax Assumptions'!$B$19)</f>
        <v>24500</v>
      </c>
      <c r="N203" s="218">
        <f>MAX(L203-M203-'Tax Assumptions'!$B$8,0)</f>
        <v>61143283.627423264</v>
      </c>
      <c r="O203" s="218">
        <f>MAX(L203-M203-'Tax Assumptions'!$B$9,0)</f>
        <v>61151383.627423264</v>
      </c>
      <c r="P203" s="218">
        <f>IF(N203=0,0,LOOKUP(N203,'Tax Assumptions'!$F$9:$F$15,'Tax Assumptions'!$I$9:$I$15)+(N203-LOOKUP(N203,'Tax Assumptions'!$F$9:$F$15,'Tax Assumptions'!$F$9:$F$15))*LOOKUP(N203,'Tax Assumptions'!$F$9:$F$15,'Tax Assumptions'!$H$9:$H$15))+MIN(MAX(L203,0),'Tax Assumptions'!$B$11)*'Tax Assumptions'!$B$10+MAX(L203,0)*'Tax Assumptions'!$B$12+MAX(MAX(L203,0)-'Tax Assumptions'!$B$14,0)*'Tax Assumptions'!$B$13+MIN(L203*'Tax Assumptions'!$B$15,'Tax Assumptions'!$B$16)+MIN(L203*'Tax Assumptions'!$B$17,'Tax Assumptions'!$B$18)+IF(O203=0,0,LOOKUP(O203,'Tax Assumptions'!$K$9:$K$17,'Tax Assumptions'!$N$9:$N$17)+(O203-LOOKUP(O203,'Tax Assumptions'!$K$9:$K$17,'Tax Assumptions'!$K$9:$K$17))*LOOKUP(O203,'Tax Assumptions'!$K$9:$K$17,'Tax Assumptions'!$M$9:$M$17))+IF(O203=0,0,LOOKUP(O203,'Tax Assumptions'!$P$9:$P$12,'Tax Assumptions'!$S$9:$S$12)+(O203-LOOKUP(O203,'Tax Assumptions'!$P$9:$P$12,'Tax Assumptions'!$P$9:$P$12))*LOOKUP(O203,'Tax Assumptions'!$P$9:$P$12,'Tax Assumptions'!$R$9:$R$12))</f>
        <v>32847196.392179113</v>
      </c>
      <c r="Q203" s="218">
        <f t="shared" si="56"/>
        <v>28312187.235244151</v>
      </c>
      <c r="R203" s="218">
        <f>IF(D203&lt;=10,INDEX('Savings Projection'!$BL$19:$BL$28,D203),LOOKUP(2,1/('Savings Projection'!$BL$19:$BL$28&lt;&gt;""),'Savings Projection'!$BL$19:$BL$28))*(1+'Model Inputs'!$B$35)^(D203-1)+IF(D203&lt;=10,INDEX('Savings Projection'!$BM$19:$BM$28,D203),LOOKUP(2,1/('Savings Projection'!$BM$19:$BM$28&lt;&gt;""),'Savings Projection'!$BM$19:$BM$28))*(1+'Model Inputs'!$B$36)^(D203-1)</f>
        <v>214870.1921953276</v>
      </c>
      <c r="S203" s="218">
        <f t="shared" si="57"/>
        <v>28097317.043048825</v>
      </c>
      <c r="T203" s="218">
        <f>MIN(MAX(S203,0),'Tax Assumptions'!$B$20)</f>
        <v>7500</v>
      </c>
      <c r="U203" s="218">
        <f t="shared" si="58"/>
        <v>28089817.043048825</v>
      </c>
      <c r="V203" s="218">
        <f>MAX(V202*(1+'Model Inputs'!$B$13)+U203,0)</f>
        <v>175397627.69969064</v>
      </c>
      <c r="W203" s="218">
        <f>MAX(W202*(1+'Model Inputs'!$B$13)+M203+T203,0)</f>
        <v>988980.88155350462</v>
      </c>
      <c r="X203" s="218">
        <f t="shared" si="59"/>
        <v>176386608.58124414</v>
      </c>
      <c r="Y203" s="226" t="str">
        <f t="shared" si="60"/>
        <v/>
      </c>
      <c r="Z203" s="226" t="str">
        <f t="shared" si="61"/>
        <v/>
      </c>
      <c r="AA203" s="226" t="str">
        <f t="shared" si="62"/>
        <v/>
      </c>
      <c r="AB203" s="226" t="str">
        <f t="shared" si="63"/>
        <v/>
      </c>
    </row>
    <row r="204" spans="1:28" x14ac:dyDescent="0.2">
      <c r="A204" s="214" t="str">
        <f t="shared" si="64"/>
        <v>4Y 4x</v>
      </c>
      <c r="B204" s="214">
        <f t="shared" si="65"/>
        <v>4</v>
      </c>
      <c r="C204" s="223">
        <f t="shared" si="66"/>
        <v>4</v>
      </c>
      <c r="D204" s="214">
        <v>19</v>
      </c>
      <c r="E204" s="214">
        <f t="shared" si="53"/>
        <v>2044</v>
      </c>
      <c r="F204" s="218">
        <f>IF(D204=1,'Model Inputs'!$B$25*(13-'Model Inputs'!$B$23)/12,'Model Inputs'!$B$25)</f>
        <v>300000</v>
      </c>
      <c r="G204" s="218">
        <f>IF(D204=1,'Model Inputs'!$B$27*(13-'Model Inputs'!$B$23)/12,IF(D204=2,'Model Inputs'!$B$27,IF(D204&lt;=MAX(3,'Model Inputs'!$B$30+1),'Model Inputs'!$B$27*(1+'Model Inputs'!$B$28)^(D204-3),'Model Inputs'!$B$27*(1+'Model Inputs'!$B$28)^(MAX(3,'Model Inputs'!$B$30+1)-3)*(1+'Model Inputs'!$B$29)^(D204-MAX(3,'Model Inputs'!$B$30+1)))))</f>
        <v>27237984.409717187</v>
      </c>
      <c r="H204" s="224">
        <f>IF(D204&lt;=2,0,'Model Inputs'!$B$32*SIN(2*PI()*(D204-3+'Model Inputs'!$B$34)/MAX(1,'Model Inputs'!$B$33)))</f>
        <v>0.10392304845413286</v>
      </c>
      <c r="I204" s="218">
        <f t="shared" si="54"/>
        <v>30068638.783321142</v>
      </c>
      <c r="J204" s="218">
        <f t="shared" si="67"/>
        <v>19852239.851888295</v>
      </c>
      <c r="K204" s="218">
        <f>F204+J204+IF(D204=1,'Model Inputs'!$B$26,0)</f>
        <v>20152239.851888295</v>
      </c>
      <c r="L204" s="218">
        <f t="shared" si="55"/>
        <v>80608959.407553181</v>
      </c>
      <c r="M204" s="218">
        <f>MIN(L204,'Tax Assumptions'!$B$19)</f>
        <v>24500</v>
      </c>
      <c r="N204" s="218">
        <f>MAX(L204-M204-'Tax Assumptions'!$B$8,0)</f>
        <v>80568359.407553181</v>
      </c>
      <c r="O204" s="218">
        <f>MAX(L204-M204-'Tax Assumptions'!$B$9,0)</f>
        <v>80576459.407553181</v>
      </c>
      <c r="P204" s="218">
        <f>IF(N204=0,0,LOOKUP(N204,'Tax Assumptions'!$F$9:$F$15,'Tax Assumptions'!$I$9:$I$15)+(N204-LOOKUP(N204,'Tax Assumptions'!$F$9:$F$15,'Tax Assumptions'!$F$9:$F$15))*LOOKUP(N204,'Tax Assumptions'!$F$9:$F$15,'Tax Assumptions'!$H$9:$H$15))+MIN(MAX(L204,0),'Tax Assumptions'!$B$11)*'Tax Assumptions'!$B$10+MAX(L204,0)*'Tax Assumptions'!$B$12+MAX(MAX(L204,0)-'Tax Assumptions'!$B$14,0)*'Tax Assumptions'!$B$13+MIN(L204*'Tax Assumptions'!$B$15,'Tax Assumptions'!$B$16)+MIN(L204*'Tax Assumptions'!$B$17,'Tax Assumptions'!$B$18)+IF(O204=0,0,LOOKUP(O204,'Tax Assumptions'!$K$9:$K$17,'Tax Assumptions'!$N$9:$N$17)+(O204-LOOKUP(O204,'Tax Assumptions'!$K$9:$K$17,'Tax Assumptions'!$K$9:$K$17))*LOOKUP(O204,'Tax Assumptions'!$K$9:$K$17,'Tax Assumptions'!$M$9:$M$17))+IF(O204=0,0,LOOKUP(O204,'Tax Assumptions'!$P$9:$P$12,'Tax Assumptions'!$S$9:$S$12)+(O204-LOOKUP(O204,'Tax Assumptions'!$P$9:$P$12,'Tax Assumptions'!$P$9:$P$12))*LOOKUP(O204,'Tax Assumptions'!$P$9:$P$12,'Tax Assumptions'!$R$9:$R$12))</f>
        <v>43361212.908932224</v>
      </c>
      <c r="Q204" s="218">
        <f t="shared" si="56"/>
        <v>37223246.498620957</v>
      </c>
      <c r="R204" s="218">
        <f>IF(D204&lt;=10,INDEX('Savings Projection'!$BL$19:$BL$28,D204),LOOKUP(2,1/('Savings Projection'!$BL$19:$BL$28&lt;&gt;""),'Savings Projection'!$BL$19:$BL$28))*(1+'Model Inputs'!$B$35)^(D204-1)+IF(D204&lt;=10,INDEX('Savings Projection'!$BM$19:$BM$28,D204),LOOKUP(2,1/('Savings Projection'!$BM$19:$BM$28&lt;&gt;""),'Savings Projection'!$BM$19:$BM$28))*(1+'Model Inputs'!$B$36)^(D204-1)</f>
        <v>221316.29796118743</v>
      </c>
      <c r="S204" s="218">
        <f t="shared" si="57"/>
        <v>37001930.200659767</v>
      </c>
      <c r="T204" s="218">
        <f>MIN(MAX(S204,0),'Tax Assumptions'!$B$20)</f>
        <v>7500</v>
      </c>
      <c r="U204" s="218">
        <f t="shared" si="58"/>
        <v>36994430.200659767</v>
      </c>
      <c r="V204" s="218">
        <f>MAX(V203*(1+'Model Inputs'!$B$13)+U204,0)</f>
        <v>222915915.56233186</v>
      </c>
      <c r="W204" s="218">
        <f>MAX(W203*(1+'Model Inputs'!$B$13)+M204+T204,0)</f>
        <v>1080319.7344467151</v>
      </c>
      <c r="X204" s="218">
        <f t="shared" si="59"/>
        <v>223996235.29677856</v>
      </c>
      <c r="Y204" s="226" t="str">
        <f t="shared" si="60"/>
        <v/>
      </c>
      <c r="Z204" s="226" t="str">
        <f t="shared" si="61"/>
        <v/>
      </c>
      <c r="AA204" s="226" t="str">
        <f t="shared" si="62"/>
        <v/>
      </c>
      <c r="AB204" s="226" t="str">
        <f t="shared" si="63"/>
        <v/>
      </c>
    </row>
    <row r="205" spans="1:28" x14ac:dyDescent="0.2">
      <c r="A205" s="214" t="str">
        <f t="shared" si="64"/>
        <v>4Y 4x</v>
      </c>
      <c r="B205" s="214">
        <f t="shared" si="65"/>
        <v>4</v>
      </c>
      <c r="C205" s="223">
        <f t="shared" si="66"/>
        <v>4</v>
      </c>
      <c r="D205" s="214">
        <v>20</v>
      </c>
      <c r="E205" s="214">
        <f t="shared" si="53"/>
        <v>2045</v>
      </c>
      <c r="F205" s="218">
        <f>IF(D205=1,'Model Inputs'!$B$25*(13-'Model Inputs'!$B$23)/12,'Model Inputs'!$B$25)</f>
        <v>300000</v>
      </c>
      <c r="G205" s="218">
        <f>IF(D205=1,'Model Inputs'!$B$27*(13-'Model Inputs'!$B$23)/12,IF(D205=2,'Model Inputs'!$B$27,IF(D205&lt;=MAX(3,'Model Inputs'!$B$30+1),'Model Inputs'!$B$27*(1+'Model Inputs'!$B$28)^(D205-3),'Model Inputs'!$B$27*(1+'Model Inputs'!$B$28)^(MAX(3,'Model Inputs'!$B$30+1)-3)*(1+'Model Inputs'!$B$29)^(D205-MAX(3,'Model Inputs'!$B$30+1)))))</f>
        <v>34616139.762586243</v>
      </c>
      <c r="H205" s="224">
        <f>IF(D205&lt;=2,0,'Model Inputs'!$B$32*SIN(2*PI()*(D205-3+'Model Inputs'!$B$34)/MAX(1,'Model Inputs'!$B$33)))</f>
        <v>-0.10392304845413269</v>
      </c>
      <c r="I205" s="218">
        <f t="shared" si="54"/>
        <v>31018724.992743965</v>
      </c>
      <c r="J205" s="218">
        <f t="shared" si="67"/>
        <v>27909585.160209741</v>
      </c>
      <c r="K205" s="218">
        <f>F205+J205+IF(D205=1,'Model Inputs'!$B$26,0)</f>
        <v>28209585.160209741</v>
      </c>
      <c r="L205" s="218">
        <f t="shared" si="55"/>
        <v>112838340.64083897</v>
      </c>
      <c r="M205" s="218">
        <f>MIN(L205,'Tax Assumptions'!$B$19)</f>
        <v>24500</v>
      </c>
      <c r="N205" s="218">
        <f>MAX(L205-M205-'Tax Assumptions'!$B$8,0)</f>
        <v>112797740.64083897</v>
      </c>
      <c r="O205" s="218">
        <f>MAX(L205-M205-'Tax Assumptions'!$B$9,0)</f>
        <v>112805840.64083897</v>
      </c>
      <c r="P205" s="218">
        <f>IF(N205=0,0,LOOKUP(N205,'Tax Assumptions'!$F$9:$F$15,'Tax Assumptions'!$I$9:$I$15)+(N205-LOOKUP(N205,'Tax Assumptions'!$F$9:$F$15,'Tax Assumptions'!$F$9:$F$15))*LOOKUP(N205,'Tax Assumptions'!$F$9:$F$15,'Tax Assumptions'!$H$9:$H$15))+MIN(MAX(L205,0),'Tax Assumptions'!$B$11)*'Tax Assumptions'!$B$10+MAX(L205,0)*'Tax Assumptions'!$B$12+MAX(MAX(L205,0)-'Tax Assumptions'!$B$14,0)*'Tax Assumptions'!$B$13+MIN(L205*'Tax Assumptions'!$B$15,'Tax Assumptions'!$B$16)+MIN(L205*'Tax Assumptions'!$B$17,'Tax Assumptions'!$B$18)+IF(O205=0,0,LOOKUP(O205,'Tax Assumptions'!$K$9:$K$17,'Tax Assumptions'!$N$9:$N$17)+(O205-LOOKUP(O205,'Tax Assumptions'!$K$9:$K$17,'Tax Assumptions'!$K$9:$K$17))*LOOKUP(O205,'Tax Assumptions'!$K$9:$K$17,'Tax Assumptions'!$M$9:$M$17))+IF(O205=0,0,LOOKUP(O205,'Tax Assumptions'!$P$9:$P$12,'Tax Assumptions'!$S$9:$S$12)+(O205-LOOKUP(O205,'Tax Assumptions'!$P$9:$P$12,'Tax Assumptions'!$P$9:$P$12))*LOOKUP(O205,'Tax Assumptions'!$P$9:$P$12,'Tax Assumptions'!$R$9:$R$12))</f>
        <v>60805687.795260496</v>
      </c>
      <c r="Q205" s="218">
        <f t="shared" si="56"/>
        <v>52008152.845578469</v>
      </c>
      <c r="R205" s="218">
        <f>IF(D205&lt;=10,INDEX('Savings Projection'!$BL$19:$BL$28,D205),LOOKUP(2,1/('Savings Projection'!$BL$19:$BL$28&lt;&gt;""),'Savings Projection'!$BL$19:$BL$28))*(1+'Model Inputs'!$B$35)^(D205-1)+IF(D205&lt;=10,INDEX('Savings Projection'!$BM$19:$BM$28,D205),LOOKUP(2,1/('Savings Projection'!$BM$19:$BM$28&lt;&gt;""),'Savings Projection'!$BM$19:$BM$28))*(1+'Model Inputs'!$B$36)^(D205-1)</f>
        <v>227955.78690002306</v>
      </c>
      <c r="S205" s="218">
        <f t="shared" si="57"/>
        <v>51780197.058678448</v>
      </c>
      <c r="T205" s="218">
        <f>MIN(MAX(S205,0),'Tax Assumptions'!$B$20)</f>
        <v>7500</v>
      </c>
      <c r="U205" s="218">
        <f t="shared" si="58"/>
        <v>51772697.058678448</v>
      </c>
      <c r="V205" s="218">
        <f>MAX(V204*(1+'Model Inputs'!$B$13)+U205,0)</f>
        <v>288063567.5547502</v>
      </c>
      <c r="W205" s="218">
        <f>MAX(W204*(1+'Model Inputs'!$B$13)+M205+T205,0)</f>
        <v>1177138.9185135181</v>
      </c>
      <c r="X205" s="218">
        <f t="shared" si="59"/>
        <v>289240706.47326374</v>
      </c>
      <c r="Y205" s="226" t="str">
        <f t="shared" si="60"/>
        <v/>
      </c>
      <c r="Z205" s="226" t="str">
        <f t="shared" si="61"/>
        <v/>
      </c>
      <c r="AA205" s="226" t="str">
        <f t="shared" si="62"/>
        <v/>
      </c>
      <c r="AB205" s="226" t="str">
        <f t="shared" si="63"/>
        <v/>
      </c>
    </row>
    <row r="206" spans="1:28" x14ac:dyDescent="0.2">
      <c r="A206" s="214" t="str">
        <f t="shared" si="64"/>
        <v>4Y 4x</v>
      </c>
      <c r="B206" s="214">
        <f t="shared" si="65"/>
        <v>4</v>
      </c>
      <c r="C206" s="223">
        <f t="shared" si="66"/>
        <v>4</v>
      </c>
      <c r="D206" s="214">
        <v>21</v>
      </c>
      <c r="E206" s="214">
        <f t="shared" si="53"/>
        <v>2046</v>
      </c>
      <c r="F206" s="218">
        <f>IF(D206=1,'Model Inputs'!$B$25*(13-'Model Inputs'!$B$23)/12,'Model Inputs'!$B$25)</f>
        <v>300000</v>
      </c>
      <c r="G206" s="218">
        <f>IF(D206=1,'Model Inputs'!$B$27*(13-'Model Inputs'!$B$23)/12,IF(D206=2,'Model Inputs'!$B$27,IF(D206&lt;=MAX(3,'Model Inputs'!$B$30+1),'Model Inputs'!$B$27*(1+'Model Inputs'!$B$28)^(D206-3),'Model Inputs'!$B$27*(1+'Model Inputs'!$B$28)^(MAX(3,'Model Inputs'!$B$30+1)-3)*(1+'Model Inputs'!$B$29)^(D206-MAX(3,'Model Inputs'!$B$30+1)))))</f>
        <v>43992870.912849829</v>
      </c>
      <c r="H206" s="224">
        <f>IF(D206&lt;=2,0,'Model Inputs'!$B$32*SIN(2*PI()*(D206-3+'Model Inputs'!$B$34)/MAX(1,'Model Inputs'!$B$33)))</f>
        <v>-1.7634913907721884E-16</v>
      </c>
      <c r="I206" s="218">
        <f t="shared" si="54"/>
        <v>43992870.912849821</v>
      </c>
      <c r="J206" s="218">
        <f t="shared" si="67"/>
        <v>30781203.440388259</v>
      </c>
      <c r="K206" s="218">
        <f>F206+J206+IF(D206=1,'Model Inputs'!$B$26,0)</f>
        <v>31081203.440388259</v>
      </c>
      <c r="L206" s="218">
        <f t="shared" si="55"/>
        <v>124324813.76155303</v>
      </c>
      <c r="M206" s="218">
        <f>MIN(L206,'Tax Assumptions'!$B$19)</f>
        <v>24500</v>
      </c>
      <c r="N206" s="218">
        <f>MAX(L206-M206-'Tax Assumptions'!$B$8,0)</f>
        <v>124284213.76155303</v>
      </c>
      <c r="O206" s="218">
        <f>MAX(L206-M206-'Tax Assumptions'!$B$9,0)</f>
        <v>124292313.76155303</v>
      </c>
      <c r="P206" s="218">
        <f>IF(N206=0,0,LOOKUP(N206,'Tax Assumptions'!$F$9:$F$15,'Tax Assumptions'!$I$9:$I$15)+(N206-LOOKUP(N206,'Tax Assumptions'!$F$9:$F$15,'Tax Assumptions'!$F$9:$F$15))*LOOKUP(N206,'Tax Assumptions'!$F$9:$F$15,'Tax Assumptions'!$H$9:$H$15))+MIN(MAX(L206,0),'Tax Assumptions'!$B$11)*'Tax Assumptions'!$B$10+MAX(L206,0)*'Tax Assumptions'!$B$12+MAX(MAX(L206,0)-'Tax Assumptions'!$B$14,0)*'Tax Assumptions'!$B$13+MIN(L206*'Tax Assumptions'!$B$15,'Tax Assumptions'!$B$16)+MIN(L206*'Tax Assumptions'!$B$17,'Tax Assumptions'!$B$18)+IF(O206=0,0,LOOKUP(O206,'Tax Assumptions'!$K$9:$K$17,'Tax Assumptions'!$N$9:$N$17)+(O206-LOOKUP(O206,'Tax Assumptions'!$K$9:$K$17,'Tax Assumptions'!$K$9:$K$17))*LOOKUP(O206,'Tax Assumptions'!$K$9:$K$17,'Tax Assumptions'!$M$9:$M$17))+IF(O206=0,0,LOOKUP(O206,'Tax Assumptions'!$P$9:$P$12,'Tax Assumptions'!$S$9:$S$12)+(O206-LOOKUP(O206,'Tax Assumptions'!$P$9:$P$12,'Tax Assumptions'!$P$9:$P$12))*LOOKUP(O206,'Tax Assumptions'!$P$9:$P$12,'Tax Assumptions'!$R$9:$R$12))</f>
        <v>67022856.236578189</v>
      </c>
      <c r="Q206" s="218">
        <f t="shared" si="56"/>
        <v>57277457.524974845</v>
      </c>
      <c r="R206" s="218">
        <f>IF(D206&lt;=10,INDEX('Savings Projection'!$BL$19:$BL$28,D206),LOOKUP(2,1/('Savings Projection'!$BL$19:$BL$28&lt;&gt;""),'Savings Projection'!$BL$19:$BL$28))*(1+'Model Inputs'!$B$35)^(D206-1)+IF(D206&lt;=10,INDEX('Savings Projection'!$BM$19:$BM$28,D206),LOOKUP(2,1/('Savings Projection'!$BM$19:$BM$28&lt;&gt;""),'Savings Projection'!$BM$19:$BM$28))*(1+'Model Inputs'!$B$36)^(D206-1)</f>
        <v>234794.46050702373</v>
      </c>
      <c r="S206" s="218">
        <f t="shared" si="57"/>
        <v>57042663.064467825</v>
      </c>
      <c r="T206" s="218">
        <f>MIN(MAX(S206,0),'Tax Assumptions'!$B$20)</f>
        <v>7500</v>
      </c>
      <c r="U206" s="218">
        <f t="shared" si="58"/>
        <v>57035163.064467825</v>
      </c>
      <c r="V206" s="218">
        <f>MAX(V205*(1+'Model Inputs'!$B$13)+U206,0)</f>
        <v>362382544.67250305</v>
      </c>
      <c r="W206" s="218">
        <f>MAX(W205*(1+'Model Inputs'!$B$13)+M206+T206,0)</f>
        <v>1279767.2536243291</v>
      </c>
      <c r="X206" s="218">
        <f t="shared" si="59"/>
        <v>363662311.92612737</v>
      </c>
      <c r="Y206" s="226" t="str">
        <f t="shared" si="60"/>
        <v/>
      </c>
      <c r="Z206" s="226" t="str">
        <f t="shared" si="61"/>
        <v/>
      </c>
      <c r="AA206" s="226" t="str">
        <f t="shared" si="62"/>
        <v/>
      </c>
      <c r="AB206" s="226" t="str">
        <f t="shared" si="63"/>
        <v/>
      </c>
    </row>
    <row r="207" spans="1:28" x14ac:dyDescent="0.2">
      <c r="A207" s="214" t="str">
        <f t="shared" si="64"/>
        <v>4Y 4x</v>
      </c>
      <c r="B207" s="214">
        <f t="shared" si="65"/>
        <v>4</v>
      </c>
      <c r="C207" s="223">
        <f t="shared" si="66"/>
        <v>4</v>
      </c>
      <c r="D207" s="214">
        <v>22</v>
      </c>
      <c r="E207" s="214">
        <f t="shared" si="53"/>
        <v>2047</v>
      </c>
      <c r="F207" s="218">
        <f>IF(D207=1,'Model Inputs'!$B$25*(13-'Model Inputs'!$B$23)/12,'Model Inputs'!$B$25)</f>
        <v>300000</v>
      </c>
      <c r="G207" s="218">
        <f>IF(D207=1,'Model Inputs'!$B$27*(13-'Model Inputs'!$B$23)/12,IF(D207=2,'Model Inputs'!$B$27,IF(D207&lt;=MAX(3,'Model Inputs'!$B$30+1),'Model Inputs'!$B$27*(1+'Model Inputs'!$B$28)^(D207-3),'Model Inputs'!$B$27*(1+'Model Inputs'!$B$28)^(MAX(3,'Model Inputs'!$B$30+1)-3)*(1+'Model Inputs'!$B$29)^(D207-MAX(3,'Model Inputs'!$B$30+1)))))</f>
        <v>55909546.9462616</v>
      </c>
      <c r="H207" s="224">
        <f>IF(D207&lt;=2,0,'Model Inputs'!$B$32*SIN(2*PI()*(D207-3+'Model Inputs'!$B$34)/MAX(1,'Model Inputs'!$B$33)))</f>
        <v>0.10392304845413287</v>
      </c>
      <c r="I207" s="218">
        <f t="shared" si="54"/>
        <v>61719837.502606563</v>
      </c>
      <c r="J207" s="218">
        <f t="shared" si="67"/>
        <v>40749334.43282336</v>
      </c>
      <c r="K207" s="218">
        <f>F207+J207+IF(D207=1,'Model Inputs'!$B$26,0)</f>
        <v>41049334.43282336</v>
      </c>
      <c r="L207" s="218">
        <f t="shared" si="55"/>
        <v>164197337.73129344</v>
      </c>
      <c r="M207" s="218">
        <f>MIN(L207,'Tax Assumptions'!$B$19)</f>
        <v>24500</v>
      </c>
      <c r="N207" s="218">
        <f>MAX(L207-M207-'Tax Assumptions'!$B$8,0)</f>
        <v>164156737.73129344</v>
      </c>
      <c r="O207" s="218">
        <f>MAX(L207-M207-'Tax Assumptions'!$B$9,0)</f>
        <v>164164837.73129344</v>
      </c>
      <c r="P207" s="218">
        <f>IF(N207=0,0,LOOKUP(N207,'Tax Assumptions'!$F$9:$F$15,'Tax Assumptions'!$I$9:$I$15)+(N207-LOOKUP(N207,'Tax Assumptions'!$F$9:$F$15,'Tax Assumptions'!$F$9:$F$15))*LOOKUP(N207,'Tax Assumptions'!$F$9:$F$15,'Tax Assumptions'!$H$9:$H$15))+MIN(MAX(L207,0),'Tax Assumptions'!$B$11)*'Tax Assumptions'!$B$10+MAX(L207,0)*'Tax Assumptions'!$B$12+MAX(MAX(L207,0)-'Tax Assumptions'!$B$14,0)*'Tax Assumptions'!$B$13+MIN(L207*'Tax Assumptions'!$B$15,'Tax Assumptions'!$B$16)+MIN(L207*'Tax Assumptions'!$B$17,'Tax Assumptions'!$B$18)+IF(O207=0,0,LOOKUP(O207,'Tax Assumptions'!$K$9:$K$17,'Tax Assumptions'!$N$9:$N$17)+(O207-LOOKUP(O207,'Tax Assumptions'!$K$9:$K$17,'Tax Assumptions'!$K$9:$K$17))*LOOKUP(O207,'Tax Assumptions'!$K$9:$K$17,'Tax Assumptions'!$M$9:$M$17))+IF(O207=0,0,LOOKUP(O207,'Tax Assumptions'!$P$9:$P$12,'Tax Assumptions'!$S$9:$S$12)+(O207-LOOKUP(O207,'Tax Assumptions'!$P$9:$P$12,'Tax Assumptions'!$P$9:$P$12))*LOOKUP(O207,'Tax Assumptions'!$P$9:$P$12,'Tax Assumptions'!$R$9:$R$12))</f>
        <v>88604258.5604399</v>
      </c>
      <c r="Q207" s="218">
        <f t="shared" si="56"/>
        <v>75568579.17085354</v>
      </c>
      <c r="R207" s="218">
        <f>IF(D207&lt;=10,INDEX('Savings Projection'!$BL$19:$BL$28,D207),LOOKUP(2,1/('Savings Projection'!$BL$19:$BL$28&lt;&gt;""),'Savings Projection'!$BL$19:$BL$28))*(1+'Model Inputs'!$B$35)^(D207-1)+IF(D207&lt;=10,INDEX('Savings Projection'!$BM$19:$BM$28,D207),LOOKUP(2,1/('Savings Projection'!$BM$19:$BM$28&lt;&gt;""),'Savings Projection'!$BM$19:$BM$28))*(1+'Model Inputs'!$B$36)^(D207-1)</f>
        <v>241838.2943222344</v>
      </c>
      <c r="S207" s="218">
        <f t="shared" si="57"/>
        <v>75326740.876531303</v>
      </c>
      <c r="T207" s="218">
        <f>MIN(MAX(S207,0),'Tax Assumptions'!$B$20)</f>
        <v>7500</v>
      </c>
      <c r="U207" s="218">
        <f t="shared" si="58"/>
        <v>75319240.876531303</v>
      </c>
      <c r="V207" s="218">
        <f>MAX(V206*(1+'Model Inputs'!$B$13)+U207,0)</f>
        <v>459444738.22938454</v>
      </c>
      <c r="W207" s="218">
        <f>MAX(W206*(1+'Model Inputs'!$B$13)+M207+T207,0)</f>
        <v>1388553.2888417889</v>
      </c>
      <c r="X207" s="218">
        <f t="shared" si="59"/>
        <v>460833291.51822633</v>
      </c>
      <c r="Y207" s="226" t="str">
        <f t="shared" si="60"/>
        <v/>
      </c>
      <c r="Z207" s="226" t="str">
        <f t="shared" si="61"/>
        <v/>
      </c>
      <c r="AA207" s="226" t="str">
        <f t="shared" si="62"/>
        <v/>
      </c>
      <c r="AB207" s="226" t="str">
        <f t="shared" si="63"/>
        <v/>
      </c>
    </row>
    <row r="208" spans="1:28" x14ac:dyDescent="0.2">
      <c r="A208" s="214" t="str">
        <f t="shared" si="64"/>
        <v>4Y 4x</v>
      </c>
      <c r="B208" s="214">
        <f t="shared" si="65"/>
        <v>4</v>
      </c>
      <c r="C208" s="223">
        <f t="shared" si="66"/>
        <v>4</v>
      </c>
      <c r="D208" s="214">
        <v>23</v>
      </c>
      <c r="E208" s="214">
        <f t="shared" si="53"/>
        <v>2048</v>
      </c>
      <c r="F208" s="218">
        <f>IF(D208=1,'Model Inputs'!$B$25*(13-'Model Inputs'!$B$23)/12,'Model Inputs'!$B$25)</f>
        <v>300000</v>
      </c>
      <c r="G208" s="218">
        <f>IF(D208=1,'Model Inputs'!$B$27*(13-'Model Inputs'!$B$23)/12,IF(D208=2,'Model Inputs'!$B$27,IF(D208&lt;=MAX(3,'Model Inputs'!$B$30+1),'Model Inputs'!$B$27*(1+'Model Inputs'!$B$28)^(D208-3),'Model Inputs'!$B$27*(1+'Model Inputs'!$B$28)^(MAX(3,'Model Inputs'!$B$30+1)-3)*(1+'Model Inputs'!$B$29)^(D208-MAX(3,'Model Inputs'!$B$30+1)))))</f>
        <v>71054181.617940187</v>
      </c>
      <c r="H208" s="224">
        <f>IF(D208&lt;=2,0,'Model Inputs'!$B$32*SIN(2*PI()*(D208-3+'Model Inputs'!$B$34)/MAX(1,'Model Inputs'!$B$33)))</f>
        <v>-0.10392304845413268</v>
      </c>
      <c r="I208" s="218">
        <f t="shared" si="54"/>
        <v>63670014.458790243</v>
      </c>
      <c r="J208" s="218">
        <f t="shared" si="67"/>
        <v>57288095.855167374</v>
      </c>
      <c r="K208" s="218">
        <f>F208+J208+IF(D208=1,'Model Inputs'!$B$26,0)</f>
        <v>57588095.855167374</v>
      </c>
      <c r="L208" s="218">
        <f t="shared" si="55"/>
        <v>230352383.4206695</v>
      </c>
      <c r="M208" s="218">
        <f>MIN(L208,'Tax Assumptions'!$B$19)</f>
        <v>24500</v>
      </c>
      <c r="N208" s="218">
        <f>MAX(L208-M208-'Tax Assumptions'!$B$8,0)</f>
        <v>230311783.4206695</v>
      </c>
      <c r="O208" s="218">
        <f>MAX(L208-M208-'Tax Assumptions'!$B$9,0)</f>
        <v>230319883.4206695</v>
      </c>
      <c r="P208" s="218">
        <f>IF(N208=0,0,LOOKUP(N208,'Tax Assumptions'!$F$9:$F$15,'Tax Assumptions'!$I$9:$I$15)+(N208-LOOKUP(N208,'Tax Assumptions'!$F$9:$F$15,'Tax Assumptions'!$F$9:$F$15))*LOOKUP(N208,'Tax Assumptions'!$F$9:$F$15,'Tax Assumptions'!$H$9:$H$15))+MIN(MAX(L208,0),'Tax Assumptions'!$B$11)*'Tax Assumptions'!$B$10+MAX(L208,0)*'Tax Assumptions'!$B$12+MAX(MAX(L208,0)-'Tax Assumptions'!$B$14,0)*'Tax Assumptions'!$B$13+MIN(L208*'Tax Assumptions'!$B$15,'Tax Assumptions'!$B$16)+MIN(L208*'Tax Assumptions'!$B$17,'Tax Assumptions'!$B$18)+IF(O208=0,0,LOOKUP(O208,'Tax Assumptions'!$K$9:$K$17,'Tax Assumptions'!$N$9:$N$17)+(O208-LOOKUP(O208,'Tax Assumptions'!$K$9:$K$17,'Tax Assumptions'!$K$9:$K$17))*LOOKUP(O208,'Tax Assumptions'!$K$9:$K$17,'Tax Assumptions'!$M$9:$M$17))+IF(O208=0,0,LOOKUP(O208,'Tax Assumptions'!$P$9:$P$12,'Tax Assumptions'!$S$9:$S$12)+(O208-LOOKUP(O208,'Tax Assumptions'!$P$9:$P$12,'Tax Assumptions'!$P$9:$P$12))*LOOKUP(O208,'Tax Assumptions'!$P$9:$P$12,'Tax Assumptions'!$R$9:$R$12))</f>
        <v>124411338.59027158</v>
      </c>
      <c r="Q208" s="218">
        <f t="shared" si="56"/>
        <v>105916544.83039792</v>
      </c>
      <c r="R208" s="218">
        <f>IF(D208&lt;=10,INDEX('Savings Projection'!$BL$19:$BL$28,D208),LOOKUP(2,1/('Savings Projection'!$BL$19:$BL$28&lt;&gt;""),'Savings Projection'!$BL$19:$BL$28))*(1+'Model Inputs'!$B$35)^(D208-1)+IF(D208&lt;=10,INDEX('Savings Projection'!$BM$19:$BM$28,D208),LOOKUP(2,1/('Savings Projection'!$BM$19:$BM$28&lt;&gt;""),'Savings Projection'!$BM$19:$BM$28))*(1+'Model Inputs'!$B$36)^(D208-1)</f>
        <v>249093.44315190148</v>
      </c>
      <c r="S208" s="218">
        <f t="shared" si="57"/>
        <v>105667451.38724601</v>
      </c>
      <c r="T208" s="218">
        <f>MIN(MAX(S208,0),'Tax Assumptions'!$B$20)</f>
        <v>7500</v>
      </c>
      <c r="U208" s="218">
        <f t="shared" si="58"/>
        <v>105659951.38724601</v>
      </c>
      <c r="V208" s="218">
        <f>MAX(V207*(1+'Model Inputs'!$B$13)+U208,0)</f>
        <v>592671373.91039371</v>
      </c>
      <c r="W208" s="218">
        <f>MAX(W207*(1+'Model Inputs'!$B$13)+M208+T208,0)</f>
        <v>1503866.4861722963</v>
      </c>
      <c r="X208" s="218">
        <f t="shared" si="59"/>
        <v>594175240.39656603</v>
      </c>
      <c r="Y208" s="226" t="str">
        <f t="shared" si="60"/>
        <v/>
      </c>
      <c r="Z208" s="226" t="str">
        <f t="shared" si="61"/>
        <v/>
      </c>
      <c r="AA208" s="226" t="str">
        <f t="shared" si="62"/>
        <v/>
      </c>
      <c r="AB208" s="226" t="str">
        <f t="shared" si="63"/>
        <v/>
      </c>
    </row>
    <row r="209" spans="1:28" x14ac:dyDescent="0.2">
      <c r="A209" s="214" t="str">
        <f t="shared" si="64"/>
        <v>4Y 4x</v>
      </c>
      <c r="B209" s="214">
        <f t="shared" si="65"/>
        <v>4</v>
      </c>
      <c r="C209" s="223">
        <f t="shared" si="66"/>
        <v>4</v>
      </c>
      <c r="D209" s="214">
        <v>24</v>
      </c>
      <c r="E209" s="214">
        <f t="shared" si="53"/>
        <v>2049</v>
      </c>
      <c r="F209" s="218">
        <f>IF(D209=1,'Model Inputs'!$B$25*(13-'Model Inputs'!$B$23)/12,'Model Inputs'!$B$25)</f>
        <v>300000</v>
      </c>
      <c r="G209" s="218">
        <f>IF(D209=1,'Model Inputs'!$B$27*(13-'Model Inputs'!$B$23)/12,IF(D209=2,'Model Inputs'!$B$27,IF(D209&lt;=MAX(3,'Model Inputs'!$B$30+1),'Model Inputs'!$B$27*(1+'Model Inputs'!$B$28)^(D209-3),'Model Inputs'!$B$27*(1+'Model Inputs'!$B$28)^(MAX(3,'Model Inputs'!$B$30+1)-3)*(1+'Model Inputs'!$B$29)^(D209-MAX(3,'Model Inputs'!$B$30+1)))))</f>
        <v>90301156.084270701</v>
      </c>
      <c r="H209" s="224">
        <f>IF(D209&lt;=2,0,'Model Inputs'!$B$32*SIN(2*PI()*(D209-3+'Model Inputs'!$B$34)/MAX(1,'Model Inputs'!$B$33)))</f>
        <v>-2.0574066225675533E-16</v>
      </c>
      <c r="I209" s="218">
        <f t="shared" si="54"/>
        <v>90301156.084270686</v>
      </c>
      <c r="J209" s="218">
        <f t="shared" si="67"/>
        <v>63182470.219744325</v>
      </c>
      <c r="K209" s="218">
        <f>F209+J209+IF(D209=1,'Model Inputs'!$B$26,0)</f>
        <v>63482470.219744325</v>
      </c>
      <c r="L209" s="218">
        <f t="shared" si="55"/>
        <v>253929880.8789773</v>
      </c>
      <c r="M209" s="218">
        <f>MIN(L209,'Tax Assumptions'!$B$19)</f>
        <v>24500</v>
      </c>
      <c r="N209" s="218">
        <f>MAX(L209-M209-'Tax Assumptions'!$B$8,0)</f>
        <v>253889280.8789773</v>
      </c>
      <c r="O209" s="218">
        <f>MAX(L209-M209-'Tax Assumptions'!$B$9,0)</f>
        <v>253897380.8789773</v>
      </c>
      <c r="P209" s="218">
        <f>IF(N209=0,0,LOOKUP(N209,'Tax Assumptions'!$F$9:$F$15,'Tax Assumptions'!$I$9:$I$15)+(N209-LOOKUP(N209,'Tax Assumptions'!$F$9:$F$15,'Tax Assumptions'!$F$9:$F$15))*LOOKUP(N209,'Tax Assumptions'!$F$9:$F$15,'Tax Assumptions'!$H$9:$H$15))+MIN(MAX(L209,0),'Tax Assumptions'!$B$11)*'Tax Assumptions'!$B$10+MAX(L209,0)*'Tax Assumptions'!$B$12+MAX(MAX(L209,0)-'Tax Assumptions'!$B$14,0)*'Tax Assumptions'!$B$13+MIN(L209*'Tax Assumptions'!$B$15,'Tax Assumptions'!$B$16)+MIN(L209*'Tax Assumptions'!$B$17,'Tax Assumptions'!$B$18)+IF(O209=0,0,LOOKUP(O209,'Tax Assumptions'!$K$9:$K$17,'Tax Assumptions'!$N$9:$N$17)+(O209-LOOKUP(O209,'Tax Assumptions'!$K$9:$K$17,'Tax Assumptions'!$K$9:$K$17))*LOOKUP(O209,'Tax Assumptions'!$K$9:$K$17,'Tax Assumptions'!$M$9:$M$17))+IF(O209=0,0,LOOKUP(O209,'Tax Assumptions'!$P$9:$P$12,'Tax Assumptions'!$S$9:$S$12)+(O209-LOOKUP(O209,'Tax Assumptions'!$P$9:$P$12,'Tax Assumptions'!$P$9:$P$12))*LOOKUP(O209,'Tax Assumptions'!$P$9:$P$12,'Tax Assumptions'!$R$9:$R$12))</f>
        <v>137172894.86455524</v>
      </c>
      <c r="Q209" s="218">
        <f t="shared" si="56"/>
        <v>116732486.01442206</v>
      </c>
      <c r="R209" s="218">
        <f>IF(D209&lt;=10,INDEX('Savings Projection'!$BL$19:$BL$28,D209),LOOKUP(2,1/('Savings Projection'!$BL$19:$BL$28&lt;&gt;""),'Savings Projection'!$BL$19:$BL$28))*(1+'Model Inputs'!$B$35)^(D209-1)+IF(D209&lt;=10,INDEX('Savings Projection'!$BM$19:$BM$28,D209),LOOKUP(2,1/('Savings Projection'!$BM$19:$BM$28&lt;&gt;""),'Savings Projection'!$BM$19:$BM$28))*(1+'Model Inputs'!$B$36)^(D209-1)</f>
        <v>256566.24644645851</v>
      </c>
      <c r="S209" s="218">
        <f t="shared" si="57"/>
        <v>116475919.7679756</v>
      </c>
      <c r="T209" s="218">
        <f>MIN(MAX(S209,0),'Tax Assumptions'!$B$20)</f>
        <v>7500</v>
      </c>
      <c r="U209" s="218">
        <f t="shared" si="58"/>
        <v>116468419.7679756</v>
      </c>
      <c r="V209" s="218">
        <f>MAX(V208*(1+'Model Inputs'!$B$13)+U209,0)</f>
        <v>744700076.11299288</v>
      </c>
      <c r="W209" s="218">
        <f>MAX(W208*(1+'Model Inputs'!$B$13)+M209+T209,0)</f>
        <v>1626098.4753426341</v>
      </c>
      <c r="X209" s="218">
        <f t="shared" si="59"/>
        <v>746326174.58833551</v>
      </c>
      <c r="Y209" s="226" t="str">
        <f t="shared" si="60"/>
        <v/>
      </c>
      <c r="Z209" s="226" t="str">
        <f t="shared" si="61"/>
        <v/>
      </c>
      <c r="AA209" s="226" t="str">
        <f t="shared" si="62"/>
        <v/>
      </c>
      <c r="AB209" s="226" t="str">
        <f t="shared" si="63"/>
        <v/>
      </c>
    </row>
    <row r="210" spans="1:28" x14ac:dyDescent="0.2">
      <c r="A210" s="214" t="str">
        <f t="shared" si="64"/>
        <v>4Y 4x</v>
      </c>
      <c r="B210" s="214">
        <f t="shared" si="65"/>
        <v>4</v>
      </c>
      <c r="C210" s="223">
        <f t="shared" si="66"/>
        <v>4</v>
      </c>
      <c r="D210" s="214">
        <v>25</v>
      </c>
      <c r="E210" s="214">
        <f t="shared" si="53"/>
        <v>2050</v>
      </c>
      <c r="F210" s="218">
        <f>IF(D210=1,'Model Inputs'!$B$25*(13-'Model Inputs'!$B$23)/12,'Model Inputs'!$B$25)</f>
        <v>300000</v>
      </c>
      <c r="G210" s="218">
        <f>IF(D210=1,'Model Inputs'!$B$27*(13-'Model Inputs'!$B$23)/12,IF(D210=2,'Model Inputs'!$B$27,IF(D210&lt;=MAX(3,'Model Inputs'!$B$30+1),'Model Inputs'!$B$27*(1+'Model Inputs'!$B$28)^(D210-3),'Model Inputs'!$B$27*(1+'Model Inputs'!$B$28)^(MAX(3,'Model Inputs'!$B$30+1)-3)*(1+'Model Inputs'!$B$29)^(D210-MAX(3,'Model Inputs'!$B$30+1)))))</f>
        <v>114761701.62653697</v>
      </c>
      <c r="H210" s="224">
        <f>IF(D210&lt;=2,0,'Model Inputs'!$B$32*SIN(2*PI()*(D210-3+'Model Inputs'!$B$34)/MAX(1,'Model Inputs'!$B$33)))</f>
        <v>0.10392304845413287</v>
      </c>
      <c r="I210" s="218">
        <f t="shared" si="54"/>
        <v>126688087.50535031</v>
      </c>
      <c r="J210" s="218">
        <f t="shared" si="67"/>
        <v>83643370.677900568</v>
      </c>
      <c r="K210" s="218">
        <f>F210+J210+IF(D210=1,'Model Inputs'!$B$26,0)</f>
        <v>83943370.677900568</v>
      </c>
      <c r="L210" s="218">
        <f t="shared" si="55"/>
        <v>335773482.71160227</v>
      </c>
      <c r="M210" s="218">
        <f>MIN(L210,'Tax Assumptions'!$B$19)</f>
        <v>24500</v>
      </c>
      <c r="N210" s="218">
        <f>MAX(L210-M210-'Tax Assumptions'!$B$8,0)</f>
        <v>335732882.71160227</v>
      </c>
      <c r="O210" s="218">
        <f>MAX(L210-M210-'Tax Assumptions'!$B$9,0)</f>
        <v>335740982.71160227</v>
      </c>
      <c r="P210" s="218">
        <f>IF(N210=0,0,LOOKUP(N210,'Tax Assumptions'!$F$9:$F$15,'Tax Assumptions'!$I$9:$I$15)+(N210-LOOKUP(N210,'Tax Assumptions'!$F$9:$F$15,'Tax Assumptions'!$F$9:$F$15))*LOOKUP(N210,'Tax Assumptions'!$F$9:$F$15,'Tax Assumptions'!$H$9:$H$15))+MIN(MAX(L210,0),'Tax Assumptions'!$B$11)*'Tax Assumptions'!$B$10+MAX(L210,0)*'Tax Assumptions'!$B$12+MAX(MAX(L210,0)-'Tax Assumptions'!$B$14,0)*'Tax Assumptions'!$B$13+MIN(L210*'Tax Assumptions'!$B$15,'Tax Assumptions'!$B$16)+MIN(L210*'Tax Assumptions'!$B$17,'Tax Assumptions'!$B$18)+IF(O210=0,0,LOOKUP(O210,'Tax Assumptions'!$K$9:$K$17,'Tax Assumptions'!$N$9:$N$17)+(O210-LOOKUP(O210,'Tax Assumptions'!$K$9:$K$17,'Tax Assumptions'!$K$9:$K$17))*LOOKUP(O210,'Tax Assumptions'!$K$9:$K$17,'Tax Assumptions'!$M$9:$M$17))+IF(O210=0,0,LOOKUP(O210,'Tax Assumptions'!$P$9:$P$12,'Tax Assumptions'!$S$9:$S$12)+(O210-LOOKUP(O210,'Tax Assumptions'!$P$9:$P$12,'Tax Assumptions'!$P$9:$P$12))*LOOKUP(O210,'Tax Assumptions'!$P$9:$P$12,'Tax Assumptions'!$R$9:$R$12))</f>
        <v>181471562.79248184</v>
      </c>
      <c r="Q210" s="218">
        <f t="shared" si="56"/>
        <v>154277419.91912043</v>
      </c>
      <c r="R210" s="218">
        <f>IF(D210&lt;=10,INDEX('Savings Projection'!$BL$19:$BL$28,D210),LOOKUP(2,1/('Savings Projection'!$BL$19:$BL$28&lt;&gt;""),'Savings Projection'!$BL$19:$BL$28))*(1+'Model Inputs'!$B$35)^(D210-1)+IF(D210&lt;=10,INDEX('Savings Projection'!$BM$19:$BM$28,D210),LOOKUP(2,1/('Savings Projection'!$BM$19:$BM$28&lt;&gt;""),'Savings Projection'!$BM$19:$BM$28))*(1+'Model Inputs'!$B$36)^(D210-1)</f>
        <v>264263.23383985227</v>
      </c>
      <c r="S210" s="218">
        <f t="shared" si="57"/>
        <v>154013156.68528059</v>
      </c>
      <c r="T210" s="218">
        <f>MIN(MAX(S210,0),'Tax Assumptions'!$B$20)</f>
        <v>7500</v>
      </c>
      <c r="U210" s="218">
        <f t="shared" si="58"/>
        <v>154005656.68528059</v>
      </c>
      <c r="V210" s="218">
        <f>MAX(V209*(1+'Model Inputs'!$B$13)+U210,0)</f>
        <v>943387737.36505306</v>
      </c>
      <c r="W210" s="218">
        <f>MAX(W209*(1+'Model Inputs'!$B$13)+M210+T210,0)</f>
        <v>1755664.3838631923</v>
      </c>
      <c r="X210" s="218">
        <f t="shared" si="59"/>
        <v>945143401.74891627</v>
      </c>
      <c r="Y210" s="226" t="str">
        <f t="shared" si="60"/>
        <v/>
      </c>
      <c r="Z210" s="226" t="str">
        <f t="shared" si="61"/>
        <v/>
      </c>
      <c r="AA210" s="226" t="str">
        <f t="shared" si="62"/>
        <v/>
      </c>
      <c r="AB210" s="226" t="str">
        <f t="shared" si="63"/>
        <v/>
      </c>
    </row>
    <row r="211" spans="1:28" x14ac:dyDescent="0.2">
      <c r="A211" s="214" t="str">
        <f t="shared" si="64"/>
        <v>4Y 4x</v>
      </c>
      <c r="B211" s="214">
        <f t="shared" si="65"/>
        <v>4</v>
      </c>
      <c r="C211" s="223">
        <f t="shared" si="66"/>
        <v>4</v>
      </c>
      <c r="D211" s="214">
        <v>26</v>
      </c>
      <c r="E211" s="214">
        <f t="shared" si="53"/>
        <v>2051</v>
      </c>
      <c r="F211" s="218">
        <f>IF(D211=1,'Model Inputs'!$B$25*(13-'Model Inputs'!$B$23)/12,'Model Inputs'!$B$25)</f>
        <v>300000</v>
      </c>
      <c r="G211" s="218">
        <f>IF(D211=1,'Model Inputs'!$B$27*(13-'Model Inputs'!$B$23)/12,IF(D211=2,'Model Inputs'!$B$27,IF(D211&lt;=MAX(3,'Model Inputs'!$B$30+1),'Model Inputs'!$B$27*(1+'Model Inputs'!$B$28)^(D211-3),'Model Inputs'!$B$27*(1+'Model Inputs'!$B$28)^(MAX(3,'Model Inputs'!$B$30+1)-3)*(1+'Model Inputs'!$B$29)^(D211-MAX(3,'Model Inputs'!$B$30+1)))))</f>
        <v>145848057.00524563</v>
      </c>
      <c r="H211" s="224">
        <f>IF(D211&lt;=2,0,'Model Inputs'!$B$32*SIN(2*PI()*(D211-3+'Model Inputs'!$B$34)/MAX(1,'Model Inputs'!$B$33)))</f>
        <v>-0.10392304845413224</v>
      </c>
      <c r="I211" s="218">
        <f t="shared" si="54"/>
        <v>130691082.31014845</v>
      </c>
      <c r="J211" s="218">
        <f t="shared" si="67"/>
        <v>117591354.65008041</v>
      </c>
      <c r="K211" s="218">
        <f>F211+J211+IF(D211=1,'Model Inputs'!$B$26,0)</f>
        <v>117891354.65008041</v>
      </c>
      <c r="L211" s="218">
        <f t="shared" si="55"/>
        <v>471565418.60032165</v>
      </c>
      <c r="M211" s="218">
        <f>MIN(L211,'Tax Assumptions'!$B$19)</f>
        <v>24500</v>
      </c>
      <c r="N211" s="218">
        <f>MAX(L211-M211-'Tax Assumptions'!$B$8,0)</f>
        <v>471524818.60032165</v>
      </c>
      <c r="O211" s="218">
        <f>MAX(L211-M211-'Tax Assumptions'!$B$9,0)</f>
        <v>471532918.60032165</v>
      </c>
      <c r="P211" s="218">
        <f>IF(N211=0,0,LOOKUP(N211,'Tax Assumptions'!$F$9:$F$15,'Tax Assumptions'!$I$9:$I$15)+(N211-LOOKUP(N211,'Tax Assumptions'!$F$9:$F$15,'Tax Assumptions'!$F$9:$F$15))*LOOKUP(N211,'Tax Assumptions'!$F$9:$F$15,'Tax Assumptions'!$H$9:$H$15))+MIN(MAX(L211,0),'Tax Assumptions'!$B$11)*'Tax Assumptions'!$B$10+MAX(L211,0)*'Tax Assumptions'!$B$12+MAX(MAX(L211,0)-'Tax Assumptions'!$B$14,0)*'Tax Assumptions'!$B$13+MIN(L211*'Tax Assumptions'!$B$15,'Tax Assumptions'!$B$16)+MIN(L211*'Tax Assumptions'!$B$17,'Tax Assumptions'!$B$18)+IF(O211=0,0,LOOKUP(O211,'Tax Assumptions'!$K$9:$K$17,'Tax Assumptions'!$N$9:$N$17)+(O211-LOOKUP(O211,'Tax Assumptions'!$K$9:$K$17,'Tax Assumptions'!$K$9:$K$17))*LOOKUP(O211,'Tax Assumptions'!$K$9:$K$17,'Tax Assumptions'!$M$9:$M$17))+IF(O211=0,0,LOOKUP(O211,'Tax Assumptions'!$P$9:$P$12,'Tax Assumptions'!$S$9:$S$12)+(O211-LOOKUP(O211,'Tax Assumptions'!$P$9:$P$12,'Tax Assumptions'!$P$9:$P$12))*LOOKUP(O211,'Tax Assumptions'!$P$9:$P$12,'Tax Assumptions'!$R$9:$R$12))</f>
        <v>254970306.01161006</v>
      </c>
      <c r="Q211" s="218">
        <f t="shared" si="56"/>
        <v>216570612.58871159</v>
      </c>
      <c r="R211" s="218">
        <f>IF(D211&lt;=10,INDEX('Savings Projection'!$BL$19:$BL$28,D211),LOOKUP(2,1/('Savings Projection'!$BL$19:$BL$28&lt;&gt;""),'Savings Projection'!$BL$19:$BL$28))*(1+'Model Inputs'!$B$35)^(D211-1)+IF(D211&lt;=10,INDEX('Savings Projection'!$BM$19:$BM$28,D211),LOOKUP(2,1/('Savings Projection'!$BM$19:$BM$28&lt;&gt;""),'Savings Projection'!$BM$19:$BM$28))*(1+'Model Inputs'!$B$36)^(D211-1)</f>
        <v>272191.13085504784</v>
      </c>
      <c r="S211" s="218">
        <f t="shared" si="57"/>
        <v>216298421.45785654</v>
      </c>
      <c r="T211" s="218">
        <f>MIN(MAX(S211,0),'Tax Assumptions'!$B$20)</f>
        <v>7500</v>
      </c>
      <c r="U211" s="218">
        <f t="shared" si="58"/>
        <v>216290921.45785654</v>
      </c>
      <c r="V211" s="218">
        <f>MAX(V210*(1+'Model Inputs'!$B$13)+U211,0)</f>
        <v>1216281923.0648127</v>
      </c>
      <c r="W211" s="218">
        <f>MAX(W210*(1+'Model Inputs'!$B$13)+M211+T211,0)</f>
        <v>1893004.2468949838</v>
      </c>
      <c r="X211" s="218">
        <f t="shared" si="59"/>
        <v>1218174927.3117077</v>
      </c>
      <c r="Y211" s="226" t="str">
        <f t="shared" si="60"/>
        <v/>
      </c>
      <c r="Z211" s="226" t="str">
        <f t="shared" si="61"/>
        <v/>
      </c>
      <c r="AA211" s="226" t="str">
        <f t="shared" si="62"/>
        <v/>
      </c>
      <c r="AB211" s="226" t="str">
        <f t="shared" si="63"/>
        <v/>
      </c>
    </row>
    <row r="212" spans="1:28" x14ac:dyDescent="0.2">
      <c r="A212" s="214" t="str">
        <f t="shared" si="64"/>
        <v>4Y 4x</v>
      </c>
      <c r="B212" s="214">
        <f t="shared" si="65"/>
        <v>4</v>
      </c>
      <c r="C212" s="223">
        <f t="shared" si="66"/>
        <v>4</v>
      </c>
      <c r="D212" s="214">
        <v>27</v>
      </c>
      <c r="E212" s="214">
        <f t="shared" si="53"/>
        <v>2052</v>
      </c>
      <c r="F212" s="218">
        <f>IF(D212=1,'Model Inputs'!$B$25*(13-'Model Inputs'!$B$23)/12,'Model Inputs'!$B$25)</f>
        <v>300000</v>
      </c>
      <c r="G212" s="218">
        <f>IF(D212=1,'Model Inputs'!$B$27*(13-'Model Inputs'!$B$23)/12,IF(D212=2,'Model Inputs'!$B$27,IF(D212&lt;=MAX(3,'Model Inputs'!$B$30+1),'Model Inputs'!$B$27*(1+'Model Inputs'!$B$28)^(D212-3),'Model Inputs'!$B$27*(1+'Model Inputs'!$B$28)^(MAX(3,'Model Inputs'!$B$30+1)-3)*(1+'Model Inputs'!$B$29)^(D212-MAX(3,'Model Inputs'!$B$30+1)))))</f>
        <v>185355004.59402937</v>
      </c>
      <c r="H212" s="224">
        <f>IF(D212&lt;=2,0,'Model Inputs'!$B$32*SIN(2*PI()*(D212-3+'Model Inputs'!$B$34)/MAX(1,'Model Inputs'!$B$33)))</f>
        <v>-2.3513218543629179E-16</v>
      </c>
      <c r="I212" s="218">
        <f t="shared" si="54"/>
        <v>185355004.59402934</v>
      </c>
      <c r="J212" s="218">
        <f t="shared" si="67"/>
        <v>129690333.6089489</v>
      </c>
      <c r="K212" s="218">
        <f>F212+J212+IF(D212=1,'Model Inputs'!$B$26,0)</f>
        <v>129990333.6089489</v>
      </c>
      <c r="L212" s="218">
        <f t="shared" si="55"/>
        <v>519961334.43579561</v>
      </c>
      <c r="M212" s="218">
        <f>MIN(L212,'Tax Assumptions'!$B$19)</f>
        <v>24500</v>
      </c>
      <c r="N212" s="218">
        <f>MAX(L212-M212-'Tax Assumptions'!$B$8,0)</f>
        <v>519920734.43579561</v>
      </c>
      <c r="O212" s="218">
        <f>MAX(L212-M212-'Tax Assumptions'!$B$9,0)</f>
        <v>519928834.43579561</v>
      </c>
      <c r="P212" s="218">
        <f>IF(N212=0,0,LOOKUP(N212,'Tax Assumptions'!$F$9:$F$15,'Tax Assumptions'!$I$9:$I$15)+(N212-LOOKUP(N212,'Tax Assumptions'!$F$9:$F$15,'Tax Assumptions'!$F$9:$F$15))*LOOKUP(N212,'Tax Assumptions'!$F$9:$F$15,'Tax Assumptions'!$H$9:$H$15))+MIN(MAX(L212,0),'Tax Assumptions'!$B$11)*'Tax Assumptions'!$B$10+MAX(L212,0)*'Tax Assumptions'!$B$12+MAX(MAX(L212,0)-'Tax Assumptions'!$B$14,0)*'Tax Assumptions'!$B$13+MIN(L212*'Tax Assumptions'!$B$15,'Tax Assumptions'!$B$16)+MIN(L212*'Tax Assumptions'!$B$17,'Tax Assumptions'!$B$18)+IF(O212=0,0,LOOKUP(O212,'Tax Assumptions'!$K$9:$K$17,'Tax Assumptions'!$N$9:$N$17)+(O212-LOOKUP(O212,'Tax Assumptions'!$K$9:$K$17,'Tax Assumptions'!$K$9:$K$17))*LOOKUP(O212,'Tax Assumptions'!$K$9:$K$17,'Tax Assumptions'!$M$9:$M$17))+IF(O212=0,0,LOOKUP(O212,'Tax Assumptions'!$P$9:$P$12,'Tax Assumptions'!$S$9:$S$12)+(O212-LOOKUP(O212,'Tax Assumptions'!$P$9:$P$12,'Tax Assumptions'!$P$9:$P$12))*LOOKUP(O212,'Tax Assumptions'!$P$9:$P$12,'Tax Assumptions'!$R$9:$R$12))</f>
        <v>281165079.41671872</v>
      </c>
      <c r="Q212" s="218">
        <f t="shared" si="56"/>
        <v>238771755.01907688</v>
      </c>
      <c r="R212" s="218">
        <f>IF(D212&lt;=10,INDEX('Savings Projection'!$BL$19:$BL$28,D212),LOOKUP(2,1/('Savings Projection'!$BL$19:$BL$28&lt;&gt;""),'Savings Projection'!$BL$19:$BL$28))*(1+'Model Inputs'!$B$35)^(D212-1)+IF(D212&lt;=10,INDEX('Savings Projection'!$BM$19:$BM$28,D212),LOOKUP(2,1/('Savings Projection'!$BM$19:$BM$28&lt;&gt;""),'Savings Projection'!$BM$19:$BM$28))*(1+'Model Inputs'!$B$36)^(D212-1)</f>
        <v>280356.86478069925</v>
      </c>
      <c r="S212" s="218">
        <f t="shared" si="57"/>
        <v>238491398.15429619</v>
      </c>
      <c r="T212" s="218">
        <f>MIN(MAX(S212,0),'Tax Assumptions'!$B$20)</f>
        <v>7500</v>
      </c>
      <c r="U212" s="218">
        <f t="shared" si="58"/>
        <v>238483898.15429619</v>
      </c>
      <c r="V212" s="218">
        <f>MAX(V211*(1+'Model Inputs'!$B$13)+U212,0)</f>
        <v>1527742736.6029975</v>
      </c>
      <c r="W212" s="218">
        <f>MAX(W211*(1+'Model Inputs'!$B$13)+M212+T212,0)</f>
        <v>2038584.5017086829</v>
      </c>
      <c r="X212" s="218">
        <f t="shared" si="59"/>
        <v>1529781321.1047063</v>
      </c>
      <c r="Y212" s="226" t="str">
        <f t="shared" si="60"/>
        <v/>
      </c>
      <c r="Z212" s="226" t="str">
        <f t="shared" si="61"/>
        <v/>
      </c>
      <c r="AA212" s="226" t="str">
        <f t="shared" si="62"/>
        <v/>
      </c>
      <c r="AB212" s="226" t="str">
        <f t="shared" si="63"/>
        <v/>
      </c>
    </row>
    <row r="213" spans="1:28" x14ac:dyDescent="0.2">
      <c r="A213" s="214" t="str">
        <f t="shared" si="64"/>
        <v>4Y 4x</v>
      </c>
      <c r="B213" s="214">
        <f t="shared" si="65"/>
        <v>4</v>
      </c>
      <c r="C213" s="223">
        <f t="shared" si="66"/>
        <v>4</v>
      </c>
      <c r="D213" s="214">
        <v>28</v>
      </c>
      <c r="E213" s="214">
        <f t="shared" si="53"/>
        <v>2053</v>
      </c>
      <c r="F213" s="218">
        <f>IF(D213=1,'Model Inputs'!$B$25*(13-'Model Inputs'!$B$23)/12,'Model Inputs'!$B$25)</f>
        <v>300000</v>
      </c>
      <c r="G213" s="218">
        <f>IF(D213=1,'Model Inputs'!$B$27*(13-'Model Inputs'!$B$23)/12,IF(D213=2,'Model Inputs'!$B$27,IF(D213&lt;=MAX(3,'Model Inputs'!$B$30+1),'Model Inputs'!$B$27*(1+'Model Inputs'!$B$28)^(D213-3),'Model Inputs'!$B$27*(1+'Model Inputs'!$B$28)^(MAX(3,'Model Inputs'!$B$30+1)-3)*(1+'Model Inputs'!$B$29)^(D213-MAX(3,'Model Inputs'!$B$30+1)))))</f>
        <v>235563492.81236541</v>
      </c>
      <c r="H213" s="224">
        <f>IF(D213&lt;=2,0,'Model Inputs'!$B$32*SIN(2*PI()*(D213-3+'Model Inputs'!$B$34)/MAX(1,'Model Inputs'!$B$33)))</f>
        <v>0.10392304845413247</v>
      </c>
      <c r="I213" s="218">
        <f t="shared" si="54"/>
        <v>260043969.08992955</v>
      </c>
      <c r="J213" s="218">
        <f t="shared" si="67"/>
        <v>171689024.02305913</v>
      </c>
      <c r="K213" s="218">
        <f>F213+J213+IF(D213=1,'Model Inputs'!$B$26,0)</f>
        <v>171989024.02305913</v>
      </c>
      <c r="L213" s="218">
        <f t="shared" si="55"/>
        <v>687956096.09223652</v>
      </c>
      <c r="M213" s="218">
        <f>MIN(L213,'Tax Assumptions'!$B$19)</f>
        <v>24500</v>
      </c>
      <c r="N213" s="218">
        <f>MAX(L213-M213-'Tax Assumptions'!$B$8,0)</f>
        <v>687915496.09223652</v>
      </c>
      <c r="O213" s="218">
        <f>MAX(L213-M213-'Tax Assumptions'!$B$9,0)</f>
        <v>687923596.09223652</v>
      </c>
      <c r="P213" s="218">
        <f>IF(N213=0,0,LOOKUP(N213,'Tax Assumptions'!$F$9:$F$15,'Tax Assumptions'!$I$9:$I$15)+(N213-LOOKUP(N213,'Tax Assumptions'!$F$9:$F$15,'Tax Assumptions'!$F$9:$F$15))*LOOKUP(N213,'Tax Assumptions'!$F$9:$F$15,'Tax Assumptions'!$H$9:$H$15))+MIN(MAX(L213,0),'Tax Assumptions'!$B$11)*'Tax Assumptions'!$B$10+MAX(L213,0)*'Tax Assumptions'!$B$12+MAX(MAX(L213,0)-'Tax Assumptions'!$B$14,0)*'Tax Assumptions'!$B$13+MIN(L213*'Tax Assumptions'!$B$15,'Tax Assumptions'!$B$16)+MIN(L213*'Tax Assumptions'!$B$17,'Tax Assumptions'!$B$18)+IF(O213=0,0,LOOKUP(O213,'Tax Assumptions'!$K$9:$K$17,'Tax Assumptions'!$N$9:$N$17)+(O213-LOOKUP(O213,'Tax Assumptions'!$K$9:$K$17,'Tax Assumptions'!$K$9:$K$17))*LOOKUP(O213,'Tax Assumptions'!$K$9:$K$17,'Tax Assumptions'!$M$9:$M$17))+IF(O213=0,0,LOOKUP(O213,'Tax Assumptions'!$P$9:$P$12,'Tax Assumptions'!$S$9:$S$12)+(O213-LOOKUP(O213,'Tax Assumptions'!$P$9:$P$12,'Tax Assumptions'!$P$9:$P$12))*LOOKUP(O213,'Tax Assumptions'!$P$9:$P$12,'Tax Assumptions'!$R$9:$R$12))</f>
        <v>372093924.11088395</v>
      </c>
      <c r="Q213" s="218">
        <f t="shared" si="56"/>
        <v>315837671.98135257</v>
      </c>
      <c r="R213" s="218">
        <f>IF(D213&lt;=10,INDEX('Savings Projection'!$BL$19:$BL$28,D213),LOOKUP(2,1/('Savings Projection'!$BL$19:$BL$28&lt;&gt;""),'Savings Projection'!$BL$19:$BL$28))*(1+'Model Inputs'!$B$35)^(D213-1)+IF(D213&lt;=10,INDEX('Savings Projection'!$BM$19:$BM$28,D213),LOOKUP(2,1/('Savings Projection'!$BM$19:$BM$28&lt;&gt;""),'Savings Projection'!$BM$19:$BM$28))*(1+'Model Inputs'!$B$36)^(D213-1)</f>
        <v>288767.57072412025</v>
      </c>
      <c r="S213" s="218">
        <f t="shared" si="57"/>
        <v>315548904.41062844</v>
      </c>
      <c r="T213" s="218">
        <f>MIN(MAX(S213,0),'Tax Assumptions'!$B$20)</f>
        <v>7500</v>
      </c>
      <c r="U213" s="218">
        <f t="shared" si="58"/>
        <v>315541404.41062844</v>
      </c>
      <c r="V213" s="218">
        <f>MAX(V212*(1+'Model Inputs'!$B$13)+U213,0)</f>
        <v>1934948705.209806</v>
      </c>
      <c r="W213" s="218">
        <f>MAX(W212*(1+'Model Inputs'!$B$13)+M213+T213,0)</f>
        <v>2192899.5718112038</v>
      </c>
      <c r="X213" s="218">
        <f t="shared" si="59"/>
        <v>1937141604.7816172</v>
      </c>
      <c r="Y213" s="226" t="str">
        <f t="shared" si="60"/>
        <v/>
      </c>
      <c r="Z213" s="226" t="str">
        <f t="shared" si="61"/>
        <v/>
      </c>
      <c r="AA213" s="226" t="str">
        <f t="shared" si="62"/>
        <v/>
      </c>
      <c r="AB213" s="226" t="str">
        <f t="shared" si="63"/>
        <v/>
      </c>
    </row>
    <row r="214" spans="1:28" x14ac:dyDescent="0.2">
      <c r="A214" s="214" t="str">
        <f t="shared" si="64"/>
        <v>4Y 4x</v>
      </c>
      <c r="B214" s="214">
        <f t="shared" si="65"/>
        <v>4</v>
      </c>
      <c r="C214" s="223">
        <f t="shared" si="66"/>
        <v>4</v>
      </c>
      <c r="D214" s="214">
        <v>29</v>
      </c>
      <c r="E214" s="214">
        <f t="shared" si="53"/>
        <v>2054</v>
      </c>
      <c r="F214" s="218">
        <f>IF(D214=1,'Model Inputs'!$B$25*(13-'Model Inputs'!$B$23)/12,'Model Inputs'!$B$25)</f>
        <v>300000</v>
      </c>
      <c r="G214" s="218">
        <f>IF(D214=1,'Model Inputs'!$B$27*(13-'Model Inputs'!$B$23)/12,IF(D214=2,'Model Inputs'!$B$27,IF(D214&lt;=MAX(3,'Model Inputs'!$B$30+1),'Model Inputs'!$B$27*(1+'Model Inputs'!$B$28)^(D214-3),'Model Inputs'!$B$27*(1+'Model Inputs'!$B$28)^(MAX(3,'Model Inputs'!$B$30+1)-3)*(1+'Model Inputs'!$B$29)^(D214-MAX(3,'Model Inputs'!$B$30+1)))))</f>
        <v>299372327.53708321</v>
      </c>
      <c r="H214" s="224">
        <f>IF(D214&lt;=2,0,'Model Inputs'!$B$32*SIN(2*PI()*(D214-3+'Model Inputs'!$B$34)/MAX(1,'Model Inputs'!$B$33)))</f>
        <v>-0.10392304845413265</v>
      </c>
      <c r="I214" s="218">
        <f t="shared" si="54"/>
        <v>268260642.63662043</v>
      </c>
      <c r="J214" s="218">
        <f t="shared" si="67"/>
        <v>241371727.96595448</v>
      </c>
      <c r="K214" s="218">
        <f>F214+J214+IF(D214=1,'Model Inputs'!$B$26,0)</f>
        <v>241671727.96595448</v>
      </c>
      <c r="L214" s="218">
        <f t="shared" si="55"/>
        <v>966686911.86381793</v>
      </c>
      <c r="M214" s="218">
        <f>MIN(L214,'Tax Assumptions'!$B$19)</f>
        <v>24500</v>
      </c>
      <c r="N214" s="218">
        <f>MAX(L214-M214-'Tax Assumptions'!$B$8,0)</f>
        <v>966646311.86381793</v>
      </c>
      <c r="O214" s="218">
        <f>MAX(L214-M214-'Tax Assumptions'!$B$9,0)</f>
        <v>966654411.86381793</v>
      </c>
      <c r="P214" s="218">
        <f>IF(N214=0,0,LOOKUP(N214,'Tax Assumptions'!$F$9:$F$15,'Tax Assumptions'!$I$9:$I$15)+(N214-LOOKUP(N214,'Tax Assumptions'!$F$9:$F$15,'Tax Assumptions'!$F$9:$F$15))*LOOKUP(N214,'Tax Assumptions'!$F$9:$F$15,'Tax Assumptions'!$H$9:$H$15))+MIN(MAX(L214,0),'Tax Assumptions'!$B$11)*'Tax Assumptions'!$B$10+MAX(L214,0)*'Tax Assumptions'!$B$12+MAX(MAX(L214,0)-'Tax Assumptions'!$B$14,0)*'Tax Assumptions'!$B$13+MIN(L214*'Tax Assumptions'!$B$15,'Tax Assumptions'!$B$16)+MIN(L214*'Tax Assumptions'!$B$17,'Tax Assumptions'!$B$18)+IF(O214=0,0,LOOKUP(O214,'Tax Assumptions'!$K$9:$K$17,'Tax Assumptions'!$N$9:$N$17)+(O214-LOOKUP(O214,'Tax Assumptions'!$K$9:$K$17,'Tax Assumptions'!$K$9:$K$17))*LOOKUP(O214,'Tax Assumptions'!$K$9:$K$17,'Tax Assumptions'!$M$9:$M$17))+IF(O214=0,0,LOOKUP(O214,'Tax Assumptions'!$P$9:$P$12,'Tax Assumptions'!$S$9:$S$12)+(O214-LOOKUP(O214,'Tax Assumptions'!$P$9:$P$12,'Tax Assumptions'!$P$9:$P$12))*LOOKUP(O214,'Tax Assumptions'!$P$9:$P$12,'Tax Assumptions'!$R$9:$R$12))</f>
        <v>522959765.45541006</v>
      </c>
      <c r="Q214" s="218">
        <f t="shared" si="56"/>
        <v>443702646.40840787</v>
      </c>
      <c r="R214" s="218">
        <f>IF(D214&lt;=10,INDEX('Savings Projection'!$BL$19:$BL$28,D214),LOOKUP(2,1/('Savings Projection'!$BL$19:$BL$28&lt;&gt;""),'Savings Projection'!$BL$19:$BL$28))*(1+'Model Inputs'!$B$35)^(D214-1)+IF(D214&lt;=10,INDEX('Savings Projection'!$BM$19:$BM$28,D214),LOOKUP(2,1/('Savings Projection'!$BM$19:$BM$28&lt;&gt;""),'Savings Projection'!$BM$19:$BM$28))*(1+'Model Inputs'!$B$36)^(D214-1)</f>
        <v>297430.59784584382</v>
      </c>
      <c r="S214" s="218">
        <f t="shared" si="57"/>
        <v>443405215.81056201</v>
      </c>
      <c r="T214" s="218">
        <f>MIN(MAX(S214,0),'Tax Assumptions'!$B$20)</f>
        <v>7500</v>
      </c>
      <c r="U214" s="218">
        <f t="shared" si="58"/>
        <v>443397715.81056201</v>
      </c>
      <c r="V214" s="218">
        <f>MAX(V213*(1+'Model Inputs'!$B$13)+U214,0)</f>
        <v>2494443343.3329563</v>
      </c>
      <c r="W214" s="218">
        <f>MAX(W213*(1+'Model Inputs'!$B$13)+M214+T214,0)</f>
        <v>2356473.5461198762</v>
      </c>
      <c r="X214" s="218">
        <f t="shared" si="59"/>
        <v>2496799816.879076</v>
      </c>
      <c r="Y214" s="226" t="str">
        <f t="shared" si="60"/>
        <v/>
      </c>
      <c r="Z214" s="226" t="str">
        <f t="shared" si="61"/>
        <v/>
      </c>
      <c r="AA214" s="226" t="str">
        <f t="shared" si="62"/>
        <v/>
      </c>
      <c r="AB214" s="226" t="str">
        <f t="shared" si="63"/>
        <v/>
      </c>
    </row>
    <row r="215" spans="1:28" x14ac:dyDescent="0.2">
      <c r="A215" s="214" t="str">
        <f t="shared" si="64"/>
        <v>4Y 4x</v>
      </c>
      <c r="B215" s="214">
        <f t="shared" si="65"/>
        <v>4</v>
      </c>
      <c r="C215" s="223">
        <f t="shared" si="66"/>
        <v>4</v>
      </c>
      <c r="D215" s="214">
        <v>30</v>
      </c>
      <c r="E215" s="214">
        <f t="shared" si="53"/>
        <v>2055</v>
      </c>
      <c r="F215" s="218">
        <f>IF(D215=1,'Model Inputs'!$B$25*(13-'Model Inputs'!$B$23)/12,'Model Inputs'!$B$25)</f>
        <v>300000</v>
      </c>
      <c r="G215" s="218">
        <f>IF(D215=1,'Model Inputs'!$B$27*(13-'Model Inputs'!$B$23)/12,IF(D215=2,'Model Inputs'!$B$27,IF(D215&lt;=MAX(3,'Model Inputs'!$B$30+1),'Model Inputs'!$B$27*(1+'Model Inputs'!$B$28)^(D215-3),'Model Inputs'!$B$27*(1+'Model Inputs'!$B$28)^(MAX(3,'Model Inputs'!$B$30+1)-3)*(1+'Model Inputs'!$B$29)^(D215-MAX(3,'Model Inputs'!$B$30+1)))))</f>
        <v>380465535.74563926</v>
      </c>
      <c r="H215" s="224">
        <f>IF(D215&lt;=2,0,'Model Inputs'!$B$32*SIN(2*PI()*(D215-3+'Model Inputs'!$B$34)/MAX(1,'Model Inputs'!$B$33)))</f>
        <v>-2.645237086158283E-16</v>
      </c>
      <c r="I215" s="218">
        <f t="shared" si="54"/>
        <v>380465535.7456392</v>
      </c>
      <c r="J215" s="218">
        <f t="shared" si="67"/>
        <v>266206474.24994773</v>
      </c>
      <c r="K215" s="218">
        <f>F215+J215+IF(D215=1,'Model Inputs'!$B$26,0)</f>
        <v>266506474.24994773</v>
      </c>
      <c r="L215" s="218">
        <f t="shared" si="55"/>
        <v>1066025896.9997909</v>
      </c>
      <c r="M215" s="218">
        <f>MIN(L215,'Tax Assumptions'!$B$19)</f>
        <v>24500</v>
      </c>
      <c r="N215" s="218">
        <f>MAX(L215-M215-'Tax Assumptions'!$B$8,0)</f>
        <v>1065985296.9997909</v>
      </c>
      <c r="O215" s="218">
        <f>MAX(L215-M215-'Tax Assumptions'!$B$9,0)</f>
        <v>1065993396.9997909</v>
      </c>
      <c r="P215" s="218">
        <f>IF(N215=0,0,LOOKUP(N215,'Tax Assumptions'!$F$9:$F$15,'Tax Assumptions'!$I$9:$I$15)+(N215-LOOKUP(N215,'Tax Assumptions'!$F$9:$F$15,'Tax Assumptions'!$F$9:$F$15))*LOOKUP(N215,'Tax Assumptions'!$F$9:$F$15,'Tax Assumptions'!$H$9:$H$15))+MIN(MAX(L215,0),'Tax Assumptions'!$B$11)*'Tax Assumptions'!$B$10+MAX(L215,0)*'Tax Assumptions'!$B$12+MAX(MAX(L215,0)-'Tax Assumptions'!$B$14,0)*'Tax Assumptions'!$B$13+MIN(L215*'Tax Assumptions'!$B$15,'Tax Assumptions'!$B$16)+MIN(L215*'Tax Assumptions'!$B$17,'Tax Assumptions'!$B$18)+IF(O215=0,0,LOOKUP(O215,'Tax Assumptions'!$K$9:$K$17,'Tax Assumptions'!$N$9:$N$17)+(O215-LOOKUP(O215,'Tax Assumptions'!$K$9:$K$17,'Tax Assumptions'!$K$9:$K$17))*LOOKUP(O215,'Tax Assumptions'!$K$9:$K$17,'Tax Assumptions'!$M$9:$M$17))+IF(O215=0,0,LOOKUP(O215,'Tax Assumptions'!$P$9:$P$12,'Tax Assumptions'!$S$9:$S$12)+(O215-LOOKUP(O215,'Tax Assumptions'!$P$9:$P$12,'Tax Assumptions'!$P$9:$P$12))*LOOKUP(O215,'Tax Assumptions'!$P$9:$P$12,'Tax Assumptions'!$R$9:$R$12))</f>
        <v>576727984.55010676</v>
      </c>
      <c r="Q215" s="218">
        <f t="shared" si="56"/>
        <v>489273412.44968414</v>
      </c>
      <c r="R215" s="218">
        <f>IF(D215&lt;=10,INDEX('Savings Projection'!$BL$19:$BL$28,D215),LOOKUP(2,1/('Savings Projection'!$BL$19:$BL$28&lt;&gt;""),'Savings Projection'!$BL$19:$BL$28))*(1+'Model Inputs'!$B$35)^(D215-1)+IF(D215&lt;=10,INDEX('Savings Projection'!$BM$19:$BM$28,D215),LOOKUP(2,1/('Savings Projection'!$BM$19:$BM$28&lt;&gt;""),'Savings Projection'!$BM$19:$BM$28))*(1+'Model Inputs'!$B$36)^(D215-1)</f>
        <v>306353.51578121912</v>
      </c>
      <c r="S215" s="218">
        <f t="shared" si="57"/>
        <v>488967058.93390292</v>
      </c>
      <c r="T215" s="218">
        <f>MIN(MAX(S215,0),'Tax Assumptions'!$B$20)</f>
        <v>7500</v>
      </c>
      <c r="U215" s="218">
        <f t="shared" si="58"/>
        <v>488959558.93390292</v>
      </c>
      <c r="V215" s="218">
        <f>MAX(V214*(1+'Model Inputs'!$B$13)+U215,0)</f>
        <v>3133069502.8668365</v>
      </c>
      <c r="W215" s="218">
        <f>MAX(W214*(1+'Model Inputs'!$B$13)+M215+T215,0)</f>
        <v>2529861.958887069</v>
      </c>
      <c r="X215" s="218">
        <f t="shared" si="59"/>
        <v>3135599364.8257236</v>
      </c>
      <c r="Y215" s="226" t="str">
        <f t="shared" si="60"/>
        <v/>
      </c>
      <c r="Z215" s="226" t="str">
        <f t="shared" si="61"/>
        <v/>
      </c>
      <c r="AA215" s="226" t="str">
        <f t="shared" si="62"/>
        <v/>
      </c>
      <c r="AB215" s="226" t="str">
        <f t="shared" si="63"/>
        <v/>
      </c>
    </row>
    <row r="216" spans="1:28" x14ac:dyDescent="0.2">
      <c r="A216" s="214" t="str">
        <f t="shared" ref="A216:A245" si="68">$A$28</f>
        <v>5Y 2x</v>
      </c>
      <c r="B216" s="214">
        <f t="shared" ref="B216:B245" si="69">$B$28</f>
        <v>5</v>
      </c>
      <c r="C216" s="223">
        <f t="shared" ref="C216:C245" si="70">$C$28</f>
        <v>2</v>
      </c>
      <c r="D216" s="214">
        <v>1</v>
      </c>
      <c r="E216" s="214">
        <f t="shared" si="53"/>
        <v>2026</v>
      </c>
      <c r="F216" s="218">
        <f>IF(D216=1,'Model Inputs'!$B$25*(13-'Model Inputs'!$B$23)/12,'Model Inputs'!$B$25)</f>
        <v>100000</v>
      </c>
      <c r="G216" s="218">
        <f>IF(D216=1,'Model Inputs'!$B$27*(13-'Model Inputs'!$B$23)/12,IF(D216=2,'Model Inputs'!$B$27,IF(D216&lt;=MAX(3,'Model Inputs'!$B$30+1),'Model Inputs'!$B$27*(1+'Model Inputs'!$B$28)^(D216-3),'Model Inputs'!$B$27*(1+'Model Inputs'!$B$28)^(MAX(3,'Model Inputs'!$B$30+1)-3)*(1+'Model Inputs'!$B$29)^(D216-MAX(3,'Model Inputs'!$B$30+1)))))</f>
        <v>150000</v>
      </c>
      <c r="H216" s="224">
        <f>IF(D216&lt;=2,0,'Model Inputs'!$B$32*SIN(2*PI()*(D216-3+'Model Inputs'!$B$34)/MAX(1,'Model Inputs'!$B$33)))</f>
        <v>0</v>
      </c>
      <c r="I216" s="218">
        <f t="shared" si="54"/>
        <v>150000</v>
      </c>
      <c r="J216" s="218">
        <f>0</f>
        <v>0</v>
      </c>
      <c r="K216" s="218">
        <f>F216+J216+IF(D216=1,'Model Inputs'!$B$26,0)</f>
        <v>550000</v>
      </c>
      <c r="L216" s="218">
        <f t="shared" si="55"/>
        <v>550000</v>
      </c>
      <c r="M216" s="218">
        <f>MIN(L216,'Tax Assumptions'!$B$19)</f>
        <v>24500</v>
      </c>
      <c r="N216" s="218">
        <f>MAX(L216-M216-'Tax Assumptions'!$B$8,0)</f>
        <v>509400</v>
      </c>
      <c r="O216" s="218">
        <f>MAX(L216-M216-'Tax Assumptions'!$B$9,0)</f>
        <v>517500</v>
      </c>
      <c r="P216" s="218">
        <f>IF(N216=0,0,LOOKUP(N216,'Tax Assumptions'!$F$9:$F$15,'Tax Assumptions'!$I$9:$I$15)+(N216-LOOKUP(N216,'Tax Assumptions'!$F$9:$F$15,'Tax Assumptions'!$F$9:$F$15))*LOOKUP(N216,'Tax Assumptions'!$F$9:$F$15,'Tax Assumptions'!$H$9:$H$15))+MIN(MAX(L216,0),'Tax Assumptions'!$B$11)*'Tax Assumptions'!$B$10+MAX(L216,0)*'Tax Assumptions'!$B$12+MAX(MAX(L216,0)-'Tax Assumptions'!$B$14,0)*'Tax Assumptions'!$B$13+MIN(L216*'Tax Assumptions'!$B$15,'Tax Assumptions'!$B$16)+MIN(L216*'Tax Assumptions'!$B$17,'Tax Assumptions'!$B$18)+IF(O216=0,0,LOOKUP(O216,'Tax Assumptions'!$K$9:$K$17,'Tax Assumptions'!$N$9:$N$17)+(O216-LOOKUP(O216,'Tax Assumptions'!$K$9:$K$17,'Tax Assumptions'!$K$9:$K$17))*LOOKUP(O216,'Tax Assumptions'!$K$9:$K$17,'Tax Assumptions'!$M$9:$M$17))+IF(O216=0,0,LOOKUP(O216,'Tax Assumptions'!$P$9:$P$12,'Tax Assumptions'!$S$9:$S$12)+(O216-LOOKUP(O216,'Tax Assumptions'!$P$9:$P$12,'Tax Assumptions'!$P$9:$P$12))*LOOKUP(O216,'Tax Assumptions'!$P$9:$P$12,'Tax Assumptions'!$R$9:$R$12))</f>
        <v>222834.53000000003</v>
      </c>
      <c r="Q216" s="218">
        <f t="shared" si="56"/>
        <v>302665.46999999997</v>
      </c>
      <c r="R216" s="218">
        <f>IF(D216&lt;=10,INDEX('Savings Projection'!$BL$19:$BL$28,D216),LOOKUP(2,1/('Savings Projection'!$BL$19:$BL$28&lt;&gt;""),'Savings Projection'!$BL$19:$BL$28))*(1+'Model Inputs'!$B$35)^(D216-1)+IF(D216&lt;=10,INDEX('Savings Projection'!$BM$19:$BM$28,D216),LOOKUP(2,1/('Savings Projection'!$BM$19:$BM$28&lt;&gt;""),'Savings Projection'!$BM$19:$BM$28))*(1+'Model Inputs'!$B$36)^(D216-1)</f>
        <v>118000</v>
      </c>
      <c r="S216" s="218">
        <f t="shared" si="57"/>
        <v>184665.46999999997</v>
      </c>
      <c r="T216" s="218">
        <f>MIN(MAX(S216,0),'Tax Assumptions'!$B$20)</f>
        <v>7500</v>
      </c>
      <c r="U216" s="218">
        <f t="shared" si="58"/>
        <v>177165.46999999997</v>
      </c>
      <c r="V216" s="218">
        <f>MAX('Model Inputs'!$B$7*(1+'Model Inputs'!$B$13)+U216,0)</f>
        <v>336165.47</v>
      </c>
      <c r="W216" s="218">
        <f>MAX(('Model Inputs'!$B$8+'Model Inputs'!$B$9+'Model Inputs'!$B$10)*(1+'Model Inputs'!$B$13)+M216+T216,0)</f>
        <v>32000</v>
      </c>
      <c r="X216" s="218">
        <f t="shared" si="59"/>
        <v>368165.47</v>
      </c>
      <c r="Y216" s="226" t="str">
        <f t="shared" si="60"/>
        <v/>
      </c>
      <c r="Z216" s="226" t="str">
        <f t="shared" si="61"/>
        <v/>
      </c>
      <c r="AA216" s="226" t="str">
        <f t="shared" si="62"/>
        <v/>
      </c>
      <c r="AB216" s="226" t="str">
        <f t="shared" si="63"/>
        <v/>
      </c>
    </row>
    <row r="217" spans="1:28" x14ac:dyDescent="0.2">
      <c r="A217" s="214" t="str">
        <f t="shared" si="68"/>
        <v>5Y 2x</v>
      </c>
      <c r="B217" s="214">
        <f t="shared" si="69"/>
        <v>5</v>
      </c>
      <c r="C217" s="223">
        <f t="shared" si="70"/>
        <v>2</v>
      </c>
      <c r="D217" s="214">
        <v>2</v>
      </c>
      <c r="E217" s="214">
        <f t="shared" si="53"/>
        <v>2027</v>
      </c>
      <c r="F217" s="218">
        <f>IF(D217=1,'Model Inputs'!$B$25*(13-'Model Inputs'!$B$23)/12,'Model Inputs'!$B$25)</f>
        <v>300000</v>
      </c>
      <c r="G217" s="218">
        <f>IF(D217=1,'Model Inputs'!$B$27*(13-'Model Inputs'!$B$23)/12,IF(D217=2,'Model Inputs'!$B$27,IF(D217&lt;=MAX(3,'Model Inputs'!$B$30+1),'Model Inputs'!$B$27*(1+'Model Inputs'!$B$28)^(D217-3),'Model Inputs'!$B$27*(1+'Model Inputs'!$B$28)^(MAX(3,'Model Inputs'!$B$30+1)-3)*(1+'Model Inputs'!$B$29)^(D217-MAX(3,'Model Inputs'!$B$30+1)))))</f>
        <v>450000</v>
      </c>
      <c r="H217" s="224">
        <f>IF(D217&lt;=2,0,'Model Inputs'!$B$32*SIN(2*PI()*(D217-3+'Model Inputs'!$B$34)/MAX(1,'Model Inputs'!$B$33)))</f>
        <v>0</v>
      </c>
      <c r="I217" s="218">
        <f t="shared" si="54"/>
        <v>450000</v>
      </c>
      <c r="J217" s="218">
        <f>0.75*I216</f>
        <v>112500</v>
      </c>
      <c r="K217" s="218">
        <f>F217+J217+IF(D217=1,'Model Inputs'!$B$26,0)</f>
        <v>412500</v>
      </c>
      <c r="L217" s="218">
        <f t="shared" si="55"/>
        <v>412500</v>
      </c>
      <c r="M217" s="218">
        <f>MIN(L217,'Tax Assumptions'!$B$19)</f>
        <v>24500</v>
      </c>
      <c r="N217" s="218">
        <f>MAX(L217-M217-'Tax Assumptions'!$B$8,0)</f>
        <v>371900</v>
      </c>
      <c r="O217" s="218">
        <f>MAX(L217-M217-'Tax Assumptions'!$B$9,0)</f>
        <v>380000</v>
      </c>
      <c r="P217" s="218">
        <f>IF(N217=0,0,LOOKUP(N217,'Tax Assumptions'!$F$9:$F$15,'Tax Assumptions'!$I$9:$I$15)+(N217-LOOKUP(N217,'Tax Assumptions'!$F$9:$F$15,'Tax Assumptions'!$F$9:$F$15))*LOOKUP(N217,'Tax Assumptions'!$F$9:$F$15,'Tax Assumptions'!$H$9:$H$15))+MIN(MAX(L217,0),'Tax Assumptions'!$B$11)*'Tax Assumptions'!$B$10+MAX(L217,0)*'Tax Assumptions'!$B$12+MAX(MAX(L217,0)-'Tax Assumptions'!$B$14,0)*'Tax Assumptions'!$B$13+MIN(L217*'Tax Assumptions'!$B$15,'Tax Assumptions'!$B$16)+MIN(L217*'Tax Assumptions'!$B$17,'Tax Assumptions'!$B$18)+IF(O217=0,0,LOOKUP(O217,'Tax Assumptions'!$K$9:$K$17,'Tax Assumptions'!$N$9:$N$17)+(O217-LOOKUP(O217,'Tax Assumptions'!$K$9:$K$17,'Tax Assumptions'!$K$9:$K$17))*LOOKUP(O217,'Tax Assumptions'!$K$9:$K$17,'Tax Assumptions'!$M$9:$M$17))+IF(O217=0,0,LOOKUP(O217,'Tax Assumptions'!$P$9:$P$12,'Tax Assumptions'!$S$9:$S$12)+(O217-LOOKUP(O217,'Tax Assumptions'!$P$9:$P$12,'Tax Assumptions'!$P$9:$P$12))*LOOKUP(O217,'Tax Assumptions'!$P$9:$P$12,'Tax Assumptions'!$R$9:$R$12))</f>
        <v>156730.03</v>
      </c>
      <c r="Q217" s="218">
        <f t="shared" si="56"/>
        <v>231269.97</v>
      </c>
      <c r="R217" s="218">
        <f>IF(D217&lt;=10,INDEX('Savings Projection'!$BL$19:$BL$28,D217),LOOKUP(2,1/('Savings Projection'!$BL$19:$BL$28&lt;&gt;""),'Savings Projection'!$BL$19:$BL$28))*(1+'Model Inputs'!$B$35)^(D217-1)+IF(D217&lt;=10,INDEX('Savings Projection'!$BM$19:$BM$28,D217),LOOKUP(2,1/('Savings Projection'!$BM$19:$BM$28&lt;&gt;""),'Savings Projection'!$BM$19:$BM$28))*(1+'Model Inputs'!$B$36)^(D217-1)</f>
        <v>121540</v>
      </c>
      <c r="S217" s="218">
        <f t="shared" si="57"/>
        <v>109729.97</v>
      </c>
      <c r="T217" s="218">
        <f>MIN(MAX(S217,0),'Tax Assumptions'!$B$20)</f>
        <v>7500</v>
      </c>
      <c r="U217" s="218">
        <f t="shared" si="58"/>
        <v>102229.97</v>
      </c>
      <c r="V217" s="218">
        <f>MAX(V216*(1+'Model Inputs'!$B$13)+U217,0)</f>
        <v>458565.36820000003</v>
      </c>
      <c r="W217" s="218">
        <f>MAX(W216*(1+'Model Inputs'!$B$13)+M217+T217,0)</f>
        <v>65920</v>
      </c>
      <c r="X217" s="218">
        <f t="shared" si="59"/>
        <v>524485.36820000003</v>
      </c>
      <c r="Y217" s="226" t="str">
        <f t="shared" si="60"/>
        <v/>
      </c>
      <c r="Z217" s="226" t="str">
        <f t="shared" si="61"/>
        <v/>
      </c>
      <c r="AA217" s="226" t="str">
        <f t="shared" si="62"/>
        <v/>
      </c>
      <c r="AB217" s="226" t="str">
        <f t="shared" si="63"/>
        <v/>
      </c>
    </row>
    <row r="218" spans="1:28" x14ac:dyDescent="0.2">
      <c r="A218" s="214" t="str">
        <f t="shared" si="68"/>
        <v>5Y 2x</v>
      </c>
      <c r="B218" s="214">
        <f t="shared" si="69"/>
        <v>5</v>
      </c>
      <c r="C218" s="223">
        <f t="shared" si="70"/>
        <v>2</v>
      </c>
      <c r="D218" s="214">
        <v>3</v>
      </c>
      <c r="E218" s="214">
        <f t="shared" si="53"/>
        <v>2028</v>
      </c>
      <c r="F218" s="218">
        <f>IF(D218=1,'Model Inputs'!$B$25*(13-'Model Inputs'!$B$23)/12,'Model Inputs'!$B$25)</f>
        <v>300000</v>
      </c>
      <c r="G218" s="218">
        <f>IF(D218=1,'Model Inputs'!$B$27*(13-'Model Inputs'!$B$23)/12,IF(D218=2,'Model Inputs'!$B$27,IF(D218&lt;=MAX(3,'Model Inputs'!$B$30+1),'Model Inputs'!$B$27*(1+'Model Inputs'!$B$28)^(D218-3),'Model Inputs'!$B$27*(1+'Model Inputs'!$B$28)^(MAX(3,'Model Inputs'!$B$30+1)-3)*(1+'Model Inputs'!$B$29)^(D218-MAX(3,'Model Inputs'!$B$30+1)))))</f>
        <v>450000</v>
      </c>
      <c r="H218" s="224">
        <f>IF(D218&lt;=2,0,'Model Inputs'!$B$32*SIN(2*PI()*(D218-3+'Model Inputs'!$B$34)/MAX(1,'Model Inputs'!$B$33)))</f>
        <v>0</v>
      </c>
      <c r="I218" s="218">
        <f t="shared" si="54"/>
        <v>450000</v>
      </c>
      <c r="J218" s="218">
        <f t="shared" ref="J218:J245" si="71">0.75*I217+0.25*I216</f>
        <v>375000</v>
      </c>
      <c r="K218" s="218">
        <f>F218+J218+IF(D218=1,'Model Inputs'!$B$26,0)</f>
        <v>675000</v>
      </c>
      <c r="L218" s="218">
        <f t="shared" si="55"/>
        <v>675000</v>
      </c>
      <c r="M218" s="218">
        <f>MIN(L218,'Tax Assumptions'!$B$19)</f>
        <v>24500</v>
      </c>
      <c r="N218" s="218">
        <f>MAX(L218-M218-'Tax Assumptions'!$B$8,0)</f>
        <v>634400</v>
      </c>
      <c r="O218" s="218">
        <f>MAX(L218-M218-'Tax Assumptions'!$B$9,0)</f>
        <v>642500</v>
      </c>
      <c r="P218" s="218">
        <f>IF(N218=0,0,LOOKUP(N218,'Tax Assumptions'!$F$9:$F$15,'Tax Assumptions'!$I$9:$I$15)+(N218-LOOKUP(N218,'Tax Assumptions'!$F$9:$F$15,'Tax Assumptions'!$F$9:$F$15))*LOOKUP(N218,'Tax Assumptions'!$F$9:$F$15,'Tax Assumptions'!$H$9:$H$15))+MIN(MAX(L218,0),'Tax Assumptions'!$B$11)*'Tax Assumptions'!$B$10+MAX(L218,0)*'Tax Assumptions'!$B$12+MAX(MAX(L218,0)-'Tax Assumptions'!$B$14,0)*'Tax Assumptions'!$B$13+MIN(L218*'Tax Assumptions'!$B$15,'Tax Assumptions'!$B$16)+MIN(L218*'Tax Assumptions'!$B$17,'Tax Assumptions'!$B$18)+IF(O218=0,0,LOOKUP(O218,'Tax Assumptions'!$K$9:$K$17,'Tax Assumptions'!$N$9:$N$17)+(O218-LOOKUP(O218,'Tax Assumptions'!$K$9:$K$17,'Tax Assumptions'!$K$9:$K$17))*LOOKUP(O218,'Tax Assumptions'!$K$9:$K$17,'Tax Assumptions'!$M$9:$M$17))+IF(O218=0,0,LOOKUP(O218,'Tax Assumptions'!$P$9:$P$12,'Tax Assumptions'!$S$9:$S$12)+(O218-LOOKUP(O218,'Tax Assumptions'!$P$9:$P$12,'Tax Assumptions'!$P$9:$P$12))*LOOKUP(O218,'Tax Assumptions'!$P$9:$P$12,'Tax Assumptions'!$R$9:$R$12))</f>
        <v>282929.53000000003</v>
      </c>
      <c r="Q218" s="218">
        <f t="shared" si="56"/>
        <v>367570.47</v>
      </c>
      <c r="R218" s="218">
        <f>IF(D218&lt;=10,INDEX('Savings Projection'!$BL$19:$BL$28,D218),LOOKUP(2,1/('Savings Projection'!$BL$19:$BL$28&lt;&gt;""),'Savings Projection'!$BL$19:$BL$28))*(1+'Model Inputs'!$B$35)^(D218-1)+IF(D218&lt;=10,INDEX('Savings Projection'!$BM$19:$BM$28,D218),LOOKUP(2,1/('Savings Projection'!$BM$19:$BM$28&lt;&gt;""),'Savings Projection'!$BM$19:$BM$28))*(1+'Model Inputs'!$B$36)^(D218-1)</f>
        <v>135795.20000000001</v>
      </c>
      <c r="S218" s="218">
        <f t="shared" si="57"/>
        <v>231775.26999999996</v>
      </c>
      <c r="T218" s="218">
        <f>MIN(MAX(S218,0),'Tax Assumptions'!$B$20)</f>
        <v>7500</v>
      </c>
      <c r="U218" s="218">
        <f t="shared" si="58"/>
        <v>224275.26999999996</v>
      </c>
      <c r="V218" s="218">
        <f>MAX(V217*(1+'Model Inputs'!$B$13)+U218,0)</f>
        <v>710354.56029199995</v>
      </c>
      <c r="W218" s="218">
        <f>MAX(W217*(1+'Model Inputs'!$B$13)+M218+T218,0)</f>
        <v>101875.2</v>
      </c>
      <c r="X218" s="218">
        <f t="shared" si="59"/>
        <v>812229.7602919999</v>
      </c>
      <c r="Y218" s="226" t="str">
        <f t="shared" si="60"/>
        <v/>
      </c>
      <c r="Z218" s="226" t="str">
        <f t="shared" si="61"/>
        <v/>
      </c>
      <c r="AA218" s="226" t="str">
        <f t="shared" si="62"/>
        <v/>
      </c>
      <c r="AB218" s="226" t="str">
        <f t="shared" si="63"/>
        <v/>
      </c>
    </row>
    <row r="219" spans="1:28" x14ac:dyDescent="0.2">
      <c r="A219" s="214" t="str">
        <f t="shared" si="68"/>
        <v>5Y 2x</v>
      </c>
      <c r="B219" s="214">
        <f t="shared" si="69"/>
        <v>5</v>
      </c>
      <c r="C219" s="223">
        <f t="shared" si="70"/>
        <v>2</v>
      </c>
      <c r="D219" s="214">
        <v>4</v>
      </c>
      <c r="E219" s="214">
        <f t="shared" si="53"/>
        <v>2029</v>
      </c>
      <c r="F219" s="218">
        <f>IF(D219=1,'Model Inputs'!$B$25*(13-'Model Inputs'!$B$23)/12,'Model Inputs'!$B$25)</f>
        <v>300000</v>
      </c>
      <c r="G219" s="218">
        <f>IF(D219=1,'Model Inputs'!$B$27*(13-'Model Inputs'!$B$23)/12,IF(D219=2,'Model Inputs'!$B$27,IF(D219&lt;=MAX(3,'Model Inputs'!$B$30+1),'Model Inputs'!$B$27*(1+'Model Inputs'!$B$28)^(D219-3),'Model Inputs'!$B$27*(1+'Model Inputs'!$B$28)^(MAX(3,'Model Inputs'!$B$30+1)-3)*(1+'Model Inputs'!$B$29)^(D219-MAX(3,'Model Inputs'!$B$30+1)))))</f>
        <v>653834.84153110103</v>
      </c>
      <c r="H219" s="224">
        <f>IF(D219&lt;=2,0,'Model Inputs'!$B$32*SIN(2*PI()*(D219-3+'Model Inputs'!$B$34)/MAX(1,'Model Inputs'!$B$33)))</f>
        <v>0.10392304845413264</v>
      </c>
      <c r="I219" s="218">
        <f t="shared" si="54"/>
        <v>721783.35144853778</v>
      </c>
      <c r="J219" s="218">
        <f t="shared" si="71"/>
        <v>450000</v>
      </c>
      <c r="K219" s="218">
        <f>F219+J219+IF(D219=1,'Model Inputs'!$B$26,0)</f>
        <v>750000</v>
      </c>
      <c r="L219" s="218">
        <f t="shared" si="55"/>
        <v>750000</v>
      </c>
      <c r="M219" s="218">
        <f>MIN(L219,'Tax Assumptions'!$B$19)</f>
        <v>24500</v>
      </c>
      <c r="N219" s="218">
        <f>MAX(L219-M219-'Tax Assumptions'!$B$8,0)</f>
        <v>709400</v>
      </c>
      <c r="O219" s="218">
        <f>MAX(L219-M219-'Tax Assumptions'!$B$9,0)</f>
        <v>717500</v>
      </c>
      <c r="P219" s="218">
        <f>IF(N219=0,0,LOOKUP(N219,'Tax Assumptions'!$F$9:$F$15,'Tax Assumptions'!$I$9:$I$15)+(N219-LOOKUP(N219,'Tax Assumptions'!$F$9:$F$15,'Tax Assumptions'!$F$9:$F$15))*LOOKUP(N219,'Tax Assumptions'!$F$9:$F$15,'Tax Assumptions'!$H$9:$H$15))+MIN(MAX(L219,0),'Tax Assumptions'!$B$11)*'Tax Assumptions'!$B$10+MAX(L219,0)*'Tax Assumptions'!$B$12+MAX(MAX(L219,0)-'Tax Assumptions'!$B$14,0)*'Tax Assumptions'!$B$13+MIN(L219*'Tax Assumptions'!$B$15,'Tax Assumptions'!$B$16)+MIN(L219*'Tax Assumptions'!$B$17,'Tax Assumptions'!$B$18)+IF(O219=0,0,LOOKUP(O219,'Tax Assumptions'!$K$9:$K$17,'Tax Assumptions'!$N$9:$N$17)+(O219-LOOKUP(O219,'Tax Assumptions'!$K$9:$K$17,'Tax Assumptions'!$K$9:$K$17))*LOOKUP(O219,'Tax Assumptions'!$K$9:$K$17,'Tax Assumptions'!$M$9:$M$17))+IF(O219=0,0,LOOKUP(O219,'Tax Assumptions'!$P$9:$P$12,'Tax Assumptions'!$S$9:$S$12)+(O219-LOOKUP(O219,'Tax Assumptions'!$P$9:$P$12,'Tax Assumptions'!$P$9:$P$12))*LOOKUP(O219,'Tax Assumptions'!$P$9:$P$12,'Tax Assumptions'!$R$9:$R$12))</f>
        <v>320362.53000000003</v>
      </c>
      <c r="Q219" s="218">
        <f t="shared" si="56"/>
        <v>405137.47</v>
      </c>
      <c r="R219" s="218">
        <f>IF(D219&lt;=10,INDEX('Savings Projection'!$BL$19:$BL$28,D219),LOOKUP(2,1/('Savings Projection'!$BL$19:$BL$28&lt;&gt;""),'Savings Projection'!$BL$19:$BL$28))*(1+'Model Inputs'!$B$35)^(D219-1)+IF(D219&lt;=10,INDEX('Savings Projection'!$BM$19:$BM$28,D219),LOOKUP(2,1/('Savings Projection'!$BM$19:$BM$28&lt;&gt;""),'Savings Projection'!$BM$19:$BM$28))*(1+'Model Inputs'!$B$36)^(D219-1)</f>
        <v>139869.05600000001</v>
      </c>
      <c r="S219" s="218">
        <f t="shared" si="57"/>
        <v>265268.41399999999</v>
      </c>
      <c r="T219" s="218">
        <f>MIN(MAX(S219,0),'Tax Assumptions'!$B$20)</f>
        <v>7500</v>
      </c>
      <c r="U219" s="218">
        <f t="shared" si="58"/>
        <v>257768.41399999999</v>
      </c>
      <c r="V219" s="218">
        <f>MAX(V218*(1+'Model Inputs'!$B$13)+U219,0)</f>
        <v>1010744.2479095199</v>
      </c>
      <c r="W219" s="218">
        <f>MAX(W218*(1+'Model Inputs'!$B$13)+M219+T219,0)</f>
        <v>139987.712</v>
      </c>
      <c r="X219" s="218">
        <f t="shared" si="59"/>
        <v>1150731.9599095199</v>
      </c>
      <c r="Y219" s="226" t="str">
        <f t="shared" si="60"/>
        <v/>
      </c>
      <c r="Z219" s="226" t="str">
        <f t="shared" si="61"/>
        <v/>
      </c>
      <c r="AA219" s="226" t="str">
        <f t="shared" si="62"/>
        <v/>
      </c>
      <c r="AB219" s="226" t="str">
        <f t="shared" si="63"/>
        <v/>
      </c>
    </row>
    <row r="220" spans="1:28" x14ac:dyDescent="0.2">
      <c r="A220" s="214" t="str">
        <f t="shared" si="68"/>
        <v>5Y 2x</v>
      </c>
      <c r="B220" s="214">
        <f t="shared" si="69"/>
        <v>5</v>
      </c>
      <c r="C220" s="223">
        <f t="shared" si="70"/>
        <v>2</v>
      </c>
      <c r="D220" s="214">
        <v>5</v>
      </c>
      <c r="E220" s="214">
        <f t="shared" si="53"/>
        <v>2030</v>
      </c>
      <c r="F220" s="218">
        <f>IF(D220=1,'Model Inputs'!$B$25*(13-'Model Inputs'!$B$23)/12,'Model Inputs'!$B$25)</f>
        <v>300000</v>
      </c>
      <c r="G220" s="218">
        <f>IF(D220=1,'Model Inputs'!$B$27*(13-'Model Inputs'!$B$23)/12,IF(D220=2,'Model Inputs'!$B$27,IF(D220&lt;=MAX(3,'Model Inputs'!$B$30+1),'Model Inputs'!$B$27*(1+'Model Inputs'!$B$28)^(D220-3),'Model Inputs'!$B$27*(1+'Model Inputs'!$B$28)^(MAX(3,'Model Inputs'!$B$30+1)-3)*(1+'Model Inputs'!$B$29)^(D220-MAX(3,'Model Inputs'!$B$30+1)))))</f>
        <v>950000</v>
      </c>
      <c r="H220" s="224">
        <f>IF(D220&lt;=2,0,'Model Inputs'!$B$32*SIN(2*PI()*(D220-3+'Model Inputs'!$B$34)/MAX(1,'Model Inputs'!$B$33)))</f>
        <v>-0.1039230484541326</v>
      </c>
      <c r="I220" s="218">
        <f t="shared" si="54"/>
        <v>851273.10396857408</v>
      </c>
      <c r="J220" s="218">
        <f t="shared" si="71"/>
        <v>653837.51358640334</v>
      </c>
      <c r="K220" s="218">
        <f>F220+J220+IF(D220=1,'Model Inputs'!$B$26,0)</f>
        <v>953837.51358640334</v>
      </c>
      <c r="L220" s="218">
        <f t="shared" si="55"/>
        <v>953837.51358640334</v>
      </c>
      <c r="M220" s="218">
        <f>MIN(L220,'Tax Assumptions'!$B$19)</f>
        <v>24500</v>
      </c>
      <c r="N220" s="218">
        <f>MAX(L220-M220-'Tax Assumptions'!$B$8,0)</f>
        <v>913237.51358640334</v>
      </c>
      <c r="O220" s="218">
        <f>MAX(L220-M220-'Tax Assumptions'!$B$9,0)</f>
        <v>921337.51358640334</v>
      </c>
      <c r="P220" s="218">
        <f>IF(N220=0,0,LOOKUP(N220,'Tax Assumptions'!$F$9:$F$15,'Tax Assumptions'!$I$9:$I$15)+(N220-LOOKUP(N220,'Tax Assumptions'!$F$9:$F$15,'Tax Assumptions'!$F$9:$F$15))*LOOKUP(N220,'Tax Assumptions'!$F$9:$F$15,'Tax Assumptions'!$H$9:$H$15))+MIN(MAX(L220,0),'Tax Assumptions'!$B$11)*'Tax Assumptions'!$B$10+MAX(L220,0)*'Tax Assumptions'!$B$12+MAX(MAX(L220,0)-'Tax Assumptions'!$B$14,0)*'Tax Assumptions'!$B$13+MIN(L220*'Tax Assumptions'!$B$15,'Tax Assumptions'!$B$16)+MIN(L220*'Tax Assumptions'!$B$17,'Tax Assumptions'!$B$18)+IF(O220=0,0,LOOKUP(O220,'Tax Assumptions'!$K$9:$K$17,'Tax Assumptions'!$N$9:$N$17)+(O220-LOOKUP(O220,'Tax Assumptions'!$K$9:$K$17,'Tax Assumptions'!$K$9:$K$17))*LOOKUP(O220,'Tax Assumptions'!$K$9:$K$17,'Tax Assumptions'!$M$9:$M$17))+IF(O220=0,0,LOOKUP(O220,'Tax Assumptions'!$P$9:$P$12,'Tax Assumptions'!$S$9:$S$12)+(O220-LOOKUP(O220,'Tax Assumptions'!$P$9:$P$12,'Tax Assumptions'!$P$9:$P$12))*LOOKUP(O220,'Tax Assumptions'!$P$9:$P$12,'Tax Assumptions'!$R$9:$R$12))</f>
        <v>422436.20330352732</v>
      </c>
      <c r="Q220" s="218">
        <f t="shared" si="56"/>
        <v>506901.31028287602</v>
      </c>
      <c r="R220" s="218">
        <f>IF(D220&lt;=10,INDEX('Savings Projection'!$BL$19:$BL$28,D220),LOOKUP(2,1/('Savings Projection'!$BL$19:$BL$28&lt;&gt;""),'Savings Projection'!$BL$19:$BL$28))*(1+'Model Inputs'!$B$35)^(D220-1)+IF(D220&lt;=10,INDEX('Savings Projection'!$BM$19:$BM$28,D220),LOOKUP(2,1/('Savings Projection'!$BM$19:$BM$28&lt;&gt;""),'Savings Projection'!$BM$19:$BM$28))*(1+'Model Inputs'!$B$36)^(D220-1)</f>
        <v>144065.12767999998</v>
      </c>
      <c r="S220" s="218">
        <f t="shared" si="57"/>
        <v>362836.18260287604</v>
      </c>
      <c r="T220" s="218">
        <f>MIN(MAX(S220,0),'Tax Assumptions'!$B$20)</f>
        <v>7500</v>
      </c>
      <c r="U220" s="218">
        <f t="shared" si="58"/>
        <v>355336.18260287604</v>
      </c>
      <c r="V220" s="218">
        <f>MAX(V219*(1+'Model Inputs'!$B$13)+U220,0)</f>
        <v>1426725.0853869673</v>
      </c>
      <c r="W220" s="218">
        <f>MAX(W219*(1+'Model Inputs'!$B$13)+M220+T220,0)</f>
        <v>180386.97472</v>
      </c>
      <c r="X220" s="218">
        <f t="shared" si="59"/>
        <v>1607112.0601069673</v>
      </c>
      <c r="Y220" s="226" t="str">
        <f t="shared" si="60"/>
        <v/>
      </c>
      <c r="Z220" s="226" t="str">
        <f t="shared" si="61"/>
        <v/>
      </c>
      <c r="AA220" s="226" t="str">
        <f t="shared" si="62"/>
        <v/>
      </c>
      <c r="AB220" s="226" t="str">
        <f t="shared" si="63"/>
        <v/>
      </c>
    </row>
    <row r="221" spans="1:28" x14ac:dyDescent="0.2">
      <c r="A221" s="214" t="str">
        <f t="shared" si="68"/>
        <v>5Y 2x</v>
      </c>
      <c r="B221" s="214">
        <f t="shared" si="69"/>
        <v>5</v>
      </c>
      <c r="C221" s="223">
        <f t="shared" si="70"/>
        <v>2</v>
      </c>
      <c r="D221" s="214">
        <v>6</v>
      </c>
      <c r="E221" s="214">
        <f t="shared" si="53"/>
        <v>2031</v>
      </c>
      <c r="F221" s="218">
        <f>IF(D221=1,'Model Inputs'!$B$25*(13-'Model Inputs'!$B$23)/12,'Model Inputs'!$B$25)</f>
        <v>300000</v>
      </c>
      <c r="G221" s="218">
        <f>IF(D221=1,'Model Inputs'!$B$27*(13-'Model Inputs'!$B$23)/12,IF(D221=2,'Model Inputs'!$B$27,IF(D221&lt;=MAX(3,'Model Inputs'!$B$30+1),'Model Inputs'!$B$27*(1+'Model Inputs'!$B$28)^(D221-3),'Model Inputs'!$B$27*(1+'Model Inputs'!$B$28)^(MAX(3,'Model Inputs'!$B$30+1)-3)*(1+'Model Inputs'!$B$29)^(D221-MAX(3,'Model Inputs'!$B$30+1)))))</f>
        <v>1207333.5632986501</v>
      </c>
      <c r="H221" s="224">
        <f>IF(D221&lt;=2,0,'Model Inputs'!$B$32*SIN(2*PI()*(D221-3+'Model Inputs'!$B$34)/MAX(1,'Model Inputs'!$B$33)))</f>
        <v>-2.9391523179536474E-17</v>
      </c>
      <c r="I221" s="218">
        <f t="shared" si="54"/>
        <v>1207333.5632986501</v>
      </c>
      <c r="J221" s="218">
        <f t="shared" si="71"/>
        <v>818900.66583856498</v>
      </c>
      <c r="K221" s="218">
        <f>F221+J221+IF(D221=1,'Model Inputs'!$B$26,0)</f>
        <v>1118900.665838565</v>
      </c>
      <c r="L221" s="218">
        <f t="shared" si="55"/>
        <v>2237801.33167713</v>
      </c>
      <c r="M221" s="218">
        <f>MIN(L221,'Tax Assumptions'!$B$19)</f>
        <v>24500</v>
      </c>
      <c r="N221" s="218">
        <f>MAX(L221-M221-'Tax Assumptions'!$B$8,0)</f>
        <v>2197201.33167713</v>
      </c>
      <c r="O221" s="218">
        <f>MAX(L221-M221-'Tax Assumptions'!$B$9,0)</f>
        <v>2205301.33167713</v>
      </c>
      <c r="P221" s="218">
        <f>IF(N221=0,0,LOOKUP(N221,'Tax Assumptions'!$F$9:$F$15,'Tax Assumptions'!$I$9:$I$15)+(N221-LOOKUP(N221,'Tax Assumptions'!$F$9:$F$15,'Tax Assumptions'!$F$9:$F$15))*LOOKUP(N221,'Tax Assumptions'!$F$9:$F$15,'Tax Assumptions'!$H$9:$H$15))+MIN(MAX(L221,0),'Tax Assumptions'!$B$11)*'Tax Assumptions'!$B$10+MAX(L221,0)*'Tax Assumptions'!$B$12+MAX(MAX(L221,0)-'Tax Assumptions'!$B$14,0)*'Tax Assumptions'!$B$13+MIN(L221*'Tax Assumptions'!$B$15,'Tax Assumptions'!$B$16)+MIN(L221*'Tax Assumptions'!$B$17,'Tax Assumptions'!$B$18)+IF(O221=0,0,LOOKUP(O221,'Tax Assumptions'!$K$9:$K$17,'Tax Assumptions'!$N$9:$N$17)+(O221-LOOKUP(O221,'Tax Assumptions'!$K$9:$K$17,'Tax Assumptions'!$K$9:$K$17))*LOOKUP(O221,'Tax Assumptions'!$K$9:$K$17,'Tax Assumptions'!$M$9:$M$17))+IF(O221=0,0,LOOKUP(O221,'Tax Assumptions'!$P$9:$P$12,'Tax Assumptions'!$S$9:$S$12)+(O221-LOOKUP(O221,'Tax Assumptions'!$P$9:$P$12,'Tax Assumptions'!$P$9:$P$12))*LOOKUP(O221,'Tax Assumptions'!$P$9:$P$12,'Tax Assumptions'!$R$9:$R$12))</f>
        <v>1096970.4671375991</v>
      </c>
      <c r="Q221" s="218">
        <f t="shared" si="56"/>
        <v>1116330.8645395308</v>
      </c>
      <c r="R221" s="218">
        <f>IF(D221&lt;=10,INDEX('Savings Projection'!$BL$19:$BL$28,D221),LOOKUP(2,1/('Savings Projection'!$BL$19:$BL$28&lt;&gt;""),'Savings Projection'!$BL$19:$BL$28))*(1+'Model Inputs'!$B$35)^(D221-1)+IF(D221&lt;=10,INDEX('Savings Projection'!$BM$19:$BM$28,D221),LOOKUP(2,1/('Savings Projection'!$BM$19:$BM$28&lt;&gt;""),'Savings Projection'!$BM$19:$BM$28))*(1+'Model Inputs'!$B$36)^(D221-1)</f>
        <v>150705.62965899997</v>
      </c>
      <c r="S221" s="218">
        <f t="shared" si="57"/>
        <v>965625.23488053086</v>
      </c>
      <c r="T221" s="218">
        <f>MIN(MAX(S221,0),'Tax Assumptions'!$B$20)</f>
        <v>7500</v>
      </c>
      <c r="U221" s="218">
        <f t="shared" si="58"/>
        <v>958125.23488053086</v>
      </c>
      <c r="V221" s="218">
        <f>MAX(V220*(1+'Model Inputs'!$B$13)+U221,0)</f>
        <v>2470453.8253907161</v>
      </c>
      <c r="W221" s="218">
        <f>MAX(W220*(1+'Model Inputs'!$B$13)+M221+T221,0)</f>
        <v>223210.1932032</v>
      </c>
      <c r="X221" s="218">
        <f t="shared" si="59"/>
        <v>2693664.0185939162</v>
      </c>
      <c r="Y221" s="226" t="str">
        <f t="shared" si="60"/>
        <v/>
      </c>
      <c r="Z221" s="226" t="str">
        <f t="shared" si="61"/>
        <v/>
      </c>
      <c r="AA221" s="226" t="str">
        <f t="shared" si="62"/>
        <v/>
      </c>
      <c r="AB221" s="226" t="str">
        <f t="shared" si="63"/>
        <v/>
      </c>
    </row>
    <row r="222" spans="1:28" x14ac:dyDescent="0.2">
      <c r="A222" s="214" t="str">
        <f t="shared" si="68"/>
        <v>5Y 2x</v>
      </c>
      <c r="B222" s="214">
        <f t="shared" si="69"/>
        <v>5</v>
      </c>
      <c r="C222" s="223">
        <f t="shared" si="70"/>
        <v>2</v>
      </c>
      <c r="D222" s="214">
        <v>7</v>
      </c>
      <c r="E222" s="214">
        <f t="shared" si="53"/>
        <v>2032</v>
      </c>
      <c r="F222" s="218">
        <f>IF(D222=1,'Model Inputs'!$B$25*(13-'Model Inputs'!$B$23)/12,'Model Inputs'!$B$25)</f>
        <v>300000</v>
      </c>
      <c r="G222" s="218">
        <f>IF(D222=1,'Model Inputs'!$B$27*(13-'Model Inputs'!$B$23)/12,IF(D222=2,'Model Inputs'!$B$27,IF(D222&lt;=MAX(3,'Model Inputs'!$B$30+1),'Model Inputs'!$B$27*(1+'Model Inputs'!$B$28)^(D222-3),'Model Inputs'!$B$27*(1+'Model Inputs'!$B$28)^(MAX(3,'Model Inputs'!$B$30+1)-3)*(1+'Model Inputs'!$B$29)^(D222-MAX(3,'Model Inputs'!$B$30+1)))))</f>
        <v>1534372.9821762268</v>
      </c>
      <c r="H222" s="224">
        <f>IF(D222&lt;=2,0,'Model Inputs'!$B$32*SIN(2*PI()*(D222-3+'Model Inputs'!$B$34)/MAX(1,'Model Inputs'!$B$33)))</f>
        <v>0.10392304845413269</v>
      </c>
      <c r="I222" s="218">
        <f t="shared" si="54"/>
        <v>1693829.6999496389</v>
      </c>
      <c r="J222" s="218">
        <f t="shared" si="71"/>
        <v>1118318.448466131</v>
      </c>
      <c r="K222" s="218">
        <f>F222+J222+IF(D222=1,'Model Inputs'!$B$26,0)</f>
        <v>1418318.448466131</v>
      </c>
      <c r="L222" s="218">
        <f t="shared" si="55"/>
        <v>2836636.896932262</v>
      </c>
      <c r="M222" s="218">
        <f>MIN(L222,'Tax Assumptions'!$B$19)</f>
        <v>24500</v>
      </c>
      <c r="N222" s="218">
        <f>MAX(L222-M222-'Tax Assumptions'!$B$8,0)</f>
        <v>2796036.896932262</v>
      </c>
      <c r="O222" s="218">
        <f>MAX(L222-M222-'Tax Assumptions'!$B$9,0)</f>
        <v>2804136.896932262</v>
      </c>
      <c r="P222" s="218">
        <f>IF(N222=0,0,LOOKUP(N222,'Tax Assumptions'!$F$9:$F$15,'Tax Assumptions'!$I$9:$I$15)+(N222-LOOKUP(N222,'Tax Assumptions'!$F$9:$F$15,'Tax Assumptions'!$F$9:$F$15))*LOOKUP(N222,'Tax Assumptions'!$F$9:$F$15,'Tax Assumptions'!$H$9:$H$15))+MIN(MAX(L222,0),'Tax Assumptions'!$B$11)*'Tax Assumptions'!$B$10+MAX(L222,0)*'Tax Assumptions'!$B$12+MAX(MAX(L222,0)-'Tax Assumptions'!$B$14,0)*'Tax Assumptions'!$B$13+MIN(L222*'Tax Assumptions'!$B$15,'Tax Assumptions'!$B$16)+MIN(L222*'Tax Assumptions'!$B$17,'Tax Assumptions'!$B$18)+IF(O222=0,0,LOOKUP(O222,'Tax Assumptions'!$K$9:$K$17,'Tax Assumptions'!$N$9:$N$17)+(O222-LOOKUP(O222,'Tax Assumptions'!$K$9:$K$17,'Tax Assumptions'!$K$9:$K$17))*LOOKUP(O222,'Tax Assumptions'!$K$9:$K$17,'Tax Assumptions'!$M$9:$M$17))+IF(O222=0,0,LOOKUP(O222,'Tax Assumptions'!$P$9:$P$12,'Tax Assumptions'!$S$9:$S$12)+(O222-LOOKUP(O222,'Tax Assumptions'!$P$9:$P$12,'Tax Assumptions'!$P$9:$P$12))*LOOKUP(O222,'Tax Assumptions'!$P$9:$P$12,'Tax Assumptions'!$R$9:$R$12))</f>
        <v>1413610.7606219028</v>
      </c>
      <c r="Q222" s="218">
        <f t="shared" si="56"/>
        <v>1398526.1363103592</v>
      </c>
      <c r="R222" s="218">
        <f>IF(D222&lt;=10,INDEX('Savings Projection'!$BL$19:$BL$28,D222),LOOKUP(2,1/('Savings Projection'!$BL$19:$BL$28&lt;&gt;""),'Savings Projection'!$BL$19:$BL$28))*(1+'Model Inputs'!$B$35)^(D222-1)+IF(D222&lt;=10,INDEX('Savings Projection'!$BM$19:$BM$28,D222),LOOKUP(2,1/('Savings Projection'!$BM$19:$BM$28&lt;&gt;""),'Savings Projection'!$BM$19:$BM$28))*(1+'Model Inputs'!$B$36)^(D222-1)</f>
        <v>155226.79854876999</v>
      </c>
      <c r="S222" s="218">
        <f t="shared" si="57"/>
        <v>1243299.3377615893</v>
      </c>
      <c r="T222" s="218">
        <f>MIN(MAX(S222,0),'Tax Assumptions'!$B$20)</f>
        <v>7500</v>
      </c>
      <c r="U222" s="218">
        <f t="shared" si="58"/>
        <v>1235799.3377615893</v>
      </c>
      <c r="V222" s="218">
        <f>MAX(V221*(1+'Model Inputs'!$B$13)+U222,0)</f>
        <v>3854480.3926757486</v>
      </c>
      <c r="W222" s="218">
        <f>MAX(W221*(1+'Model Inputs'!$B$13)+M222+T222,0)</f>
        <v>268602.80479539197</v>
      </c>
      <c r="X222" s="218">
        <f t="shared" si="59"/>
        <v>4123083.1974711404</v>
      </c>
      <c r="Y222" s="226" t="str">
        <f t="shared" si="60"/>
        <v/>
      </c>
      <c r="Z222" s="226" t="str">
        <f t="shared" si="61"/>
        <v/>
      </c>
      <c r="AA222" s="226" t="str">
        <f t="shared" si="62"/>
        <v/>
      </c>
      <c r="AB222" s="226" t="str">
        <f t="shared" si="63"/>
        <v/>
      </c>
    </row>
    <row r="223" spans="1:28" x14ac:dyDescent="0.2">
      <c r="A223" s="214" t="str">
        <f t="shared" si="68"/>
        <v>5Y 2x</v>
      </c>
      <c r="B223" s="214">
        <f t="shared" si="69"/>
        <v>5</v>
      </c>
      <c r="C223" s="223">
        <f t="shared" si="70"/>
        <v>2</v>
      </c>
      <c r="D223" s="214">
        <v>8</v>
      </c>
      <c r="E223" s="214">
        <f t="shared" si="53"/>
        <v>2033</v>
      </c>
      <c r="F223" s="218">
        <f>IF(D223=1,'Model Inputs'!$B$25*(13-'Model Inputs'!$B$23)/12,'Model Inputs'!$B$25)</f>
        <v>300000</v>
      </c>
      <c r="G223" s="218">
        <f>IF(D223=1,'Model Inputs'!$B$27*(13-'Model Inputs'!$B$23)/12,IF(D223=2,'Model Inputs'!$B$27,IF(D223&lt;=MAX(3,'Model Inputs'!$B$30+1),'Model Inputs'!$B$27*(1+'Model Inputs'!$B$28)^(D223-3),'Model Inputs'!$B$27*(1+'Model Inputs'!$B$28)^(MAX(3,'Model Inputs'!$B$30+1)-3)*(1+'Model Inputs'!$B$29)^(D223-MAX(3,'Model Inputs'!$B$30+1)))))</f>
        <v>1950000.0000000002</v>
      </c>
      <c r="H223" s="224">
        <f>IF(D223&lt;=2,0,'Model Inputs'!$B$32*SIN(2*PI()*(D223-3+'Model Inputs'!$B$34)/MAX(1,'Model Inputs'!$B$33)))</f>
        <v>-0.10392304845413264</v>
      </c>
      <c r="I223" s="218">
        <f t="shared" si="54"/>
        <v>1747350.0555144416</v>
      </c>
      <c r="J223" s="218">
        <f t="shared" si="71"/>
        <v>1572205.6657868917</v>
      </c>
      <c r="K223" s="218">
        <f>F223+J223+IF(D223=1,'Model Inputs'!$B$26,0)</f>
        <v>1872205.6657868917</v>
      </c>
      <c r="L223" s="218">
        <f t="shared" si="55"/>
        <v>3744411.3315737834</v>
      </c>
      <c r="M223" s="218">
        <f>MIN(L223,'Tax Assumptions'!$B$19)</f>
        <v>24500</v>
      </c>
      <c r="N223" s="218">
        <f>MAX(L223-M223-'Tax Assumptions'!$B$8,0)</f>
        <v>3703811.3315737834</v>
      </c>
      <c r="O223" s="218">
        <f>MAX(L223-M223-'Tax Assumptions'!$B$9,0)</f>
        <v>3711911.3315737834</v>
      </c>
      <c r="P223" s="218">
        <f>IF(N223=0,0,LOOKUP(N223,'Tax Assumptions'!$F$9:$F$15,'Tax Assumptions'!$I$9:$I$15)+(N223-LOOKUP(N223,'Tax Assumptions'!$F$9:$F$15,'Tax Assumptions'!$F$9:$F$15))*LOOKUP(N223,'Tax Assumptions'!$F$9:$F$15,'Tax Assumptions'!$H$9:$H$15))+MIN(MAX(L223,0),'Tax Assumptions'!$B$11)*'Tax Assumptions'!$B$10+MAX(L223,0)*'Tax Assumptions'!$B$12+MAX(MAX(L223,0)-'Tax Assumptions'!$B$14,0)*'Tax Assumptions'!$B$13+MIN(L223*'Tax Assumptions'!$B$15,'Tax Assumptions'!$B$16)+MIN(L223*'Tax Assumptions'!$B$17,'Tax Assumptions'!$B$18)+IF(O223=0,0,LOOKUP(O223,'Tax Assumptions'!$K$9:$K$17,'Tax Assumptions'!$N$9:$N$17)+(O223-LOOKUP(O223,'Tax Assumptions'!$K$9:$K$17,'Tax Assumptions'!$K$9:$K$17))*LOOKUP(O223,'Tax Assumptions'!$K$9:$K$17,'Tax Assumptions'!$M$9:$M$17))+IF(O223=0,0,LOOKUP(O223,'Tax Assumptions'!$P$9:$P$12,'Tax Assumptions'!$S$9:$S$12)+(O223-LOOKUP(O223,'Tax Assumptions'!$P$9:$P$12,'Tax Assumptions'!$P$9:$P$12))*LOOKUP(O223,'Tax Assumptions'!$P$9:$P$12,'Tax Assumptions'!$R$9:$R$12))</f>
        <v>1893605.5706829536</v>
      </c>
      <c r="Q223" s="218">
        <f t="shared" si="56"/>
        <v>1826305.7608908298</v>
      </c>
      <c r="R223" s="218">
        <f>IF(D223&lt;=10,INDEX('Savings Projection'!$BL$19:$BL$28,D223),LOOKUP(2,1/('Savings Projection'!$BL$19:$BL$28&lt;&gt;""),'Savings Projection'!$BL$19:$BL$28))*(1+'Model Inputs'!$B$35)^(D223-1)+IF(D223&lt;=10,INDEX('Savings Projection'!$BM$19:$BM$28,D223),LOOKUP(2,1/('Savings Projection'!$BM$19:$BM$28&lt;&gt;""),'Savings Projection'!$BM$19:$BM$28))*(1+'Model Inputs'!$B$36)^(D223-1)</f>
        <v>159883.60250523311</v>
      </c>
      <c r="S223" s="218">
        <f t="shared" si="57"/>
        <v>1666422.1583855967</v>
      </c>
      <c r="T223" s="218">
        <f>MIN(MAX(S223,0),'Tax Assumptions'!$B$20)</f>
        <v>7500</v>
      </c>
      <c r="U223" s="218">
        <f t="shared" si="58"/>
        <v>1658922.1583855967</v>
      </c>
      <c r="V223" s="218">
        <f>MAX(V222*(1+'Model Inputs'!$B$13)+U223,0)</f>
        <v>5744671.3746218905</v>
      </c>
      <c r="W223" s="218">
        <f>MAX(W222*(1+'Model Inputs'!$B$13)+M223+T223,0)</f>
        <v>316718.97308311553</v>
      </c>
      <c r="X223" s="218">
        <f t="shared" si="59"/>
        <v>6061390.3477050057</v>
      </c>
      <c r="Y223" s="226" t="str">
        <f t="shared" si="60"/>
        <v/>
      </c>
      <c r="Z223" s="226" t="str">
        <f t="shared" si="61"/>
        <v/>
      </c>
      <c r="AA223" s="226" t="str">
        <f t="shared" si="62"/>
        <v/>
      </c>
      <c r="AB223" s="226" t="str">
        <f t="shared" si="63"/>
        <v/>
      </c>
    </row>
    <row r="224" spans="1:28" x14ac:dyDescent="0.2">
      <c r="A224" s="214" t="str">
        <f t="shared" si="68"/>
        <v>5Y 2x</v>
      </c>
      <c r="B224" s="214">
        <f t="shared" si="69"/>
        <v>5</v>
      </c>
      <c r="C224" s="223">
        <f t="shared" si="70"/>
        <v>2</v>
      </c>
      <c r="D224" s="214">
        <v>9</v>
      </c>
      <c r="E224" s="214">
        <f t="shared" si="53"/>
        <v>2034</v>
      </c>
      <c r="F224" s="218">
        <f>IF(D224=1,'Model Inputs'!$B$25*(13-'Model Inputs'!$B$23)/12,'Model Inputs'!$B$25)</f>
        <v>300000</v>
      </c>
      <c r="G224" s="218">
        <f>IF(D224=1,'Model Inputs'!$B$27*(13-'Model Inputs'!$B$23)/12,IF(D224=2,'Model Inputs'!$B$27,IF(D224&lt;=MAX(3,'Model Inputs'!$B$30+1),'Model Inputs'!$B$27*(1+'Model Inputs'!$B$28)^(D224-3),'Model Inputs'!$B$27*(1+'Model Inputs'!$B$28)^(MAX(3,'Model Inputs'!$B$30+1)-3)*(1+'Model Inputs'!$B$29)^(D224-MAX(3,'Model Inputs'!$B$30+1)))))</f>
        <v>2478210.9983498608</v>
      </c>
      <c r="H224" s="224">
        <f>IF(D224&lt;=2,0,'Model Inputs'!$B$32*SIN(2*PI()*(D224-3+'Model Inputs'!$B$34)/MAX(1,'Model Inputs'!$B$33)))</f>
        <v>-5.8783046359072947E-17</v>
      </c>
      <c r="I224" s="218">
        <f t="shared" si="54"/>
        <v>2478210.9983498603</v>
      </c>
      <c r="J224" s="218">
        <f t="shared" si="71"/>
        <v>1733969.9666232408</v>
      </c>
      <c r="K224" s="218">
        <f>F224+J224+IF(D224=1,'Model Inputs'!$B$26,0)</f>
        <v>2033969.9666232408</v>
      </c>
      <c r="L224" s="218">
        <f t="shared" si="55"/>
        <v>4067939.9332464817</v>
      </c>
      <c r="M224" s="218">
        <f>MIN(L224,'Tax Assumptions'!$B$19)</f>
        <v>24500</v>
      </c>
      <c r="N224" s="218">
        <f>MAX(L224-M224-'Tax Assumptions'!$B$8,0)</f>
        <v>4027339.9332464817</v>
      </c>
      <c r="O224" s="218">
        <f>MAX(L224-M224-'Tax Assumptions'!$B$9,0)</f>
        <v>4035439.9332464817</v>
      </c>
      <c r="P224" s="218">
        <f>IF(N224=0,0,LOOKUP(N224,'Tax Assumptions'!$F$9:$F$15,'Tax Assumptions'!$I$9:$I$15)+(N224-LOOKUP(N224,'Tax Assumptions'!$F$9:$F$15,'Tax Assumptions'!$F$9:$F$15))*LOOKUP(N224,'Tax Assumptions'!$F$9:$F$15,'Tax Assumptions'!$H$9:$H$15))+MIN(MAX(L224,0),'Tax Assumptions'!$B$11)*'Tax Assumptions'!$B$10+MAX(L224,0)*'Tax Assumptions'!$B$12+MAX(MAX(L224,0)-'Tax Assumptions'!$B$14,0)*'Tax Assumptions'!$B$13+MIN(L224*'Tax Assumptions'!$B$15,'Tax Assumptions'!$B$16)+MIN(L224*'Tax Assumptions'!$B$17,'Tax Assumptions'!$B$18)+IF(O224=0,0,LOOKUP(O224,'Tax Assumptions'!$K$9:$K$17,'Tax Assumptions'!$N$9:$N$17)+(O224-LOOKUP(O224,'Tax Assumptions'!$K$9:$K$17,'Tax Assumptions'!$K$9:$K$17))*LOOKUP(O224,'Tax Assumptions'!$K$9:$K$17,'Tax Assumptions'!$M$9:$M$17))+IF(O224=0,0,LOOKUP(O224,'Tax Assumptions'!$P$9:$P$12,'Tax Assumptions'!$S$9:$S$12)+(O224-LOOKUP(O224,'Tax Assumptions'!$P$9:$P$12,'Tax Assumptions'!$P$9:$P$12))*LOOKUP(O224,'Tax Assumptions'!$P$9:$P$12,'Tax Assumptions'!$R$9:$R$12))</f>
        <v>2064674.5541034096</v>
      </c>
      <c r="Q224" s="218">
        <f t="shared" si="56"/>
        <v>1978765.3791430721</v>
      </c>
      <c r="R224" s="218">
        <f>IF(D224&lt;=10,INDEX('Savings Projection'!$BL$19:$BL$28,D224),LOOKUP(2,1/('Savings Projection'!$BL$19:$BL$28&lt;&gt;""),'Savings Projection'!$BL$19:$BL$28))*(1+'Model Inputs'!$B$35)^(D224-1)+IF(D224&lt;=10,INDEX('Savings Projection'!$BM$19:$BM$28,D224),LOOKUP(2,1/('Savings Projection'!$BM$19:$BM$28&lt;&gt;""),'Savings Projection'!$BM$19:$BM$28))*(1+'Model Inputs'!$B$36)^(D224-1)</f>
        <v>164680.11058039009</v>
      </c>
      <c r="S224" s="218">
        <f t="shared" si="57"/>
        <v>1814085.268562682</v>
      </c>
      <c r="T224" s="218">
        <f>MIN(MAX(S224,0),'Tax Assumptions'!$B$20)</f>
        <v>7500</v>
      </c>
      <c r="U224" s="218">
        <f t="shared" si="58"/>
        <v>1806585.268562682</v>
      </c>
      <c r="V224" s="218">
        <f>MAX(V223*(1+'Model Inputs'!$B$13)+U224,0)</f>
        <v>7895936.9256618861</v>
      </c>
      <c r="W224" s="218">
        <f>MAX(W223*(1+'Model Inputs'!$B$13)+M224+T224,0)</f>
        <v>367722.11146810249</v>
      </c>
      <c r="X224" s="218">
        <f t="shared" si="59"/>
        <v>8263659.0371299889</v>
      </c>
      <c r="Y224" s="226" t="str">
        <f t="shared" si="60"/>
        <v/>
      </c>
      <c r="Z224" s="226" t="str">
        <f t="shared" si="61"/>
        <v/>
      </c>
      <c r="AA224" s="226" t="str">
        <f t="shared" si="62"/>
        <v/>
      </c>
      <c r="AB224" s="226" t="str">
        <f t="shared" si="63"/>
        <v/>
      </c>
    </row>
    <row r="225" spans="1:28" x14ac:dyDescent="0.2">
      <c r="A225" s="214" t="str">
        <f t="shared" si="68"/>
        <v>5Y 2x</v>
      </c>
      <c r="B225" s="214">
        <f t="shared" si="69"/>
        <v>5</v>
      </c>
      <c r="C225" s="223">
        <f t="shared" si="70"/>
        <v>2</v>
      </c>
      <c r="D225" s="214">
        <v>10</v>
      </c>
      <c r="E225" s="214">
        <f t="shared" si="53"/>
        <v>2035</v>
      </c>
      <c r="F225" s="218">
        <f>IF(D225=1,'Model Inputs'!$B$25*(13-'Model Inputs'!$B$23)/12,'Model Inputs'!$B$25)</f>
        <v>300000</v>
      </c>
      <c r="G225" s="218">
        <f>IF(D225=1,'Model Inputs'!$B$27*(13-'Model Inputs'!$B$23)/12,IF(D225=2,'Model Inputs'!$B$27,IF(D225&lt;=MAX(3,'Model Inputs'!$B$30+1),'Model Inputs'!$B$27*(1+'Model Inputs'!$B$28)^(D225-3),'Model Inputs'!$B$27*(1+'Model Inputs'!$B$28)^(MAX(3,'Model Inputs'!$B$30+1)-3)*(1+'Model Inputs'!$B$29)^(D225-MAX(3,'Model Inputs'!$B$30+1)))))</f>
        <v>3149502.4370985711</v>
      </c>
      <c r="H225" s="224">
        <f>IF(D225&lt;=2,0,'Model Inputs'!$B$32*SIN(2*PI()*(D225-3+'Model Inputs'!$B$34)/MAX(1,'Model Inputs'!$B$33)))</f>
        <v>0.10392304845413271</v>
      </c>
      <c r="I225" s="218">
        <f t="shared" si="54"/>
        <v>3476808.331475575</v>
      </c>
      <c r="J225" s="218">
        <f t="shared" si="71"/>
        <v>2295495.7626410057</v>
      </c>
      <c r="K225" s="218">
        <f>F225+J225+IF(D225=1,'Model Inputs'!$B$26,0)</f>
        <v>2595495.7626410057</v>
      </c>
      <c r="L225" s="218">
        <f t="shared" si="55"/>
        <v>5190991.5252820114</v>
      </c>
      <c r="M225" s="218">
        <f>MIN(L225,'Tax Assumptions'!$B$19)</f>
        <v>24500</v>
      </c>
      <c r="N225" s="218">
        <f>MAX(L225-M225-'Tax Assumptions'!$B$8,0)</f>
        <v>5150391.5252820114</v>
      </c>
      <c r="O225" s="218">
        <f>MAX(L225-M225-'Tax Assumptions'!$B$9,0)</f>
        <v>5158491.5252820114</v>
      </c>
      <c r="P225" s="218">
        <f>IF(N225=0,0,LOOKUP(N225,'Tax Assumptions'!$F$9:$F$15,'Tax Assumptions'!$I$9:$I$15)+(N225-LOOKUP(N225,'Tax Assumptions'!$F$9:$F$15,'Tax Assumptions'!$F$9:$F$15))*LOOKUP(N225,'Tax Assumptions'!$F$9:$F$15,'Tax Assumptions'!$H$9:$H$15))+MIN(MAX(L225,0),'Tax Assumptions'!$B$11)*'Tax Assumptions'!$B$10+MAX(L225,0)*'Tax Assumptions'!$B$12+MAX(MAX(L225,0)-'Tax Assumptions'!$B$14,0)*'Tax Assumptions'!$B$13+MIN(L225*'Tax Assumptions'!$B$15,'Tax Assumptions'!$B$16)+MIN(L225*'Tax Assumptions'!$B$17,'Tax Assumptions'!$B$18)+IF(O225=0,0,LOOKUP(O225,'Tax Assumptions'!$K$9:$K$17,'Tax Assumptions'!$N$9:$N$17)+(O225-LOOKUP(O225,'Tax Assumptions'!$K$9:$K$17,'Tax Assumptions'!$K$9:$K$17))*LOOKUP(O225,'Tax Assumptions'!$K$9:$K$17,'Tax Assumptions'!$M$9:$M$17))+IF(O225=0,0,LOOKUP(O225,'Tax Assumptions'!$P$9:$P$12,'Tax Assumptions'!$S$9:$S$12)+(O225-LOOKUP(O225,'Tax Assumptions'!$P$9:$P$12,'Tax Assumptions'!$P$9:$P$12))*LOOKUP(O225,'Tax Assumptions'!$P$9:$P$12,'Tax Assumptions'!$R$9:$R$12))</f>
        <v>2659532.6638224493</v>
      </c>
      <c r="Q225" s="218">
        <f t="shared" si="56"/>
        <v>2506958.8614595621</v>
      </c>
      <c r="R225" s="218">
        <f>IF(D225&lt;=10,INDEX('Savings Projection'!$BL$19:$BL$28,D225),LOOKUP(2,1/('Savings Projection'!$BL$19:$BL$28&lt;&gt;""),'Savings Projection'!$BL$19:$BL$28))*(1+'Model Inputs'!$B$35)^(D225-1)+IF(D225&lt;=10,INDEX('Savings Projection'!$BM$19:$BM$28,D225),LOOKUP(2,1/('Savings Projection'!$BM$19:$BM$28&lt;&gt;""),'Savings Projection'!$BM$19:$BM$28))*(1+'Model Inputs'!$B$36)^(D225-1)</f>
        <v>169620.51389780178</v>
      </c>
      <c r="S225" s="218">
        <f t="shared" si="57"/>
        <v>2337338.3475617603</v>
      </c>
      <c r="T225" s="218">
        <f>MIN(MAX(S225,0),'Tax Assumptions'!$B$20)</f>
        <v>7500</v>
      </c>
      <c r="U225" s="218">
        <f t="shared" si="58"/>
        <v>2329838.3475617603</v>
      </c>
      <c r="V225" s="218">
        <f>MAX(V224*(1+'Model Inputs'!$B$13)+U225,0)</f>
        <v>10699531.48876336</v>
      </c>
      <c r="W225" s="218">
        <f>MAX(W224*(1+'Model Inputs'!$B$13)+M225+T225,0)</f>
        <v>421785.43815618864</v>
      </c>
      <c r="X225" s="218">
        <f t="shared" si="59"/>
        <v>11121316.92691955</v>
      </c>
      <c r="Y225" s="226" t="str">
        <f t="shared" si="60"/>
        <v/>
      </c>
      <c r="Z225" s="226" t="str">
        <f t="shared" si="61"/>
        <v/>
      </c>
      <c r="AA225" s="226" t="str">
        <f t="shared" si="62"/>
        <v/>
      </c>
      <c r="AB225" s="226" t="str">
        <f t="shared" si="63"/>
        <v/>
      </c>
    </row>
    <row r="226" spans="1:28" x14ac:dyDescent="0.2">
      <c r="A226" s="214" t="str">
        <f t="shared" si="68"/>
        <v>5Y 2x</v>
      </c>
      <c r="B226" s="214">
        <f t="shared" si="69"/>
        <v>5</v>
      </c>
      <c r="C226" s="223">
        <f t="shared" si="70"/>
        <v>2</v>
      </c>
      <c r="D226" s="214">
        <v>11</v>
      </c>
      <c r="E226" s="214">
        <f t="shared" si="53"/>
        <v>2036</v>
      </c>
      <c r="F226" s="218">
        <f>IF(D226=1,'Model Inputs'!$B$25*(13-'Model Inputs'!$B$23)/12,'Model Inputs'!$B$25)</f>
        <v>300000</v>
      </c>
      <c r="G226" s="218">
        <f>IF(D226=1,'Model Inputs'!$B$27*(13-'Model Inputs'!$B$23)/12,IF(D226=2,'Model Inputs'!$B$27,IF(D226&lt;=MAX(3,'Model Inputs'!$B$30+1),'Model Inputs'!$B$27*(1+'Model Inputs'!$B$28)^(D226-3),'Model Inputs'!$B$27*(1+'Model Inputs'!$B$28)^(MAX(3,'Model Inputs'!$B$30+1)-3)*(1+'Model Inputs'!$B$29)^(D226-MAX(3,'Model Inputs'!$B$30+1)))))</f>
        <v>4002631.578947369</v>
      </c>
      <c r="H226" s="224">
        <f>IF(D226&lt;=2,0,'Model Inputs'!$B$32*SIN(2*PI()*(D226-3+'Model Inputs'!$B$34)/MAX(1,'Model Inputs'!$B$33)))</f>
        <v>-0.10392304845413253</v>
      </c>
      <c r="I226" s="218">
        <f t="shared" si="54"/>
        <v>3586665.9034243808</v>
      </c>
      <c r="J226" s="218">
        <f t="shared" si="71"/>
        <v>3227158.9981941464</v>
      </c>
      <c r="K226" s="218">
        <f>F226+J226+IF(D226=1,'Model Inputs'!$B$26,0)</f>
        <v>3527158.9981941464</v>
      </c>
      <c r="L226" s="218">
        <f t="shared" si="55"/>
        <v>7054317.9963882929</v>
      </c>
      <c r="M226" s="218">
        <f>MIN(L226,'Tax Assumptions'!$B$19)</f>
        <v>24500</v>
      </c>
      <c r="N226" s="218">
        <f>MAX(L226-M226-'Tax Assumptions'!$B$8,0)</f>
        <v>7013717.9963882929</v>
      </c>
      <c r="O226" s="218">
        <f>MAX(L226-M226-'Tax Assumptions'!$B$9,0)</f>
        <v>7021817.9963882929</v>
      </c>
      <c r="P226" s="218">
        <f>IF(N226=0,0,LOOKUP(N226,'Tax Assumptions'!$F$9:$F$15,'Tax Assumptions'!$I$9:$I$15)+(N226-LOOKUP(N226,'Tax Assumptions'!$F$9:$F$15,'Tax Assumptions'!$F$9:$F$15))*LOOKUP(N226,'Tax Assumptions'!$F$9:$F$15,'Tax Assumptions'!$H$9:$H$15))+MIN(MAX(L226,0),'Tax Assumptions'!$B$11)*'Tax Assumptions'!$B$10+MAX(L226,0)*'Tax Assumptions'!$B$12+MAX(MAX(L226,0)-'Tax Assumptions'!$B$14,0)*'Tax Assumptions'!$B$13+MIN(L226*'Tax Assumptions'!$B$15,'Tax Assumptions'!$B$16)+MIN(L226*'Tax Assumptions'!$B$17,'Tax Assumptions'!$B$18)+IF(O226=0,0,LOOKUP(O226,'Tax Assumptions'!$K$9:$K$17,'Tax Assumptions'!$N$9:$N$17)+(O226-LOOKUP(O226,'Tax Assumptions'!$K$9:$K$17,'Tax Assumptions'!$K$9:$K$17))*LOOKUP(O226,'Tax Assumptions'!$K$9:$K$17,'Tax Assumptions'!$M$9:$M$17))+IF(O226=0,0,LOOKUP(O226,'Tax Assumptions'!$P$9:$P$12,'Tax Assumptions'!$S$9:$S$12)+(O226-LOOKUP(O226,'Tax Assumptions'!$P$9:$P$12,'Tax Assumptions'!$P$9:$P$12))*LOOKUP(O226,'Tax Assumptions'!$P$9:$P$12,'Tax Assumptions'!$R$9:$R$12))</f>
        <v>3656896.7907467978</v>
      </c>
      <c r="Q226" s="218">
        <f t="shared" si="56"/>
        <v>3372921.2056414951</v>
      </c>
      <c r="R226" s="218">
        <f>IF(D226&lt;=10,INDEX('Savings Projection'!$BL$19:$BL$28,D226),LOOKUP(2,1/('Savings Projection'!$BL$19:$BL$28&lt;&gt;""),'Savings Projection'!$BL$19:$BL$28))*(1+'Model Inputs'!$B$35)^(D226-1)+IF(D226&lt;=10,INDEX('Savings Projection'!$BM$19:$BM$28,D226),LOOKUP(2,1/('Savings Projection'!$BM$19:$BM$28&lt;&gt;""),'Savings Projection'!$BM$19:$BM$28))*(1+'Model Inputs'!$B$36)^(D226-1)</f>
        <v>174709.12931473582</v>
      </c>
      <c r="S226" s="218">
        <f t="shared" si="57"/>
        <v>3198212.0763267591</v>
      </c>
      <c r="T226" s="218">
        <f>MIN(MAX(S226,0),'Tax Assumptions'!$B$20)</f>
        <v>7500</v>
      </c>
      <c r="U226" s="218">
        <f t="shared" si="58"/>
        <v>3190712.0763267591</v>
      </c>
      <c r="V226" s="218">
        <f>MAX(V225*(1+'Model Inputs'!$B$13)+U226,0)</f>
        <v>14532215.454415921</v>
      </c>
      <c r="W226" s="218">
        <f>MAX(W225*(1+'Model Inputs'!$B$13)+M226+T226,0)</f>
        <v>479092.56444555998</v>
      </c>
      <c r="X226" s="218">
        <f t="shared" si="59"/>
        <v>15011308.018861482</v>
      </c>
      <c r="Y226" s="226">
        <f t="shared" si="60"/>
        <v>11</v>
      </c>
      <c r="Z226" s="226" t="str">
        <f t="shared" si="61"/>
        <v/>
      </c>
      <c r="AA226" s="226" t="str">
        <f t="shared" si="62"/>
        <v/>
      </c>
      <c r="AB226" s="226" t="str">
        <f t="shared" si="63"/>
        <v/>
      </c>
    </row>
    <row r="227" spans="1:28" x14ac:dyDescent="0.2">
      <c r="A227" s="214" t="str">
        <f t="shared" si="68"/>
        <v>5Y 2x</v>
      </c>
      <c r="B227" s="214">
        <f t="shared" si="69"/>
        <v>5</v>
      </c>
      <c r="C227" s="223">
        <f t="shared" si="70"/>
        <v>2</v>
      </c>
      <c r="D227" s="214">
        <v>12</v>
      </c>
      <c r="E227" s="214">
        <f t="shared" si="53"/>
        <v>2037</v>
      </c>
      <c r="F227" s="218">
        <f>IF(D227=1,'Model Inputs'!$B$25*(13-'Model Inputs'!$B$23)/12,'Model Inputs'!$B$25)</f>
        <v>300000</v>
      </c>
      <c r="G227" s="218">
        <f>IF(D227=1,'Model Inputs'!$B$27*(13-'Model Inputs'!$B$23)/12,IF(D227=2,'Model Inputs'!$B$27,IF(D227&lt;=MAX(3,'Model Inputs'!$B$30+1),'Model Inputs'!$B$27*(1+'Model Inputs'!$B$28)^(D227-3),'Model Inputs'!$B$27*(1+'Model Inputs'!$B$28)^(MAX(3,'Model Inputs'!$B$30+1)-3)*(1+'Model Inputs'!$B$29)^(D227-MAX(3,'Model Inputs'!$B$30+1)))))</f>
        <v>5086854.15450761</v>
      </c>
      <c r="H227" s="224">
        <f>IF(D227&lt;=2,0,'Model Inputs'!$B$32*SIN(2*PI()*(D227-3+'Model Inputs'!$B$34)/MAX(1,'Model Inputs'!$B$33)))</f>
        <v>-8.8174569538609421E-17</v>
      </c>
      <c r="I227" s="218">
        <f t="shared" si="54"/>
        <v>5086854.1545076091</v>
      </c>
      <c r="J227" s="218">
        <f t="shared" si="71"/>
        <v>3559201.5104371794</v>
      </c>
      <c r="K227" s="218">
        <f>F227+J227+IF(D227=1,'Model Inputs'!$B$26,0)</f>
        <v>3859201.5104371794</v>
      </c>
      <c r="L227" s="218">
        <f t="shared" si="55"/>
        <v>7718403.0208743587</v>
      </c>
      <c r="M227" s="218">
        <f>MIN(L227,'Tax Assumptions'!$B$19)</f>
        <v>24500</v>
      </c>
      <c r="N227" s="218">
        <f>MAX(L227-M227-'Tax Assumptions'!$B$8,0)</f>
        <v>7677803.0208743587</v>
      </c>
      <c r="O227" s="218">
        <f>MAX(L227-M227-'Tax Assumptions'!$B$9,0)</f>
        <v>7685903.0208743587</v>
      </c>
      <c r="P227" s="218">
        <f>IF(N227=0,0,LOOKUP(N227,'Tax Assumptions'!$F$9:$F$15,'Tax Assumptions'!$I$9:$I$15)+(N227-LOOKUP(N227,'Tax Assumptions'!$F$9:$F$15,'Tax Assumptions'!$F$9:$F$15))*LOOKUP(N227,'Tax Assumptions'!$F$9:$F$15,'Tax Assumptions'!$H$9:$H$15))+MIN(MAX(L227,0),'Tax Assumptions'!$B$11)*'Tax Assumptions'!$B$10+MAX(L227,0)*'Tax Assumptions'!$B$12+MAX(MAX(L227,0)-'Tax Assumptions'!$B$14,0)*'Tax Assumptions'!$B$13+MIN(L227*'Tax Assumptions'!$B$15,'Tax Assumptions'!$B$16)+MIN(L227*'Tax Assumptions'!$B$17,'Tax Assumptions'!$B$18)+IF(O227=0,0,LOOKUP(O227,'Tax Assumptions'!$K$9:$K$17,'Tax Assumptions'!$N$9:$N$17)+(O227-LOOKUP(O227,'Tax Assumptions'!$K$9:$K$17,'Tax Assumptions'!$K$9:$K$17))*LOOKUP(O227,'Tax Assumptions'!$K$9:$K$17,'Tax Assumptions'!$M$9:$M$17))+IF(O227=0,0,LOOKUP(O227,'Tax Assumptions'!$P$9:$P$12,'Tax Assumptions'!$S$9:$S$12)+(O227-LOOKUP(O227,'Tax Assumptions'!$P$9:$P$12,'Tax Assumptions'!$P$9:$P$12))*LOOKUP(O227,'Tax Assumptions'!$P$9:$P$12,'Tax Assumptions'!$R$9:$R$12))</f>
        <v>4012354.9409532091</v>
      </c>
      <c r="Q227" s="218">
        <f t="shared" si="56"/>
        <v>3681548.0799211496</v>
      </c>
      <c r="R227" s="218">
        <f>IF(D227&lt;=10,INDEX('Savings Projection'!$BL$19:$BL$28,D227),LOOKUP(2,1/('Savings Projection'!$BL$19:$BL$28&lt;&gt;""),'Savings Projection'!$BL$19:$BL$28))*(1+'Model Inputs'!$B$35)^(D227-1)+IF(D227&lt;=10,INDEX('Savings Projection'!$BM$19:$BM$28,D227),LOOKUP(2,1/('Savings Projection'!$BM$19:$BM$28&lt;&gt;""),'Savings Projection'!$BM$19:$BM$28))*(1+'Model Inputs'!$B$36)^(D227-1)</f>
        <v>179950.4031941779</v>
      </c>
      <c r="S227" s="218">
        <f t="shared" si="57"/>
        <v>3501597.6767269718</v>
      </c>
      <c r="T227" s="218">
        <f>MIN(MAX(S227,0),'Tax Assumptions'!$B$20)</f>
        <v>7500</v>
      </c>
      <c r="U227" s="218">
        <f t="shared" si="58"/>
        <v>3494097.6767269718</v>
      </c>
      <c r="V227" s="218">
        <f>MAX(V226*(1+'Model Inputs'!$B$13)+U227,0)</f>
        <v>18898246.058407851</v>
      </c>
      <c r="W227" s="218">
        <f>MAX(W226*(1+'Model Inputs'!$B$13)+M227+T227,0)</f>
        <v>539838.11831229366</v>
      </c>
      <c r="X227" s="218">
        <f t="shared" si="59"/>
        <v>19438084.176720142</v>
      </c>
      <c r="Y227" s="226" t="str">
        <f t="shared" si="60"/>
        <v/>
      </c>
      <c r="Z227" s="226">
        <f t="shared" si="61"/>
        <v>12</v>
      </c>
      <c r="AA227" s="226">
        <f t="shared" si="62"/>
        <v>12</v>
      </c>
      <c r="AB227" s="226" t="str">
        <f t="shared" si="63"/>
        <v/>
      </c>
    </row>
    <row r="228" spans="1:28" x14ac:dyDescent="0.2">
      <c r="A228" s="214" t="str">
        <f t="shared" si="68"/>
        <v>5Y 2x</v>
      </c>
      <c r="B228" s="214">
        <f t="shared" si="69"/>
        <v>5</v>
      </c>
      <c r="C228" s="223">
        <f t="shared" si="70"/>
        <v>2</v>
      </c>
      <c r="D228" s="214">
        <v>13</v>
      </c>
      <c r="E228" s="214">
        <f t="shared" ref="E228:E291" si="72">2025+D228</f>
        <v>2038</v>
      </c>
      <c r="F228" s="218">
        <f>IF(D228=1,'Model Inputs'!$B$25*(13-'Model Inputs'!$B$23)/12,'Model Inputs'!$B$25)</f>
        <v>300000</v>
      </c>
      <c r="G228" s="218">
        <f>IF(D228=1,'Model Inputs'!$B$27*(13-'Model Inputs'!$B$23)/12,IF(D228=2,'Model Inputs'!$B$27,IF(D228&lt;=MAX(3,'Model Inputs'!$B$30+1),'Model Inputs'!$B$27*(1+'Model Inputs'!$B$28)^(D228-3),'Model Inputs'!$B$27*(1+'Model Inputs'!$B$28)^(MAX(3,'Model Inputs'!$B$30+1)-3)*(1+'Model Inputs'!$B$29)^(D228-MAX(3,'Model Inputs'!$B$30+1)))))</f>
        <v>6464768.1603602255</v>
      </c>
      <c r="H228" s="224">
        <f>IF(D228&lt;=2,0,'Model Inputs'!$B$32*SIN(2*PI()*(D228-3+'Model Inputs'!$B$34)/MAX(1,'Model Inputs'!$B$33)))</f>
        <v>0.10392304845413261</v>
      </c>
      <c r="I228" s="218">
        <f t="shared" ref="I228:I291" si="73">G228*(1+H228)</f>
        <v>7136606.5751340752</v>
      </c>
      <c r="J228" s="218">
        <f t="shared" si="71"/>
        <v>4711807.0917368019</v>
      </c>
      <c r="K228" s="218">
        <f>F228+J228+IF(D228=1,'Model Inputs'!$B$26,0)</f>
        <v>5011807.0917368019</v>
      </c>
      <c r="L228" s="218">
        <f t="shared" ref="L228:L291" si="74">IF(D228&lt;=B228,K228,K228*C228)</f>
        <v>10023614.183473604</v>
      </c>
      <c r="M228" s="218">
        <f>MIN(L228,'Tax Assumptions'!$B$19)</f>
        <v>24500</v>
      </c>
      <c r="N228" s="218">
        <f>MAX(L228-M228-'Tax Assumptions'!$B$8,0)</f>
        <v>9983014.1834736038</v>
      </c>
      <c r="O228" s="218">
        <f>MAX(L228-M228-'Tax Assumptions'!$B$9,0)</f>
        <v>9991114.1834736038</v>
      </c>
      <c r="P228" s="218">
        <f>IF(N228=0,0,LOOKUP(N228,'Tax Assumptions'!$F$9:$F$15,'Tax Assumptions'!$I$9:$I$15)+(N228-LOOKUP(N228,'Tax Assumptions'!$F$9:$F$15,'Tax Assumptions'!$F$9:$F$15))*LOOKUP(N228,'Tax Assumptions'!$F$9:$F$15,'Tax Assumptions'!$H$9:$H$15))+MIN(MAX(L228,0),'Tax Assumptions'!$B$11)*'Tax Assumptions'!$B$10+MAX(L228,0)*'Tax Assumptions'!$B$12+MAX(MAX(L228,0)-'Tax Assumptions'!$B$14,0)*'Tax Assumptions'!$B$13+MIN(L228*'Tax Assumptions'!$B$15,'Tax Assumptions'!$B$16)+MIN(L228*'Tax Assumptions'!$B$17,'Tax Assumptions'!$B$18)+IF(O228=0,0,LOOKUP(O228,'Tax Assumptions'!$K$9:$K$17,'Tax Assumptions'!$N$9:$N$17)+(O228-LOOKUP(O228,'Tax Assumptions'!$K$9:$K$17,'Tax Assumptions'!$K$9:$K$17))*LOOKUP(O228,'Tax Assumptions'!$K$9:$K$17,'Tax Assumptions'!$M$9:$M$17))+IF(O228=0,0,LOOKUP(O228,'Tax Assumptions'!$P$9:$P$12,'Tax Assumptions'!$S$9:$S$12)+(O228-LOOKUP(O228,'Tax Assumptions'!$P$9:$P$12,'Tax Assumptions'!$P$9:$P$12))*LOOKUP(O228,'Tax Assumptions'!$P$9:$P$12,'Tax Assumptions'!$R$9:$R$12))</f>
        <v>5246242.2678460814</v>
      </c>
      <c r="Q228" s="218">
        <f t="shared" ref="Q228:Q291" si="75">L228-M228-P228</f>
        <v>4752871.9156275224</v>
      </c>
      <c r="R228" s="218">
        <f>IF(D228&lt;=10,INDEX('Savings Projection'!$BL$19:$BL$28,D228),LOOKUP(2,1/('Savings Projection'!$BL$19:$BL$28&lt;&gt;""),'Savings Projection'!$BL$19:$BL$28))*(1+'Model Inputs'!$B$35)^(D228-1)+IF(D228&lt;=10,INDEX('Savings Projection'!$BM$19:$BM$28,D228),LOOKUP(2,1/('Savings Projection'!$BM$19:$BM$28&lt;&gt;""),'Savings Projection'!$BM$19:$BM$28))*(1+'Model Inputs'!$B$36)^(D228-1)</f>
        <v>185348.91529000323</v>
      </c>
      <c r="S228" s="218">
        <f t="shared" ref="S228:S291" si="76">Q228-R228</f>
        <v>4567523.0003375188</v>
      </c>
      <c r="T228" s="218">
        <f>MIN(MAX(S228,0),'Tax Assumptions'!$B$20)</f>
        <v>7500</v>
      </c>
      <c r="U228" s="218">
        <f t="shared" ref="U228:U291" si="77">S228-T228</f>
        <v>4560023.0003375188</v>
      </c>
      <c r="V228" s="218">
        <f>MAX(V227*(1+'Model Inputs'!$B$13)+U228,0)</f>
        <v>24592163.822249841</v>
      </c>
      <c r="W228" s="218">
        <f>MAX(W227*(1+'Model Inputs'!$B$13)+M228+T228,0)</f>
        <v>604228.40541103133</v>
      </c>
      <c r="X228" s="218">
        <f t="shared" ref="X228:X291" si="78">V228+W228</f>
        <v>25196392.227660872</v>
      </c>
      <c r="Y228" s="226" t="str">
        <f t="shared" si="60"/>
        <v/>
      </c>
      <c r="Z228" s="226" t="str">
        <f t="shared" si="61"/>
        <v/>
      </c>
      <c r="AA228" s="226" t="str">
        <f t="shared" si="62"/>
        <v/>
      </c>
      <c r="AB228" s="226">
        <f t="shared" si="63"/>
        <v>13</v>
      </c>
    </row>
    <row r="229" spans="1:28" x14ac:dyDescent="0.2">
      <c r="A229" s="214" t="str">
        <f t="shared" si="68"/>
        <v>5Y 2x</v>
      </c>
      <c r="B229" s="214">
        <f t="shared" si="69"/>
        <v>5</v>
      </c>
      <c r="C229" s="223">
        <f t="shared" si="70"/>
        <v>2</v>
      </c>
      <c r="D229" s="214">
        <v>14</v>
      </c>
      <c r="E229" s="214">
        <f t="shared" si="72"/>
        <v>2039</v>
      </c>
      <c r="F229" s="218">
        <f>IF(D229=1,'Model Inputs'!$B$25*(13-'Model Inputs'!$B$23)/12,'Model Inputs'!$B$25)</f>
        <v>300000</v>
      </c>
      <c r="G229" s="218">
        <f>IF(D229=1,'Model Inputs'!$B$27*(13-'Model Inputs'!$B$23)/12,IF(D229=2,'Model Inputs'!$B$27,IF(D229&lt;=MAX(3,'Model Inputs'!$B$30+1),'Model Inputs'!$B$27*(1+'Model Inputs'!$B$28)^(D229-3),'Model Inputs'!$B$27*(1+'Model Inputs'!$B$28)^(MAX(3,'Model Inputs'!$B$30+1)-3)*(1+'Model Inputs'!$B$29)^(D229-MAX(3,'Model Inputs'!$B$30+1)))))</f>
        <v>8215927.9778393377</v>
      </c>
      <c r="H229" s="224">
        <f>IF(D229&lt;=2,0,'Model Inputs'!$B$32*SIN(2*PI()*(D229-3+'Model Inputs'!$B$34)/MAX(1,'Model Inputs'!$B$33)))</f>
        <v>-0.10392304845413251</v>
      </c>
      <c r="I229" s="218">
        <f t="shared" si="73"/>
        <v>7362103.6965026772</v>
      </c>
      <c r="J229" s="218">
        <f t="shared" si="71"/>
        <v>6624168.4699774589</v>
      </c>
      <c r="K229" s="218">
        <f>F229+J229+IF(D229=1,'Model Inputs'!$B$26,0)</f>
        <v>6924168.4699774589</v>
      </c>
      <c r="L229" s="218">
        <f t="shared" si="74"/>
        <v>13848336.939954918</v>
      </c>
      <c r="M229" s="218">
        <f>MIN(L229,'Tax Assumptions'!$B$19)</f>
        <v>24500</v>
      </c>
      <c r="N229" s="218">
        <f>MAX(L229-M229-'Tax Assumptions'!$B$8,0)</f>
        <v>13807736.939954918</v>
      </c>
      <c r="O229" s="218">
        <f>MAX(L229-M229-'Tax Assumptions'!$B$9,0)</f>
        <v>13815836.939954918</v>
      </c>
      <c r="P229" s="218">
        <f>IF(N229=0,0,LOOKUP(N229,'Tax Assumptions'!$F$9:$F$15,'Tax Assumptions'!$I$9:$I$15)+(N229-LOOKUP(N229,'Tax Assumptions'!$F$9:$F$15,'Tax Assumptions'!$F$9:$F$15))*LOOKUP(N229,'Tax Assumptions'!$F$9:$F$15,'Tax Assumptions'!$H$9:$H$15))+MIN(MAX(L229,0),'Tax Assumptions'!$B$11)*'Tax Assumptions'!$B$10+MAX(L229,0)*'Tax Assumptions'!$B$12+MAX(MAX(L229,0)-'Tax Assumptions'!$B$14,0)*'Tax Assumptions'!$B$13+MIN(L229*'Tax Assumptions'!$B$15,'Tax Assumptions'!$B$16)+MIN(L229*'Tax Assumptions'!$B$17,'Tax Assumptions'!$B$18)+IF(O229=0,0,LOOKUP(O229,'Tax Assumptions'!$K$9:$K$17,'Tax Assumptions'!$N$9:$N$17)+(O229-LOOKUP(O229,'Tax Assumptions'!$K$9:$K$17,'Tax Assumptions'!$K$9:$K$17))*LOOKUP(O229,'Tax Assumptions'!$K$9:$K$17,'Tax Assumptions'!$M$9:$M$17))+IF(O229=0,0,LOOKUP(O229,'Tax Assumptions'!$P$9:$P$12,'Tax Assumptions'!$S$9:$S$12)+(O229-LOOKUP(O229,'Tax Assumptions'!$P$9:$P$12,'Tax Assumptions'!$P$9:$P$12))*LOOKUP(O229,'Tax Assumptions'!$P$9:$P$12,'Tax Assumptions'!$R$9:$R$12))</f>
        <v>7293463.3704802701</v>
      </c>
      <c r="Q229" s="218">
        <f t="shared" si="75"/>
        <v>6530373.5694746478</v>
      </c>
      <c r="R229" s="218">
        <f>IF(D229&lt;=10,INDEX('Savings Projection'!$BL$19:$BL$28,D229),LOOKUP(2,1/('Savings Projection'!$BL$19:$BL$28&lt;&gt;""),'Savings Projection'!$BL$19:$BL$28))*(1+'Model Inputs'!$B$35)^(D229-1)+IF(D229&lt;=10,INDEX('Savings Projection'!$BM$19:$BM$28,D229),LOOKUP(2,1/('Savings Projection'!$BM$19:$BM$28&lt;&gt;""),'Savings Projection'!$BM$19:$BM$28))*(1+'Model Inputs'!$B$36)^(D229-1)</f>
        <v>190909.3827487033</v>
      </c>
      <c r="S229" s="218">
        <f t="shared" si="76"/>
        <v>6339464.1867259443</v>
      </c>
      <c r="T229" s="218">
        <f>MIN(MAX(S229,0),'Tax Assumptions'!$B$20)</f>
        <v>7500</v>
      </c>
      <c r="U229" s="218">
        <f t="shared" si="77"/>
        <v>6331964.1867259443</v>
      </c>
      <c r="V229" s="218">
        <f>MAX(V228*(1+'Model Inputs'!$B$13)+U229,0)</f>
        <v>32399657.838310778</v>
      </c>
      <c r="W229" s="218">
        <f>MAX(W228*(1+'Model Inputs'!$B$13)+M229+T229,0)</f>
        <v>672482.1097356932</v>
      </c>
      <c r="X229" s="218">
        <f t="shared" si="78"/>
        <v>33072139.948046472</v>
      </c>
      <c r="Y229" s="226" t="str">
        <f t="shared" ref="Y229:Y292" si="79">IF(AND(X229&gt;=$F$14,IF(D229=1,0,X228)&lt;$F$14),D229,"")</f>
        <v/>
      </c>
      <c r="Z229" s="226" t="str">
        <f t="shared" ref="Z229:Z292" si="80">IF(AND(X229&gt;=$F$15,IF(D229=1,0,X228)&lt;$F$15),D229,"")</f>
        <v/>
      </c>
      <c r="AA229" s="226" t="str">
        <f t="shared" ref="AA229:AA292" si="81">IF(AND(X229&gt;=$F$16,IF(D229=1,0,X228)&lt;$F$16),D229,"")</f>
        <v/>
      </c>
      <c r="AB229" s="226" t="str">
        <f t="shared" ref="AB229:AB292" si="82">IF(AND(X229&gt;=$F$17,IF(D229=1,0,X228)&lt;$F$17),D229,"")</f>
        <v/>
      </c>
    </row>
    <row r="230" spans="1:28" x14ac:dyDescent="0.2">
      <c r="A230" s="214" t="str">
        <f t="shared" si="68"/>
        <v>5Y 2x</v>
      </c>
      <c r="B230" s="214">
        <f t="shared" si="69"/>
        <v>5</v>
      </c>
      <c r="C230" s="223">
        <f t="shared" si="70"/>
        <v>2</v>
      </c>
      <c r="D230" s="214">
        <v>15</v>
      </c>
      <c r="E230" s="214">
        <f t="shared" si="72"/>
        <v>2040</v>
      </c>
      <c r="F230" s="218">
        <f>IF(D230=1,'Model Inputs'!$B$25*(13-'Model Inputs'!$B$23)/12,'Model Inputs'!$B$25)</f>
        <v>300000</v>
      </c>
      <c r="G230" s="218">
        <f>IF(D230=1,'Model Inputs'!$B$27*(13-'Model Inputs'!$B$23)/12,IF(D230=2,'Model Inputs'!$B$27,IF(D230&lt;=MAX(3,'Model Inputs'!$B$30+1),'Model Inputs'!$B$27*(1+'Model Inputs'!$B$28)^(D230-3),'Model Inputs'!$B$27*(1+'Model Inputs'!$B$28)^(MAX(3,'Model Inputs'!$B$30+1)-3)*(1+'Model Inputs'!$B$29)^(D230-MAX(3,'Model Inputs'!$B$30+1)))))</f>
        <v>10441437.475041937</v>
      </c>
      <c r="H230" s="224">
        <f>IF(D230&lt;=2,0,'Model Inputs'!$B$32*SIN(2*PI()*(D230-3+'Model Inputs'!$B$34)/MAX(1,'Model Inputs'!$B$33)))</f>
        <v>-1.1756609271814589E-16</v>
      </c>
      <c r="I230" s="218">
        <f t="shared" si="73"/>
        <v>10441437.475041935</v>
      </c>
      <c r="J230" s="218">
        <f t="shared" si="71"/>
        <v>7305729.4161605267</v>
      </c>
      <c r="K230" s="218">
        <f>F230+J230+IF(D230=1,'Model Inputs'!$B$26,0)</f>
        <v>7605729.4161605267</v>
      </c>
      <c r="L230" s="218">
        <f t="shared" si="74"/>
        <v>15211458.832321053</v>
      </c>
      <c r="M230" s="218">
        <f>MIN(L230,'Tax Assumptions'!$B$19)</f>
        <v>24500</v>
      </c>
      <c r="N230" s="218">
        <f>MAX(L230-M230-'Tax Assumptions'!$B$8,0)</f>
        <v>15170858.832321053</v>
      </c>
      <c r="O230" s="218">
        <f>MAX(L230-M230-'Tax Assumptions'!$B$9,0)</f>
        <v>15178958.832321053</v>
      </c>
      <c r="P230" s="218">
        <f>IF(N230=0,0,LOOKUP(N230,'Tax Assumptions'!$F$9:$F$15,'Tax Assumptions'!$I$9:$I$15)+(N230-LOOKUP(N230,'Tax Assumptions'!$F$9:$F$15,'Tax Assumptions'!$F$9:$F$15))*LOOKUP(N230,'Tax Assumptions'!$F$9:$F$15,'Tax Assumptions'!$H$9:$H$15))+MIN(MAX(L230,0),'Tax Assumptions'!$B$11)*'Tax Assumptions'!$B$10+MAX(L230,0)*'Tax Assumptions'!$B$12+MAX(MAX(L230,0)-'Tax Assumptions'!$B$14,0)*'Tax Assumptions'!$B$13+MIN(L230*'Tax Assumptions'!$B$15,'Tax Assumptions'!$B$16)+MIN(L230*'Tax Assumptions'!$B$17,'Tax Assumptions'!$B$18)+IF(O230=0,0,LOOKUP(O230,'Tax Assumptions'!$K$9:$K$17,'Tax Assumptions'!$N$9:$N$17)+(O230-LOOKUP(O230,'Tax Assumptions'!$K$9:$K$17,'Tax Assumptions'!$K$9:$K$17))*LOOKUP(O230,'Tax Assumptions'!$K$9:$K$17,'Tax Assumptions'!$M$9:$M$17))+IF(O230=0,0,LOOKUP(O230,'Tax Assumptions'!$P$9:$P$12,'Tax Assumptions'!$S$9:$S$12)+(O230-LOOKUP(O230,'Tax Assumptions'!$P$9:$P$12,'Tax Assumptions'!$P$9:$P$12))*LOOKUP(O230,'Tax Assumptions'!$P$9:$P$12,'Tax Assumptions'!$R$9:$R$12))</f>
        <v>8023087.9945881683</v>
      </c>
      <c r="Q230" s="218">
        <f t="shared" si="75"/>
        <v>7163870.837732885</v>
      </c>
      <c r="R230" s="218">
        <f>IF(D230&lt;=10,INDEX('Savings Projection'!$BL$19:$BL$28,D230),LOOKUP(2,1/('Savings Projection'!$BL$19:$BL$28&lt;&gt;""),'Savings Projection'!$BL$19:$BL$28))*(1+'Model Inputs'!$B$35)^(D230-1)+IF(D230&lt;=10,INDEX('Savings Projection'!$BM$19:$BM$28,D230),LOOKUP(2,1/('Savings Projection'!$BM$19:$BM$28&lt;&gt;""),'Savings Projection'!$BM$19:$BM$28))*(1+'Model Inputs'!$B$36)^(D230-1)</f>
        <v>196636.66423116444</v>
      </c>
      <c r="S230" s="218">
        <f t="shared" si="76"/>
        <v>6967234.1735017207</v>
      </c>
      <c r="T230" s="218">
        <f>MIN(MAX(S230,0),'Tax Assumptions'!$B$20)</f>
        <v>7500</v>
      </c>
      <c r="U230" s="218">
        <f t="shared" si="77"/>
        <v>6959734.1735017207</v>
      </c>
      <c r="V230" s="218">
        <f>MAX(V229*(1+'Model Inputs'!$B$13)+U230,0)</f>
        <v>41303371.482111149</v>
      </c>
      <c r="W230" s="218">
        <f>MAX(W229*(1+'Model Inputs'!$B$13)+M230+T230,0)</f>
        <v>744831.03631983488</v>
      </c>
      <c r="X230" s="218">
        <f t="shared" si="78"/>
        <v>42048202.518430986</v>
      </c>
      <c r="Y230" s="226" t="str">
        <f t="shared" si="79"/>
        <v/>
      </c>
      <c r="Z230" s="226" t="str">
        <f t="shared" si="80"/>
        <v/>
      </c>
      <c r="AA230" s="226" t="str">
        <f t="shared" si="81"/>
        <v/>
      </c>
      <c r="AB230" s="226" t="str">
        <f t="shared" si="82"/>
        <v/>
      </c>
    </row>
    <row r="231" spans="1:28" x14ac:dyDescent="0.2">
      <c r="A231" s="214" t="str">
        <f t="shared" si="68"/>
        <v>5Y 2x</v>
      </c>
      <c r="B231" s="214">
        <f t="shared" si="69"/>
        <v>5</v>
      </c>
      <c r="C231" s="223">
        <f t="shared" si="70"/>
        <v>2</v>
      </c>
      <c r="D231" s="214">
        <v>16</v>
      </c>
      <c r="E231" s="214">
        <f t="shared" si="72"/>
        <v>2041</v>
      </c>
      <c r="F231" s="218">
        <f>IF(D231=1,'Model Inputs'!$B$25*(13-'Model Inputs'!$B$23)/12,'Model Inputs'!$B$25)</f>
        <v>300000</v>
      </c>
      <c r="G231" s="218">
        <f>IF(D231=1,'Model Inputs'!$B$27*(13-'Model Inputs'!$B$23)/12,IF(D231=2,'Model Inputs'!$B$27,IF(D231&lt;=MAX(3,'Model Inputs'!$B$30+1),'Model Inputs'!$B$27*(1+'Model Inputs'!$B$28)^(D231-3),'Model Inputs'!$B$27*(1+'Model Inputs'!$B$28)^(MAX(3,'Model Inputs'!$B$30+1)-3)*(1+'Model Inputs'!$B$29)^(D231-MAX(3,'Model Inputs'!$B$30+1)))))</f>
        <v>13269787.276528884</v>
      </c>
      <c r="H231" s="224">
        <f>IF(D231&lt;=2,0,'Model Inputs'!$B$32*SIN(2*PI()*(D231-3+'Model Inputs'!$B$34)/MAX(1,'Model Inputs'!$B$33)))</f>
        <v>0.10392304845413262</v>
      </c>
      <c r="I231" s="218">
        <f t="shared" si="73"/>
        <v>14648824.022643628</v>
      </c>
      <c r="J231" s="218">
        <f t="shared" si="71"/>
        <v>9671604.0304071214</v>
      </c>
      <c r="K231" s="218">
        <f>F231+J231+IF(D231=1,'Model Inputs'!$B$26,0)</f>
        <v>9971604.0304071214</v>
      </c>
      <c r="L231" s="218">
        <f t="shared" si="74"/>
        <v>19943208.060814243</v>
      </c>
      <c r="M231" s="218">
        <f>MIN(L231,'Tax Assumptions'!$B$19)</f>
        <v>24500</v>
      </c>
      <c r="N231" s="218">
        <f>MAX(L231-M231-'Tax Assumptions'!$B$8,0)</f>
        <v>19902608.060814243</v>
      </c>
      <c r="O231" s="218">
        <f>MAX(L231-M231-'Tax Assumptions'!$B$9,0)</f>
        <v>19910708.060814243</v>
      </c>
      <c r="P231" s="218">
        <f>IF(N231=0,0,LOOKUP(N231,'Tax Assumptions'!$F$9:$F$15,'Tax Assumptions'!$I$9:$I$15)+(N231-LOOKUP(N231,'Tax Assumptions'!$F$9:$F$15,'Tax Assumptions'!$F$9:$F$15))*LOOKUP(N231,'Tax Assumptions'!$F$9:$F$15,'Tax Assumptions'!$H$9:$H$15))+MIN(MAX(L231,0),'Tax Assumptions'!$B$11)*'Tax Assumptions'!$B$10+MAX(L231,0)*'Tax Assumptions'!$B$12+MAX(MAX(L231,0)-'Tax Assumptions'!$B$14,0)*'Tax Assumptions'!$B$13+MIN(L231*'Tax Assumptions'!$B$15,'Tax Assumptions'!$B$16)+MIN(L231*'Tax Assumptions'!$B$17,'Tax Assumptions'!$B$18)+IF(O231=0,0,LOOKUP(O231,'Tax Assumptions'!$K$9:$K$17,'Tax Assumptions'!$N$9:$N$17)+(O231-LOOKUP(O231,'Tax Assumptions'!$K$9:$K$17,'Tax Assumptions'!$K$9:$K$17))*LOOKUP(O231,'Tax Assumptions'!$K$9:$K$17,'Tax Assumptions'!$M$9:$M$17))+IF(O231=0,0,LOOKUP(O231,'Tax Assumptions'!$P$9:$P$12,'Tax Assumptions'!$S$9:$S$12)+(O231-LOOKUP(O231,'Tax Assumptions'!$P$9:$P$12,'Tax Assumptions'!$P$9:$P$12))*LOOKUP(O231,'Tax Assumptions'!$P$9:$P$12,'Tax Assumptions'!$R$9:$R$12))</f>
        <v>10555804.086631432</v>
      </c>
      <c r="Q231" s="218">
        <f t="shared" si="75"/>
        <v>9362903.9741828106</v>
      </c>
      <c r="R231" s="218">
        <f>IF(D231&lt;=10,INDEX('Savings Projection'!$BL$19:$BL$28,D231),LOOKUP(2,1/('Savings Projection'!$BL$19:$BL$28&lt;&gt;""),'Savings Projection'!$BL$19:$BL$28))*(1+'Model Inputs'!$B$35)^(D231-1)+IF(D231&lt;=10,INDEX('Savings Projection'!$BM$19:$BM$28,D231),LOOKUP(2,1/('Savings Projection'!$BM$19:$BM$28&lt;&gt;""),'Savings Projection'!$BM$19:$BM$28))*(1+'Model Inputs'!$B$36)^(D231-1)</f>
        <v>202535.76415809937</v>
      </c>
      <c r="S231" s="218">
        <f t="shared" si="76"/>
        <v>9160368.2100247107</v>
      </c>
      <c r="T231" s="218">
        <f>MIN(MAX(S231,0),'Tax Assumptions'!$B$20)</f>
        <v>7500</v>
      </c>
      <c r="U231" s="218">
        <f t="shared" si="77"/>
        <v>9152868.2100247107</v>
      </c>
      <c r="V231" s="218">
        <f>MAX(V230*(1+'Model Inputs'!$B$13)+U231,0)</f>
        <v>52934441.981062531</v>
      </c>
      <c r="W231" s="218">
        <f>MAX(W230*(1+'Model Inputs'!$B$13)+M231+T231,0)</f>
        <v>821520.89849902503</v>
      </c>
      <c r="X231" s="218">
        <f t="shared" si="78"/>
        <v>53755962.879561558</v>
      </c>
      <c r="Y231" s="226" t="str">
        <f t="shared" si="79"/>
        <v/>
      </c>
      <c r="Z231" s="226" t="str">
        <f t="shared" si="80"/>
        <v/>
      </c>
      <c r="AA231" s="226" t="str">
        <f t="shared" si="81"/>
        <v/>
      </c>
      <c r="AB231" s="226" t="str">
        <f t="shared" si="82"/>
        <v/>
      </c>
    </row>
    <row r="232" spans="1:28" x14ac:dyDescent="0.2">
      <c r="A232" s="214" t="str">
        <f t="shared" si="68"/>
        <v>5Y 2x</v>
      </c>
      <c r="B232" s="214">
        <f t="shared" si="69"/>
        <v>5</v>
      </c>
      <c r="C232" s="223">
        <f t="shared" si="70"/>
        <v>2</v>
      </c>
      <c r="D232" s="214">
        <v>17</v>
      </c>
      <c r="E232" s="214">
        <f t="shared" si="72"/>
        <v>2042</v>
      </c>
      <c r="F232" s="218">
        <f>IF(D232=1,'Model Inputs'!$B$25*(13-'Model Inputs'!$B$23)/12,'Model Inputs'!$B$25)</f>
        <v>300000</v>
      </c>
      <c r="G232" s="218">
        <f>IF(D232=1,'Model Inputs'!$B$27*(13-'Model Inputs'!$B$23)/12,IF(D232=2,'Model Inputs'!$B$27,IF(D232&lt;=MAX(3,'Model Inputs'!$B$30+1),'Model Inputs'!$B$27*(1+'Model Inputs'!$B$28)^(D232-3),'Model Inputs'!$B$27*(1+'Model Inputs'!$B$28)^(MAX(3,'Model Inputs'!$B$30+1)-3)*(1+'Model Inputs'!$B$29)^(D232-MAX(3,'Model Inputs'!$B$30+1)))))</f>
        <v>16864273.217670217</v>
      </c>
      <c r="H232" s="224">
        <f>IF(D232&lt;=2,0,'Model Inputs'!$B$32*SIN(2*PI()*(D232-3+'Model Inputs'!$B$34)/MAX(1,'Model Inputs'!$B$33)))</f>
        <v>-0.1039230484541325</v>
      </c>
      <c r="I232" s="218">
        <f t="shared" si="73"/>
        <v>15111686.534926547</v>
      </c>
      <c r="J232" s="218">
        <f t="shared" si="71"/>
        <v>13596977.385743205</v>
      </c>
      <c r="K232" s="218">
        <f>F232+J232+IF(D232=1,'Model Inputs'!$B$26,0)</f>
        <v>13896977.385743205</v>
      </c>
      <c r="L232" s="218">
        <f t="shared" si="74"/>
        <v>27793954.771486409</v>
      </c>
      <c r="M232" s="218">
        <f>MIN(L232,'Tax Assumptions'!$B$19)</f>
        <v>24500</v>
      </c>
      <c r="N232" s="218">
        <f>MAX(L232-M232-'Tax Assumptions'!$B$8,0)</f>
        <v>27753354.771486409</v>
      </c>
      <c r="O232" s="218">
        <f>MAX(L232-M232-'Tax Assumptions'!$B$9,0)</f>
        <v>27761454.771486409</v>
      </c>
      <c r="P232" s="218">
        <f>IF(N232=0,0,LOOKUP(N232,'Tax Assumptions'!$F$9:$F$15,'Tax Assumptions'!$I$9:$I$15)+(N232-LOOKUP(N232,'Tax Assumptions'!$F$9:$F$15,'Tax Assumptions'!$F$9:$F$15))*LOOKUP(N232,'Tax Assumptions'!$F$9:$F$15,'Tax Assumptions'!$H$9:$H$15))+MIN(MAX(L232,0),'Tax Assumptions'!$B$11)*'Tax Assumptions'!$B$10+MAX(L232,0)*'Tax Assumptions'!$B$12+MAX(MAX(L232,0)-'Tax Assumptions'!$B$14,0)*'Tax Assumptions'!$B$13+MIN(L232*'Tax Assumptions'!$B$15,'Tax Assumptions'!$B$16)+MIN(L232*'Tax Assumptions'!$B$17,'Tax Assumptions'!$B$18)+IF(O232=0,0,LOOKUP(O232,'Tax Assumptions'!$K$9:$K$17,'Tax Assumptions'!$N$9:$N$17)+(O232-LOOKUP(O232,'Tax Assumptions'!$K$9:$K$17,'Tax Assumptions'!$K$9:$K$17))*LOOKUP(O232,'Tax Assumptions'!$K$9:$K$17,'Tax Assumptions'!$M$9:$M$17))+IF(O232=0,0,LOOKUP(O232,'Tax Assumptions'!$P$9:$P$12,'Tax Assumptions'!$S$9:$S$12)+(O232-LOOKUP(O232,'Tax Assumptions'!$P$9:$P$12,'Tax Assumptions'!$P$9:$P$12))*LOOKUP(O232,'Tax Assumptions'!$P$9:$P$12,'Tax Assumptions'!$R$9:$R$12))</f>
        <v>14774563.499614732</v>
      </c>
      <c r="Q232" s="218">
        <f t="shared" si="75"/>
        <v>12994891.271871677</v>
      </c>
      <c r="R232" s="218">
        <f>IF(D232&lt;=10,INDEX('Savings Projection'!$BL$19:$BL$28,D232),LOOKUP(2,1/('Savings Projection'!$BL$19:$BL$28&lt;&gt;""),'Savings Projection'!$BL$19:$BL$28))*(1+'Model Inputs'!$B$35)^(D232-1)+IF(D232&lt;=10,INDEX('Savings Projection'!$BM$19:$BM$28,D232),LOOKUP(2,1/('Savings Projection'!$BM$19:$BM$28&lt;&gt;""),'Savings Projection'!$BM$19:$BM$28))*(1+'Model Inputs'!$B$36)^(D232-1)</f>
        <v>208611.83708284231</v>
      </c>
      <c r="S232" s="218">
        <f t="shared" si="76"/>
        <v>12786279.434788834</v>
      </c>
      <c r="T232" s="218">
        <f>MIN(MAX(S232,0),'Tax Assumptions'!$B$20)</f>
        <v>7500</v>
      </c>
      <c r="U232" s="218">
        <f t="shared" si="77"/>
        <v>12778779.434788834</v>
      </c>
      <c r="V232" s="218">
        <f>MAX(V231*(1+'Model Inputs'!$B$13)+U232,0)</f>
        <v>68889287.934715122</v>
      </c>
      <c r="W232" s="218">
        <f>MAX(W231*(1+'Model Inputs'!$B$13)+M232+T232,0)</f>
        <v>902812.15240896656</v>
      </c>
      <c r="X232" s="218">
        <f t="shared" si="78"/>
        <v>69792100.087124094</v>
      </c>
      <c r="Y232" s="226" t="str">
        <f t="shared" si="79"/>
        <v/>
      </c>
      <c r="Z232" s="226" t="str">
        <f t="shared" si="80"/>
        <v/>
      </c>
      <c r="AA232" s="226" t="str">
        <f t="shared" si="81"/>
        <v/>
      </c>
      <c r="AB232" s="226" t="str">
        <f t="shared" si="82"/>
        <v/>
      </c>
    </row>
    <row r="233" spans="1:28" x14ac:dyDescent="0.2">
      <c r="A233" s="214" t="str">
        <f t="shared" si="68"/>
        <v>5Y 2x</v>
      </c>
      <c r="B233" s="214">
        <f t="shared" si="69"/>
        <v>5</v>
      </c>
      <c r="C233" s="223">
        <f t="shared" si="70"/>
        <v>2</v>
      </c>
      <c r="D233" s="214">
        <v>18</v>
      </c>
      <c r="E233" s="214">
        <f t="shared" si="72"/>
        <v>2043</v>
      </c>
      <c r="F233" s="218">
        <f>IF(D233=1,'Model Inputs'!$B$25*(13-'Model Inputs'!$B$23)/12,'Model Inputs'!$B$25)</f>
        <v>300000</v>
      </c>
      <c r="G233" s="218">
        <f>IF(D233=1,'Model Inputs'!$B$27*(13-'Model Inputs'!$B$23)/12,IF(D233=2,'Model Inputs'!$B$27,IF(D233&lt;=MAX(3,'Model Inputs'!$B$30+1),'Model Inputs'!$B$27*(1+'Model Inputs'!$B$28)^(D233-3),'Model Inputs'!$B$27*(1+'Model Inputs'!$B$28)^(MAX(3,'Model Inputs'!$B$30+1)-3)*(1+'Model Inputs'!$B$29)^(D233-MAX(3,'Model Inputs'!$B$30+1)))))</f>
        <v>21432424.290875554</v>
      </c>
      <c r="H233" s="224">
        <f>IF(D233&lt;=2,0,'Model Inputs'!$B$32*SIN(2*PI()*(D233-3+'Model Inputs'!$B$34)/MAX(1,'Model Inputs'!$B$33)))</f>
        <v>-5.7328325735374245E-16</v>
      </c>
      <c r="I233" s="218">
        <f t="shared" si="73"/>
        <v>21432424.290875543</v>
      </c>
      <c r="J233" s="218">
        <f t="shared" si="71"/>
        <v>14995970.906855816</v>
      </c>
      <c r="K233" s="218">
        <f>F233+J233+IF(D233=1,'Model Inputs'!$B$26,0)</f>
        <v>15295970.906855816</v>
      </c>
      <c r="L233" s="218">
        <f t="shared" si="74"/>
        <v>30591941.813711632</v>
      </c>
      <c r="M233" s="218">
        <f>MIN(L233,'Tax Assumptions'!$B$19)</f>
        <v>24500</v>
      </c>
      <c r="N233" s="218">
        <f>MAX(L233-M233-'Tax Assumptions'!$B$8,0)</f>
        <v>30551341.813711632</v>
      </c>
      <c r="O233" s="218">
        <f>MAX(L233-M233-'Tax Assumptions'!$B$9,0)</f>
        <v>30559441.813711632</v>
      </c>
      <c r="P233" s="218">
        <f>IF(N233=0,0,LOOKUP(N233,'Tax Assumptions'!$F$9:$F$15,'Tax Assumptions'!$I$9:$I$15)+(N233-LOOKUP(N233,'Tax Assumptions'!$F$9:$F$15,'Tax Assumptions'!$F$9:$F$15))*LOOKUP(N233,'Tax Assumptions'!$F$9:$F$15,'Tax Assumptions'!$H$9:$H$15))+MIN(MAX(L233,0),'Tax Assumptions'!$B$11)*'Tax Assumptions'!$B$10+MAX(L233,0)*'Tax Assumptions'!$B$12+MAX(MAX(L233,0)-'Tax Assumptions'!$B$14,0)*'Tax Assumptions'!$B$13+MIN(L233*'Tax Assumptions'!$B$15,'Tax Assumptions'!$B$16)+MIN(L233*'Tax Assumptions'!$B$17,'Tax Assumptions'!$B$18)+IF(O233=0,0,LOOKUP(O233,'Tax Assumptions'!$K$9:$K$17,'Tax Assumptions'!$N$9:$N$17)+(O233-LOOKUP(O233,'Tax Assumptions'!$K$9:$K$17,'Tax Assumptions'!$K$9:$K$17))*LOOKUP(O233,'Tax Assumptions'!$K$9:$K$17,'Tax Assumptions'!$M$9:$M$17))+IF(O233=0,0,LOOKUP(O233,'Tax Assumptions'!$P$9:$P$12,'Tax Assumptions'!$S$9:$S$12)+(O233-LOOKUP(O233,'Tax Assumptions'!$P$9:$P$12,'Tax Assumptions'!$P$9:$P$12))*LOOKUP(O233,'Tax Assumptions'!$P$9:$P$12,'Tax Assumptions'!$R$9:$R$12))</f>
        <v>16289001.966089558</v>
      </c>
      <c r="Q233" s="218">
        <f t="shared" si="75"/>
        <v>14278439.847622074</v>
      </c>
      <c r="R233" s="218">
        <f>IF(D233&lt;=10,INDEX('Savings Projection'!$BL$19:$BL$28,D233),LOOKUP(2,1/('Savings Projection'!$BL$19:$BL$28&lt;&gt;""),'Savings Projection'!$BL$19:$BL$28))*(1+'Model Inputs'!$B$35)^(D233-1)+IF(D233&lt;=10,INDEX('Savings Projection'!$BM$19:$BM$28,D233),LOOKUP(2,1/('Savings Projection'!$BM$19:$BM$28&lt;&gt;""),'Savings Projection'!$BM$19:$BM$28))*(1+'Model Inputs'!$B$36)^(D233-1)</f>
        <v>214870.1921953276</v>
      </c>
      <c r="S233" s="218">
        <f t="shared" si="76"/>
        <v>14063569.655426746</v>
      </c>
      <c r="T233" s="218">
        <f>MIN(MAX(S233,0),'Tax Assumptions'!$B$20)</f>
        <v>7500</v>
      </c>
      <c r="U233" s="218">
        <f t="shared" si="77"/>
        <v>14056069.655426746</v>
      </c>
      <c r="V233" s="218">
        <f>MAX(V232*(1+'Model Inputs'!$B$13)+U233,0)</f>
        <v>87078714.866224781</v>
      </c>
      <c r="W233" s="218">
        <f>MAX(W232*(1+'Model Inputs'!$B$13)+M233+T233,0)</f>
        <v>988980.88155350462</v>
      </c>
      <c r="X233" s="218">
        <f t="shared" si="78"/>
        <v>88067695.747778282</v>
      </c>
      <c r="Y233" s="226" t="str">
        <f t="shared" si="79"/>
        <v/>
      </c>
      <c r="Z233" s="226" t="str">
        <f t="shared" si="80"/>
        <v/>
      </c>
      <c r="AA233" s="226" t="str">
        <f t="shared" si="81"/>
        <v/>
      </c>
      <c r="AB233" s="226" t="str">
        <f t="shared" si="82"/>
        <v/>
      </c>
    </row>
    <row r="234" spans="1:28" x14ac:dyDescent="0.2">
      <c r="A234" s="214" t="str">
        <f t="shared" si="68"/>
        <v>5Y 2x</v>
      </c>
      <c r="B234" s="214">
        <f t="shared" si="69"/>
        <v>5</v>
      </c>
      <c r="C234" s="223">
        <f t="shared" si="70"/>
        <v>2</v>
      </c>
      <c r="D234" s="214">
        <v>19</v>
      </c>
      <c r="E234" s="214">
        <f t="shared" si="72"/>
        <v>2044</v>
      </c>
      <c r="F234" s="218">
        <f>IF(D234=1,'Model Inputs'!$B$25*(13-'Model Inputs'!$B$23)/12,'Model Inputs'!$B$25)</f>
        <v>300000</v>
      </c>
      <c r="G234" s="218">
        <f>IF(D234=1,'Model Inputs'!$B$27*(13-'Model Inputs'!$B$23)/12,IF(D234=2,'Model Inputs'!$B$27,IF(D234&lt;=MAX(3,'Model Inputs'!$B$30+1),'Model Inputs'!$B$27*(1+'Model Inputs'!$B$28)^(D234-3),'Model Inputs'!$B$27*(1+'Model Inputs'!$B$28)^(MAX(3,'Model Inputs'!$B$30+1)-3)*(1+'Model Inputs'!$B$29)^(D234-MAX(3,'Model Inputs'!$B$30+1)))))</f>
        <v>27237984.409717187</v>
      </c>
      <c r="H234" s="224">
        <f>IF(D234&lt;=2,0,'Model Inputs'!$B$32*SIN(2*PI()*(D234-3+'Model Inputs'!$B$34)/MAX(1,'Model Inputs'!$B$33)))</f>
        <v>0.10392304845413286</v>
      </c>
      <c r="I234" s="218">
        <f t="shared" si="73"/>
        <v>30068638.783321142</v>
      </c>
      <c r="J234" s="218">
        <f t="shared" si="71"/>
        <v>19852239.851888295</v>
      </c>
      <c r="K234" s="218">
        <f>F234+J234+IF(D234=1,'Model Inputs'!$B$26,0)</f>
        <v>20152239.851888295</v>
      </c>
      <c r="L234" s="218">
        <f t="shared" si="74"/>
        <v>40304479.703776591</v>
      </c>
      <c r="M234" s="218">
        <f>MIN(L234,'Tax Assumptions'!$B$19)</f>
        <v>24500</v>
      </c>
      <c r="N234" s="218">
        <f>MAX(L234-M234-'Tax Assumptions'!$B$8,0)</f>
        <v>40263879.703776591</v>
      </c>
      <c r="O234" s="218">
        <f>MAX(L234-M234-'Tax Assumptions'!$B$9,0)</f>
        <v>40271979.703776591</v>
      </c>
      <c r="P234" s="218">
        <f>IF(N234=0,0,LOOKUP(N234,'Tax Assumptions'!$F$9:$F$15,'Tax Assumptions'!$I$9:$I$15)+(N234-LOOKUP(N234,'Tax Assumptions'!$F$9:$F$15,'Tax Assumptions'!$F$9:$F$15))*LOOKUP(N234,'Tax Assumptions'!$F$9:$F$15,'Tax Assumptions'!$H$9:$H$15))+MIN(MAX(L234,0),'Tax Assumptions'!$B$11)*'Tax Assumptions'!$B$10+MAX(L234,0)*'Tax Assumptions'!$B$12+MAX(MAX(L234,0)-'Tax Assumptions'!$B$14,0)*'Tax Assumptions'!$B$13+MIN(L234*'Tax Assumptions'!$B$15,'Tax Assumptions'!$B$16)+MIN(L234*'Tax Assumptions'!$B$17,'Tax Assumptions'!$B$18)+IF(O234=0,0,LOOKUP(O234,'Tax Assumptions'!$K$9:$K$17,'Tax Assumptions'!$N$9:$N$17)+(O234-LOOKUP(O234,'Tax Assumptions'!$K$9:$K$17,'Tax Assumptions'!$K$9:$K$17))*LOOKUP(O234,'Tax Assumptions'!$K$9:$K$17,'Tax Assumptions'!$M$9:$M$17))+IF(O234=0,0,LOOKUP(O234,'Tax Assumptions'!$P$9:$P$12,'Tax Assumptions'!$S$9:$S$12)+(O234-LOOKUP(O234,'Tax Assumptions'!$P$9:$P$12,'Tax Assumptions'!$P$9:$P$12))*LOOKUP(O234,'Tax Assumptions'!$P$9:$P$12,'Tax Assumptions'!$R$9:$R$12))</f>
        <v>21546010.224466115</v>
      </c>
      <c r="Q234" s="218">
        <f t="shared" si="75"/>
        <v>18733969.479310475</v>
      </c>
      <c r="R234" s="218">
        <f>IF(D234&lt;=10,INDEX('Savings Projection'!$BL$19:$BL$28,D234),LOOKUP(2,1/('Savings Projection'!$BL$19:$BL$28&lt;&gt;""),'Savings Projection'!$BL$19:$BL$28))*(1+'Model Inputs'!$B$35)^(D234-1)+IF(D234&lt;=10,INDEX('Savings Projection'!$BM$19:$BM$28,D234),LOOKUP(2,1/('Savings Projection'!$BM$19:$BM$28&lt;&gt;""),'Savings Projection'!$BM$19:$BM$28))*(1+'Model Inputs'!$B$36)^(D234-1)</f>
        <v>221316.29796118743</v>
      </c>
      <c r="S234" s="218">
        <f t="shared" si="76"/>
        <v>18512653.181349289</v>
      </c>
      <c r="T234" s="218">
        <f>MIN(MAX(S234,0),'Tax Assumptions'!$B$20)</f>
        <v>7500</v>
      </c>
      <c r="U234" s="218">
        <f t="shared" si="77"/>
        <v>18505153.181349289</v>
      </c>
      <c r="V234" s="218">
        <f>MAX(V233*(1+'Model Inputs'!$B$13)+U234,0)</f>
        <v>110808590.93954757</v>
      </c>
      <c r="W234" s="218">
        <f>MAX(W233*(1+'Model Inputs'!$B$13)+M234+T234,0)</f>
        <v>1080319.7344467151</v>
      </c>
      <c r="X234" s="218">
        <f t="shared" si="78"/>
        <v>111888910.67399429</v>
      </c>
      <c r="Y234" s="226" t="str">
        <f t="shared" si="79"/>
        <v/>
      </c>
      <c r="Z234" s="226" t="str">
        <f t="shared" si="80"/>
        <v/>
      </c>
      <c r="AA234" s="226" t="str">
        <f t="shared" si="81"/>
        <v/>
      </c>
      <c r="AB234" s="226" t="str">
        <f t="shared" si="82"/>
        <v/>
      </c>
    </row>
    <row r="235" spans="1:28" x14ac:dyDescent="0.2">
      <c r="A235" s="214" t="str">
        <f t="shared" si="68"/>
        <v>5Y 2x</v>
      </c>
      <c r="B235" s="214">
        <f t="shared" si="69"/>
        <v>5</v>
      </c>
      <c r="C235" s="223">
        <f t="shared" si="70"/>
        <v>2</v>
      </c>
      <c r="D235" s="214">
        <v>20</v>
      </c>
      <c r="E235" s="214">
        <f t="shared" si="72"/>
        <v>2045</v>
      </c>
      <c r="F235" s="218">
        <f>IF(D235=1,'Model Inputs'!$B$25*(13-'Model Inputs'!$B$23)/12,'Model Inputs'!$B$25)</f>
        <v>300000</v>
      </c>
      <c r="G235" s="218">
        <f>IF(D235=1,'Model Inputs'!$B$27*(13-'Model Inputs'!$B$23)/12,IF(D235=2,'Model Inputs'!$B$27,IF(D235&lt;=MAX(3,'Model Inputs'!$B$30+1),'Model Inputs'!$B$27*(1+'Model Inputs'!$B$28)^(D235-3),'Model Inputs'!$B$27*(1+'Model Inputs'!$B$28)^(MAX(3,'Model Inputs'!$B$30+1)-3)*(1+'Model Inputs'!$B$29)^(D235-MAX(3,'Model Inputs'!$B$30+1)))))</f>
        <v>34616139.762586243</v>
      </c>
      <c r="H235" s="224">
        <f>IF(D235&lt;=2,0,'Model Inputs'!$B$32*SIN(2*PI()*(D235-3+'Model Inputs'!$B$34)/MAX(1,'Model Inputs'!$B$33)))</f>
        <v>-0.10392304845413269</v>
      </c>
      <c r="I235" s="218">
        <f t="shared" si="73"/>
        <v>31018724.992743965</v>
      </c>
      <c r="J235" s="218">
        <f t="shared" si="71"/>
        <v>27909585.160209741</v>
      </c>
      <c r="K235" s="218">
        <f>F235+J235+IF(D235=1,'Model Inputs'!$B$26,0)</f>
        <v>28209585.160209741</v>
      </c>
      <c r="L235" s="218">
        <f t="shared" si="74"/>
        <v>56419170.320419483</v>
      </c>
      <c r="M235" s="218">
        <f>MIN(L235,'Tax Assumptions'!$B$19)</f>
        <v>24500</v>
      </c>
      <c r="N235" s="218">
        <f>MAX(L235-M235-'Tax Assumptions'!$B$8,0)</f>
        <v>56378570.320419483</v>
      </c>
      <c r="O235" s="218">
        <f>MAX(L235-M235-'Tax Assumptions'!$B$9,0)</f>
        <v>56386670.320419483</v>
      </c>
      <c r="P235" s="218">
        <f>IF(N235=0,0,LOOKUP(N235,'Tax Assumptions'!$F$9:$F$15,'Tax Assumptions'!$I$9:$I$15)+(N235-LOOKUP(N235,'Tax Assumptions'!$F$9:$F$15,'Tax Assumptions'!$F$9:$F$15))*LOOKUP(N235,'Tax Assumptions'!$F$9:$F$15,'Tax Assumptions'!$H$9:$H$15))+MIN(MAX(L235,0),'Tax Assumptions'!$B$11)*'Tax Assumptions'!$B$10+MAX(L235,0)*'Tax Assumptions'!$B$12+MAX(MAX(L235,0)-'Tax Assumptions'!$B$14,0)*'Tax Assumptions'!$B$13+MIN(L235*'Tax Assumptions'!$B$15,'Tax Assumptions'!$B$16)+MIN(L235*'Tax Assumptions'!$B$17,'Tax Assumptions'!$B$18)+IF(O235=0,0,LOOKUP(O235,'Tax Assumptions'!$K$9:$K$17,'Tax Assumptions'!$N$9:$N$17)+(O235-LOOKUP(O235,'Tax Assumptions'!$K$9:$K$17,'Tax Assumptions'!$K$9:$K$17))*LOOKUP(O235,'Tax Assumptions'!$K$9:$K$17,'Tax Assumptions'!$M$9:$M$17))+IF(O235=0,0,LOOKUP(O235,'Tax Assumptions'!$P$9:$P$12,'Tax Assumptions'!$S$9:$S$12)+(O235-LOOKUP(O235,'Tax Assumptions'!$P$9:$P$12,'Tax Assumptions'!$P$9:$P$12))*LOOKUP(O235,'Tax Assumptions'!$P$9:$P$12,'Tax Assumptions'!$R$9:$R$12))</f>
        <v>30268247.667630248</v>
      </c>
      <c r="Q235" s="218">
        <f t="shared" si="75"/>
        <v>26126422.652789235</v>
      </c>
      <c r="R235" s="218">
        <f>IF(D235&lt;=10,INDEX('Savings Projection'!$BL$19:$BL$28,D235),LOOKUP(2,1/('Savings Projection'!$BL$19:$BL$28&lt;&gt;""),'Savings Projection'!$BL$19:$BL$28))*(1+'Model Inputs'!$B$35)^(D235-1)+IF(D235&lt;=10,INDEX('Savings Projection'!$BM$19:$BM$28,D235),LOOKUP(2,1/('Savings Projection'!$BM$19:$BM$28&lt;&gt;""),'Savings Projection'!$BM$19:$BM$28))*(1+'Model Inputs'!$B$36)^(D235-1)</f>
        <v>227955.78690002306</v>
      </c>
      <c r="S235" s="218">
        <f t="shared" si="76"/>
        <v>25898466.86588921</v>
      </c>
      <c r="T235" s="218">
        <f>MIN(MAX(S235,0),'Tax Assumptions'!$B$20)</f>
        <v>7500</v>
      </c>
      <c r="U235" s="218">
        <f t="shared" si="77"/>
        <v>25890966.86588921</v>
      </c>
      <c r="V235" s="218">
        <f>MAX(V234*(1+'Model Inputs'!$B$13)+U235,0)</f>
        <v>143348073.26180965</v>
      </c>
      <c r="W235" s="218">
        <f>MAX(W234*(1+'Model Inputs'!$B$13)+M235+T235,0)</f>
        <v>1177138.9185135181</v>
      </c>
      <c r="X235" s="218">
        <f t="shared" si="78"/>
        <v>144525212.18032315</v>
      </c>
      <c r="Y235" s="226" t="str">
        <f t="shared" si="79"/>
        <v/>
      </c>
      <c r="Z235" s="226" t="str">
        <f t="shared" si="80"/>
        <v/>
      </c>
      <c r="AA235" s="226" t="str">
        <f t="shared" si="81"/>
        <v/>
      </c>
      <c r="AB235" s="226" t="str">
        <f t="shared" si="82"/>
        <v/>
      </c>
    </row>
    <row r="236" spans="1:28" x14ac:dyDescent="0.2">
      <c r="A236" s="214" t="str">
        <f t="shared" si="68"/>
        <v>5Y 2x</v>
      </c>
      <c r="B236" s="214">
        <f t="shared" si="69"/>
        <v>5</v>
      </c>
      <c r="C236" s="223">
        <f t="shared" si="70"/>
        <v>2</v>
      </c>
      <c r="D236" s="214">
        <v>21</v>
      </c>
      <c r="E236" s="214">
        <f t="shared" si="72"/>
        <v>2046</v>
      </c>
      <c r="F236" s="218">
        <f>IF(D236=1,'Model Inputs'!$B$25*(13-'Model Inputs'!$B$23)/12,'Model Inputs'!$B$25)</f>
        <v>300000</v>
      </c>
      <c r="G236" s="218">
        <f>IF(D236=1,'Model Inputs'!$B$27*(13-'Model Inputs'!$B$23)/12,IF(D236=2,'Model Inputs'!$B$27,IF(D236&lt;=MAX(3,'Model Inputs'!$B$30+1),'Model Inputs'!$B$27*(1+'Model Inputs'!$B$28)^(D236-3),'Model Inputs'!$B$27*(1+'Model Inputs'!$B$28)^(MAX(3,'Model Inputs'!$B$30+1)-3)*(1+'Model Inputs'!$B$29)^(D236-MAX(3,'Model Inputs'!$B$30+1)))))</f>
        <v>43992870.912849829</v>
      </c>
      <c r="H236" s="224">
        <f>IF(D236&lt;=2,0,'Model Inputs'!$B$32*SIN(2*PI()*(D236-3+'Model Inputs'!$B$34)/MAX(1,'Model Inputs'!$B$33)))</f>
        <v>-1.7634913907721884E-16</v>
      </c>
      <c r="I236" s="218">
        <f t="shared" si="73"/>
        <v>43992870.912849821</v>
      </c>
      <c r="J236" s="218">
        <f t="shared" si="71"/>
        <v>30781203.440388259</v>
      </c>
      <c r="K236" s="218">
        <f>F236+J236+IF(D236=1,'Model Inputs'!$B$26,0)</f>
        <v>31081203.440388259</v>
      </c>
      <c r="L236" s="218">
        <f t="shared" si="74"/>
        <v>62162406.880776517</v>
      </c>
      <c r="M236" s="218">
        <f>MIN(L236,'Tax Assumptions'!$B$19)</f>
        <v>24500</v>
      </c>
      <c r="N236" s="218">
        <f>MAX(L236-M236-'Tax Assumptions'!$B$8,0)</f>
        <v>62121806.880776517</v>
      </c>
      <c r="O236" s="218">
        <f>MAX(L236-M236-'Tax Assumptions'!$B$9,0)</f>
        <v>62129906.880776517</v>
      </c>
      <c r="P236" s="218">
        <f>IF(N236=0,0,LOOKUP(N236,'Tax Assumptions'!$F$9:$F$15,'Tax Assumptions'!$I$9:$I$15)+(N236-LOOKUP(N236,'Tax Assumptions'!$F$9:$F$15,'Tax Assumptions'!$F$9:$F$15))*LOOKUP(N236,'Tax Assumptions'!$F$9:$F$15,'Tax Assumptions'!$H$9:$H$15))+MIN(MAX(L236,0),'Tax Assumptions'!$B$11)*'Tax Assumptions'!$B$10+MAX(L236,0)*'Tax Assumptions'!$B$12+MAX(MAX(L236,0)-'Tax Assumptions'!$B$14,0)*'Tax Assumptions'!$B$13+MIN(L236*'Tax Assumptions'!$B$15,'Tax Assumptions'!$B$16)+MIN(L236*'Tax Assumptions'!$B$17,'Tax Assumptions'!$B$18)+IF(O236=0,0,LOOKUP(O236,'Tax Assumptions'!$K$9:$K$17,'Tax Assumptions'!$N$9:$N$17)+(O236-LOOKUP(O236,'Tax Assumptions'!$K$9:$K$17,'Tax Assumptions'!$K$9:$K$17))*LOOKUP(O236,'Tax Assumptions'!$K$9:$K$17,'Tax Assumptions'!$M$9:$M$17))+IF(O236=0,0,LOOKUP(O236,'Tax Assumptions'!$P$9:$P$12,'Tax Assumptions'!$S$9:$S$12)+(O236-LOOKUP(O236,'Tax Assumptions'!$P$9:$P$12,'Tax Assumptions'!$P$9:$P$12))*LOOKUP(O236,'Tax Assumptions'!$P$9:$P$12,'Tax Assumptions'!$R$9:$R$12))</f>
        <v>33376831.888289094</v>
      </c>
      <c r="Q236" s="218">
        <f t="shared" si="75"/>
        <v>28761074.992487423</v>
      </c>
      <c r="R236" s="218">
        <f>IF(D236&lt;=10,INDEX('Savings Projection'!$BL$19:$BL$28,D236),LOOKUP(2,1/('Savings Projection'!$BL$19:$BL$28&lt;&gt;""),'Savings Projection'!$BL$19:$BL$28))*(1+'Model Inputs'!$B$35)^(D236-1)+IF(D236&lt;=10,INDEX('Savings Projection'!$BM$19:$BM$28,D236),LOOKUP(2,1/('Savings Projection'!$BM$19:$BM$28&lt;&gt;""),'Savings Projection'!$BM$19:$BM$28))*(1+'Model Inputs'!$B$36)^(D236-1)</f>
        <v>234794.46050702373</v>
      </c>
      <c r="S236" s="218">
        <f t="shared" si="76"/>
        <v>28526280.531980399</v>
      </c>
      <c r="T236" s="218">
        <f>MIN(MAX(S236,0),'Tax Assumptions'!$B$20)</f>
        <v>7500</v>
      </c>
      <c r="U236" s="218">
        <f t="shared" si="77"/>
        <v>28518780.531980399</v>
      </c>
      <c r="V236" s="218">
        <f>MAX(V235*(1+'Model Inputs'!$B$13)+U236,0)</f>
        <v>180467738.18949863</v>
      </c>
      <c r="W236" s="218">
        <f>MAX(W235*(1+'Model Inputs'!$B$13)+M236+T236,0)</f>
        <v>1279767.2536243291</v>
      </c>
      <c r="X236" s="218">
        <f t="shared" si="78"/>
        <v>181747505.44312295</v>
      </c>
      <c r="Y236" s="226" t="str">
        <f t="shared" si="79"/>
        <v/>
      </c>
      <c r="Z236" s="226" t="str">
        <f t="shared" si="80"/>
        <v/>
      </c>
      <c r="AA236" s="226" t="str">
        <f t="shared" si="81"/>
        <v/>
      </c>
      <c r="AB236" s="226" t="str">
        <f t="shared" si="82"/>
        <v/>
      </c>
    </row>
    <row r="237" spans="1:28" x14ac:dyDescent="0.2">
      <c r="A237" s="214" t="str">
        <f t="shared" si="68"/>
        <v>5Y 2x</v>
      </c>
      <c r="B237" s="214">
        <f t="shared" si="69"/>
        <v>5</v>
      </c>
      <c r="C237" s="223">
        <f t="shared" si="70"/>
        <v>2</v>
      </c>
      <c r="D237" s="214">
        <v>22</v>
      </c>
      <c r="E237" s="214">
        <f t="shared" si="72"/>
        <v>2047</v>
      </c>
      <c r="F237" s="218">
        <f>IF(D237=1,'Model Inputs'!$B$25*(13-'Model Inputs'!$B$23)/12,'Model Inputs'!$B$25)</f>
        <v>300000</v>
      </c>
      <c r="G237" s="218">
        <f>IF(D237=1,'Model Inputs'!$B$27*(13-'Model Inputs'!$B$23)/12,IF(D237=2,'Model Inputs'!$B$27,IF(D237&lt;=MAX(3,'Model Inputs'!$B$30+1),'Model Inputs'!$B$27*(1+'Model Inputs'!$B$28)^(D237-3),'Model Inputs'!$B$27*(1+'Model Inputs'!$B$28)^(MAX(3,'Model Inputs'!$B$30+1)-3)*(1+'Model Inputs'!$B$29)^(D237-MAX(3,'Model Inputs'!$B$30+1)))))</f>
        <v>55909546.9462616</v>
      </c>
      <c r="H237" s="224">
        <f>IF(D237&lt;=2,0,'Model Inputs'!$B$32*SIN(2*PI()*(D237-3+'Model Inputs'!$B$34)/MAX(1,'Model Inputs'!$B$33)))</f>
        <v>0.10392304845413287</v>
      </c>
      <c r="I237" s="218">
        <f t="shared" si="73"/>
        <v>61719837.502606563</v>
      </c>
      <c r="J237" s="218">
        <f t="shared" si="71"/>
        <v>40749334.43282336</v>
      </c>
      <c r="K237" s="218">
        <f>F237+J237+IF(D237=1,'Model Inputs'!$B$26,0)</f>
        <v>41049334.43282336</v>
      </c>
      <c r="L237" s="218">
        <f t="shared" si="74"/>
        <v>82098668.86564672</v>
      </c>
      <c r="M237" s="218">
        <f>MIN(L237,'Tax Assumptions'!$B$19)</f>
        <v>24500</v>
      </c>
      <c r="N237" s="218">
        <f>MAX(L237-M237-'Tax Assumptions'!$B$8,0)</f>
        <v>82058068.86564672</v>
      </c>
      <c r="O237" s="218">
        <f>MAX(L237-M237-'Tax Assumptions'!$B$9,0)</f>
        <v>82066168.86564672</v>
      </c>
      <c r="P237" s="218">
        <f>IF(N237=0,0,LOOKUP(N237,'Tax Assumptions'!$F$9:$F$15,'Tax Assumptions'!$I$9:$I$15)+(N237-LOOKUP(N237,'Tax Assumptions'!$F$9:$F$15,'Tax Assumptions'!$F$9:$F$15))*LOOKUP(N237,'Tax Assumptions'!$F$9:$F$15,'Tax Assumptions'!$H$9:$H$15))+MIN(MAX(L237,0),'Tax Assumptions'!$B$11)*'Tax Assumptions'!$B$10+MAX(L237,0)*'Tax Assumptions'!$B$12+MAX(MAX(L237,0)-'Tax Assumptions'!$B$14,0)*'Tax Assumptions'!$B$13+MIN(L237*'Tax Assumptions'!$B$15,'Tax Assumptions'!$B$16)+MIN(L237*'Tax Assumptions'!$B$17,'Tax Assumptions'!$B$18)+IF(O237=0,0,LOOKUP(O237,'Tax Assumptions'!$K$9:$K$17,'Tax Assumptions'!$N$9:$N$17)+(O237-LOOKUP(O237,'Tax Assumptions'!$K$9:$K$17,'Tax Assumptions'!$K$9:$K$17))*LOOKUP(O237,'Tax Assumptions'!$K$9:$K$17,'Tax Assumptions'!$M$9:$M$17))+IF(O237=0,0,LOOKUP(O237,'Tax Assumptions'!$P$9:$P$12,'Tax Assumptions'!$S$9:$S$12)+(O237-LOOKUP(O237,'Tax Assumptions'!$P$9:$P$12,'Tax Assumptions'!$P$9:$P$12))*LOOKUP(O237,'Tax Assumptions'!$P$9:$P$12,'Tax Assumptions'!$R$9:$R$12))</f>
        <v>44167533.050219946</v>
      </c>
      <c r="Q237" s="218">
        <f t="shared" si="75"/>
        <v>37906635.815426774</v>
      </c>
      <c r="R237" s="218">
        <f>IF(D237&lt;=10,INDEX('Savings Projection'!$BL$19:$BL$28,D237),LOOKUP(2,1/('Savings Projection'!$BL$19:$BL$28&lt;&gt;""),'Savings Projection'!$BL$19:$BL$28))*(1+'Model Inputs'!$B$35)^(D237-1)+IF(D237&lt;=10,INDEX('Savings Projection'!$BM$19:$BM$28,D237),LOOKUP(2,1/('Savings Projection'!$BM$19:$BM$28&lt;&gt;""),'Savings Projection'!$BM$19:$BM$28))*(1+'Model Inputs'!$B$36)^(D237-1)</f>
        <v>241838.2943222344</v>
      </c>
      <c r="S237" s="218">
        <f t="shared" si="76"/>
        <v>37664797.521104537</v>
      </c>
      <c r="T237" s="218">
        <f>MIN(MAX(S237,0),'Tax Assumptions'!$B$20)</f>
        <v>7500</v>
      </c>
      <c r="U237" s="218">
        <f t="shared" si="77"/>
        <v>37657297.521104537</v>
      </c>
      <c r="V237" s="218">
        <f>MAX(V236*(1+'Model Inputs'!$B$13)+U237,0)</f>
        <v>228953100.00197309</v>
      </c>
      <c r="W237" s="218">
        <f>MAX(W236*(1+'Model Inputs'!$B$13)+M237+T237,0)</f>
        <v>1388553.2888417889</v>
      </c>
      <c r="X237" s="218">
        <f t="shared" si="78"/>
        <v>230341653.29081488</v>
      </c>
      <c r="Y237" s="226" t="str">
        <f t="shared" si="79"/>
        <v/>
      </c>
      <c r="Z237" s="226" t="str">
        <f t="shared" si="80"/>
        <v/>
      </c>
      <c r="AA237" s="226" t="str">
        <f t="shared" si="81"/>
        <v/>
      </c>
      <c r="AB237" s="226" t="str">
        <f t="shared" si="82"/>
        <v/>
      </c>
    </row>
    <row r="238" spans="1:28" x14ac:dyDescent="0.2">
      <c r="A238" s="214" t="str">
        <f t="shared" si="68"/>
        <v>5Y 2x</v>
      </c>
      <c r="B238" s="214">
        <f t="shared" si="69"/>
        <v>5</v>
      </c>
      <c r="C238" s="223">
        <f t="shared" si="70"/>
        <v>2</v>
      </c>
      <c r="D238" s="214">
        <v>23</v>
      </c>
      <c r="E238" s="214">
        <f t="shared" si="72"/>
        <v>2048</v>
      </c>
      <c r="F238" s="218">
        <f>IF(D238=1,'Model Inputs'!$B$25*(13-'Model Inputs'!$B$23)/12,'Model Inputs'!$B$25)</f>
        <v>300000</v>
      </c>
      <c r="G238" s="218">
        <f>IF(D238=1,'Model Inputs'!$B$27*(13-'Model Inputs'!$B$23)/12,IF(D238=2,'Model Inputs'!$B$27,IF(D238&lt;=MAX(3,'Model Inputs'!$B$30+1),'Model Inputs'!$B$27*(1+'Model Inputs'!$B$28)^(D238-3),'Model Inputs'!$B$27*(1+'Model Inputs'!$B$28)^(MAX(3,'Model Inputs'!$B$30+1)-3)*(1+'Model Inputs'!$B$29)^(D238-MAX(3,'Model Inputs'!$B$30+1)))))</f>
        <v>71054181.617940187</v>
      </c>
      <c r="H238" s="224">
        <f>IF(D238&lt;=2,0,'Model Inputs'!$B$32*SIN(2*PI()*(D238-3+'Model Inputs'!$B$34)/MAX(1,'Model Inputs'!$B$33)))</f>
        <v>-0.10392304845413268</v>
      </c>
      <c r="I238" s="218">
        <f t="shared" si="73"/>
        <v>63670014.458790243</v>
      </c>
      <c r="J238" s="218">
        <f t="shared" si="71"/>
        <v>57288095.855167374</v>
      </c>
      <c r="K238" s="218">
        <f>F238+J238+IF(D238=1,'Model Inputs'!$B$26,0)</f>
        <v>57588095.855167374</v>
      </c>
      <c r="L238" s="218">
        <f t="shared" si="74"/>
        <v>115176191.71033475</v>
      </c>
      <c r="M238" s="218">
        <f>MIN(L238,'Tax Assumptions'!$B$19)</f>
        <v>24500</v>
      </c>
      <c r="N238" s="218">
        <f>MAX(L238-M238-'Tax Assumptions'!$B$8,0)</f>
        <v>115135591.71033475</v>
      </c>
      <c r="O238" s="218">
        <f>MAX(L238-M238-'Tax Assumptions'!$B$9,0)</f>
        <v>115143691.71033475</v>
      </c>
      <c r="P238" s="218">
        <f>IF(N238=0,0,LOOKUP(N238,'Tax Assumptions'!$F$9:$F$15,'Tax Assumptions'!$I$9:$I$15)+(N238-LOOKUP(N238,'Tax Assumptions'!$F$9:$F$15,'Tax Assumptions'!$F$9:$F$15))*LOOKUP(N238,'Tax Assumptions'!$F$9:$F$15,'Tax Assumptions'!$H$9:$H$15))+MIN(MAX(L238,0),'Tax Assumptions'!$B$11)*'Tax Assumptions'!$B$10+MAX(L238,0)*'Tax Assumptions'!$B$12+MAX(MAX(L238,0)-'Tax Assumptions'!$B$14,0)*'Tax Assumptions'!$B$13+MIN(L238*'Tax Assumptions'!$B$15,'Tax Assumptions'!$B$16)+MIN(L238*'Tax Assumptions'!$B$17,'Tax Assumptions'!$B$18)+IF(O238=0,0,LOOKUP(O238,'Tax Assumptions'!$K$9:$K$17,'Tax Assumptions'!$N$9:$N$17)+(O238-LOOKUP(O238,'Tax Assumptions'!$K$9:$K$17,'Tax Assumptions'!$K$9:$K$17))*LOOKUP(O238,'Tax Assumptions'!$K$9:$K$17,'Tax Assumptions'!$M$9:$M$17))+IF(O238=0,0,LOOKUP(O238,'Tax Assumptions'!$P$9:$P$12,'Tax Assumptions'!$S$9:$S$12)+(O238-LOOKUP(O238,'Tax Assumptions'!$P$9:$P$12,'Tax Assumptions'!$P$9:$P$12))*LOOKUP(O238,'Tax Assumptions'!$P$9:$P$12,'Tax Assumptions'!$R$9:$R$12))</f>
        <v>62071073.065135792</v>
      </c>
      <c r="Q238" s="218">
        <f t="shared" si="75"/>
        <v>53080618.645198956</v>
      </c>
      <c r="R238" s="218">
        <f>IF(D238&lt;=10,INDEX('Savings Projection'!$BL$19:$BL$28,D238),LOOKUP(2,1/('Savings Projection'!$BL$19:$BL$28&lt;&gt;""),'Savings Projection'!$BL$19:$BL$28))*(1+'Model Inputs'!$B$35)^(D238-1)+IF(D238&lt;=10,INDEX('Savings Projection'!$BM$19:$BM$28,D238),LOOKUP(2,1/('Savings Projection'!$BM$19:$BM$28&lt;&gt;""),'Savings Projection'!$BM$19:$BM$28))*(1+'Model Inputs'!$B$36)^(D238-1)</f>
        <v>249093.44315190148</v>
      </c>
      <c r="S238" s="218">
        <f t="shared" si="76"/>
        <v>52831525.202047057</v>
      </c>
      <c r="T238" s="218">
        <f>MIN(MAX(S238,0),'Tax Assumptions'!$B$20)</f>
        <v>7500</v>
      </c>
      <c r="U238" s="218">
        <f t="shared" si="77"/>
        <v>52824025.202047057</v>
      </c>
      <c r="V238" s="218">
        <f>MAX(V237*(1+'Model Inputs'!$B$13)+U238,0)</f>
        <v>295514311.20413858</v>
      </c>
      <c r="W238" s="218">
        <f>MAX(W237*(1+'Model Inputs'!$B$13)+M238+T238,0)</f>
        <v>1503866.4861722963</v>
      </c>
      <c r="X238" s="218">
        <f t="shared" si="78"/>
        <v>297018177.6903109</v>
      </c>
      <c r="Y238" s="226" t="str">
        <f t="shared" si="79"/>
        <v/>
      </c>
      <c r="Z238" s="226" t="str">
        <f t="shared" si="80"/>
        <v/>
      </c>
      <c r="AA238" s="226" t="str">
        <f t="shared" si="81"/>
        <v/>
      </c>
      <c r="AB238" s="226" t="str">
        <f t="shared" si="82"/>
        <v/>
      </c>
    </row>
    <row r="239" spans="1:28" x14ac:dyDescent="0.2">
      <c r="A239" s="214" t="str">
        <f t="shared" si="68"/>
        <v>5Y 2x</v>
      </c>
      <c r="B239" s="214">
        <f t="shared" si="69"/>
        <v>5</v>
      </c>
      <c r="C239" s="223">
        <f t="shared" si="70"/>
        <v>2</v>
      </c>
      <c r="D239" s="214">
        <v>24</v>
      </c>
      <c r="E239" s="214">
        <f t="shared" si="72"/>
        <v>2049</v>
      </c>
      <c r="F239" s="218">
        <f>IF(D239=1,'Model Inputs'!$B$25*(13-'Model Inputs'!$B$23)/12,'Model Inputs'!$B$25)</f>
        <v>300000</v>
      </c>
      <c r="G239" s="218">
        <f>IF(D239=1,'Model Inputs'!$B$27*(13-'Model Inputs'!$B$23)/12,IF(D239=2,'Model Inputs'!$B$27,IF(D239&lt;=MAX(3,'Model Inputs'!$B$30+1),'Model Inputs'!$B$27*(1+'Model Inputs'!$B$28)^(D239-3),'Model Inputs'!$B$27*(1+'Model Inputs'!$B$28)^(MAX(3,'Model Inputs'!$B$30+1)-3)*(1+'Model Inputs'!$B$29)^(D239-MAX(3,'Model Inputs'!$B$30+1)))))</f>
        <v>90301156.084270701</v>
      </c>
      <c r="H239" s="224">
        <f>IF(D239&lt;=2,0,'Model Inputs'!$B$32*SIN(2*PI()*(D239-3+'Model Inputs'!$B$34)/MAX(1,'Model Inputs'!$B$33)))</f>
        <v>-2.0574066225675533E-16</v>
      </c>
      <c r="I239" s="218">
        <f t="shared" si="73"/>
        <v>90301156.084270686</v>
      </c>
      <c r="J239" s="218">
        <f t="shared" si="71"/>
        <v>63182470.219744325</v>
      </c>
      <c r="K239" s="218">
        <f>F239+J239+IF(D239=1,'Model Inputs'!$B$26,0)</f>
        <v>63482470.219744325</v>
      </c>
      <c r="L239" s="218">
        <f t="shared" si="74"/>
        <v>126964940.43948865</v>
      </c>
      <c r="M239" s="218">
        <f>MIN(L239,'Tax Assumptions'!$B$19)</f>
        <v>24500</v>
      </c>
      <c r="N239" s="218">
        <f>MAX(L239-M239-'Tax Assumptions'!$B$8,0)</f>
        <v>126924340.43948865</v>
      </c>
      <c r="O239" s="218">
        <f>MAX(L239-M239-'Tax Assumptions'!$B$9,0)</f>
        <v>126932440.43948865</v>
      </c>
      <c r="P239" s="218">
        <f>IF(N239=0,0,LOOKUP(N239,'Tax Assumptions'!$F$9:$F$15,'Tax Assumptions'!$I$9:$I$15)+(N239-LOOKUP(N239,'Tax Assumptions'!$F$9:$F$15,'Tax Assumptions'!$F$9:$F$15))*LOOKUP(N239,'Tax Assumptions'!$F$9:$F$15,'Tax Assumptions'!$H$9:$H$15))+MIN(MAX(L239,0),'Tax Assumptions'!$B$11)*'Tax Assumptions'!$B$10+MAX(L239,0)*'Tax Assumptions'!$B$12+MAX(MAX(L239,0)-'Tax Assumptions'!$B$14,0)*'Tax Assumptions'!$B$13+MIN(L239*'Tax Assumptions'!$B$15,'Tax Assumptions'!$B$16)+MIN(L239*'Tax Assumptions'!$B$17,'Tax Assumptions'!$B$18)+IF(O239=0,0,LOOKUP(O239,'Tax Assumptions'!$K$9:$K$17,'Tax Assumptions'!$N$9:$N$17)+(O239-LOOKUP(O239,'Tax Assumptions'!$K$9:$K$17,'Tax Assumptions'!$K$9:$K$17))*LOOKUP(O239,'Tax Assumptions'!$K$9:$K$17,'Tax Assumptions'!$M$9:$M$17))+IF(O239=0,0,LOOKUP(O239,'Tax Assumptions'!$P$9:$P$12,'Tax Assumptions'!$S$9:$S$12)+(O239-LOOKUP(O239,'Tax Assumptions'!$P$9:$P$12,'Tax Assumptions'!$P$9:$P$12))*LOOKUP(O239,'Tax Assumptions'!$P$9:$P$12,'Tax Assumptions'!$R$9:$R$12))</f>
        <v>68451851.202277616</v>
      </c>
      <c r="Q239" s="218">
        <f t="shared" si="75"/>
        <v>58488589.237211034</v>
      </c>
      <c r="R239" s="218">
        <f>IF(D239&lt;=10,INDEX('Savings Projection'!$BL$19:$BL$28,D239),LOOKUP(2,1/('Savings Projection'!$BL$19:$BL$28&lt;&gt;""),'Savings Projection'!$BL$19:$BL$28))*(1+'Model Inputs'!$B$35)^(D239-1)+IF(D239&lt;=10,INDEX('Savings Projection'!$BM$19:$BM$28,D239),LOOKUP(2,1/('Savings Projection'!$BM$19:$BM$28&lt;&gt;""),'Savings Projection'!$BM$19:$BM$28))*(1+'Model Inputs'!$B$36)^(D239-1)</f>
        <v>256566.24644645851</v>
      </c>
      <c r="S239" s="218">
        <f t="shared" si="76"/>
        <v>58232022.990764573</v>
      </c>
      <c r="T239" s="218">
        <f>MIN(MAX(S239,0),'Tax Assumptions'!$B$20)</f>
        <v>7500</v>
      </c>
      <c r="U239" s="218">
        <f t="shared" si="77"/>
        <v>58224522.990764573</v>
      </c>
      <c r="V239" s="218">
        <f>MAX(V238*(1+'Model Inputs'!$B$13)+U239,0)</f>
        <v>371469692.86715144</v>
      </c>
      <c r="W239" s="218">
        <f>MAX(W238*(1+'Model Inputs'!$B$13)+M239+T239,0)</f>
        <v>1626098.4753426341</v>
      </c>
      <c r="X239" s="218">
        <f t="shared" si="78"/>
        <v>373095791.34249407</v>
      </c>
      <c r="Y239" s="226" t="str">
        <f t="shared" si="79"/>
        <v/>
      </c>
      <c r="Z239" s="226" t="str">
        <f t="shared" si="80"/>
        <v/>
      </c>
      <c r="AA239" s="226" t="str">
        <f t="shared" si="81"/>
        <v/>
      </c>
      <c r="AB239" s="226" t="str">
        <f t="shared" si="82"/>
        <v/>
      </c>
    </row>
    <row r="240" spans="1:28" x14ac:dyDescent="0.2">
      <c r="A240" s="214" t="str">
        <f t="shared" si="68"/>
        <v>5Y 2x</v>
      </c>
      <c r="B240" s="214">
        <f t="shared" si="69"/>
        <v>5</v>
      </c>
      <c r="C240" s="223">
        <f t="shared" si="70"/>
        <v>2</v>
      </c>
      <c r="D240" s="214">
        <v>25</v>
      </c>
      <c r="E240" s="214">
        <f t="shared" si="72"/>
        <v>2050</v>
      </c>
      <c r="F240" s="218">
        <f>IF(D240=1,'Model Inputs'!$B$25*(13-'Model Inputs'!$B$23)/12,'Model Inputs'!$B$25)</f>
        <v>300000</v>
      </c>
      <c r="G240" s="218">
        <f>IF(D240=1,'Model Inputs'!$B$27*(13-'Model Inputs'!$B$23)/12,IF(D240=2,'Model Inputs'!$B$27,IF(D240&lt;=MAX(3,'Model Inputs'!$B$30+1),'Model Inputs'!$B$27*(1+'Model Inputs'!$B$28)^(D240-3),'Model Inputs'!$B$27*(1+'Model Inputs'!$B$28)^(MAX(3,'Model Inputs'!$B$30+1)-3)*(1+'Model Inputs'!$B$29)^(D240-MAX(3,'Model Inputs'!$B$30+1)))))</f>
        <v>114761701.62653697</v>
      </c>
      <c r="H240" s="224">
        <f>IF(D240&lt;=2,0,'Model Inputs'!$B$32*SIN(2*PI()*(D240-3+'Model Inputs'!$B$34)/MAX(1,'Model Inputs'!$B$33)))</f>
        <v>0.10392304845413287</v>
      </c>
      <c r="I240" s="218">
        <f t="shared" si="73"/>
        <v>126688087.50535031</v>
      </c>
      <c r="J240" s="218">
        <f t="shared" si="71"/>
        <v>83643370.677900568</v>
      </c>
      <c r="K240" s="218">
        <f>F240+J240+IF(D240=1,'Model Inputs'!$B$26,0)</f>
        <v>83943370.677900568</v>
      </c>
      <c r="L240" s="218">
        <f t="shared" si="74"/>
        <v>167886741.35580114</v>
      </c>
      <c r="M240" s="218">
        <f>MIN(L240,'Tax Assumptions'!$B$19)</f>
        <v>24500</v>
      </c>
      <c r="N240" s="218">
        <f>MAX(L240-M240-'Tax Assumptions'!$B$8,0)</f>
        <v>167846141.35580114</v>
      </c>
      <c r="O240" s="218">
        <f>MAX(L240-M240-'Tax Assumptions'!$B$9,0)</f>
        <v>167854241.35580114</v>
      </c>
      <c r="P240" s="218">
        <f>IF(N240=0,0,LOOKUP(N240,'Tax Assumptions'!$F$9:$F$15,'Tax Assumptions'!$I$9:$I$15)+(N240-LOOKUP(N240,'Tax Assumptions'!$F$9:$F$15,'Tax Assumptions'!$F$9:$F$15))*LOOKUP(N240,'Tax Assumptions'!$F$9:$F$15,'Tax Assumptions'!$H$9:$H$15))+MIN(MAX(L240,0),'Tax Assumptions'!$B$11)*'Tax Assumptions'!$B$10+MAX(L240,0)*'Tax Assumptions'!$B$12+MAX(MAX(L240,0)-'Tax Assumptions'!$B$14,0)*'Tax Assumptions'!$B$13+MIN(L240*'Tax Assumptions'!$B$15,'Tax Assumptions'!$B$16)+MIN(L240*'Tax Assumptions'!$B$17,'Tax Assumptions'!$B$18)+IF(O240=0,0,LOOKUP(O240,'Tax Assumptions'!$K$9:$K$17,'Tax Assumptions'!$N$9:$N$17)+(O240-LOOKUP(O240,'Tax Assumptions'!$K$9:$K$17,'Tax Assumptions'!$K$9:$K$17))*LOOKUP(O240,'Tax Assumptions'!$K$9:$K$17,'Tax Assumptions'!$M$9:$M$17))+IF(O240=0,0,LOOKUP(O240,'Tax Assumptions'!$P$9:$P$12,'Tax Assumptions'!$S$9:$S$12)+(O240-LOOKUP(O240,'Tax Assumptions'!$P$9:$P$12,'Tax Assumptions'!$P$9:$P$12))*LOOKUP(O240,'Tax Assumptions'!$P$9:$P$12,'Tax Assumptions'!$R$9:$R$12))</f>
        <v>90601185.166240916</v>
      </c>
      <c r="Q240" s="218">
        <f t="shared" si="75"/>
        <v>77261056.18956022</v>
      </c>
      <c r="R240" s="218">
        <f>IF(D240&lt;=10,INDEX('Savings Projection'!$BL$19:$BL$28,D240),LOOKUP(2,1/('Savings Projection'!$BL$19:$BL$28&lt;&gt;""),'Savings Projection'!$BL$19:$BL$28))*(1+'Model Inputs'!$B$35)^(D240-1)+IF(D240&lt;=10,INDEX('Savings Projection'!$BM$19:$BM$28,D240),LOOKUP(2,1/('Savings Projection'!$BM$19:$BM$28&lt;&gt;""),'Savings Projection'!$BM$19:$BM$28))*(1+'Model Inputs'!$B$36)^(D240-1)</f>
        <v>264263.23383985227</v>
      </c>
      <c r="S240" s="218">
        <f t="shared" si="76"/>
        <v>76996792.955720365</v>
      </c>
      <c r="T240" s="218">
        <f>MIN(MAX(S240,0),'Tax Assumptions'!$B$20)</f>
        <v>7500</v>
      </c>
      <c r="U240" s="218">
        <f t="shared" si="77"/>
        <v>76989292.955720365</v>
      </c>
      <c r="V240" s="218">
        <f>MAX(V239*(1+'Model Inputs'!$B$13)+U240,0)</f>
        <v>470747167.39490092</v>
      </c>
      <c r="W240" s="218">
        <f>MAX(W239*(1+'Model Inputs'!$B$13)+M240+T240,0)</f>
        <v>1755664.3838631923</v>
      </c>
      <c r="X240" s="218">
        <f t="shared" si="78"/>
        <v>472502831.77876413</v>
      </c>
      <c r="Y240" s="226" t="str">
        <f t="shared" si="79"/>
        <v/>
      </c>
      <c r="Z240" s="226" t="str">
        <f t="shared" si="80"/>
        <v/>
      </c>
      <c r="AA240" s="226" t="str">
        <f t="shared" si="81"/>
        <v/>
      </c>
      <c r="AB240" s="226" t="str">
        <f t="shared" si="82"/>
        <v/>
      </c>
    </row>
    <row r="241" spans="1:28" x14ac:dyDescent="0.2">
      <c r="A241" s="214" t="str">
        <f t="shared" si="68"/>
        <v>5Y 2x</v>
      </c>
      <c r="B241" s="214">
        <f t="shared" si="69"/>
        <v>5</v>
      </c>
      <c r="C241" s="223">
        <f t="shared" si="70"/>
        <v>2</v>
      </c>
      <c r="D241" s="214">
        <v>26</v>
      </c>
      <c r="E241" s="214">
        <f t="shared" si="72"/>
        <v>2051</v>
      </c>
      <c r="F241" s="218">
        <f>IF(D241=1,'Model Inputs'!$B$25*(13-'Model Inputs'!$B$23)/12,'Model Inputs'!$B$25)</f>
        <v>300000</v>
      </c>
      <c r="G241" s="218">
        <f>IF(D241=1,'Model Inputs'!$B$27*(13-'Model Inputs'!$B$23)/12,IF(D241=2,'Model Inputs'!$B$27,IF(D241&lt;=MAX(3,'Model Inputs'!$B$30+1),'Model Inputs'!$B$27*(1+'Model Inputs'!$B$28)^(D241-3),'Model Inputs'!$B$27*(1+'Model Inputs'!$B$28)^(MAX(3,'Model Inputs'!$B$30+1)-3)*(1+'Model Inputs'!$B$29)^(D241-MAX(3,'Model Inputs'!$B$30+1)))))</f>
        <v>145848057.00524563</v>
      </c>
      <c r="H241" s="224">
        <f>IF(D241&lt;=2,0,'Model Inputs'!$B$32*SIN(2*PI()*(D241-3+'Model Inputs'!$B$34)/MAX(1,'Model Inputs'!$B$33)))</f>
        <v>-0.10392304845413224</v>
      </c>
      <c r="I241" s="218">
        <f t="shared" si="73"/>
        <v>130691082.31014845</v>
      </c>
      <c r="J241" s="218">
        <f t="shared" si="71"/>
        <v>117591354.65008041</v>
      </c>
      <c r="K241" s="218">
        <f>F241+J241+IF(D241=1,'Model Inputs'!$B$26,0)</f>
        <v>117891354.65008041</v>
      </c>
      <c r="L241" s="218">
        <f t="shared" si="74"/>
        <v>235782709.30016083</v>
      </c>
      <c r="M241" s="218">
        <f>MIN(L241,'Tax Assumptions'!$B$19)</f>
        <v>24500</v>
      </c>
      <c r="N241" s="218">
        <f>MAX(L241-M241-'Tax Assumptions'!$B$8,0)</f>
        <v>235742109.30016083</v>
      </c>
      <c r="O241" s="218">
        <f>MAX(L241-M241-'Tax Assumptions'!$B$9,0)</f>
        <v>235750209.30016083</v>
      </c>
      <c r="P241" s="218">
        <f>IF(N241=0,0,LOOKUP(N241,'Tax Assumptions'!$F$9:$F$15,'Tax Assumptions'!$I$9:$I$15)+(N241-LOOKUP(N241,'Tax Assumptions'!$F$9:$F$15,'Tax Assumptions'!$F$9:$F$15))*LOOKUP(N241,'Tax Assumptions'!$F$9:$F$15,'Tax Assumptions'!$H$9:$H$15))+MIN(MAX(L241,0),'Tax Assumptions'!$B$11)*'Tax Assumptions'!$B$10+MAX(L241,0)*'Tax Assumptions'!$B$12+MAX(MAX(L241,0)-'Tax Assumptions'!$B$14,0)*'Tax Assumptions'!$B$13+MIN(L241*'Tax Assumptions'!$B$15,'Tax Assumptions'!$B$16)+MIN(L241*'Tax Assumptions'!$B$17,'Tax Assumptions'!$B$18)+IF(O241=0,0,LOOKUP(O241,'Tax Assumptions'!$K$9:$K$17,'Tax Assumptions'!$N$9:$N$17)+(O241-LOOKUP(O241,'Tax Assumptions'!$K$9:$K$17,'Tax Assumptions'!$K$9:$K$17))*LOOKUP(O241,'Tax Assumptions'!$K$9:$K$17,'Tax Assumptions'!$M$9:$M$17))+IF(O241=0,0,LOOKUP(O241,'Tax Assumptions'!$P$9:$P$12,'Tax Assumptions'!$S$9:$S$12)+(O241-LOOKUP(O241,'Tax Assumptions'!$P$9:$P$12,'Tax Assumptions'!$P$9:$P$12))*LOOKUP(O241,'Tax Assumptions'!$P$9:$P$12,'Tax Assumptions'!$R$9:$R$12))</f>
        <v>127350556.77580504</v>
      </c>
      <c r="Q241" s="218">
        <f t="shared" si="75"/>
        <v>108407652.52435578</v>
      </c>
      <c r="R241" s="218">
        <f>IF(D241&lt;=10,INDEX('Savings Projection'!$BL$19:$BL$28,D241),LOOKUP(2,1/('Savings Projection'!$BL$19:$BL$28&lt;&gt;""),'Savings Projection'!$BL$19:$BL$28))*(1+'Model Inputs'!$B$35)^(D241-1)+IF(D241&lt;=10,INDEX('Savings Projection'!$BM$19:$BM$28,D241),LOOKUP(2,1/('Savings Projection'!$BM$19:$BM$28&lt;&gt;""),'Savings Projection'!$BM$19:$BM$28))*(1+'Model Inputs'!$B$36)^(D241-1)</f>
        <v>272191.13085504784</v>
      </c>
      <c r="S241" s="218">
        <f t="shared" si="76"/>
        <v>108135461.39350073</v>
      </c>
      <c r="T241" s="218">
        <f>MIN(MAX(S241,0),'Tax Assumptions'!$B$20)</f>
        <v>7500</v>
      </c>
      <c r="U241" s="218">
        <f t="shared" si="77"/>
        <v>108127961.39350073</v>
      </c>
      <c r="V241" s="218">
        <f>MAX(V240*(1+'Model Inputs'!$B$13)+U241,0)</f>
        <v>607119958.83209574</v>
      </c>
      <c r="W241" s="218">
        <f>MAX(W240*(1+'Model Inputs'!$B$13)+M241+T241,0)</f>
        <v>1893004.2468949838</v>
      </c>
      <c r="X241" s="218">
        <f t="shared" si="78"/>
        <v>609012963.0789907</v>
      </c>
      <c r="Y241" s="226" t="str">
        <f t="shared" si="79"/>
        <v/>
      </c>
      <c r="Z241" s="226" t="str">
        <f t="shared" si="80"/>
        <v/>
      </c>
      <c r="AA241" s="226" t="str">
        <f t="shared" si="81"/>
        <v/>
      </c>
      <c r="AB241" s="226" t="str">
        <f t="shared" si="82"/>
        <v/>
      </c>
    </row>
    <row r="242" spans="1:28" x14ac:dyDescent="0.2">
      <c r="A242" s="214" t="str">
        <f t="shared" si="68"/>
        <v>5Y 2x</v>
      </c>
      <c r="B242" s="214">
        <f t="shared" si="69"/>
        <v>5</v>
      </c>
      <c r="C242" s="223">
        <f t="shared" si="70"/>
        <v>2</v>
      </c>
      <c r="D242" s="214">
        <v>27</v>
      </c>
      <c r="E242" s="214">
        <f t="shared" si="72"/>
        <v>2052</v>
      </c>
      <c r="F242" s="218">
        <f>IF(D242=1,'Model Inputs'!$B$25*(13-'Model Inputs'!$B$23)/12,'Model Inputs'!$B$25)</f>
        <v>300000</v>
      </c>
      <c r="G242" s="218">
        <f>IF(D242=1,'Model Inputs'!$B$27*(13-'Model Inputs'!$B$23)/12,IF(D242=2,'Model Inputs'!$B$27,IF(D242&lt;=MAX(3,'Model Inputs'!$B$30+1),'Model Inputs'!$B$27*(1+'Model Inputs'!$B$28)^(D242-3),'Model Inputs'!$B$27*(1+'Model Inputs'!$B$28)^(MAX(3,'Model Inputs'!$B$30+1)-3)*(1+'Model Inputs'!$B$29)^(D242-MAX(3,'Model Inputs'!$B$30+1)))))</f>
        <v>185355004.59402937</v>
      </c>
      <c r="H242" s="224">
        <f>IF(D242&lt;=2,0,'Model Inputs'!$B$32*SIN(2*PI()*(D242-3+'Model Inputs'!$B$34)/MAX(1,'Model Inputs'!$B$33)))</f>
        <v>-2.3513218543629179E-16</v>
      </c>
      <c r="I242" s="218">
        <f t="shared" si="73"/>
        <v>185355004.59402934</v>
      </c>
      <c r="J242" s="218">
        <f t="shared" si="71"/>
        <v>129690333.6089489</v>
      </c>
      <c r="K242" s="218">
        <f>F242+J242+IF(D242=1,'Model Inputs'!$B$26,0)</f>
        <v>129990333.6089489</v>
      </c>
      <c r="L242" s="218">
        <f t="shared" si="74"/>
        <v>259980667.2178978</v>
      </c>
      <c r="M242" s="218">
        <f>MIN(L242,'Tax Assumptions'!$B$19)</f>
        <v>24500</v>
      </c>
      <c r="N242" s="218">
        <f>MAX(L242-M242-'Tax Assumptions'!$B$8,0)</f>
        <v>259940067.2178978</v>
      </c>
      <c r="O242" s="218">
        <f>MAX(L242-M242-'Tax Assumptions'!$B$9,0)</f>
        <v>259948167.2178978</v>
      </c>
      <c r="P242" s="218">
        <f>IF(N242=0,0,LOOKUP(N242,'Tax Assumptions'!$F$9:$F$15,'Tax Assumptions'!$I$9:$I$15)+(N242-LOOKUP(N242,'Tax Assumptions'!$F$9:$F$15,'Tax Assumptions'!$F$9:$F$15))*LOOKUP(N242,'Tax Assumptions'!$F$9:$F$15,'Tax Assumptions'!$H$9:$H$15))+MIN(MAX(L242,0),'Tax Assumptions'!$B$11)*'Tax Assumptions'!$B$10+MAX(L242,0)*'Tax Assumptions'!$B$12+MAX(MAX(L242,0)-'Tax Assumptions'!$B$14,0)*'Tax Assumptions'!$B$13+MIN(L242*'Tax Assumptions'!$B$15,'Tax Assumptions'!$B$16)+MIN(L242*'Tax Assumptions'!$B$17,'Tax Assumptions'!$B$18)+IF(O242=0,0,LOOKUP(O242,'Tax Assumptions'!$K$9:$K$17,'Tax Assumptions'!$N$9:$N$17)+(O242-LOOKUP(O242,'Tax Assumptions'!$K$9:$K$17,'Tax Assumptions'!$K$9:$K$17))*LOOKUP(O242,'Tax Assumptions'!$K$9:$K$17,'Tax Assumptions'!$M$9:$M$17))+IF(O242=0,0,LOOKUP(O242,'Tax Assumptions'!$P$9:$P$12,'Tax Assumptions'!$S$9:$S$12)+(O242-LOOKUP(O242,'Tax Assumptions'!$P$9:$P$12,'Tax Assumptions'!$P$9:$P$12))*LOOKUP(O242,'Tax Assumptions'!$P$9:$P$12,'Tax Assumptions'!$R$9:$R$12))</f>
        <v>140447943.47835937</v>
      </c>
      <c r="Q242" s="218">
        <f t="shared" si="75"/>
        <v>119508223.73953843</v>
      </c>
      <c r="R242" s="218">
        <f>IF(D242&lt;=10,INDEX('Savings Projection'!$BL$19:$BL$28,D242),LOOKUP(2,1/('Savings Projection'!$BL$19:$BL$28&lt;&gt;""),'Savings Projection'!$BL$19:$BL$28))*(1+'Model Inputs'!$B$35)^(D242-1)+IF(D242&lt;=10,INDEX('Savings Projection'!$BM$19:$BM$28,D242),LOOKUP(2,1/('Savings Projection'!$BM$19:$BM$28&lt;&gt;""),'Savings Projection'!$BM$19:$BM$28))*(1+'Model Inputs'!$B$36)^(D242-1)</f>
        <v>280356.86478069925</v>
      </c>
      <c r="S242" s="218">
        <f t="shared" si="76"/>
        <v>119227866.87475774</v>
      </c>
      <c r="T242" s="218">
        <f>MIN(MAX(S242,0),'Tax Assumptions'!$B$20)</f>
        <v>7500</v>
      </c>
      <c r="U242" s="218">
        <f t="shared" si="77"/>
        <v>119220366.87475774</v>
      </c>
      <c r="V242" s="218">
        <f>MAX(V241*(1+'Model Inputs'!$B$13)+U242,0)</f>
        <v>762767523.23677933</v>
      </c>
      <c r="W242" s="218">
        <f>MAX(W241*(1+'Model Inputs'!$B$13)+M242+T242,0)</f>
        <v>2038584.5017086829</v>
      </c>
      <c r="X242" s="218">
        <f t="shared" si="78"/>
        <v>764806107.73848796</v>
      </c>
      <c r="Y242" s="226" t="str">
        <f t="shared" si="79"/>
        <v/>
      </c>
      <c r="Z242" s="226" t="str">
        <f t="shared" si="80"/>
        <v/>
      </c>
      <c r="AA242" s="226" t="str">
        <f t="shared" si="81"/>
        <v/>
      </c>
      <c r="AB242" s="226" t="str">
        <f t="shared" si="82"/>
        <v/>
      </c>
    </row>
    <row r="243" spans="1:28" x14ac:dyDescent="0.2">
      <c r="A243" s="214" t="str">
        <f t="shared" si="68"/>
        <v>5Y 2x</v>
      </c>
      <c r="B243" s="214">
        <f t="shared" si="69"/>
        <v>5</v>
      </c>
      <c r="C243" s="223">
        <f t="shared" si="70"/>
        <v>2</v>
      </c>
      <c r="D243" s="214">
        <v>28</v>
      </c>
      <c r="E243" s="214">
        <f t="shared" si="72"/>
        <v>2053</v>
      </c>
      <c r="F243" s="218">
        <f>IF(D243=1,'Model Inputs'!$B$25*(13-'Model Inputs'!$B$23)/12,'Model Inputs'!$B$25)</f>
        <v>300000</v>
      </c>
      <c r="G243" s="218">
        <f>IF(D243=1,'Model Inputs'!$B$27*(13-'Model Inputs'!$B$23)/12,IF(D243=2,'Model Inputs'!$B$27,IF(D243&lt;=MAX(3,'Model Inputs'!$B$30+1),'Model Inputs'!$B$27*(1+'Model Inputs'!$B$28)^(D243-3),'Model Inputs'!$B$27*(1+'Model Inputs'!$B$28)^(MAX(3,'Model Inputs'!$B$30+1)-3)*(1+'Model Inputs'!$B$29)^(D243-MAX(3,'Model Inputs'!$B$30+1)))))</f>
        <v>235563492.81236541</v>
      </c>
      <c r="H243" s="224">
        <f>IF(D243&lt;=2,0,'Model Inputs'!$B$32*SIN(2*PI()*(D243-3+'Model Inputs'!$B$34)/MAX(1,'Model Inputs'!$B$33)))</f>
        <v>0.10392304845413247</v>
      </c>
      <c r="I243" s="218">
        <f t="shared" si="73"/>
        <v>260043969.08992955</v>
      </c>
      <c r="J243" s="218">
        <f t="shared" si="71"/>
        <v>171689024.02305913</v>
      </c>
      <c r="K243" s="218">
        <f>F243+J243+IF(D243=1,'Model Inputs'!$B$26,0)</f>
        <v>171989024.02305913</v>
      </c>
      <c r="L243" s="218">
        <f t="shared" si="74"/>
        <v>343978048.04611826</v>
      </c>
      <c r="M243" s="218">
        <f>MIN(L243,'Tax Assumptions'!$B$19)</f>
        <v>24500</v>
      </c>
      <c r="N243" s="218">
        <f>MAX(L243-M243-'Tax Assumptions'!$B$8,0)</f>
        <v>343937448.04611826</v>
      </c>
      <c r="O243" s="218">
        <f>MAX(L243-M243-'Tax Assumptions'!$B$9,0)</f>
        <v>343945548.04611826</v>
      </c>
      <c r="P243" s="218">
        <f>IF(N243=0,0,LOOKUP(N243,'Tax Assumptions'!$F$9:$F$15,'Tax Assumptions'!$I$9:$I$15)+(N243-LOOKUP(N243,'Tax Assumptions'!$F$9:$F$15,'Tax Assumptions'!$F$9:$F$15))*LOOKUP(N243,'Tax Assumptions'!$F$9:$F$15,'Tax Assumptions'!$H$9:$H$15))+MIN(MAX(L243,0),'Tax Assumptions'!$B$11)*'Tax Assumptions'!$B$10+MAX(L243,0)*'Tax Assumptions'!$B$12+MAX(MAX(L243,0)-'Tax Assumptions'!$B$14,0)*'Tax Assumptions'!$B$13+MIN(L243*'Tax Assumptions'!$B$15,'Tax Assumptions'!$B$16)+MIN(L243*'Tax Assumptions'!$B$17,'Tax Assumptions'!$B$18)+IF(O243=0,0,LOOKUP(O243,'Tax Assumptions'!$K$9:$K$17,'Tax Assumptions'!$N$9:$N$17)+(O243-LOOKUP(O243,'Tax Assumptions'!$K$9:$K$17,'Tax Assumptions'!$K$9:$K$17))*LOOKUP(O243,'Tax Assumptions'!$K$9:$K$17,'Tax Assumptions'!$M$9:$M$17))+IF(O243=0,0,LOOKUP(O243,'Tax Assumptions'!$P$9:$P$12,'Tax Assumptions'!$S$9:$S$12)+(O243-LOOKUP(O243,'Tax Assumptions'!$P$9:$P$12,'Tax Assumptions'!$P$9:$P$12))*LOOKUP(O243,'Tax Assumptions'!$P$9:$P$12,'Tax Assumptions'!$R$9:$R$12))</f>
        <v>185912365.82544196</v>
      </c>
      <c r="Q243" s="218">
        <f t="shared" si="75"/>
        <v>158041182.2206763</v>
      </c>
      <c r="R243" s="218">
        <f>IF(D243&lt;=10,INDEX('Savings Projection'!$BL$19:$BL$28,D243),LOOKUP(2,1/('Savings Projection'!$BL$19:$BL$28&lt;&gt;""),'Savings Projection'!$BL$19:$BL$28))*(1+'Model Inputs'!$B$35)^(D243-1)+IF(D243&lt;=10,INDEX('Savings Projection'!$BM$19:$BM$28,D243),LOOKUP(2,1/('Savings Projection'!$BM$19:$BM$28&lt;&gt;""),'Savings Projection'!$BM$19:$BM$28))*(1+'Model Inputs'!$B$36)^(D243-1)</f>
        <v>288767.57072412025</v>
      </c>
      <c r="S243" s="218">
        <f t="shared" si="76"/>
        <v>157752414.64995217</v>
      </c>
      <c r="T243" s="218">
        <f>MIN(MAX(S243,0),'Tax Assumptions'!$B$20)</f>
        <v>7500</v>
      </c>
      <c r="U243" s="218">
        <f t="shared" si="77"/>
        <v>157744914.64995217</v>
      </c>
      <c r="V243" s="218">
        <f>MAX(V242*(1+'Model Inputs'!$B$13)+U243,0)</f>
        <v>966278489.28093827</v>
      </c>
      <c r="W243" s="218">
        <f>MAX(W242*(1+'Model Inputs'!$B$13)+M243+T243,0)</f>
        <v>2192899.5718112038</v>
      </c>
      <c r="X243" s="218">
        <f t="shared" si="78"/>
        <v>968471388.85274947</v>
      </c>
      <c r="Y243" s="226" t="str">
        <f t="shared" si="79"/>
        <v/>
      </c>
      <c r="Z243" s="226" t="str">
        <f t="shared" si="80"/>
        <v/>
      </c>
      <c r="AA243" s="226" t="str">
        <f t="shared" si="81"/>
        <v/>
      </c>
      <c r="AB243" s="226" t="str">
        <f t="shared" si="82"/>
        <v/>
      </c>
    </row>
    <row r="244" spans="1:28" x14ac:dyDescent="0.2">
      <c r="A244" s="214" t="str">
        <f t="shared" si="68"/>
        <v>5Y 2x</v>
      </c>
      <c r="B244" s="214">
        <f t="shared" si="69"/>
        <v>5</v>
      </c>
      <c r="C244" s="223">
        <f t="shared" si="70"/>
        <v>2</v>
      </c>
      <c r="D244" s="214">
        <v>29</v>
      </c>
      <c r="E244" s="214">
        <f t="shared" si="72"/>
        <v>2054</v>
      </c>
      <c r="F244" s="218">
        <f>IF(D244=1,'Model Inputs'!$B$25*(13-'Model Inputs'!$B$23)/12,'Model Inputs'!$B$25)</f>
        <v>300000</v>
      </c>
      <c r="G244" s="218">
        <f>IF(D244=1,'Model Inputs'!$B$27*(13-'Model Inputs'!$B$23)/12,IF(D244=2,'Model Inputs'!$B$27,IF(D244&lt;=MAX(3,'Model Inputs'!$B$30+1),'Model Inputs'!$B$27*(1+'Model Inputs'!$B$28)^(D244-3),'Model Inputs'!$B$27*(1+'Model Inputs'!$B$28)^(MAX(3,'Model Inputs'!$B$30+1)-3)*(1+'Model Inputs'!$B$29)^(D244-MAX(3,'Model Inputs'!$B$30+1)))))</f>
        <v>299372327.53708321</v>
      </c>
      <c r="H244" s="224">
        <f>IF(D244&lt;=2,0,'Model Inputs'!$B$32*SIN(2*PI()*(D244-3+'Model Inputs'!$B$34)/MAX(1,'Model Inputs'!$B$33)))</f>
        <v>-0.10392304845413265</v>
      </c>
      <c r="I244" s="218">
        <f t="shared" si="73"/>
        <v>268260642.63662043</v>
      </c>
      <c r="J244" s="218">
        <f t="shared" si="71"/>
        <v>241371727.96595448</v>
      </c>
      <c r="K244" s="218">
        <f>F244+J244+IF(D244=1,'Model Inputs'!$B$26,0)</f>
        <v>241671727.96595448</v>
      </c>
      <c r="L244" s="218">
        <f t="shared" si="74"/>
        <v>483343455.93190897</v>
      </c>
      <c r="M244" s="218">
        <f>MIN(L244,'Tax Assumptions'!$B$19)</f>
        <v>24500</v>
      </c>
      <c r="N244" s="218">
        <f>MAX(L244-M244-'Tax Assumptions'!$B$8,0)</f>
        <v>483302855.93190897</v>
      </c>
      <c r="O244" s="218">
        <f>MAX(L244-M244-'Tax Assumptions'!$B$9,0)</f>
        <v>483310955.93190897</v>
      </c>
      <c r="P244" s="218">
        <f>IF(N244=0,0,LOOKUP(N244,'Tax Assumptions'!$F$9:$F$15,'Tax Assumptions'!$I$9:$I$15)+(N244-LOOKUP(N244,'Tax Assumptions'!$F$9:$F$15,'Tax Assumptions'!$F$9:$F$15))*LOOKUP(N244,'Tax Assumptions'!$F$9:$F$15,'Tax Assumptions'!$H$9:$H$15))+MIN(MAX(L244,0),'Tax Assumptions'!$B$11)*'Tax Assumptions'!$B$10+MAX(L244,0)*'Tax Assumptions'!$B$12+MAX(MAX(L244,0)-'Tax Assumptions'!$B$14,0)*'Tax Assumptions'!$B$13+MIN(L244*'Tax Assumptions'!$B$15,'Tax Assumptions'!$B$16)+MIN(L244*'Tax Assumptions'!$B$17,'Tax Assumptions'!$B$18)+IF(O244=0,0,LOOKUP(O244,'Tax Assumptions'!$K$9:$K$17,'Tax Assumptions'!$N$9:$N$17)+(O244-LOOKUP(O244,'Tax Assumptions'!$K$9:$K$17,'Tax Assumptions'!$K$9:$K$17))*LOOKUP(O244,'Tax Assumptions'!$K$9:$K$17,'Tax Assumptions'!$M$9:$M$17))+IF(O244=0,0,LOOKUP(O244,'Tax Assumptions'!$P$9:$P$12,'Tax Assumptions'!$S$9:$S$12)+(O244-LOOKUP(O244,'Tax Assumptions'!$P$9:$P$12,'Tax Assumptions'!$P$9:$P$12))*LOOKUP(O244,'Tax Assumptions'!$P$9:$P$12,'Tax Assumptions'!$R$9:$R$12))</f>
        <v>261345286.49770501</v>
      </c>
      <c r="Q244" s="218">
        <f t="shared" si="75"/>
        <v>221973669.43420395</v>
      </c>
      <c r="R244" s="218">
        <f>IF(D244&lt;=10,INDEX('Savings Projection'!$BL$19:$BL$28,D244),LOOKUP(2,1/('Savings Projection'!$BL$19:$BL$28&lt;&gt;""),'Savings Projection'!$BL$19:$BL$28))*(1+'Model Inputs'!$B$35)^(D244-1)+IF(D244&lt;=10,INDEX('Savings Projection'!$BM$19:$BM$28,D244),LOOKUP(2,1/('Savings Projection'!$BM$19:$BM$28&lt;&gt;""),'Savings Projection'!$BM$19:$BM$28))*(1+'Model Inputs'!$B$36)^(D244-1)</f>
        <v>297430.59784584382</v>
      </c>
      <c r="S244" s="218">
        <f t="shared" si="76"/>
        <v>221676238.8363581</v>
      </c>
      <c r="T244" s="218">
        <f>MIN(MAX(S244,0),'Tax Assumptions'!$B$20)</f>
        <v>7500</v>
      </c>
      <c r="U244" s="218">
        <f t="shared" si="77"/>
        <v>221668738.8363581</v>
      </c>
      <c r="V244" s="218">
        <f>MAX(V243*(1+'Model Inputs'!$B$13)+U244,0)</f>
        <v>1245923937.4741528</v>
      </c>
      <c r="W244" s="218">
        <f>MAX(W243*(1+'Model Inputs'!$B$13)+M244+T244,0)</f>
        <v>2356473.5461198762</v>
      </c>
      <c r="X244" s="218">
        <f t="shared" si="78"/>
        <v>1248280411.0202727</v>
      </c>
      <c r="Y244" s="226" t="str">
        <f t="shared" si="79"/>
        <v/>
      </c>
      <c r="Z244" s="226" t="str">
        <f t="shared" si="80"/>
        <v/>
      </c>
      <c r="AA244" s="226" t="str">
        <f t="shared" si="81"/>
        <v/>
      </c>
      <c r="AB244" s="226" t="str">
        <f t="shared" si="82"/>
        <v/>
      </c>
    </row>
    <row r="245" spans="1:28" x14ac:dyDescent="0.2">
      <c r="A245" s="214" t="str">
        <f t="shared" si="68"/>
        <v>5Y 2x</v>
      </c>
      <c r="B245" s="214">
        <f t="shared" si="69"/>
        <v>5</v>
      </c>
      <c r="C245" s="223">
        <f t="shared" si="70"/>
        <v>2</v>
      </c>
      <c r="D245" s="214">
        <v>30</v>
      </c>
      <c r="E245" s="214">
        <f t="shared" si="72"/>
        <v>2055</v>
      </c>
      <c r="F245" s="218">
        <f>IF(D245=1,'Model Inputs'!$B$25*(13-'Model Inputs'!$B$23)/12,'Model Inputs'!$B$25)</f>
        <v>300000</v>
      </c>
      <c r="G245" s="218">
        <f>IF(D245=1,'Model Inputs'!$B$27*(13-'Model Inputs'!$B$23)/12,IF(D245=2,'Model Inputs'!$B$27,IF(D245&lt;=MAX(3,'Model Inputs'!$B$30+1),'Model Inputs'!$B$27*(1+'Model Inputs'!$B$28)^(D245-3),'Model Inputs'!$B$27*(1+'Model Inputs'!$B$28)^(MAX(3,'Model Inputs'!$B$30+1)-3)*(1+'Model Inputs'!$B$29)^(D245-MAX(3,'Model Inputs'!$B$30+1)))))</f>
        <v>380465535.74563926</v>
      </c>
      <c r="H245" s="224">
        <f>IF(D245&lt;=2,0,'Model Inputs'!$B$32*SIN(2*PI()*(D245-3+'Model Inputs'!$B$34)/MAX(1,'Model Inputs'!$B$33)))</f>
        <v>-2.645237086158283E-16</v>
      </c>
      <c r="I245" s="218">
        <f t="shared" si="73"/>
        <v>380465535.7456392</v>
      </c>
      <c r="J245" s="218">
        <f t="shared" si="71"/>
        <v>266206474.24994773</v>
      </c>
      <c r="K245" s="218">
        <f>F245+J245+IF(D245=1,'Model Inputs'!$B$26,0)</f>
        <v>266506474.24994773</v>
      </c>
      <c r="L245" s="218">
        <f t="shared" si="74"/>
        <v>533012948.49989545</v>
      </c>
      <c r="M245" s="218">
        <f>MIN(L245,'Tax Assumptions'!$B$19)</f>
        <v>24500</v>
      </c>
      <c r="N245" s="218">
        <f>MAX(L245-M245-'Tax Assumptions'!$B$8,0)</f>
        <v>532972348.49989545</v>
      </c>
      <c r="O245" s="218">
        <f>MAX(L245-M245-'Tax Assumptions'!$B$9,0)</f>
        <v>532980448.49989545</v>
      </c>
      <c r="P245" s="218">
        <f>IF(N245=0,0,LOOKUP(N245,'Tax Assumptions'!$F$9:$F$15,'Tax Assumptions'!$I$9:$I$15)+(N245-LOOKUP(N245,'Tax Assumptions'!$F$9:$F$15,'Tax Assumptions'!$F$9:$F$15))*LOOKUP(N245,'Tax Assumptions'!$F$9:$F$15,'Tax Assumptions'!$H$9:$H$15))+MIN(MAX(L245,0),'Tax Assumptions'!$B$11)*'Tax Assumptions'!$B$10+MAX(L245,0)*'Tax Assumptions'!$B$12+MAX(MAX(L245,0)-'Tax Assumptions'!$B$14,0)*'Tax Assumptions'!$B$13+MIN(L245*'Tax Assumptions'!$B$15,'Tax Assumptions'!$B$16)+MIN(L245*'Tax Assumptions'!$B$17,'Tax Assumptions'!$B$18)+IF(O245=0,0,LOOKUP(O245,'Tax Assumptions'!$K$9:$K$17,'Tax Assumptions'!$N$9:$N$17)+(O245-LOOKUP(O245,'Tax Assumptions'!$K$9:$K$17,'Tax Assumptions'!$K$9:$K$17))*LOOKUP(O245,'Tax Assumptions'!$K$9:$K$17,'Tax Assumptions'!$M$9:$M$17))+IF(O245=0,0,LOOKUP(O245,'Tax Assumptions'!$P$9:$P$12,'Tax Assumptions'!$S$9:$S$12)+(O245-LOOKUP(O245,'Tax Assumptions'!$P$9:$P$12,'Tax Assumptions'!$P$9:$P$12))*LOOKUP(O245,'Tax Assumptions'!$P$9:$P$12,'Tax Assumptions'!$R$9:$R$12))</f>
        <v>288229396.04505336</v>
      </c>
      <c r="Q245" s="218">
        <f t="shared" si="75"/>
        <v>244759052.45484209</v>
      </c>
      <c r="R245" s="218">
        <f>IF(D245&lt;=10,INDEX('Savings Projection'!$BL$19:$BL$28,D245),LOOKUP(2,1/('Savings Projection'!$BL$19:$BL$28&lt;&gt;""),'Savings Projection'!$BL$19:$BL$28))*(1+'Model Inputs'!$B$35)^(D245-1)+IF(D245&lt;=10,INDEX('Savings Projection'!$BM$19:$BM$28,D245),LOOKUP(2,1/('Savings Projection'!$BM$19:$BM$28&lt;&gt;""),'Savings Projection'!$BM$19:$BM$28))*(1+'Model Inputs'!$B$36)^(D245-1)</f>
        <v>306353.51578121912</v>
      </c>
      <c r="S245" s="218">
        <f t="shared" si="76"/>
        <v>244452698.93906087</v>
      </c>
      <c r="T245" s="218">
        <f>MIN(MAX(S245,0),'Tax Assumptions'!$B$20)</f>
        <v>7500</v>
      </c>
      <c r="U245" s="218">
        <f t="shared" si="77"/>
        <v>244445198.93906087</v>
      </c>
      <c r="V245" s="218">
        <f>MAX(V244*(1+'Model Inputs'!$B$13)+U245,0)</f>
        <v>1565124572.6616631</v>
      </c>
      <c r="W245" s="218">
        <f>MAX(W244*(1+'Model Inputs'!$B$13)+M245+T245,0)</f>
        <v>2529861.958887069</v>
      </c>
      <c r="X245" s="218">
        <f t="shared" si="78"/>
        <v>1567654434.6205502</v>
      </c>
      <c r="Y245" s="226" t="str">
        <f t="shared" si="79"/>
        <v/>
      </c>
      <c r="Z245" s="226" t="str">
        <f t="shared" si="80"/>
        <v/>
      </c>
      <c r="AA245" s="226" t="str">
        <f t="shared" si="81"/>
        <v/>
      </c>
      <c r="AB245" s="226" t="str">
        <f t="shared" si="82"/>
        <v/>
      </c>
    </row>
    <row r="246" spans="1:28" x14ac:dyDescent="0.2">
      <c r="A246" s="214" t="str">
        <f t="shared" ref="A246:A275" si="83">$A$29</f>
        <v>5Y 3x</v>
      </c>
      <c r="B246" s="214">
        <f t="shared" ref="B246:B275" si="84">$B$29</f>
        <v>5</v>
      </c>
      <c r="C246" s="223">
        <f t="shared" ref="C246:C275" si="85">$C$29</f>
        <v>3</v>
      </c>
      <c r="D246" s="214">
        <v>1</v>
      </c>
      <c r="E246" s="214">
        <f t="shared" si="72"/>
        <v>2026</v>
      </c>
      <c r="F246" s="218">
        <f>IF(D246=1,'Model Inputs'!$B$25*(13-'Model Inputs'!$B$23)/12,'Model Inputs'!$B$25)</f>
        <v>100000</v>
      </c>
      <c r="G246" s="218">
        <f>IF(D246=1,'Model Inputs'!$B$27*(13-'Model Inputs'!$B$23)/12,IF(D246=2,'Model Inputs'!$B$27,IF(D246&lt;=MAX(3,'Model Inputs'!$B$30+1),'Model Inputs'!$B$27*(1+'Model Inputs'!$B$28)^(D246-3),'Model Inputs'!$B$27*(1+'Model Inputs'!$B$28)^(MAX(3,'Model Inputs'!$B$30+1)-3)*(1+'Model Inputs'!$B$29)^(D246-MAX(3,'Model Inputs'!$B$30+1)))))</f>
        <v>150000</v>
      </c>
      <c r="H246" s="224">
        <f>IF(D246&lt;=2,0,'Model Inputs'!$B$32*SIN(2*PI()*(D246-3+'Model Inputs'!$B$34)/MAX(1,'Model Inputs'!$B$33)))</f>
        <v>0</v>
      </c>
      <c r="I246" s="218">
        <f t="shared" si="73"/>
        <v>150000</v>
      </c>
      <c r="J246" s="218">
        <f>0</f>
        <v>0</v>
      </c>
      <c r="K246" s="218">
        <f>F246+J246+IF(D246=1,'Model Inputs'!$B$26,0)</f>
        <v>550000</v>
      </c>
      <c r="L246" s="218">
        <f t="shared" si="74"/>
        <v>550000</v>
      </c>
      <c r="M246" s="218">
        <f>MIN(L246,'Tax Assumptions'!$B$19)</f>
        <v>24500</v>
      </c>
      <c r="N246" s="218">
        <f>MAX(L246-M246-'Tax Assumptions'!$B$8,0)</f>
        <v>509400</v>
      </c>
      <c r="O246" s="218">
        <f>MAX(L246-M246-'Tax Assumptions'!$B$9,0)</f>
        <v>517500</v>
      </c>
      <c r="P246" s="218">
        <f>IF(N246=0,0,LOOKUP(N246,'Tax Assumptions'!$F$9:$F$15,'Tax Assumptions'!$I$9:$I$15)+(N246-LOOKUP(N246,'Tax Assumptions'!$F$9:$F$15,'Tax Assumptions'!$F$9:$F$15))*LOOKUP(N246,'Tax Assumptions'!$F$9:$F$15,'Tax Assumptions'!$H$9:$H$15))+MIN(MAX(L246,0),'Tax Assumptions'!$B$11)*'Tax Assumptions'!$B$10+MAX(L246,0)*'Tax Assumptions'!$B$12+MAX(MAX(L246,0)-'Tax Assumptions'!$B$14,0)*'Tax Assumptions'!$B$13+MIN(L246*'Tax Assumptions'!$B$15,'Tax Assumptions'!$B$16)+MIN(L246*'Tax Assumptions'!$B$17,'Tax Assumptions'!$B$18)+IF(O246=0,0,LOOKUP(O246,'Tax Assumptions'!$K$9:$K$17,'Tax Assumptions'!$N$9:$N$17)+(O246-LOOKUP(O246,'Tax Assumptions'!$K$9:$K$17,'Tax Assumptions'!$K$9:$K$17))*LOOKUP(O246,'Tax Assumptions'!$K$9:$K$17,'Tax Assumptions'!$M$9:$M$17))+IF(O246=0,0,LOOKUP(O246,'Tax Assumptions'!$P$9:$P$12,'Tax Assumptions'!$S$9:$S$12)+(O246-LOOKUP(O246,'Tax Assumptions'!$P$9:$P$12,'Tax Assumptions'!$P$9:$P$12))*LOOKUP(O246,'Tax Assumptions'!$P$9:$P$12,'Tax Assumptions'!$R$9:$R$12))</f>
        <v>222834.53000000003</v>
      </c>
      <c r="Q246" s="218">
        <f t="shared" si="75"/>
        <v>302665.46999999997</v>
      </c>
      <c r="R246" s="218">
        <f>IF(D246&lt;=10,INDEX('Savings Projection'!$BL$19:$BL$28,D246),LOOKUP(2,1/('Savings Projection'!$BL$19:$BL$28&lt;&gt;""),'Savings Projection'!$BL$19:$BL$28))*(1+'Model Inputs'!$B$35)^(D246-1)+IF(D246&lt;=10,INDEX('Savings Projection'!$BM$19:$BM$28,D246),LOOKUP(2,1/('Savings Projection'!$BM$19:$BM$28&lt;&gt;""),'Savings Projection'!$BM$19:$BM$28))*(1+'Model Inputs'!$B$36)^(D246-1)</f>
        <v>118000</v>
      </c>
      <c r="S246" s="218">
        <f t="shared" si="76"/>
        <v>184665.46999999997</v>
      </c>
      <c r="T246" s="218">
        <f>MIN(MAX(S246,0),'Tax Assumptions'!$B$20)</f>
        <v>7500</v>
      </c>
      <c r="U246" s="218">
        <f t="shared" si="77"/>
        <v>177165.46999999997</v>
      </c>
      <c r="V246" s="218">
        <f>MAX('Model Inputs'!$B$7*(1+'Model Inputs'!$B$13)+U246,0)</f>
        <v>336165.47</v>
      </c>
      <c r="W246" s="218">
        <f>MAX(('Model Inputs'!$B$8+'Model Inputs'!$B$9+'Model Inputs'!$B$10)*(1+'Model Inputs'!$B$13)+M246+T246,0)</f>
        <v>32000</v>
      </c>
      <c r="X246" s="218">
        <f t="shared" si="78"/>
        <v>368165.47</v>
      </c>
      <c r="Y246" s="226" t="str">
        <f t="shared" si="79"/>
        <v/>
      </c>
      <c r="Z246" s="226" t="str">
        <f t="shared" si="80"/>
        <v/>
      </c>
      <c r="AA246" s="226" t="str">
        <f t="shared" si="81"/>
        <v/>
      </c>
      <c r="AB246" s="226" t="str">
        <f t="shared" si="82"/>
        <v/>
      </c>
    </row>
    <row r="247" spans="1:28" x14ac:dyDescent="0.2">
      <c r="A247" s="214" t="str">
        <f t="shared" si="83"/>
        <v>5Y 3x</v>
      </c>
      <c r="B247" s="214">
        <f t="shared" si="84"/>
        <v>5</v>
      </c>
      <c r="C247" s="223">
        <f t="shared" si="85"/>
        <v>3</v>
      </c>
      <c r="D247" s="214">
        <v>2</v>
      </c>
      <c r="E247" s="214">
        <f t="shared" si="72"/>
        <v>2027</v>
      </c>
      <c r="F247" s="218">
        <f>IF(D247=1,'Model Inputs'!$B$25*(13-'Model Inputs'!$B$23)/12,'Model Inputs'!$B$25)</f>
        <v>300000</v>
      </c>
      <c r="G247" s="218">
        <f>IF(D247=1,'Model Inputs'!$B$27*(13-'Model Inputs'!$B$23)/12,IF(D247=2,'Model Inputs'!$B$27,IF(D247&lt;=MAX(3,'Model Inputs'!$B$30+1),'Model Inputs'!$B$27*(1+'Model Inputs'!$B$28)^(D247-3),'Model Inputs'!$B$27*(1+'Model Inputs'!$B$28)^(MAX(3,'Model Inputs'!$B$30+1)-3)*(1+'Model Inputs'!$B$29)^(D247-MAX(3,'Model Inputs'!$B$30+1)))))</f>
        <v>450000</v>
      </c>
      <c r="H247" s="224">
        <f>IF(D247&lt;=2,0,'Model Inputs'!$B$32*SIN(2*PI()*(D247-3+'Model Inputs'!$B$34)/MAX(1,'Model Inputs'!$B$33)))</f>
        <v>0</v>
      </c>
      <c r="I247" s="218">
        <f t="shared" si="73"/>
        <v>450000</v>
      </c>
      <c r="J247" s="218">
        <f>0.75*I246</f>
        <v>112500</v>
      </c>
      <c r="K247" s="218">
        <f>F247+J247+IF(D247=1,'Model Inputs'!$B$26,0)</f>
        <v>412500</v>
      </c>
      <c r="L247" s="218">
        <f t="shared" si="74"/>
        <v>412500</v>
      </c>
      <c r="M247" s="218">
        <f>MIN(L247,'Tax Assumptions'!$B$19)</f>
        <v>24500</v>
      </c>
      <c r="N247" s="218">
        <f>MAX(L247-M247-'Tax Assumptions'!$B$8,0)</f>
        <v>371900</v>
      </c>
      <c r="O247" s="218">
        <f>MAX(L247-M247-'Tax Assumptions'!$B$9,0)</f>
        <v>380000</v>
      </c>
      <c r="P247" s="218">
        <f>IF(N247=0,0,LOOKUP(N247,'Tax Assumptions'!$F$9:$F$15,'Tax Assumptions'!$I$9:$I$15)+(N247-LOOKUP(N247,'Tax Assumptions'!$F$9:$F$15,'Tax Assumptions'!$F$9:$F$15))*LOOKUP(N247,'Tax Assumptions'!$F$9:$F$15,'Tax Assumptions'!$H$9:$H$15))+MIN(MAX(L247,0),'Tax Assumptions'!$B$11)*'Tax Assumptions'!$B$10+MAX(L247,0)*'Tax Assumptions'!$B$12+MAX(MAX(L247,0)-'Tax Assumptions'!$B$14,0)*'Tax Assumptions'!$B$13+MIN(L247*'Tax Assumptions'!$B$15,'Tax Assumptions'!$B$16)+MIN(L247*'Tax Assumptions'!$B$17,'Tax Assumptions'!$B$18)+IF(O247=0,0,LOOKUP(O247,'Tax Assumptions'!$K$9:$K$17,'Tax Assumptions'!$N$9:$N$17)+(O247-LOOKUP(O247,'Tax Assumptions'!$K$9:$K$17,'Tax Assumptions'!$K$9:$K$17))*LOOKUP(O247,'Tax Assumptions'!$K$9:$K$17,'Tax Assumptions'!$M$9:$M$17))+IF(O247=0,0,LOOKUP(O247,'Tax Assumptions'!$P$9:$P$12,'Tax Assumptions'!$S$9:$S$12)+(O247-LOOKUP(O247,'Tax Assumptions'!$P$9:$P$12,'Tax Assumptions'!$P$9:$P$12))*LOOKUP(O247,'Tax Assumptions'!$P$9:$P$12,'Tax Assumptions'!$R$9:$R$12))</f>
        <v>156730.03</v>
      </c>
      <c r="Q247" s="218">
        <f t="shared" si="75"/>
        <v>231269.97</v>
      </c>
      <c r="R247" s="218">
        <f>IF(D247&lt;=10,INDEX('Savings Projection'!$BL$19:$BL$28,D247),LOOKUP(2,1/('Savings Projection'!$BL$19:$BL$28&lt;&gt;""),'Savings Projection'!$BL$19:$BL$28))*(1+'Model Inputs'!$B$35)^(D247-1)+IF(D247&lt;=10,INDEX('Savings Projection'!$BM$19:$BM$28,D247),LOOKUP(2,1/('Savings Projection'!$BM$19:$BM$28&lt;&gt;""),'Savings Projection'!$BM$19:$BM$28))*(1+'Model Inputs'!$B$36)^(D247-1)</f>
        <v>121540</v>
      </c>
      <c r="S247" s="218">
        <f t="shared" si="76"/>
        <v>109729.97</v>
      </c>
      <c r="T247" s="218">
        <f>MIN(MAX(S247,0),'Tax Assumptions'!$B$20)</f>
        <v>7500</v>
      </c>
      <c r="U247" s="218">
        <f t="shared" si="77"/>
        <v>102229.97</v>
      </c>
      <c r="V247" s="218">
        <f>MAX(V246*(1+'Model Inputs'!$B$13)+U247,0)</f>
        <v>458565.36820000003</v>
      </c>
      <c r="W247" s="218">
        <f>MAX(W246*(1+'Model Inputs'!$B$13)+M247+T247,0)</f>
        <v>65920</v>
      </c>
      <c r="X247" s="218">
        <f t="shared" si="78"/>
        <v>524485.36820000003</v>
      </c>
      <c r="Y247" s="226" t="str">
        <f t="shared" si="79"/>
        <v/>
      </c>
      <c r="Z247" s="226" t="str">
        <f t="shared" si="80"/>
        <v/>
      </c>
      <c r="AA247" s="226" t="str">
        <f t="shared" si="81"/>
        <v/>
      </c>
      <c r="AB247" s="226" t="str">
        <f t="shared" si="82"/>
        <v/>
      </c>
    </row>
    <row r="248" spans="1:28" x14ac:dyDescent="0.2">
      <c r="A248" s="214" t="str">
        <f t="shared" si="83"/>
        <v>5Y 3x</v>
      </c>
      <c r="B248" s="214">
        <f t="shared" si="84"/>
        <v>5</v>
      </c>
      <c r="C248" s="223">
        <f t="shared" si="85"/>
        <v>3</v>
      </c>
      <c r="D248" s="214">
        <v>3</v>
      </c>
      <c r="E248" s="214">
        <f t="shared" si="72"/>
        <v>2028</v>
      </c>
      <c r="F248" s="218">
        <f>IF(D248=1,'Model Inputs'!$B$25*(13-'Model Inputs'!$B$23)/12,'Model Inputs'!$B$25)</f>
        <v>300000</v>
      </c>
      <c r="G248" s="218">
        <f>IF(D248=1,'Model Inputs'!$B$27*(13-'Model Inputs'!$B$23)/12,IF(D248=2,'Model Inputs'!$B$27,IF(D248&lt;=MAX(3,'Model Inputs'!$B$30+1),'Model Inputs'!$B$27*(1+'Model Inputs'!$B$28)^(D248-3),'Model Inputs'!$B$27*(1+'Model Inputs'!$B$28)^(MAX(3,'Model Inputs'!$B$30+1)-3)*(1+'Model Inputs'!$B$29)^(D248-MAX(3,'Model Inputs'!$B$30+1)))))</f>
        <v>450000</v>
      </c>
      <c r="H248" s="224">
        <f>IF(D248&lt;=2,0,'Model Inputs'!$B$32*SIN(2*PI()*(D248-3+'Model Inputs'!$B$34)/MAX(1,'Model Inputs'!$B$33)))</f>
        <v>0</v>
      </c>
      <c r="I248" s="218">
        <f t="shared" si="73"/>
        <v>450000</v>
      </c>
      <c r="J248" s="218">
        <f t="shared" ref="J248:J275" si="86">0.75*I247+0.25*I246</f>
        <v>375000</v>
      </c>
      <c r="K248" s="218">
        <f>F248+J248+IF(D248=1,'Model Inputs'!$B$26,0)</f>
        <v>675000</v>
      </c>
      <c r="L248" s="218">
        <f t="shared" si="74"/>
        <v>675000</v>
      </c>
      <c r="M248" s="218">
        <f>MIN(L248,'Tax Assumptions'!$B$19)</f>
        <v>24500</v>
      </c>
      <c r="N248" s="218">
        <f>MAX(L248-M248-'Tax Assumptions'!$B$8,0)</f>
        <v>634400</v>
      </c>
      <c r="O248" s="218">
        <f>MAX(L248-M248-'Tax Assumptions'!$B$9,0)</f>
        <v>642500</v>
      </c>
      <c r="P248" s="218">
        <f>IF(N248=0,0,LOOKUP(N248,'Tax Assumptions'!$F$9:$F$15,'Tax Assumptions'!$I$9:$I$15)+(N248-LOOKUP(N248,'Tax Assumptions'!$F$9:$F$15,'Tax Assumptions'!$F$9:$F$15))*LOOKUP(N248,'Tax Assumptions'!$F$9:$F$15,'Tax Assumptions'!$H$9:$H$15))+MIN(MAX(L248,0),'Tax Assumptions'!$B$11)*'Tax Assumptions'!$B$10+MAX(L248,0)*'Tax Assumptions'!$B$12+MAX(MAX(L248,0)-'Tax Assumptions'!$B$14,0)*'Tax Assumptions'!$B$13+MIN(L248*'Tax Assumptions'!$B$15,'Tax Assumptions'!$B$16)+MIN(L248*'Tax Assumptions'!$B$17,'Tax Assumptions'!$B$18)+IF(O248=0,0,LOOKUP(O248,'Tax Assumptions'!$K$9:$K$17,'Tax Assumptions'!$N$9:$N$17)+(O248-LOOKUP(O248,'Tax Assumptions'!$K$9:$K$17,'Tax Assumptions'!$K$9:$K$17))*LOOKUP(O248,'Tax Assumptions'!$K$9:$K$17,'Tax Assumptions'!$M$9:$M$17))+IF(O248=0,0,LOOKUP(O248,'Tax Assumptions'!$P$9:$P$12,'Tax Assumptions'!$S$9:$S$12)+(O248-LOOKUP(O248,'Tax Assumptions'!$P$9:$P$12,'Tax Assumptions'!$P$9:$P$12))*LOOKUP(O248,'Tax Assumptions'!$P$9:$P$12,'Tax Assumptions'!$R$9:$R$12))</f>
        <v>282929.53000000003</v>
      </c>
      <c r="Q248" s="218">
        <f t="shared" si="75"/>
        <v>367570.47</v>
      </c>
      <c r="R248" s="218">
        <f>IF(D248&lt;=10,INDEX('Savings Projection'!$BL$19:$BL$28,D248),LOOKUP(2,1/('Savings Projection'!$BL$19:$BL$28&lt;&gt;""),'Savings Projection'!$BL$19:$BL$28))*(1+'Model Inputs'!$B$35)^(D248-1)+IF(D248&lt;=10,INDEX('Savings Projection'!$BM$19:$BM$28,D248),LOOKUP(2,1/('Savings Projection'!$BM$19:$BM$28&lt;&gt;""),'Savings Projection'!$BM$19:$BM$28))*(1+'Model Inputs'!$B$36)^(D248-1)</f>
        <v>135795.20000000001</v>
      </c>
      <c r="S248" s="218">
        <f t="shared" si="76"/>
        <v>231775.26999999996</v>
      </c>
      <c r="T248" s="218">
        <f>MIN(MAX(S248,0),'Tax Assumptions'!$B$20)</f>
        <v>7500</v>
      </c>
      <c r="U248" s="218">
        <f t="shared" si="77"/>
        <v>224275.26999999996</v>
      </c>
      <c r="V248" s="218">
        <f>MAX(V247*(1+'Model Inputs'!$B$13)+U248,0)</f>
        <v>710354.56029199995</v>
      </c>
      <c r="W248" s="218">
        <f>MAX(W247*(1+'Model Inputs'!$B$13)+M248+T248,0)</f>
        <v>101875.2</v>
      </c>
      <c r="X248" s="218">
        <f t="shared" si="78"/>
        <v>812229.7602919999</v>
      </c>
      <c r="Y248" s="226" t="str">
        <f t="shared" si="79"/>
        <v/>
      </c>
      <c r="Z248" s="226" t="str">
        <f t="shared" si="80"/>
        <v/>
      </c>
      <c r="AA248" s="226" t="str">
        <f t="shared" si="81"/>
        <v/>
      </c>
      <c r="AB248" s="226" t="str">
        <f t="shared" si="82"/>
        <v/>
      </c>
    </row>
    <row r="249" spans="1:28" x14ac:dyDescent="0.2">
      <c r="A249" s="214" t="str">
        <f t="shared" si="83"/>
        <v>5Y 3x</v>
      </c>
      <c r="B249" s="214">
        <f t="shared" si="84"/>
        <v>5</v>
      </c>
      <c r="C249" s="223">
        <f t="shared" si="85"/>
        <v>3</v>
      </c>
      <c r="D249" s="214">
        <v>4</v>
      </c>
      <c r="E249" s="214">
        <f t="shared" si="72"/>
        <v>2029</v>
      </c>
      <c r="F249" s="218">
        <f>IF(D249=1,'Model Inputs'!$B$25*(13-'Model Inputs'!$B$23)/12,'Model Inputs'!$B$25)</f>
        <v>300000</v>
      </c>
      <c r="G249" s="218">
        <f>IF(D249=1,'Model Inputs'!$B$27*(13-'Model Inputs'!$B$23)/12,IF(D249=2,'Model Inputs'!$B$27,IF(D249&lt;=MAX(3,'Model Inputs'!$B$30+1),'Model Inputs'!$B$27*(1+'Model Inputs'!$B$28)^(D249-3),'Model Inputs'!$B$27*(1+'Model Inputs'!$B$28)^(MAX(3,'Model Inputs'!$B$30+1)-3)*(1+'Model Inputs'!$B$29)^(D249-MAX(3,'Model Inputs'!$B$30+1)))))</f>
        <v>653834.84153110103</v>
      </c>
      <c r="H249" s="224">
        <f>IF(D249&lt;=2,0,'Model Inputs'!$B$32*SIN(2*PI()*(D249-3+'Model Inputs'!$B$34)/MAX(1,'Model Inputs'!$B$33)))</f>
        <v>0.10392304845413264</v>
      </c>
      <c r="I249" s="218">
        <f t="shared" si="73"/>
        <v>721783.35144853778</v>
      </c>
      <c r="J249" s="218">
        <f t="shared" si="86"/>
        <v>450000</v>
      </c>
      <c r="K249" s="218">
        <f>F249+J249+IF(D249=1,'Model Inputs'!$B$26,0)</f>
        <v>750000</v>
      </c>
      <c r="L249" s="218">
        <f t="shared" si="74"/>
        <v>750000</v>
      </c>
      <c r="M249" s="218">
        <f>MIN(L249,'Tax Assumptions'!$B$19)</f>
        <v>24500</v>
      </c>
      <c r="N249" s="218">
        <f>MAX(L249-M249-'Tax Assumptions'!$B$8,0)</f>
        <v>709400</v>
      </c>
      <c r="O249" s="218">
        <f>MAX(L249-M249-'Tax Assumptions'!$B$9,0)</f>
        <v>717500</v>
      </c>
      <c r="P249" s="218">
        <f>IF(N249=0,0,LOOKUP(N249,'Tax Assumptions'!$F$9:$F$15,'Tax Assumptions'!$I$9:$I$15)+(N249-LOOKUP(N249,'Tax Assumptions'!$F$9:$F$15,'Tax Assumptions'!$F$9:$F$15))*LOOKUP(N249,'Tax Assumptions'!$F$9:$F$15,'Tax Assumptions'!$H$9:$H$15))+MIN(MAX(L249,0),'Tax Assumptions'!$B$11)*'Tax Assumptions'!$B$10+MAX(L249,0)*'Tax Assumptions'!$B$12+MAX(MAX(L249,0)-'Tax Assumptions'!$B$14,0)*'Tax Assumptions'!$B$13+MIN(L249*'Tax Assumptions'!$B$15,'Tax Assumptions'!$B$16)+MIN(L249*'Tax Assumptions'!$B$17,'Tax Assumptions'!$B$18)+IF(O249=0,0,LOOKUP(O249,'Tax Assumptions'!$K$9:$K$17,'Tax Assumptions'!$N$9:$N$17)+(O249-LOOKUP(O249,'Tax Assumptions'!$K$9:$K$17,'Tax Assumptions'!$K$9:$K$17))*LOOKUP(O249,'Tax Assumptions'!$K$9:$K$17,'Tax Assumptions'!$M$9:$M$17))+IF(O249=0,0,LOOKUP(O249,'Tax Assumptions'!$P$9:$P$12,'Tax Assumptions'!$S$9:$S$12)+(O249-LOOKUP(O249,'Tax Assumptions'!$P$9:$P$12,'Tax Assumptions'!$P$9:$P$12))*LOOKUP(O249,'Tax Assumptions'!$P$9:$P$12,'Tax Assumptions'!$R$9:$R$12))</f>
        <v>320362.53000000003</v>
      </c>
      <c r="Q249" s="218">
        <f t="shared" si="75"/>
        <v>405137.47</v>
      </c>
      <c r="R249" s="218">
        <f>IF(D249&lt;=10,INDEX('Savings Projection'!$BL$19:$BL$28,D249),LOOKUP(2,1/('Savings Projection'!$BL$19:$BL$28&lt;&gt;""),'Savings Projection'!$BL$19:$BL$28))*(1+'Model Inputs'!$B$35)^(D249-1)+IF(D249&lt;=10,INDEX('Savings Projection'!$BM$19:$BM$28,D249),LOOKUP(2,1/('Savings Projection'!$BM$19:$BM$28&lt;&gt;""),'Savings Projection'!$BM$19:$BM$28))*(1+'Model Inputs'!$B$36)^(D249-1)</f>
        <v>139869.05600000001</v>
      </c>
      <c r="S249" s="218">
        <f t="shared" si="76"/>
        <v>265268.41399999999</v>
      </c>
      <c r="T249" s="218">
        <f>MIN(MAX(S249,0),'Tax Assumptions'!$B$20)</f>
        <v>7500</v>
      </c>
      <c r="U249" s="218">
        <f t="shared" si="77"/>
        <v>257768.41399999999</v>
      </c>
      <c r="V249" s="218">
        <f>MAX(V248*(1+'Model Inputs'!$B$13)+U249,0)</f>
        <v>1010744.2479095199</v>
      </c>
      <c r="W249" s="218">
        <f>MAX(W248*(1+'Model Inputs'!$B$13)+M249+T249,0)</f>
        <v>139987.712</v>
      </c>
      <c r="X249" s="218">
        <f t="shared" si="78"/>
        <v>1150731.9599095199</v>
      </c>
      <c r="Y249" s="226" t="str">
        <f t="shared" si="79"/>
        <v/>
      </c>
      <c r="Z249" s="226" t="str">
        <f t="shared" si="80"/>
        <v/>
      </c>
      <c r="AA249" s="226" t="str">
        <f t="shared" si="81"/>
        <v/>
      </c>
      <c r="AB249" s="226" t="str">
        <f t="shared" si="82"/>
        <v/>
      </c>
    </row>
    <row r="250" spans="1:28" x14ac:dyDescent="0.2">
      <c r="A250" s="214" t="str">
        <f t="shared" si="83"/>
        <v>5Y 3x</v>
      </c>
      <c r="B250" s="214">
        <f t="shared" si="84"/>
        <v>5</v>
      </c>
      <c r="C250" s="223">
        <f t="shared" si="85"/>
        <v>3</v>
      </c>
      <c r="D250" s="214">
        <v>5</v>
      </c>
      <c r="E250" s="214">
        <f t="shared" si="72"/>
        <v>2030</v>
      </c>
      <c r="F250" s="218">
        <f>IF(D250=1,'Model Inputs'!$B$25*(13-'Model Inputs'!$B$23)/12,'Model Inputs'!$B$25)</f>
        <v>300000</v>
      </c>
      <c r="G250" s="218">
        <f>IF(D250=1,'Model Inputs'!$B$27*(13-'Model Inputs'!$B$23)/12,IF(D250=2,'Model Inputs'!$B$27,IF(D250&lt;=MAX(3,'Model Inputs'!$B$30+1),'Model Inputs'!$B$27*(1+'Model Inputs'!$B$28)^(D250-3),'Model Inputs'!$B$27*(1+'Model Inputs'!$B$28)^(MAX(3,'Model Inputs'!$B$30+1)-3)*(1+'Model Inputs'!$B$29)^(D250-MAX(3,'Model Inputs'!$B$30+1)))))</f>
        <v>950000</v>
      </c>
      <c r="H250" s="224">
        <f>IF(D250&lt;=2,0,'Model Inputs'!$B$32*SIN(2*PI()*(D250-3+'Model Inputs'!$B$34)/MAX(1,'Model Inputs'!$B$33)))</f>
        <v>-0.1039230484541326</v>
      </c>
      <c r="I250" s="218">
        <f t="shared" si="73"/>
        <v>851273.10396857408</v>
      </c>
      <c r="J250" s="218">
        <f t="shared" si="86"/>
        <v>653837.51358640334</v>
      </c>
      <c r="K250" s="218">
        <f>F250+J250+IF(D250=1,'Model Inputs'!$B$26,0)</f>
        <v>953837.51358640334</v>
      </c>
      <c r="L250" s="218">
        <f t="shared" si="74"/>
        <v>953837.51358640334</v>
      </c>
      <c r="M250" s="218">
        <f>MIN(L250,'Tax Assumptions'!$B$19)</f>
        <v>24500</v>
      </c>
      <c r="N250" s="218">
        <f>MAX(L250-M250-'Tax Assumptions'!$B$8,0)</f>
        <v>913237.51358640334</v>
      </c>
      <c r="O250" s="218">
        <f>MAX(L250-M250-'Tax Assumptions'!$B$9,0)</f>
        <v>921337.51358640334</v>
      </c>
      <c r="P250" s="218">
        <f>IF(N250=0,0,LOOKUP(N250,'Tax Assumptions'!$F$9:$F$15,'Tax Assumptions'!$I$9:$I$15)+(N250-LOOKUP(N250,'Tax Assumptions'!$F$9:$F$15,'Tax Assumptions'!$F$9:$F$15))*LOOKUP(N250,'Tax Assumptions'!$F$9:$F$15,'Tax Assumptions'!$H$9:$H$15))+MIN(MAX(L250,0),'Tax Assumptions'!$B$11)*'Tax Assumptions'!$B$10+MAX(L250,0)*'Tax Assumptions'!$B$12+MAX(MAX(L250,0)-'Tax Assumptions'!$B$14,0)*'Tax Assumptions'!$B$13+MIN(L250*'Tax Assumptions'!$B$15,'Tax Assumptions'!$B$16)+MIN(L250*'Tax Assumptions'!$B$17,'Tax Assumptions'!$B$18)+IF(O250=0,0,LOOKUP(O250,'Tax Assumptions'!$K$9:$K$17,'Tax Assumptions'!$N$9:$N$17)+(O250-LOOKUP(O250,'Tax Assumptions'!$K$9:$K$17,'Tax Assumptions'!$K$9:$K$17))*LOOKUP(O250,'Tax Assumptions'!$K$9:$K$17,'Tax Assumptions'!$M$9:$M$17))+IF(O250=0,0,LOOKUP(O250,'Tax Assumptions'!$P$9:$P$12,'Tax Assumptions'!$S$9:$S$12)+(O250-LOOKUP(O250,'Tax Assumptions'!$P$9:$P$12,'Tax Assumptions'!$P$9:$P$12))*LOOKUP(O250,'Tax Assumptions'!$P$9:$P$12,'Tax Assumptions'!$R$9:$R$12))</f>
        <v>422436.20330352732</v>
      </c>
      <c r="Q250" s="218">
        <f t="shared" si="75"/>
        <v>506901.31028287602</v>
      </c>
      <c r="R250" s="218">
        <f>IF(D250&lt;=10,INDEX('Savings Projection'!$BL$19:$BL$28,D250),LOOKUP(2,1/('Savings Projection'!$BL$19:$BL$28&lt;&gt;""),'Savings Projection'!$BL$19:$BL$28))*(1+'Model Inputs'!$B$35)^(D250-1)+IF(D250&lt;=10,INDEX('Savings Projection'!$BM$19:$BM$28,D250),LOOKUP(2,1/('Savings Projection'!$BM$19:$BM$28&lt;&gt;""),'Savings Projection'!$BM$19:$BM$28))*(1+'Model Inputs'!$B$36)^(D250-1)</f>
        <v>144065.12767999998</v>
      </c>
      <c r="S250" s="218">
        <f t="shared" si="76"/>
        <v>362836.18260287604</v>
      </c>
      <c r="T250" s="218">
        <f>MIN(MAX(S250,0),'Tax Assumptions'!$B$20)</f>
        <v>7500</v>
      </c>
      <c r="U250" s="218">
        <f t="shared" si="77"/>
        <v>355336.18260287604</v>
      </c>
      <c r="V250" s="218">
        <f>MAX(V249*(1+'Model Inputs'!$B$13)+U250,0)</f>
        <v>1426725.0853869673</v>
      </c>
      <c r="W250" s="218">
        <f>MAX(W249*(1+'Model Inputs'!$B$13)+M250+T250,0)</f>
        <v>180386.97472</v>
      </c>
      <c r="X250" s="218">
        <f t="shared" si="78"/>
        <v>1607112.0601069673</v>
      </c>
      <c r="Y250" s="226" t="str">
        <f t="shared" si="79"/>
        <v/>
      </c>
      <c r="Z250" s="226" t="str">
        <f t="shared" si="80"/>
        <v/>
      </c>
      <c r="AA250" s="226" t="str">
        <f t="shared" si="81"/>
        <v/>
      </c>
      <c r="AB250" s="226" t="str">
        <f t="shared" si="82"/>
        <v/>
      </c>
    </row>
    <row r="251" spans="1:28" x14ac:dyDescent="0.2">
      <c r="A251" s="214" t="str">
        <f t="shared" si="83"/>
        <v>5Y 3x</v>
      </c>
      <c r="B251" s="214">
        <f t="shared" si="84"/>
        <v>5</v>
      </c>
      <c r="C251" s="223">
        <f t="shared" si="85"/>
        <v>3</v>
      </c>
      <c r="D251" s="214">
        <v>6</v>
      </c>
      <c r="E251" s="214">
        <f t="shared" si="72"/>
        <v>2031</v>
      </c>
      <c r="F251" s="218">
        <f>IF(D251=1,'Model Inputs'!$B$25*(13-'Model Inputs'!$B$23)/12,'Model Inputs'!$B$25)</f>
        <v>300000</v>
      </c>
      <c r="G251" s="218">
        <f>IF(D251=1,'Model Inputs'!$B$27*(13-'Model Inputs'!$B$23)/12,IF(D251=2,'Model Inputs'!$B$27,IF(D251&lt;=MAX(3,'Model Inputs'!$B$30+1),'Model Inputs'!$B$27*(1+'Model Inputs'!$B$28)^(D251-3),'Model Inputs'!$B$27*(1+'Model Inputs'!$B$28)^(MAX(3,'Model Inputs'!$B$30+1)-3)*(1+'Model Inputs'!$B$29)^(D251-MAX(3,'Model Inputs'!$B$30+1)))))</f>
        <v>1207333.5632986501</v>
      </c>
      <c r="H251" s="224">
        <f>IF(D251&lt;=2,0,'Model Inputs'!$B$32*SIN(2*PI()*(D251-3+'Model Inputs'!$B$34)/MAX(1,'Model Inputs'!$B$33)))</f>
        <v>-2.9391523179536474E-17</v>
      </c>
      <c r="I251" s="218">
        <f t="shared" si="73"/>
        <v>1207333.5632986501</v>
      </c>
      <c r="J251" s="218">
        <f t="shared" si="86"/>
        <v>818900.66583856498</v>
      </c>
      <c r="K251" s="218">
        <f>F251+J251+IF(D251=1,'Model Inputs'!$B$26,0)</f>
        <v>1118900.665838565</v>
      </c>
      <c r="L251" s="218">
        <f t="shared" si="74"/>
        <v>3356701.9975156952</v>
      </c>
      <c r="M251" s="218">
        <f>MIN(L251,'Tax Assumptions'!$B$19)</f>
        <v>24500</v>
      </c>
      <c r="N251" s="218">
        <f>MAX(L251-M251-'Tax Assumptions'!$B$8,0)</f>
        <v>3316101.9975156952</v>
      </c>
      <c r="O251" s="218">
        <f>MAX(L251-M251-'Tax Assumptions'!$B$9,0)</f>
        <v>3324201.9975156952</v>
      </c>
      <c r="P251" s="218">
        <f>IF(N251=0,0,LOOKUP(N251,'Tax Assumptions'!$F$9:$F$15,'Tax Assumptions'!$I$9:$I$15)+(N251-LOOKUP(N251,'Tax Assumptions'!$F$9:$F$15,'Tax Assumptions'!$F$9:$F$15))*LOOKUP(N251,'Tax Assumptions'!$F$9:$F$15,'Tax Assumptions'!$H$9:$H$15))+MIN(MAX(L251,0),'Tax Assumptions'!$B$11)*'Tax Assumptions'!$B$10+MAX(L251,0)*'Tax Assumptions'!$B$12+MAX(MAX(L251,0)-'Tax Assumptions'!$B$14,0)*'Tax Assumptions'!$B$13+MIN(L251*'Tax Assumptions'!$B$15,'Tax Assumptions'!$B$16)+MIN(L251*'Tax Assumptions'!$B$17,'Tax Assumptions'!$B$18)+IF(O251=0,0,LOOKUP(O251,'Tax Assumptions'!$K$9:$K$17,'Tax Assumptions'!$N$9:$N$17)+(O251-LOOKUP(O251,'Tax Assumptions'!$K$9:$K$17,'Tax Assumptions'!$K$9:$K$17))*LOOKUP(O251,'Tax Assumptions'!$K$9:$K$17,'Tax Assumptions'!$M$9:$M$17))+IF(O251=0,0,LOOKUP(O251,'Tax Assumptions'!$P$9:$P$12,'Tax Assumptions'!$S$9:$S$12)+(O251-LOOKUP(O251,'Tax Assumptions'!$P$9:$P$12,'Tax Assumptions'!$P$9:$P$12))*LOOKUP(O251,'Tax Assumptions'!$P$9:$P$12,'Tax Assumptions'!$R$9:$R$12))</f>
        <v>1688600.3832063989</v>
      </c>
      <c r="Q251" s="218">
        <f t="shared" si="75"/>
        <v>1643601.6143092962</v>
      </c>
      <c r="R251" s="218">
        <f>IF(D251&lt;=10,INDEX('Savings Projection'!$BL$19:$BL$28,D251),LOOKUP(2,1/('Savings Projection'!$BL$19:$BL$28&lt;&gt;""),'Savings Projection'!$BL$19:$BL$28))*(1+'Model Inputs'!$B$35)^(D251-1)+IF(D251&lt;=10,INDEX('Savings Projection'!$BM$19:$BM$28,D251),LOOKUP(2,1/('Savings Projection'!$BM$19:$BM$28&lt;&gt;""),'Savings Projection'!$BM$19:$BM$28))*(1+'Model Inputs'!$B$36)^(D251-1)</f>
        <v>150705.62965899997</v>
      </c>
      <c r="S251" s="218">
        <f t="shared" si="76"/>
        <v>1492895.9846502962</v>
      </c>
      <c r="T251" s="218">
        <f>MIN(MAX(S251,0),'Tax Assumptions'!$B$20)</f>
        <v>7500</v>
      </c>
      <c r="U251" s="218">
        <f t="shared" si="77"/>
        <v>1485395.9846502962</v>
      </c>
      <c r="V251" s="218">
        <f>MAX(V250*(1+'Model Inputs'!$B$13)+U251,0)</f>
        <v>2997724.5751604815</v>
      </c>
      <c r="W251" s="218">
        <f>MAX(W250*(1+'Model Inputs'!$B$13)+M251+T251,0)</f>
        <v>223210.1932032</v>
      </c>
      <c r="X251" s="218">
        <f t="shared" si="78"/>
        <v>3220934.7683636816</v>
      </c>
      <c r="Y251" s="226" t="str">
        <f t="shared" si="79"/>
        <v/>
      </c>
      <c r="Z251" s="226" t="str">
        <f t="shared" si="80"/>
        <v/>
      </c>
      <c r="AA251" s="226" t="str">
        <f t="shared" si="81"/>
        <v/>
      </c>
      <c r="AB251" s="226" t="str">
        <f t="shared" si="82"/>
        <v/>
      </c>
    </row>
    <row r="252" spans="1:28" x14ac:dyDescent="0.2">
      <c r="A252" s="214" t="str">
        <f t="shared" si="83"/>
        <v>5Y 3x</v>
      </c>
      <c r="B252" s="214">
        <f t="shared" si="84"/>
        <v>5</v>
      </c>
      <c r="C252" s="223">
        <f t="shared" si="85"/>
        <v>3</v>
      </c>
      <c r="D252" s="214">
        <v>7</v>
      </c>
      <c r="E252" s="214">
        <f t="shared" si="72"/>
        <v>2032</v>
      </c>
      <c r="F252" s="218">
        <f>IF(D252=1,'Model Inputs'!$B$25*(13-'Model Inputs'!$B$23)/12,'Model Inputs'!$B$25)</f>
        <v>300000</v>
      </c>
      <c r="G252" s="218">
        <f>IF(D252=1,'Model Inputs'!$B$27*(13-'Model Inputs'!$B$23)/12,IF(D252=2,'Model Inputs'!$B$27,IF(D252&lt;=MAX(3,'Model Inputs'!$B$30+1),'Model Inputs'!$B$27*(1+'Model Inputs'!$B$28)^(D252-3),'Model Inputs'!$B$27*(1+'Model Inputs'!$B$28)^(MAX(3,'Model Inputs'!$B$30+1)-3)*(1+'Model Inputs'!$B$29)^(D252-MAX(3,'Model Inputs'!$B$30+1)))))</f>
        <v>1534372.9821762268</v>
      </c>
      <c r="H252" s="224">
        <f>IF(D252&lt;=2,0,'Model Inputs'!$B$32*SIN(2*PI()*(D252-3+'Model Inputs'!$B$34)/MAX(1,'Model Inputs'!$B$33)))</f>
        <v>0.10392304845413269</v>
      </c>
      <c r="I252" s="218">
        <f t="shared" si="73"/>
        <v>1693829.6999496389</v>
      </c>
      <c r="J252" s="218">
        <f t="shared" si="86"/>
        <v>1118318.448466131</v>
      </c>
      <c r="K252" s="218">
        <f>F252+J252+IF(D252=1,'Model Inputs'!$B$26,0)</f>
        <v>1418318.448466131</v>
      </c>
      <c r="L252" s="218">
        <f t="shared" si="74"/>
        <v>4254955.3453983925</v>
      </c>
      <c r="M252" s="218">
        <f>MIN(L252,'Tax Assumptions'!$B$19)</f>
        <v>24500</v>
      </c>
      <c r="N252" s="218">
        <f>MAX(L252-M252-'Tax Assumptions'!$B$8,0)</f>
        <v>4214355.3453983925</v>
      </c>
      <c r="O252" s="218">
        <f>MAX(L252-M252-'Tax Assumptions'!$B$9,0)</f>
        <v>4222455.3453983925</v>
      </c>
      <c r="P252" s="218">
        <f>IF(N252=0,0,LOOKUP(N252,'Tax Assumptions'!$F$9:$F$15,'Tax Assumptions'!$I$9:$I$15)+(N252-LOOKUP(N252,'Tax Assumptions'!$F$9:$F$15,'Tax Assumptions'!$F$9:$F$15))*LOOKUP(N252,'Tax Assumptions'!$F$9:$F$15,'Tax Assumptions'!$H$9:$H$15))+MIN(MAX(L252,0),'Tax Assumptions'!$B$11)*'Tax Assumptions'!$B$10+MAX(L252,0)*'Tax Assumptions'!$B$12+MAX(MAX(L252,0)-'Tax Assumptions'!$B$14,0)*'Tax Assumptions'!$B$13+MIN(L252*'Tax Assumptions'!$B$15,'Tax Assumptions'!$B$16)+MIN(L252*'Tax Assumptions'!$B$17,'Tax Assumptions'!$B$18)+IF(O252=0,0,LOOKUP(O252,'Tax Assumptions'!$K$9:$K$17,'Tax Assumptions'!$N$9:$N$17)+(O252-LOOKUP(O252,'Tax Assumptions'!$K$9:$K$17,'Tax Assumptions'!$K$9:$K$17))*LOOKUP(O252,'Tax Assumptions'!$K$9:$K$17,'Tax Assumptions'!$M$9:$M$17))+IF(O252=0,0,LOOKUP(O252,'Tax Assumptions'!$P$9:$P$12,'Tax Assumptions'!$S$9:$S$12)+(O252-LOOKUP(O252,'Tax Assumptions'!$P$9:$P$12,'Tax Assumptions'!$P$9:$P$12))*LOOKUP(O252,'Tax Assumptions'!$P$9:$P$12,'Tax Assumptions'!$R$9:$R$12))</f>
        <v>2163560.8234328539</v>
      </c>
      <c r="Q252" s="218">
        <f t="shared" si="75"/>
        <v>2066894.5219655386</v>
      </c>
      <c r="R252" s="218">
        <f>IF(D252&lt;=10,INDEX('Savings Projection'!$BL$19:$BL$28,D252),LOOKUP(2,1/('Savings Projection'!$BL$19:$BL$28&lt;&gt;""),'Savings Projection'!$BL$19:$BL$28))*(1+'Model Inputs'!$B$35)^(D252-1)+IF(D252&lt;=10,INDEX('Savings Projection'!$BM$19:$BM$28,D252),LOOKUP(2,1/('Savings Projection'!$BM$19:$BM$28&lt;&gt;""),'Savings Projection'!$BM$19:$BM$28))*(1+'Model Inputs'!$B$36)^(D252-1)</f>
        <v>155226.79854876999</v>
      </c>
      <c r="S252" s="218">
        <f t="shared" si="76"/>
        <v>1911667.7234167687</v>
      </c>
      <c r="T252" s="218">
        <f>MIN(MAX(S252,0),'Tax Assumptions'!$B$20)</f>
        <v>7500</v>
      </c>
      <c r="U252" s="218">
        <f t="shared" si="77"/>
        <v>1904167.7234167687</v>
      </c>
      <c r="V252" s="218">
        <f>MAX(V251*(1+'Model Inputs'!$B$13)+U252,0)</f>
        <v>5081755.7730868794</v>
      </c>
      <c r="W252" s="218">
        <f>MAX(W251*(1+'Model Inputs'!$B$13)+M252+T252,0)</f>
        <v>268602.80479539197</v>
      </c>
      <c r="X252" s="218">
        <f t="shared" si="78"/>
        <v>5350358.5778822713</v>
      </c>
      <c r="Y252" s="226" t="str">
        <f t="shared" si="79"/>
        <v/>
      </c>
      <c r="Z252" s="226" t="str">
        <f t="shared" si="80"/>
        <v/>
      </c>
      <c r="AA252" s="226" t="str">
        <f t="shared" si="81"/>
        <v/>
      </c>
      <c r="AB252" s="226" t="str">
        <f t="shared" si="82"/>
        <v/>
      </c>
    </row>
    <row r="253" spans="1:28" x14ac:dyDescent="0.2">
      <c r="A253" s="214" t="str">
        <f t="shared" si="83"/>
        <v>5Y 3x</v>
      </c>
      <c r="B253" s="214">
        <f t="shared" si="84"/>
        <v>5</v>
      </c>
      <c r="C253" s="223">
        <f t="shared" si="85"/>
        <v>3</v>
      </c>
      <c r="D253" s="214">
        <v>8</v>
      </c>
      <c r="E253" s="214">
        <f t="shared" si="72"/>
        <v>2033</v>
      </c>
      <c r="F253" s="218">
        <f>IF(D253=1,'Model Inputs'!$B$25*(13-'Model Inputs'!$B$23)/12,'Model Inputs'!$B$25)</f>
        <v>300000</v>
      </c>
      <c r="G253" s="218">
        <f>IF(D253=1,'Model Inputs'!$B$27*(13-'Model Inputs'!$B$23)/12,IF(D253=2,'Model Inputs'!$B$27,IF(D253&lt;=MAX(3,'Model Inputs'!$B$30+1),'Model Inputs'!$B$27*(1+'Model Inputs'!$B$28)^(D253-3),'Model Inputs'!$B$27*(1+'Model Inputs'!$B$28)^(MAX(3,'Model Inputs'!$B$30+1)-3)*(1+'Model Inputs'!$B$29)^(D253-MAX(3,'Model Inputs'!$B$30+1)))))</f>
        <v>1950000.0000000002</v>
      </c>
      <c r="H253" s="224">
        <f>IF(D253&lt;=2,0,'Model Inputs'!$B$32*SIN(2*PI()*(D253-3+'Model Inputs'!$B$34)/MAX(1,'Model Inputs'!$B$33)))</f>
        <v>-0.10392304845413264</v>
      </c>
      <c r="I253" s="218">
        <f t="shared" si="73"/>
        <v>1747350.0555144416</v>
      </c>
      <c r="J253" s="218">
        <f t="shared" si="86"/>
        <v>1572205.6657868917</v>
      </c>
      <c r="K253" s="218">
        <f>F253+J253+IF(D253=1,'Model Inputs'!$B$26,0)</f>
        <v>1872205.6657868917</v>
      </c>
      <c r="L253" s="218">
        <f t="shared" si="74"/>
        <v>5616616.9973606747</v>
      </c>
      <c r="M253" s="218">
        <f>MIN(L253,'Tax Assumptions'!$B$19)</f>
        <v>24500</v>
      </c>
      <c r="N253" s="218">
        <f>MAX(L253-M253-'Tax Assumptions'!$B$8,0)</f>
        <v>5576016.9973606747</v>
      </c>
      <c r="O253" s="218">
        <f>MAX(L253-M253-'Tax Assumptions'!$B$9,0)</f>
        <v>5584116.9973606747</v>
      </c>
      <c r="P253" s="218">
        <f>IF(N253=0,0,LOOKUP(N253,'Tax Assumptions'!$F$9:$F$15,'Tax Assumptions'!$I$9:$I$15)+(N253-LOOKUP(N253,'Tax Assumptions'!$F$9:$F$15,'Tax Assumptions'!$F$9:$F$15))*LOOKUP(N253,'Tax Assumptions'!$F$9:$F$15,'Tax Assumptions'!$H$9:$H$15))+MIN(MAX(L253,0),'Tax Assumptions'!$B$11)*'Tax Assumptions'!$B$10+MAX(L253,0)*'Tax Assumptions'!$B$12+MAX(MAX(L253,0)-'Tax Assumptions'!$B$14,0)*'Tax Assumptions'!$B$13+MIN(L253*'Tax Assumptions'!$B$15,'Tax Assumptions'!$B$16)+MIN(L253*'Tax Assumptions'!$B$17,'Tax Assumptions'!$B$18)+IF(O253=0,0,LOOKUP(O253,'Tax Assumptions'!$K$9:$K$17,'Tax Assumptions'!$N$9:$N$17)+(O253-LOOKUP(O253,'Tax Assumptions'!$K$9:$K$17,'Tax Assumptions'!$K$9:$K$17))*LOOKUP(O253,'Tax Assumptions'!$K$9:$K$17,'Tax Assumptions'!$M$9:$M$17))+IF(O253=0,0,LOOKUP(O253,'Tax Assumptions'!$P$9:$P$12,'Tax Assumptions'!$S$9:$S$12)+(O253-LOOKUP(O253,'Tax Assumptions'!$P$9:$P$12,'Tax Assumptions'!$P$9:$P$12))*LOOKUP(O253,'Tax Assumptions'!$P$9:$P$12,'Tax Assumptions'!$R$9:$R$12))</f>
        <v>2887352.9540072749</v>
      </c>
      <c r="Q253" s="218">
        <f t="shared" si="75"/>
        <v>2704764.0433533997</v>
      </c>
      <c r="R253" s="218">
        <f>IF(D253&lt;=10,INDEX('Savings Projection'!$BL$19:$BL$28,D253),LOOKUP(2,1/('Savings Projection'!$BL$19:$BL$28&lt;&gt;""),'Savings Projection'!$BL$19:$BL$28))*(1+'Model Inputs'!$B$35)^(D253-1)+IF(D253&lt;=10,INDEX('Savings Projection'!$BM$19:$BM$28,D253),LOOKUP(2,1/('Savings Projection'!$BM$19:$BM$28&lt;&gt;""),'Savings Projection'!$BM$19:$BM$28))*(1+'Model Inputs'!$B$36)^(D253-1)</f>
        <v>159883.60250523311</v>
      </c>
      <c r="S253" s="218">
        <f t="shared" si="76"/>
        <v>2544880.4408481666</v>
      </c>
      <c r="T253" s="218">
        <f>MIN(MAX(S253,0),'Tax Assumptions'!$B$20)</f>
        <v>7500</v>
      </c>
      <c r="U253" s="218">
        <f t="shared" si="77"/>
        <v>2537380.4408481666</v>
      </c>
      <c r="V253" s="218">
        <f>MAX(V252*(1+'Model Inputs'!$B$13)+U253,0)</f>
        <v>7924041.5603202581</v>
      </c>
      <c r="W253" s="218">
        <f>MAX(W252*(1+'Model Inputs'!$B$13)+M253+T253,0)</f>
        <v>316718.97308311553</v>
      </c>
      <c r="X253" s="218">
        <f t="shared" si="78"/>
        <v>8240760.5334033733</v>
      </c>
      <c r="Y253" s="226" t="str">
        <f t="shared" si="79"/>
        <v/>
      </c>
      <c r="Z253" s="226" t="str">
        <f t="shared" si="80"/>
        <v/>
      </c>
      <c r="AA253" s="226" t="str">
        <f t="shared" si="81"/>
        <v/>
      </c>
      <c r="AB253" s="226" t="str">
        <f t="shared" si="82"/>
        <v/>
      </c>
    </row>
    <row r="254" spans="1:28" x14ac:dyDescent="0.2">
      <c r="A254" s="214" t="str">
        <f t="shared" si="83"/>
        <v>5Y 3x</v>
      </c>
      <c r="B254" s="214">
        <f t="shared" si="84"/>
        <v>5</v>
      </c>
      <c r="C254" s="223">
        <f t="shared" si="85"/>
        <v>3</v>
      </c>
      <c r="D254" s="214">
        <v>9</v>
      </c>
      <c r="E254" s="214">
        <f t="shared" si="72"/>
        <v>2034</v>
      </c>
      <c r="F254" s="218">
        <f>IF(D254=1,'Model Inputs'!$B$25*(13-'Model Inputs'!$B$23)/12,'Model Inputs'!$B$25)</f>
        <v>300000</v>
      </c>
      <c r="G254" s="218">
        <f>IF(D254=1,'Model Inputs'!$B$27*(13-'Model Inputs'!$B$23)/12,IF(D254=2,'Model Inputs'!$B$27,IF(D254&lt;=MAX(3,'Model Inputs'!$B$30+1),'Model Inputs'!$B$27*(1+'Model Inputs'!$B$28)^(D254-3),'Model Inputs'!$B$27*(1+'Model Inputs'!$B$28)^(MAX(3,'Model Inputs'!$B$30+1)-3)*(1+'Model Inputs'!$B$29)^(D254-MAX(3,'Model Inputs'!$B$30+1)))))</f>
        <v>2478210.9983498608</v>
      </c>
      <c r="H254" s="224">
        <f>IF(D254&lt;=2,0,'Model Inputs'!$B$32*SIN(2*PI()*(D254-3+'Model Inputs'!$B$34)/MAX(1,'Model Inputs'!$B$33)))</f>
        <v>-5.8783046359072947E-17</v>
      </c>
      <c r="I254" s="218">
        <f t="shared" si="73"/>
        <v>2478210.9983498603</v>
      </c>
      <c r="J254" s="218">
        <f t="shared" si="86"/>
        <v>1733969.9666232408</v>
      </c>
      <c r="K254" s="218">
        <f>F254+J254+IF(D254=1,'Model Inputs'!$B$26,0)</f>
        <v>2033969.9666232408</v>
      </c>
      <c r="L254" s="218">
        <f t="shared" si="74"/>
        <v>6101909.8998697223</v>
      </c>
      <c r="M254" s="218">
        <f>MIN(L254,'Tax Assumptions'!$B$19)</f>
        <v>24500</v>
      </c>
      <c r="N254" s="218">
        <f>MAX(L254-M254-'Tax Assumptions'!$B$8,0)</f>
        <v>6061309.8998697223</v>
      </c>
      <c r="O254" s="218">
        <f>MAX(L254-M254-'Tax Assumptions'!$B$9,0)</f>
        <v>6069409.8998697223</v>
      </c>
      <c r="P254" s="218">
        <f>IF(N254=0,0,LOOKUP(N254,'Tax Assumptions'!$F$9:$F$15,'Tax Assumptions'!$I$9:$I$15)+(N254-LOOKUP(N254,'Tax Assumptions'!$F$9:$F$15,'Tax Assumptions'!$F$9:$F$15))*LOOKUP(N254,'Tax Assumptions'!$F$9:$F$15,'Tax Assumptions'!$H$9:$H$15))+MIN(MAX(L254,0),'Tax Assumptions'!$B$11)*'Tax Assumptions'!$B$10+MAX(L254,0)*'Tax Assumptions'!$B$12+MAX(MAX(L254,0)-'Tax Assumptions'!$B$14,0)*'Tax Assumptions'!$B$13+MIN(L254*'Tax Assumptions'!$B$15,'Tax Assumptions'!$B$16)+MIN(L254*'Tax Assumptions'!$B$17,'Tax Assumptions'!$B$18)+IF(O254=0,0,LOOKUP(O254,'Tax Assumptions'!$K$9:$K$17,'Tax Assumptions'!$N$9:$N$17)+(O254-LOOKUP(O254,'Tax Assumptions'!$K$9:$K$17,'Tax Assumptions'!$K$9:$K$17))*LOOKUP(O254,'Tax Assumptions'!$K$9:$K$17,'Tax Assumptions'!$M$9:$M$17))+IF(O254=0,0,LOOKUP(O254,'Tax Assumptions'!$P$9:$P$12,'Tax Assumptions'!$S$9:$S$12)+(O254-LOOKUP(O254,'Tax Assumptions'!$P$9:$P$12,'Tax Assumptions'!$P$9:$P$12))*LOOKUP(O254,'Tax Assumptions'!$P$9:$P$12,'Tax Assumptions'!$R$9:$R$12))</f>
        <v>3147110.8330042674</v>
      </c>
      <c r="Q254" s="218">
        <f t="shared" si="75"/>
        <v>2930299.0668654549</v>
      </c>
      <c r="R254" s="218">
        <f>IF(D254&lt;=10,INDEX('Savings Projection'!$BL$19:$BL$28,D254),LOOKUP(2,1/('Savings Projection'!$BL$19:$BL$28&lt;&gt;""),'Savings Projection'!$BL$19:$BL$28))*(1+'Model Inputs'!$B$35)^(D254-1)+IF(D254&lt;=10,INDEX('Savings Projection'!$BM$19:$BM$28,D254),LOOKUP(2,1/('Savings Projection'!$BM$19:$BM$28&lt;&gt;""),'Savings Projection'!$BM$19:$BM$28))*(1+'Model Inputs'!$B$36)^(D254-1)</f>
        <v>164680.11058039009</v>
      </c>
      <c r="S254" s="218">
        <f t="shared" si="76"/>
        <v>2765618.956285065</v>
      </c>
      <c r="T254" s="218">
        <f>MIN(MAX(S254,0),'Tax Assumptions'!$B$20)</f>
        <v>7500</v>
      </c>
      <c r="U254" s="218">
        <f t="shared" si="77"/>
        <v>2758118.956285065</v>
      </c>
      <c r="V254" s="218">
        <f>MAX(V253*(1+'Model Inputs'!$B$13)+U254,0)</f>
        <v>11157603.01022454</v>
      </c>
      <c r="W254" s="218">
        <f>MAX(W253*(1+'Model Inputs'!$B$13)+M254+T254,0)</f>
        <v>367722.11146810249</v>
      </c>
      <c r="X254" s="218">
        <f t="shared" si="78"/>
        <v>11525325.121692643</v>
      </c>
      <c r="Y254" s="226" t="str">
        <f t="shared" si="79"/>
        <v/>
      </c>
      <c r="Z254" s="226" t="str">
        <f t="shared" si="80"/>
        <v/>
      </c>
      <c r="AA254" s="226" t="str">
        <f t="shared" si="81"/>
        <v/>
      </c>
      <c r="AB254" s="226" t="str">
        <f t="shared" si="82"/>
        <v/>
      </c>
    </row>
    <row r="255" spans="1:28" x14ac:dyDescent="0.2">
      <c r="A255" s="214" t="str">
        <f t="shared" si="83"/>
        <v>5Y 3x</v>
      </c>
      <c r="B255" s="214">
        <f t="shared" si="84"/>
        <v>5</v>
      </c>
      <c r="C255" s="223">
        <f t="shared" si="85"/>
        <v>3</v>
      </c>
      <c r="D255" s="214">
        <v>10</v>
      </c>
      <c r="E255" s="214">
        <f t="shared" si="72"/>
        <v>2035</v>
      </c>
      <c r="F255" s="218">
        <f>IF(D255=1,'Model Inputs'!$B$25*(13-'Model Inputs'!$B$23)/12,'Model Inputs'!$B$25)</f>
        <v>300000</v>
      </c>
      <c r="G255" s="218">
        <f>IF(D255=1,'Model Inputs'!$B$27*(13-'Model Inputs'!$B$23)/12,IF(D255=2,'Model Inputs'!$B$27,IF(D255&lt;=MAX(3,'Model Inputs'!$B$30+1),'Model Inputs'!$B$27*(1+'Model Inputs'!$B$28)^(D255-3),'Model Inputs'!$B$27*(1+'Model Inputs'!$B$28)^(MAX(3,'Model Inputs'!$B$30+1)-3)*(1+'Model Inputs'!$B$29)^(D255-MAX(3,'Model Inputs'!$B$30+1)))))</f>
        <v>3149502.4370985711</v>
      </c>
      <c r="H255" s="224">
        <f>IF(D255&lt;=2,0,'Model Inputs'!$B$32*SIN(2*PI()*(D255-3+'Model Inputs'!$B$34)/MAX(1,'Model Inputs'!$B$33)))</f>
        <v>0.10392304845413271</v>
      </c>
      <c r="I255" s="218">
        <f t="shared" si="73"/>
        <v>3476808.331475575</v>
      </c>
      <c r="J255" s="218">
        <f t="shared" si="86"/>
        <v>2295495.7626410057</v>
      </c>
      <c r="K255" s="218">
        <f>F255+J255+IF(D255=1,'Model Inputs'!$B$26,0)</f>
        <v>2595495.7626410057</v>
      </c>
      <c r="L255" s="218">
        <f t="shared" si="74"/>
        <v>7786487.2879230175</v>
      </c>
      <c r="M255" s="218">
        <f>MIN(L255,'Tax Assumptions'!$B$19)</f>
        <v>24500</v>
      </c>
      <c r="N255" s="218">
        <f>MAX(L255-M255-'Tax Assumptions'!$B$8,0)</f>
        <v>7745887.2879230175</v>
      </c>
      <c r="O255" s="218">
        <f>MAX(L255-M255-'Tax Assumptions'!$B$9,0)</f>
        <v>7753987.2879230175</v>
      </c>
      <c r="P255" s="218">
        <f>IF(N255=0,0,LOOKUP(N255,'Tax Assumptions'!$F$9:$F$15,'Tax Assumptions'!$I$9:$I$15)+(N255-LOOKUP(N255,'Tax Assumptions'!$F$9:$F$15,'Tax Assumptions'!$F$9:$F$15))*LOOKUP(N255,'Tax Assumptions'!$F$9:$F$15,'Tax Assumptions'!$H$9:$H$15))+MIN(MAX(L255,0),'Tax Assumptions'!$B$11)*'Tax Assumptions'!$B$10+MAX(L255,0)*'Tax Assumptions'!$B$12+MAX(MAX(L255,0)-'Tax Assumptions'!$B$14,0)*'Tax Assumptions'!$B$13+MIN(L255*'Tax Assumptions'!$B$15,'Tax Assumptions'!$B$16)+MIN(L255*'Tax Assumptions'!$B$17,'Tax Assumptions'!$B$18)+IF(O255=0,0,LOOKUP(O255,'Tax Assumptions'!$K$9:$K$17,'Tax Assumptions'!$N$9:$N$17)+(O255-LOOKUP(O255,'Tax Assumptions'!$K$9:$K$17,'Tax Assumptions'!$K$9:$K$17))*LOOKUP(O255,'Tax Assumptions'!$K$9:$K$17,'Tax Assumptions'!$M$9:$M$17))+IF(O255=0,0,LOOKUP(O255,'Tax Assumptions'!$P$9:$P$12,'Tax Assumptions'!$S$9:$S$12)+(O255-LOOKUP(O255,'Tax Assumptions'!$P$9:$P$12,'Tax Assumptions'!$P$9:$P$12))*LOOKUP(O255,'Tax Assumptions'!$P$9:$P$12,'Tax Assumptions'!$R$9:$R$12))</f>
        <v>4048797.7257336751</v>
      </c>
      <c r="Q255" s="218">
        <f t="shared" si="75"/>
        <v>3713189.5621893425</v>
      </c>
      <c r="R255" s="218">
        <f>IF(D255&lt;=10,INDEX('Savings Projection'!$BL$19:$BL$28,D255),LOOKUP(2,1/('Savings Projection'!$BL$19:$BL$28&lt;&gt;""),'Savings Projection'!$BL$19:$BL$28))*(1+'Model Inputs'!$B$35)^(D255-1)+IF(D255&lt;=10,INDEX('Savings Projection'!$BM$19:$BM$28,D255),LOOKUP(2,1/('Savings Projection'!$BM$19:$BM$28&lt;&gt;""),'Savings Projection'!$BM$19:$BM$28))*(1+'Model Inputs'!$B$36)^(D255-1)</f>
        <v>169620.51389780178</v>
      </c>
      <c r="S255" s="218">
        <f t="shared" si="76"/>
        <v>3543569.0482915407</v>
      </c>
      <c r="T255" s="218">
        <f>MIN(MAX(S255,0),'Tax Assumptions'!$B$20)</f>
        <v>7500</v>
      </c>
      <c r="U255" s="218">
        <f t="shared" si="77"/>
        <v>3536069.0482915407</v>
      </c>
      <c r="V255" s="218">
        <f>MAX(V254*(1+'Model Inputs'!$B$13)+U255,0)</f>
        <v>15363128.239129554</v>
      </c>
      <c r="W255" s="218">
        <f>MAX(W254*(1+'Model Inputs'!$B$13)+M255+T255,0)</f>
        <v>421785.43815618864</v>
      </c>
      <c r="X255" s="218">
        <f t="shared" si="78"/>
        <v>15784913.677285744</v>
      </c>
      <c r="Y255" s="226">
        <f t="shared" si="79"/>
        <v>10</v>
      </c>
      <c r="Z255" s="226" t="str">
        <f t="shared" si="80"/>
        <v/>
      </c>
      <c r="AA255" s="226" t="str">
        <f t="shared" si="81"/>
        <v/>
      </c>
      <c r="AB255" s="226" t="str">
        <f t="shared" si="82"/>
        <v/>
      </c>
    </row>
    <row r="256" spans="1:28" x14ac:dyDescent="0.2">
      <c r="A256" s="214" t="str">
        <f t="shared" si="83"/>
        <v>5Y 3x</v>
      </c>
      <c r="B256" s="214">
        <f t="shared" si="84"/>
        <v>5</v>
      </c>
      <c r="C256" s="223">
        <f t="shared" si="85"/>
        <v>3</v>
      </c>
      <c r="D256" s="214">
        <v>11</v>
      </c>
      <c r="E256" s="214">
        <f t="shared" si="72"/>
        <v>2036</v>
      </c>
      <c r="F256" s="218">
        <f>IF(D256=1,'Model Inputs'!$B$25*(13-'Model Inputs'!$B$23)/12,'Model Inputs'!$B$25)</f>
        <v>300000</v>
      </c>
      <c r="G256" s="218">
        <f>IF(D256=1,'Model Inputs'!$B$27*(13-'Model Inputs'!$B$23)/12,IF(D256=2,'Model Inputs'!$B$27,IF(D256&lt;=MAX(3,'Model Inputs'!$B$30+1),'Model Inputs'!$B$27*(1+'Model Inputs'!$B$28)^(D256-3),'Model Inputs'!$B$27*(1+'Model Inputs'!$B$28)^(MAX(3,'Model Inputs'!$B$30+1)-3)*(1+'Model Inputs'!$B$29)^(D256-MAX(3,'Model Inputs'!$B$30+1)))))</f>
        <v>4002631.578947369</v>
      </c>
      <c r="H256" s="224">
        <f>IF(D256&lt;=2,0,'Model Inputs'!$B$32*SIN(2*PI()*(D256-3+'Model Inputs'!$B$34)/MAX(1,'Model Inputs'!$B$33)))</f>
        <v>-0.10392304845413253</v>
      </c>
      <c r="I256" s="218">
        <f t="shared" si="73"/>
        <v>3586665.9034243808</v>
      </c>
      <c r="J256" s="218">
        <f t="shared" si="86"/>
        <v>3227158.9981941464</v>
      </c>
      <c r="K256" s="218">
        <f>F256+J256+IF(D256=1,'Model Inputs'!$B$26,0)</f>
        <v>3527158.9981941464</v>
      </c>
      <c r="L256" s="218">
        <f t="shared" si="74"/>
        <v>10581476.994582439</v>
      </c>
      <c r="M256" s="218">
        <f>MIN(L256,'Tax Assumptions'!$B$19)</f>
        <v>24500</v>
      </c>
      <c r="N256" s="218">
        <f>MAX(L256-M256-'Tax Assumptions'!$B$8,0)</f>
        <v>10540876.994582439</v>
      </c>
      <c r="O256" s="218">
        <f>MAX(L256-M256-'Tax Assumptions'!$B$9,0)</f>
        <v>10548976.994582439</v>
      </c>
      <c r="P256" s="218">
        <f>IF(N256=0,0,LOOKUP(N256,'Tax Assumptions'!$F$9:$F$15,'Tax Assumptions'!$I$9:$I$15)+(N256-LOOKUP(N256,'Tax Assumptions'!$F$9:$F$15,'Tax Assumptions'!$F$9:$F$15))*LOOKUP(N256,'Tax Assumptions'!$F$9:$F$15,'Tax Assumptions'!$H$9:$H$15))+MIN(MAX(L256,0),'Tax Assumptions'!$B$11)*'Tax Assumptions'!$B$10+MAX(L256,0)*'Tax Assumptions'!$B$12+MAX(MAX(L256,0)-'Tax Assumptions'!$B$14,0)*'Tax Assumptions'!$B$13+MIN(L256*'Tax Assumptions'!$B$15,'Tax Assumptions'!$B$16)+MIN(L256*'Tax Assumptions'!$B$17,'Tax Assumptions'!$B$18)+IF(O256=0,0,LOOKUP(O256,'Tax Assumptions'!$K$9:$K$17,'Tax Assumptions'!$N$9:$N$17)+(O256-LOOKUP(O256,'Tax Assumptions'!$K$9:$K$17,'Tax Assumptions'!$K$9:$K$17))*LOOKUP(O256,'Tax Assumptions'!$K$9:$K$17,'Tax Assumptions'!$M$9:$M$17))+IF(O256=0,0,LOOKUP(O256,'Tax Assumptions'!$P$9:$P$12,'Tax Assumptions'!$S$9:$S$12)+(O256-LOOKUP(O256,'Tax Assumptions'!$P$9:$P$12,'Tax Assumptions'!$P$9:$P$12))*LOOKUP(O256,'Tax Assumptions'!$P$9:$P$12,'Tax Assumptions'!$R$9:$R$12))</f>
        <v>5544843.9161201967</v>
      </c>
      <c r="Q256" s="218">
        <f t="shared" si="75"/>
        <v>5012133.0784622421</v>
      </c>
      <c r="R256" s="218">
        <f>IF(D256&lt;=10,INDEX('Savings Projection'!$BL$19:$BL$28,D256),LOOKUP(2,1/('Savings Projection'!$BL$19:$BL$28&lt;&gt;""),'Savings Projection'!$BL$19:$BL$28))*(1+'Model Inputs'!$B$35)^(D256-1)+IF(D256&lt;=10,INDEX('Savings Projection'!$BM$19:$BM$28,D256),LOOKUP(2,1/('Savings Projection'!$BM$19:$BM$28&lt;&gt;""),'Savings Projection'!$BM$19:$BM$28))*(1+'Model Inputs'!$B$36)^(D256-1)</f>
        <v>174709.12931473582</v>
      </c>
      <c r="S256" s="218">
        <f t="shared" si="76"/>
        <v>4837423.9491475066</v>
      </c>
      <c r="T256" s="218">
        <f>MIN(MAX(S256,0),'Tax Assumptions'!$B$20)</f>
        <v>7500</v>
      </c>
      <c r="U256" s="218">
        <f t="shared" si="77"/>
        <v>4829923.9491475066</v>
      </c>
      <c r="V256" s="218">
        <f>MAX(V255*(1+'Model Inputs'!$B$13)+U256,0)</f>
        <v>21114839.882624835</v>
      </c>
      <c r="W256" s="218">
        <f>MAX(W255*(1+'Model Inputs'!$B$13)+M256+T256,0)</f>
        <v>479092.56444555998</v>
      </c>
      <c r="X256" s="218">
        <f t="shared" si="78"/>
        <v>21593932.447070394</v>
      </c>
      <c r="Y256" s="226" t="str">
        <f t="shared" si="79"/>
        <v/>
      </c>
      <c r="Z256" s="226">
        <f t="shared" si="80"/>
        <v>11</v>
      </c>
      <c r="AA256" s="226">
        <f t="shared" si="81"/>
        <v>11</v>
      </c>
      <c r="AB256" s="226">
        <f t="shared" si="82"/>
        <v>11</v>
      </c>
    </row>
    <row r="257" spans="1:28" x14ac:dyDescent="0.2">
      <c r="A257" s="214" t="str">
        <f t="shared" si="83"/>
        <v>5Y 3x</v>
      </c>
      <c r="B257" s="214">
        <f t="shared" si="84"/>
        <v>5</v>
      </c>
      <c r="C257" s="223">
        <f t="shared" si="85"/>
        <v>3</v>
      </c>
      <c r="D257" s="214">
        <v>12</v>
      </c>
      <c r="E257" s="214">
        <f t="shared" si="72"/>
        <v>2037</v>
      </c>
      <c r="F257" s="218">
        <f>IF(D257=1,'Model Inputs'!$B$25*(13-'Model Inputs'!$B$23)/12,'Model Inputs'!$B$25)</f>
        <v>300000</v>
      </c>
      <c r="G257" s="218">
        <f>IF(D257=1,'Model Inputs'!$B$27*(13-'Model Inputs'!$B$23)/12,IF(D257=2,'Model Inputs'!$B$27,IF(D257&lt;=MAX(3,'Model Inputs'!$B$30+1),'Model Inputs'!$B$27*(1+'Model Inputs'!$B$28)^(D257-3),'Model Inputs'!$B$27*(1+'Model Inputs'!$B$28)^(MAX(3,'Model Inputs'!$B$30+1)-3)*(1+'Model Inputs'!$B$29)^(D257-MAX(3,'Model Inputs'!$B$30+1)))))</f>
        <v>5086854.15450761</v>
      </c>
      <c r="H257" s="224">
        <f>IF(D257&lt;=2,0,'Model Inputs'!$B$32*SIN(2*PI()*(D257-3+'Model Inputs'!$B$34)/MAX(1,'Model Inputs'!$B$33)))</f>
        <v>-8.8174569538609421E-17</v>
      </c>
      <c r="I257" s="218">
        <f t="shared" si="73"/>
        <v>5086854.1545076091</v>
      </c>
      <c r="J257" s="218">
        <f t="shared" si="86"/>
        <v>3559201.5104371794</v>
      </c>
      <c r="K257" s="218">
        <f>F257+J257+IF(D257=1,'Model Inputs'!$B$26,0)</f>
        <v>3859201.5104371794</v>
      </c>
      <c r="L257" s="218">
        <f t="shared" si="74"/>
        <v>11577604.531311538</v>
      </c>
      <c r="M257" s="218">
        <f>MIN(L257,'Tax Assumptions'!$B$19)</f>
        <v>24500</v>
      </c>
      <c r="N257" s="218">
        <f>MAX(L257-M257-'Tax Assumptions'!$B$8,0)</f>
        <v>11537004.531311538</v>
      </c>
      <c r="O257" s="218">
        <f>MAX(L257-M257-'Tax Assumptions'!$B$9,0)</f>
        <v>11545104.531311538</v>
      </c>
      <c r="P257" s="218">
        <f>IF(N257=0,0,LOOKUP(N257,'Tax Assumptions'!$F$9:$F$15,'Tax Assumptions'!$I$9:$I$15)+(N257-LOOKUP(N257,'Tax Assumptions'!$F$9:$F$15,'Tax Assumptions'!$F$9:$F$15))*LOOKUP(N257,'Tax Assumptions'!$F$9:$F$15,'Tax Assumptions'!$H$9:$H$15))+MIN(MAX(L257,0),'Tax Assumptions'!$B$11)*'Tax Assumptions'!$B$10+MAX(L257,0)*'Tax Assumptions'!$B$12+MAX(MAX(L257,0)-'Tax Assumptions'!$B$14,0)*'Tax Assumptions'!$B$13+MIN(L257*'Tax Assumptions'!$B$15,'Tax Assumptions'!$B$16)+MIN(L257*'Tax Assumptions'!$B$17,'Tax Assumptions'!$B$18)+IF(O257=0,0,LOOKUP(O257,'Tax Assumptions'!$K$9:$K$17,'Tax Assumptions'!$N$9:$N$17)+(O257-LOOKUP(O257,'Tax Assumptions'!$K$9:$K$17,'Tax Assumptions'!$K$9:$K$17))*LOOKUP(O257,'Tax Assumptions'!$K$9:$K$17,'Tax Assumptions'!$M$9:$M$17))+IF(O257=0,0,LOOKUP(O257,'Tax Assumptions'!$P$9:$P$12,'Tax Assumptions'!$S$9:$S$12)+(O257-LOOKUP(O257,'Tax Assumptions'!$P$9:$P$12,'Tax Assumptions'!$P$9:$P$12))*LOOKUP(O257,'Tax Assumptions'!$P$9:$P$12,'Tax Assumptions'!$R$9:$R$12))</f>
        <v>6078031.1414298145</v>
      </c>
      <c r="Q257" s="218">
        <f t="shared" si="75"/>
        <v>5475073.3898817236</v>
      </c>
      <c r="R257" s="218">
        <f>IF(D257&lt;=10,INDEX('Savings Projection'!$BL$19:$BL$28,D257),LOOKUP(2,1/('Savings Projection'!$BL$19:$BL$28&lt;&gt;""),'Savings Projection'!$BL$19:$BL$28))*(1+'Model Inputs'!$B$35)^(D257-1)+IF(D257&lt;=10,INDEX('Savings Projection'!$BM$19:$BM$28,D257),LOOKUP(2,1/('Savings Projection'!$BM$19:$BM$28&lt;&gt;""),'Savings Projection'!$BM$19:$BM$28))*(1+'Model Inputs'!$B$36)^(D257-1)</f>
        <v>179950.4031941779</v>
      </c>
      <c r="S257" s="218">
        <f t="shared" si="76"/>
        <v>5295122.9866875457</v>
      </c>
      <c r="T257" s="218">
        <f>MIN(MAX(S257,0),'Tax Assumptions'!$B$20)</f>
        <v>7500</v>
      </c>
      <c r="U257" s="218">
        <f t="shared" si="77"/>
        <v>5287622.9866875457</v>
      </c>
      <c r="V257" s="218">
        <f>MAX(V256*(1+'Model Inputs'!$B$13)+U257,0)</f>
        <v>27669353.262269869</v>
      </c>
      <c r="W257" s="218">
        <f>MAX(W256*(1+'Model Inputs'!$B$13)+M257+T257,0)</f>
        <v>539838.11831229366</v>
      </c>
      <c r="X257" s="218">
        <f t="shared" si="78"/>
        <v>28209191.380582161</v>
      </c>
      <c r="Y257" s="226" t="str">
        <f t="shared" si="79"/>
        <v/>
      </c>
      <c r="Z257" s="226" t="str">
        <f t="shared" si="80"/>
        <v/>
      </c>
      <c r="AA257" s="226" t="str">
        <f t="shared" si="81"/>
        <v/>
      </c>
      <c r="AB257" s="226" t="str">
        <f t="shared" si="82"/>
        <v/>
      </c>
    </row>
    <row r="258" spans="1:28" x14ac:dyDescent="0.2">
      <c r="A258" s="214" t="str">
        <f t="shared" si="83"/>
        <v>5Y 3x</v>
      </c>
      <c r="B258" s="214">
        <f t="shared" si="84"/>
        <v>5</v>
      </c>
      <c r="C258" s="223">
        <f t="shared" si="85"/>
        <v>3</v>
      </c>
      <c r="D258" s="214">
        <v>13</v>
      </c>
      <c r="E258" s="214">
        <f t="shared" si="72"/>
        <v>2038</v>
      </c>
      <c r="F258" s="218">
        <f>IF(D258=1,'Model Inputs'!$B$25*(13-'Model Inputs'!$B$23)/12,'Model Inputs'!$B$25)</f>
        <v>300000</v>
      </c>
      <c r="G258" s="218">
        <f>IF(D258=1,'Model Inputs'!$B$27*(13-'Model Inputs'!$B$23)/12,IF(D258=2,'Model Inputs'!$B$27,IF(D258&lt;=MAX(3,'Model Inputs'!$B$30+1),'Model Inputs'!$B$27*(1+'Model Inputs'!$B$28)^(D258-3),'Model Inputs'!$B$27*(1+'Model Inputs'!$B$28)^(MAX(3,'Model Inputs'!$B$30+1)-3)*(1+'Model Inputs'!$B$29)^(D258-MAX(3,'Model Inputs'!$B$30+1)))))</f>
        <v>6464768.1603602255</v>
      </c>
      <c r="H258" s="224">
        <f>IF(D258&lt;=2,0,'Model Inputs'!$B$32*SIN(2*PI()*(D258-3+'Model Inputs'!$B$34)/MAX(1,'Model Inputs'!$B$33)))</f>
        <v>0.10392304845413261</v>
      </c>
      <c r="I258" s="218">
        <f t="shared" si="73"/>
        <v>7136606.5751340752</v>
      </c>
      <c r="J258" s="218">
        <f t="shared" si="86"/>
        <v>4711807.0917368019</v>
      </c>
      <c r="K258" s="218">
        <f>F258+J258+IF(D258=1,'Model Inputs'!$B$26,0)</f>
        <v>5011807.0917368019</v>
      </c>
      <c r="L258" s="218">
        <f t="shared" si="74"/>
        <v>15035421.275210407</v>
      </c>
      <c r="M258" s="218">
        <f>MIN(L258,'Tax Assumptions'!$B$19)</f>
        <v>24500</v>
      </c>
      <c r="N258" s="218">
        <f>MAX(L258-M258-'Tax Assumptions'!$B$8,0)</f>
        <v>14994821.275210407</v>
      </c>
      <c r="O258" s="218">
        <f>MAX(L258-M258-'Tax Assumptions'!$B$9,0)</f>
        <v>15002921.275210407</v>
      </c>
      <c r="P258" s="218">
        <f>IF(N258=0,0,LOOKUP(N258,'Tax Assumptions'!$F$9:$F$15,'Tax Assumptions'!$I$9:$I$15)+(N258-LOOKUP(N258,'Tax Assumptions'!$F$9:$F$15,'Tax Assumptions'!$F$9:$F$15))*LOOKUP(N258,'Tax Assumptions'!$F$9:$F$15,'Tax Assumptions'!$H$9:$H$15))+MIN(MAX(L258,0),'Tax Assumptions'!$B$11)*'Tax Assumptions'!$B$10+MAX(L258,0)*'Tax Assumptions'!$B$12+MAX(MAX(L258,0)-'Tax Assumptions'!$B$14,0)*'Tax Assumptions'!$B$13+MIN(L258*'Tax Assumptions'!$B$15,'Tax Assumptions'!$B$16)+MIN(L258*'Tax Assumptions'!$B$17,'Tax Assumptions'!$B$18)+IF(O258=0,0,LOOKUP(O258,'Tax Assumptions'!$K$9:$K$17,'Tax Assumptions'!$N$9:$N$17)+(O258-LOOKUP(O258,'Tax Assumptions'!$K$9:$K$17,'Tax Assumptions'!$K$9:$K$17))*LOOKUP(O258,'Tax Assumptions'!$K$9:$K$17,'Tax Assumptions'!$M$9:$M$17))+IF(O258=0,0,LOOKUP(O258,'Tax Assumptions'!$P$9:$P$12,'Tax Assumptions'!$S$9:$S$12)+(O258-LOOKUP(O258,'Tax Assumptions'!$P$9:$P$12,'Tax Assumptions'!$P$9:$P$12))*LOOKUP(O258,'Tax Assumptions'!$P$9:$P$12,'Tax Assumptions'!$R$9:$R$12))</f>
        <v>7928862.1317691216</v>
      </c>
      <c r="Q258" s="218">
        <f t="shared" si="75"/>
        <v>7082059.143441285</v>
      </c>
      <c r="R258" s="218">
        <f>IF(D258&lt;=10,INDEX('Savings Projection'!$BL$19:$BL$28,D258),LOOKUP(2,1/('Savings Projection'!$BL$19:$BL$28&lt;&gt;""),'Savings Projection'!$BL$19:$BL$28))*(1+'Model Inputs'!$B$35)^(D258-1)+IF(D258&lt;=10,INDEX('Savings Projection'!$BM$19:$BM$28,D258),LOOKUP(2,1/('Savings Projection'!$BM$19:$BM$28&lt;&gt;""),'Savings Projection'!$BM$19:$BM$28))*(1+'Model Inputs'!$B$36)^(D258-1)</f>
        <v>185348.91529000323</v>
      </c>
      <c r="S258" s="218">
        <f t="shared" si="76"/>
        <v>6896710.2281512814</v>
      </c>
      <c r="T258" s="218">
        <f>MIN(MAX(S258,0),'Tax Assumptions'!$B$20)</f>
        <v>7500</v>
      </c>
      <c r="U258" s="218">
        <f t="shared" si="77"/>
        <v>6889210.2281512814</v>
      </c>
      <c r="V258" s="218">
        <f>MAX(V257*(1+'Model Inputs'!$B$13)+U258,0)</f>
        <v>36218724.686157346</v>
      </c>
      <c r="W258" s="218">
        <f>MAX(W257*(1+'Model Inputs'!$B$13)+M258+T258,0)</f>
        <v>604228.40541103133</v>
      </c>
      <c r="X258" s="218">
        <f t="shared" si="78"/>
        <v>36822953.091568381</v>
      </c>
      <c r="Y258" s="226" t="str">
        <f t="shared" si="79"/>
        <v/>
      </c>
      <c r="Z258" s="226" t="str">
        <f t="shared" si="80"/>
        <v/>
      </c>
      <c r="AA258" s="226" t="str">
        <f t="shared" si="81"/>
        <v/>
      </c>
      <c r="AB258" s="226" t="str">
        <f t="shared" si="82"/>
        <v/>
      </c>
    </row>
    <row r="259" spans="1:28" x14ac:dyDescent="0.2">
      <c r="A259" s="214" t="str">
        <f t="shared" si="83"/>
        <v>5Y 3x</v>
      </c>
      <c r="B259" s="214">
        <f t="shared" si="84"/>
        <v>5</v>
      </c>
      <c r="C259" s="223">
        <f t="shared" si="85"/>
        <v>3</v>
      </c>
      <c r="D259" s="214">
        <v>14</v>
      </c>
      <c r="E259" s="214">
        <f t="shared" si="72"/>
        <v>2039</v>
      </c>
      <c r="F259" s="218">
        <f>IF(D259=1,'Model Inputs'!$B$25*(13-'Model Inputs'!$B$23)/12,'Model Inputs'!$B$25)</f>
        <v>300000</v>
      </c>
      <c r="G259" s="218">
        <f>IF(D259=1,'Model Inputs'!$B$27*(13-'Model Inputs'!$B$23)/12,IF(D259=2,'Model Inputs'!$B$27,IF(D259&lt;=MAX(3,'Model Inputs'!$B$30+1),'Model Inputs'!$B$27*(1+'Model Inputs'!$B$28)^(D259-3),'Model Inputs'!$B$27*(1+'Model Inputs'!$B$28)^(MAX(3,'Model Inputs'!$B$30+1)-3)*(1+'Model Inputs'!$B$29)^(D259-MAX(3,'Model Inputs'!$B$30+1)))))</f>
        <v>8215927.9778393377</v>
      </c>
      <c r="H259" s="224">
        <f>IF(D259&lt;=2,0,'Model Inputs'!$B$32*SIN(2*PI()*(D259-3+'Model Inputs'!$B$34)/MAX(1,'Model Inputs'!$B$33)))</f>
        <v>-0.10392304845413251</v>
      </c>
      <c r="I259" s="218">
        <f t="shared" si="73"/>
        <v>7362103.6965026772</v>
      </c>
      <c r="J259" s="218">
        <f t="shared" si="86"/>
        <v>6624168.4699774589</v>
      </c>
      <c r="K259" s="218">
        <f>F259+J259+IF(D259=1,'Model Inputs'!$B$26,0)</f>
        <v>6924168.4699774589</v>
      </c>
      <c r="L259" s="218">
        <f t="shared" si="74"/>
        <v>20772505.409932375</v>
      </c>
      <c r="M259" s="218">
        <f>MIN(L259,'Tax Assumptions'!$B$19)</f>
        <v>24500</v>
      </c>
      <c r="N259" s="218">
        <f>MAX(L259-M259-'Tax Assumptions'!$B$8,0)</f>
        <v>20731905.409932375</v>
      </c>
      <c r="O259" s="218">
        <f>MAX(L259-M259-'Tax Assumptions'!$B$9,0)</f>
        <v>20740005.409932375</v>
      </c>
      <c r="P259" s="218">
        <f>IF(N259=0,0,LOOKUP(N259,'Tax Assumptions'!$F$9:$F$15,'Tax Assumptions'!$I$9:$I$15)+(N259-LOOKUP(N259,'Tax Assumptions'!$F$9:$F$15,'Tax Assumptions'!$F$9:$F$15))*LOOKUP(N259,'Tax Assumptions'!$F$9:$F$15,'Tax Assumptions'!$H$9:$H$15))+MIN(MAX(L259,0),'Tax Assumptions'!$B$11)*'Tax Assumptions'!$B$10+MAX(L259,0)*'Tax Assumptions'!$B$12+MAX(MAX(L259,0)-'Tax Assumptions'!$B$14,0)*'Tax Assumptions'!$B$13+MIN(L259*'Tax Assumptions'!$B$15,'Tax Assumptions'!$B$16)+MIN(L259*'Tax Assumptions'!$B$17,'Tax Assumptions'!$B$18)+IF(O259=0,0,LOOKUP(O259,'Tax Assumptions'!$K$9:$K$17,'Tax Assumptions'!$N$9:$N$17)+(O259-LOOKUP(O259,'Tax Assumptions'!$K$9:$K$17,'Tax Assumptions'!$K$9:$K$17))*LOOKUP(O259,'Tax Assumptions'!$K$9:$K$17,'Tax Assumptions'!$M$9:$M$17))+IF(O259=0,0,LOOKUP(O259,'Tax Assumptions'!$P$9:$P$12,'Tax Assumptions'!$S$9:$S$12)+(O259-LOOKUP(O259,'Tax Assumptions'!$P$9:$P$12,'Tax Assumptions'!$P$9:$P$12))*LOOKUP(O259,'Tax Assumptions'!$P$9:$P$12,'Tax Assumptions'!$R$9:$R$12))</f>
        <v>10999693.785720404</v>
      </c>
      <c r="Q259" s="218">
        <f t="shared" si="75"/>
        <v>9748311.6242119707</v>
      </c>
      <c r="R259" s="218">
        <f>IF(D259&lt;=10,INDEX('Savings Projection'!$BL$19:$BL$28,D259),LOOKUP(2,1/('Savings Projection'!$BL$19:$BL$28&lt;&gt;""),'Savings Projection'!$BL$19:$BL$28))*(1+'Model Inputs'!$B$35)^(D259-1)+IF(D259&lt;=10,INDEX('Savings Projection'!$BM$19:$BM$28,D259),LOOKUP(2,1/('Savings Projection'!$BM$19:$BM$28&lt;&gt;""),'Savings Projection'!$BM$19:$BM$28))*(1+'Model Inputs'!$B$36)^(D259-1)</f>
        <v>190909.3827487033</v>
      </c>
      <c r="S259" s="218">
        <f t="shared" si="76"/>
        <v>9557402.2414632682</v>
      </c>
      <c r="T259" s="218">
        <f>MIN(MAX(S259,0),'Tax Assumptions'!$B$20)</f>
        <v>7500</v>
      </c>
      <c r="U259" s="218">
        <f t="shared" si="77"/>
        <v>9549902.2414632682</v>
      </c>
      <c r="V259" s="218">
        <f>MAX(V258*(1+'Model Inputs'!$B$13)+U259,0)</f>
        <v>47941750.408790052</v>
      </c>
      <c r="W259" s="218">
        <f>MAX(W258*(1+'Model Inputs'!$B$13)+M259+T259,0)</f>
        <v>672482.1097356932</v>
      </c>
      <c r="X259" s="218">
        <f t="shared" si="78"/>
        <v>48614232.518525742</v>
      </c>
      <c r="Y259" s="226" t="str">
        <f t="shared" si="79"/>
        <v/>
      </c>
      <c r="Z259" s="226" t="str">
        <f t="shared" si="80"/>
        <v/>
      </c>
      <c r="AA259" s="226" t="str">
        <f t="shared" si="81"/>
        <v/>
      </c>
      <c r="AB259" s="226" t="str">
        <f t="shared" si="82"/>
        <v/>
      </c>
    </row>
    <row r="260" spans="1:28" x14ac:dyDescent="0.2">
      <c r="A260" s="214" t="str">
        <f t="shared" si="83"/>
        <v>5Y 3x</v>
      </c>
      <c r="B260" s="214">
        <f t="shared" si="84"/>
        <v>5</v>
      </c>
      <c r="C260" s="223">
        <f t="shared" si="85"/>
        <v>3</v>
      </c>
      <c r="D260" s="214">
        <v>15</v>
      </c>
      <c r="E260" s="214">
        <f t="shared" si="72"/>
        <v>2040</v>
      </c>
      <c r="F260" s="218">
        <f>IF(D260=1,'Model Inputs'!$B$25*(13-'Model Inputs'!$B$23)/12,'Model Inputs'!$B$25)</f>
        <v>300000</v>
      </c>
      <c r="G260" s="218">
        <f>IF(D260=1,'Model Inputs'!$B$27*(13-'Model Inputs'!$B$23)/12,IF(D260=2,'Model Inputs'!$B$27,IF(D260&lt;=MAX(3,'Model Inputs'!$B$30+1),'Model Inputs'!$B$27*(1+'Model Inputs'!$B$28)^(D260-3),'Model Inputs'!$B$27*(1+'Model Inputs'!$B$28)^(MAX(3,'Model Inputs'!$B$30+1)-3)*(1+'Model Inputs'!$B$29)^(D260-MAX(3,'Model Inputs'!$B$30+1)))))</f>
        <v>10441437.475041937</v>
      </c>
      <c r="H260" s="224">
        <f>IF(D260&lt;=2,0,'Model Inputs'!$B$32*SIN(2*PI()*(D260-3+'Model Inputs'!$B$34)/MAX(1,'Model Inputs'!$B$33)))</f>
        <v>-1.1756609271814589E-16</v>
      </c>
      <c r="I260" s="218">
        <f t="shared" si="73"/>
        <v>10441437.475041935</v>
      </c>
      <c r="J260" s="218">
        <f t="shared" si="86"/>
        <v>7305729.4161605267</v>
      </c>
      <c r="K260" s="218">
        <f>F260+J260+IF(D260=1,'Model Inputs'!$B$26,0)</f>
        <v>7605729.4161605267</v>
      </c>
      <c r="L260" s="218">
        <f t="shared" si="74"/>
        <v>22817188.248481579</v>
      </c>
      <c r="M260" s="218">
        <f>MIN(L260,'Tax Assumptions'!$B$19)</f>
        <v>24500</v>
      </c>
      <c r="N260" s="218">
        <f>MAX(L260-M260-'Tax Assumptions'!$B$8,0)</f>
        <v>22776588.248481579</v>
      </c>
      <c r="O260" s="218">
        <f>MAX(L260-M260-'Tax Assumptions'!$B$9,0)</f>
        <v>22784688.248481579</v>
      </c>
      <c r="P260" s="218">
        <f>IF(N260=0,0,LOOKUP(N260,'Tax Assumptions'!$F$9:$F$15,'Tax Assumptions'!$I$9:$I$15)+(N260-LOOKUP(N260,'Tax Assumptions'!$F$9:$F$15,'Tax Assumptions'!$F$9:$F$15))*LOOKUP(N260,'Tax Assumptions'!$F$9:$F$15,'Tax Assumptions'!$H$9:$H$15))+MIN(MAX(L260,0),'Tax Assumptions'!$B$11)*'Tax Assumptions'!$B$10+MAX(L260,0)*'Tax Assumptions'!$B$12+MAX(MAX(L260,0)-'Tax Assumptions'!$B$14,0)*'Tax Assumptions'!$B$13+MIN(L260*'Tax Assumptions'!$B$15,'Tax Assumptions'!$B$16)+MIN(L260*'Tax Assumptions'!$B$17,'Tax Assumptions'!$B$18)+IF(O260=0,0,LOOKUP(O260,'Tax Assumptions'!$K$9:$K$17,'Tax Assumptions'!$N$9:$N$17)+(O260-LOOKUP(O260,'Tax Assumptions'!$K$9:$K$17,'Tax Assumptions'!$K$9:$K$17))*LOOKUP(O260,'Tax Assumptions'!$K$9:$K$17,'Tax Assumptions'!$M$9:$M$17))+IF(O260=0,0,LOOKUP(O260,'Tax Assumptions'!$P$9:$P$12,'Tax Assumptions'!$S$9:$S$12)+(O260-LOOKUP(O260,'Tax Assumptions'!$P$9:$P$12,'Tax Assumptions'!$P$9:$P$12))*LOOKUP(O260,'Tax Assumptions'!$P$9:$P$12,'Tax Assumptions'!$R$9:$R$12))</f>
        <v>12094130.72188225</v>
      </c>
      <c r="Q260" s="218">
        <f t="shared" si="75"/>
        <v>10698557.526599329</v>
      </c>
      <c r="R260" s="218">
        <f>IF(D260&lt;=10,INDEX('Savings Projection'!$BL$19:$BL$28,D260),LOOKUP(2,1/('Savings Projection'!$BL$19:$BL$28&lt;&gt;""),'Savings Projection'!$BL$19:$BL$28))*(1+'Model Inputs'!$B$35)^(D260-1)+IF(D260&lt;=10,INDEX('Savings Projection'!$BM$19:$BM$28,D260),LOOKUP(2,1/('Savings Projection'!$BM$19:$BM$28&lt;&gt;""),'Savings Projection'!$BM$19:$BM$28))*(1+'Model Inputs'!$B$36)^(D260-1)</f>
        <v>196636.66423116444</v>
      </c>
      <c r="S260" s="218">
        <f t="shared" si="76"/>
        <v>10501920.862368165</v>
      </c>
      <c r="T260" s="218">
        <f>MIN(MAX(S260,0),'Tax Assumptions'!$B$20)</f>
        <v>7500</v>
      </c>
      <c r="U260" s="218">
        <f t="shared" si="77"/>
        <v>10494420.862368165</v>
      </c>
      <c r="V260" s="218">
        <f>MAX(V259*(1+'Model Inputs'!$B$13)+U260,0)</f>
        <v>61312676.295685627</v>
      </c>
      <c r="W260" s="218">
        <f>MAX(W259*(1+'Model Inputs'!$B$13)+M260+T260,0)</f>
        <v>744831.03631983488</v>
      </c>
      <c r="X260" s="218">
        <f t="shared" si="78"/>
        <v>62057507.332005464</v>
      </c>
      <c r="Y260" s="226" t="str">
        <f t="shared" si="79"/>
        <v/>
      </c>
      <c r="Z260" s="226" t="str">
        <f t="shared" si="80"/>
        <v/>
      </c>
      <c r="AA260" s="226" t="str">
        <f t="shared" si="81"/>
        <v/>
      </c>
      <c r="AB260" s="226" t="str">
        <f t="shared" si="82"/>
        <v/>
      </c>
    </row>
    <row r="261" spans="1:28" x14ac:dyDescent="0.2">
      <c r="A261" s="214" t="str">
        <f t="shared" si="83"/>
        <v>5Y 3x</v>
      </c>
      <c r="B261" s="214">
        <f t="shared" si="84"/>
        <v>5</v>
      </c>
      <c r="C261" s="223">
        <f t="shared" si="85"/>
        <v>3</v>
      </c>
      <c r="D261" s="214">
        <v>16</v>
      </c>
      <c r="E261" s="214">
        <f t="shared" si="72"/>
        <v>2041</v>
      </c>
      <c r="F261" s="218">
        <f>IF(D261=1,'Model Inputs'!$B$25*(13-'Model Inputs'!$B$23)/12,'Model Inputs'!$B$25)</f>
        <v>300000</v>
      </c>
      <c r="G261" s="218">
        <f>IF(D261=1,'Model Inputs'!$B$27*(13-'Model Inputs'!$B$23)/12,IF(D261=2,'Model Inputs'!$B$27,IF(D261&lt;=MAX(3,'Model Inputs'!$B$30+1),'Model Inputs'!$B$27*(1+'Model Inputs'!$B$28)^(D261-3),'Model Inputs'!$B$27*(1+'Model Inputs'!$B$28)^(MAX(3,'Model Inputs'!$B$30+1)-3)*(1+'Model Inputs'!$B$29)^(D261-MAX(3,'Model Inputs'!$B$30+1)))))</f>
        <v>13269787.276528884</v>
      </c>
      <c r="H261" s="224">
        <f>IF(D261&lt;=2,0,'Model Inputs'!$B$32*SIN(2*PI()*(D261-3+'Model Inputs'!$B$34)/MAX(1,'Model Inputs'!$B$33)))</f>
        <v>0.10392304845413262</v>
      </c>
      <c r="I261" s="218">
        <f t="shared" si="73"/>
        <v>14648824.022643628</v>
      </c>
      <c r="J261" s="218">
        <f t="shared" si="86"/>
        <v>9671604.0304071214</v>
      </c>
      <c r="K261" s="218">
        <f>F261+J261+IF(D261=1,'Model Inputs'!$B$26,0)</f>
        <v>9971604.0304071214</v>
      </c>
      <c r="L261" s="218">
        <f t="shared" si="74"/>
        <v>29914812.091221362</v>
      </c>
      <c r="M261" s="218">
        <f>MIN(L261,'Tax Assumptions'!$B$19)</f>
        <v>24500</v>
      </c>
      <c r="N261" s="218">
        <f>MAX(L261-M261-'Tax Assumptions'!$B$8,0)</f>
        <v>29874212.091221362</v>
      </c>
      <c r="O261" s="218">
        <f>MAX(L261-M261-'Tax Assumptions'!$B$9,0)</f>
        <v>29882312.091221362</v>
      </c>
      <c r="P261" s="218">
        <f>IF(N261=0,0,LOOKUP(N261,'Tax Assumptions'!$F$9:$F$15,'Tax Assumptions'!$I$9:$I$15)+(N261-LOOKUP(N261,'Tax Assumptions'!$F$9:$F$15,'Tax Assumptions'!$F$9:$F$15))*LOOKUP(N261,'Tax Assumptions'!$F$9:$F$15,'Tax Assumptions'!$H$9:$H$15))+MIN(MAX(L261,0),'Tax Assumptions'!$B$11)*'Tax Assumptions'!$B$10+MAX(L261,0)*'Tax Assumptions'!$B$12+MAX(MAX(L261,0)-'Tax Assumptions'!$B$14,0)*'Tax Assumptions'!$B$13+MIN(L261*'Tax Assumptions'!$B$15,'Tax Assumptions'!$B$16)+MIN(L261*'Tax Assumptions'!$B$17,'Tax Assumptions'!$B$18)+IF(O261=0,0,LOOKUP(O261,'Tax Assumptions'!$K$9:$K$17,'Tax Assumptions'!$N$9:$N$17)+(O261-LOOKUP(O261,'Tax Assumptions'!$K$9:$K$17,'Tax Assumptions'!$K$9:$K$17))*LOOKUP(O261,'Tax Assumptions'!$K$9:$K$17,'Tax Assumptions'!$M$9:$M$17))+IF(O261=0,0,LOOKUP(O261,'Tax Assumptions'!$P$9:$P$12,'Tax Assumptions'!$S$9:$S$12)+(O261-LOOKUP(O261,'Tax Assumptions'!$P$9:$P$12,'Tax Assumptions'!$P$9:$P$12))*LOOKUP(O261,'Tax Assumptions'!$P$9:$P$12,'Tax Assumptions'!$R$9:$R$12))</f>
        <v>15922498.732494473</v>
      </c>
      <c r="Q261" s="218">
        <f t="shared" si="75"/>
        <v>13967813.358726889</v>
      </c>
      <c r="R261" s="218">
        <f>IF(D261&lt;=10,INDEX('Savings Projection'!$BL$19:$BL$28,D261),LOOKUP(2,1/('Savings Projection'!$BL$19:$BL$28&lt;&gt;""),'Savings Projection'!$BL$19:$BL$28))*(1+'Model Inputs'!$B$35)^(D261-1)+IF(D261&lt;=10,INDEX('Savings Projection'!$BM$19:$BM$28,D261),LOOKUP(2,1/('Savings Projection'!$BM$19:$BM$28&lt;&gt;""),'Savings Projection'!$BM$19:$BM$28))*(1+'Model Inputs'!$B$36)^(D261-1)</f>
        <v>202535.76415809937</v>
      </c>
      <c r="S261" s="218">
        <f t="shared" si="76"/>
        <v>13765277.594568789</v>
      </c>
      <c r="T261" s="218">
        <f>MIN(MAX(S261,0),'Tax Assumptions'!$B$20)</f>
        <v>7500</v>
      </c>
      <c r="U261" s="218">
        <f t="shared" si="77"/>
        <v>13757777.594568789</v>
      </c>
      <c r="V261" s="218">
        <f>MAX(V260*(1+'Model Inputs'!$B$13)+U261,0)</f>
        <v>78749214.467995554</v>
      </c>
      <c r="W261" s="218">
        <f>MAX(W260*(1+'Model Inputs'!$B$13)+M261+T261,0)</f>
        <v>821520.89849902503</v>
      </c>
      <c r="X261" s="218">
        <f t="shared" si="78"/>
        <v>79570735.366494581</v>
      </c>
      <c r="Y261" s="226" t="str">
        <f t="shared" si="79"/>
        <v/>
      </c>
      <c r="Z261" s="226" t="str">
        <f t="shared" si="80"/>
        <v/>
      </c>
      <c r="AA261" s="226" t="str">
        <f t="shared" si="81"/>
        <v/>
      </c>
      <c r="AB261" s="226" t="str">
        <f t="shared" si="82"/>
        <v/>
      </c>
    </row>
    <row r="262" spans="1:28" x14ac:dyDescent="0.2">
      <c r="A262" s="214" t="str">
        <f t="shared" si="83"/>
        <v>5Y 3x</v>
      </c>
      <c r="B262" s="214">
        <f t="shared" si="84"/>
        <v>5</v>
      </c>
      <c r="C262" s="223">
        <f t="shared" si="85"/>
        <v>3</v>
      </c>
      <c r="D262" s="214">
        <v>17</v>
      </c>
      <c r="E262" s="214">
        <f t="shared" si="72"/>
        <v>2042</v>
      </c>
      <c r="F262" s="218">
        <f>IF(D262=1,'Model Inputs'!$B$25*(13-'Model Inputs'!$B$23)/12,'Model Inputs'!$B$25)</f>
        <v>300000</v>
      </c>
      <c r="G262" s="218">
        <f>IF(D262=1,'Model Inputs'!$B$27*(13-'Model Inputs'!$B$23)/12,IF(D262=2,'Model Inputs'!$B$27,IF(D262&lt;=MAX(3,'Model Inputs'!$B$30+1),'Model Inputs'!$B$27*(1+'Model Inputs'!$B$28)^(D262-3),'Model Inputs'!$B$27*(1+'Model Inputs'!$B$28)^(MAX(3,'Model Inputs'!$B$30+1)-3)*(1+'Model Inputs'!$B$29)^(D262-MAX(3,'Model Inputs'!$B$30+1)))))</f>
        <v>16864273.217670217</v>
      </c>
      <c r="H262" s="224">
        <f>IF(D262&lt;=2,0,'Model Inputs'!$B$32*SIN(2*PI()*(D262-3+'Model Inputs'!$B$34)/MAX(1,'Model Inputs'!$B$33)))</f>
        <v>-0.1039230484541325</v>
      </c>
      <c r="I262" s="218">
        <f t="shared" si="73"/>
        <v>15111686.534926547</v>
      </c>
      <c r="J262" s="218">
        <f t="shared" si="86"/>
        <v>13596977.385743205</v>
      </c>
      <c r="K262" s="218">
        <f>F262+J262+IF(D262=1,'Model Inputs'!$B$26,0)</f>
        <v>13896977.385743205</v>
      </c>
      <c r="L262" s="218">
        <f t="shared" si="74"/>
        <v>41690932.157229617</v>
      </c>
      <c r="M262" s="218">
        <f>MIN(L262,'Tax Assumptions'!$B$19)</f>
        <v>24500</v>
      </c>
      <c r="N262" s="218">
        <f>MAX(L262-M262-'Tax Assumptions'!$B$8,0)</f>
        <v>41650332.157229617</v>
      </c>
      <c r="O262" s="218">
        <f>MAX(L262-M262-'Tax Assumptions'!$B$9,0)</f>
        <v>41658432.157229617</v>
      </c>
      <c r="P262" s="218">
        <f>IF(N262=0,0,LOOKUP(N262,'Tax Assumptions'!$F$9:$F$15,'Tax Assumptions'!$I$9:$I$15)+(N262-LOOKUP(N262,'Tax Assumptions'!$F$9:$F$15,'Tax Assumptions'!$F$9:$F$15))*LOOKUP(N262,'Tax Assumptions'!$F$9:$F$15,'Tax Assumptions'!$H$9:$H$15))+MIN(MAX(L262,0),'Tax Assumptions'!$B$11)*'Tax Assumptions'!$B$10+MAX(L262,0)*'Tax Assumptions'!$B$12+MAX(MAX(L262,0)-'Tax Assumptions'!$B$14,0)*'Tax Assumptions'!$B$13+MIN(L262*'Tax Assumptions'!$B$15,'Tax Assumptions'!$B$16)+MIN(L262*'Tax Assumptions'!$B$17,'Tax Assumptions'!$B$18)+IF(O262=0,0,LOOKUP(O262,'Tax Assumptions'!$K$9:$K$17,'Tax Assumptions'!$N$9:$N$17)+(O262-LOOKUP(O262,'Tax Assumptions'!$K$9:$K$17,'Tax Assumptions'!$K$9:$K$17))*LOOKUP(O262,'Tax Assumptions'!$K$9:$K$17,'Tax Assumptions'!$M$9:$M$17))+IF(O262=0,0,LOOKUP(O262,'Tax Assumptions'!$P$9:$P$12,'Tax Assumptions'!$S$9:$S$12)+(O262-LOOKUP(O262,'Tax Assumptions'!$P$9:$P$12,'Tax Assumptions'!$P$9:$P$12))*LOOKUP(O262,'Tax Assumptions'!$P$9:$P$12,'Tax Assumptions'!$R$9:$R$12))</f>
        <v>22296441.4794221</v>
      </c>
      <c r="Q262" s="218">
        <f t="shared" si="75"/>
        <v>19369990.677807517</v>
      </c>
      <c r="R262" s="218">
        <f>IF(D262&lt;=10,INDEX('Savings Projection'!$BL$19:$BL$28,D262),LOOKUP(2,1/('Savings Projection'!$BL$19:$BL$28&lt;&gt;""),'Savings Projection'!$BL$19:$BL$28))*(1+'Model Inputs'!$B$35)^(D262-1)+IF(D262&lt;=10,INDEX('Savings Projection'!$BM$19:$BM$28,D262),LOOKUP(2,1/('Savings Projection'!$BM$19:$BM$28&lt;&gt;""),'Savings Projection'!$BM$19:$BM$28))*(1+'Model Inputs'!$B$36)^(D262-1)</f>
        <v>208611.83708284231</v>
      </c>
      <c r="S262" s="218">
        <f t="shared" si="76"/>
        <v>19161378.840724677</v>
      </c>
      <c r="T262" s="218">
        <f>MIN(MAX(S262,0),'Tax Assumptions'!$B$20)</f>
        <v>7500</v>
      </c>
      <c r="U262" s="218">
        <f t="shared" si="77"/>
        <v>19153878.840724677</v>
      </c>
      <c r="V262" s="218">
        <f>MAX(V261*(1+'Model Inputs'!$B$13)+U262,0)</f>
        <v>102628046.17679997</v>
      </c>
      <c r="W262" s="218">
        <f>MAX(W261*(1+'Model Inputs'!$B$13)+M262+T262,0)</f>
        <v>902812.15240896656</v>
      </c>
      <c r="X262" s="218">
        <f t="shared" si="78"/>
        <v>103530858.32920894</v>
      </c>
      <c r="Y262" s="226" t="str">
        <f t="shared" si="79"/>
        <v/>
      </c>
      <c r="Z262" s="226" t="str">
        <f t="shared" si="80"/>
        <v/>
      </c>
      <c r="AA262" s="226" t="str">
        <f t="shared" si="81"/>
        <v/>
      </c>
      <c r="AB262" s="226" t="str">
        <f t="shared" si="82"/>
        <v/>
      </c>
    </row>
    <row r="263" spans="1:28" x14ac:dyDescent="0.2">
      <c r="A263" s="214" t="str">
        <f t="shared" si="83"/>
        <v>5Y 3x</v>
      </c>
      <c r="B263" s="214">
        <f t="shared" si="84"/>
        <v>5</v>
      </c>
      <c r="C263" s="223">
        <f t="shared" si="85"/>
        <v>3</v>
      </c>
      <c r="D263" s="214">
        <v>18</v>
      </c>
      <c r="E263" s="214">
        <f t="shared" si="72"/>
        <v>2043</v>
      </c>
      <c r="F263" s="218">
        <f>IF(D263=1,'Model Inputs'!$B$25*(13-'Model Inputs'!$B$23)/12,'Model Inputs'!$B$25)</f>
        <v>300000</v>
      </c>
      <c r="G263" s="218">
        <f>IF(D263=1,'Model Inputs'!$B$27*(13-'Model Inputs'!$B$23)/12,IF(D263=2,'Model Inputs'!$B$27,IF(D263&lt;=MAX(3,'Model Inputs'!$B$30+1),'Model Inputs'!$B$27*(1+'Model Inputs'!$B$28)^(D263-3),'Model Inputs'!$B$27*(1+'Model Inputs'!$B$28)^(MAX(3,'Model Inputs'!$B$30+1)-3)*(1+'Model Inputs'!$B$29)^(D263-MAX(3,'Model Inputs'!$B$30+1)))))</f>
        <v>21432424.290875554</v>
      </c>
      <c r="H263" s="224">
        <f>IF(D263&lt;=2,0,'Model Inputs'!$B$32*SIN(2*PI()*(D263-3+'Model Inputs'!$B$34)/MAX(1,'Model Inputs'!$B$33)))</f>
        <v>-5.7328325735374245E-16</v>
      </c>
      <c r="I263" s="218">
        <f t="shared" si="73"/>
        <v>21432424.290875543</v>
      </c>
      <c r="J263" s="218">
        <f t="shared" si="86"/>
        <v>14995970.906855816</v>
      </c>
      <c r="K263" s="218">
        <f>F263+J263+IF(D263=1,'Model Inputs'!$B$26,0)</f>
        <v>15295970.906855816</v>
      </c>
      <c r="L263" s="218">
        <f t="shared" si="74"/>
        <v>45887912.72056745</v>
      </c>
      <c r="M263" s="218">
        <f>MIN(L263,'Tax Assumptions'!$B$19)</f>
        <v>24500</v>
      </c>
      <c r="N263" s="218">
        <f>MAX(L263-M263-'Tax Assumptions'!$B$8,0)</f>
        <v>45847312.72056745</v>
      </c>
      <c r="O263" s="218">
        <f>MAX(L263-M263-'Tax Assumptions'!$B$9,0)</f>
        <v>45855412.72056745</v>
      </c>
      <c r="P263" s="218">
        <f>IF(N263=0,0,LOOKUP(N263,'Tax Assumptions'!$F$9:$F$15,'Tax Assumptions'!$I$9:$I$15)+(N263-LOOKUP(N263,'Tax Assumptions'!$F$9:$F$15,'Tax Assumptions'!$F$9:$F$15))*LOOKUP(N263,'Tax Assumptions'!$F$9:$F$15,'Tax Assumptions'!$H$9:$H$15))+MIN(MAX(L263,0),'Tax Assumptions'!$B$11)*'Tax Assumptions'!$B$10+MAX(L263,0)*'Tax Assumptions'!$B$12+MAX(MAX(L263,0)-'Tax Assumptions'!$B$14,0)*'Tax Assumptions'!$B$13+MIN(L263*'Tax Assumptions'!$B$15,'Tax Assumptions'!$B$16)+MIN(L263*'Tax Assumptions'!$B$17,'Tax Assumptions'!$B$18)+IF(O263=0,0,LOOKUP(O263,'Tax Assumptions'!$K$9:$K$17,'Tax Assumptions'!$N$9:$N$17)+(O263-LOOKUP(O263,'Tax Assumptions'!$K$9:$K$17,'Tax Assumptions'!$K$9:$K$17))*LOOKUP(O263,'Tax Assumptions'!$K$9:$K$17,'Tax Assumptions'!$M$9:$M$17))+IF(O263=0,0,LOOKUP(O263,'Tax Assumptions'!$P$9:$P$12,'Tax Assumptions'!$S$9:$S$12)+(O263-LOOKUP(O263,'Tax Assumptions'!$P$9:$P$12,'Tax Assumptions'!$P$9:$P$12))*LOOKUP(O263,'Tax Assumptions'!$P$9:$P$12,'Tax Assumptions'!$R$9:$R$12))</f>
        <v>24568099.179134339</v>
      </c>
      <c r="Q263" s="218">
        <f t="shared" si="75"/>
        <v>21295313.541433111</v>
      </c>
      <c r="R263" s="218">
        <f>IF(D263&lt;=10,INDEX('Savings Projection'!$BL$19:$BL$28,D263),LOOKUP(2,1/('Savings Projection'!$BL$19:$BL$28&lt;&gt;""),'Savings Projection'!$BL$19:$BL$28))*(1+'Model Inputs'!$B$35)^(D263-1)+IF(D263&lt;=10,INDEX('Savings Projection'!$BM$19:$BM$28,D263),LOOKUP(2,1/('Savings Projection'!$BM$19:$BM$28&lt;&gt;""),'Savings Projection'!$BM$19:$BM$28))*(1+'Model Inputs'!$B$36)^(D263-1)</f>
        <v>214870.1921953276</v>
      </c>
      <c r="S263" s="218">
        <f t="shared" si="76"/>
        <v>21080443.349237785</v>
      </c>
      <c r="T263" s="218">
        <f>MIN(MAX(S263,0),'Tax Assumptions'!$B$20)</f>
        <v>7500</v>
      </c>
      <c r="U263" s="218">
        <f t="shared" si="77"/>
        <v>21072943.349237785</v>
      </c>
      <c r="V263" s="218">
        <f>MAX(V262*(1+'Model Inputs'!$B$13)+U263,0)</f>
        <v>129858672.29664576</v>
      </c>
      <c r="W263" s="218">
        <f>MAX(W262*(1+'Model Inputs'!$B$13)+M263+T263,0)</f>
        <v>988980.88155350462</v>
      </c>
      <c r="X263" s="218">
        <f t="shared" si="78"/>
        <v>130847653.17819926</v>
      </c>
      <c r="Y263" s="226" t="str">
        <f t="shared" si="79"/>
        <v/>
      </c>
      <c r="Z263" s="226" t="str">
        <f t="shared" si="80"/>
        <v/>
      </c>
      <c r="AA263" s="226" t="str">
        <f t="shared" si="81"/>
        <v/>
      </c>
      <c r="AB263" s="226" t="str">
        <f t="shared" si="82"/>
        <v/>
      </c>
    </row>
    <row r="264" spans="1:28" x14ac:dyDescent="0.2">
      <c r="A264" s="214" t="str">
        <f t="shared" si="83"/>
        <v>5Y 3x</v>
      </c>
      <c r="B264" s="214">
        <f t="shared" si="84"/>
        <v>5</v>
      </c>
      <c r="C264" s="223">
        <f t="shared" si="85"/>
        <v>3</v>
      </c>
      <c r="D264" s="214">
        <v>19</v>
      </c>
      <c r="E264" s="214">
        <f t="shared" si="72"/>
        <v>2044</v>
      </c>
      <c r="F264" s="218">
        <f>IF(D264=1,'Model Inputs'!$B$25*(13-'Model Inputs'!$B$23)/12,'Model Inputs'!$B$25)</f>
        <v>300000</v>
      </c>
      <c r="G264" s="218">
        <f>IF(D264=1,'Model Inputs'!$B$27*(13-'Model Inputs'!$B$23)/12,IF(D264=2,'Model Inputs'!$B$27,IF(D264&lt;=MAX(3,'Model Inputs'!$B$30+1),'Model Inputs'!$B$27*(1+'Model Inputs'!$B$28)^(D264-3),'Model Inputs'!$B$27*(1+'Model Inputs'!$B$28)^(MAX(3,'Model Inputs'!$B$30+1)-3)*(1+'Model Inputs'!$B$29)^(D264-MAX(3,'Model Inputs'!$B$30+1)))))</f>
        <v>27237984.409717187</v>
      </c>
      <c r="H264" s="224">
        <f>IF(D264&lt;=2,0,'Model Inputs'!$B$32*SIN(2*PI()*(D264-3+'Model Inputs'!$B$34)/MAX(1,'Model Inputs'!$B$33)))</f>
        <v>0.10392304845413286</v>
      </c>
      <c r="I264" s="218">
        <f t="shared" si="73"/>
        <v>30068638.783321142</v>
      </c>
      <c r="J264" s="218">
        <f t="shared" si="86"/>
        <v>19852239.851888295</v>
      </c>
      <c r="K264" s="218">
        <f>F264+J264+IF(D264=1,'Model Inputs'!$B$26,0)</f>
        <v>20152239.851888295</v>
      </c>
      <c r="L264" s="218">
        <f t="shared" si="74"/>
        <v>60456719.555664882</v>
      </c>
      <c r="M264" s="218">
        <f>MIN(L264,'Tax Assumptions'!$B$19)</f>
        <v>24500</v>
      </c>
      <c r="N264" s="218">
        <f>MAX(L264-M264-'Tax Assumptions'!$B$8,0)</f>
        <v>60416119.555664882</v>
      </c>
      <c r="O264" s="218">
        <f>MAX(L264-M264-'Tax Assumptions'!$B$9,0)</f>
        <v>60424219.555664882</v>
      </c>
      <c r="P264" s="218">
        <f>IF(N264=0,0,LOOKUP(N264,'Tax Assumptions'!$F$9:$F$15,'Tax Assumptions'!$I$9:$I$15)+(N264-LOOKUP(N264,'Tax Assumptions'!$F$9:$F$15,'Tax Assumptions'!$F$9:$F$15))*LOOKUP(N264,'Tax Assumptions'!$F$9:$F$15,'Tax Assumptions'!$H$9:$H$15))+MIN(MAX(L264,0),'Tax Assumptions'!$B$11)*'Tax Assumptions'!$B$10+MAX(L264,0)*'Tax Assumptions'!$B$12+MAX(MAX(L264,0)-'Tax Assumptions'!$B$14,0)*'Tax Assumptions'!$B$13+MIN(L264*'Tax Assumptions'!$B$15,'Tax Assumptions'!$B$16)+MIN(L264*'Tax Assumptions'!$B$17,'Tax Assumptions'!$B$18)+IF(O264=0,0,LOOKUP(O264,'Tax Assumptions'!$K$9:$K$17,'Tax Assumptions'!$N$9:$N$17)+(O264-LOOKUP(O264,'Tax Assumptions'!$K$9:$K$17,'Tax Assumptions'!$K$9:$K$17))*LOOKUP(O264,'Tax Assumptions'!$K$9:$K$17,'Tax Assumptions'!$M$9:$M$17))+IF(O264=0,0,LOOKUP(O264,'Tax Assumptions'!$P$9:$P$12,'Tax Assumptions'!$S$9:$S$12)+(O264-LOOKUP(O264,'Tax Assumptions'!$P$9:$P$12,'Tax Assumptions'!$P$9:$P$12))*LOOKUP(O264,'Tax Assumptions'!$P$9:$P$12,'Tax Assumptions'!$R$9:$R$12))</f>
        <v>32453611.566699173</v>
      </c>
      <c r="Q264" s="218">
        <f t="shared" si="75"/>
        <v>27978607.988965709</v>
      </c>
      <c r="R264" s="218">
        <f>IF(D264&lt;=10,INDEX('Savings Projection'!$BL$19:$BL$28,D264),LOOKUP(2,1/('Savings Projection'!$BL$19:$BL$28&lt;&gt;""),'Savings Projection'!$BL$19:$BL$28))*(1+'Model Inputs'!$B$35)^(D264-1)+IF(D264&lt;=10,INDEX('Savings Projection'!$BM$19:$BM$28,D264),LOOKUP(2,1/('Savings Projection'!$BM$19:$BM$28&lt;&gt;""),'Savings Projection'!$BM$19:$BM$28))*(1+'Model Inputs'!$B$36)^(D264-1)</f>
        <v>221316.29796118743</v>
      </c>
      <c r="S264" s="218">
        <f t="shared" si="76"/>
        <v>27757291.691004522</v>
      </c>
      <c r="T264" s="218">
        <f>MIN(MAX(S264,0),'Tax Assumptions'!$B$20)</f>
        <v>7500</v>
      </c>
      <c r="U264" s="218">
        <f t="shared" si="77"/>
        <v>27749791.691004522</v>
      </c>
      <c r="V264" s="218">
        <f>MAX(V263*(1+'Model Inputs'!$B$13)+U264,0)</f>
        <v>165399984.32544902</v>
      </c>
      <c r="W264" s="218">
        <f>MAX(W263*(1+'Model Inputs'!$B$13)+M264+T264,0)</f>
        <v>1080319.7344467151</v>
      </c>
      <c r="X264" s="218">
        <f t="shared" si="78"/>
        <v>166480304.05989572</v>
      </c>
      <c r="Y264" s="226" t="str">
        <f t="shared" si="79"/>
        <v/>
      </c>
      <c r="Z264" s="226" t="str">
        <f t="shared" si="80"/>
        <v/>
      </c>
      <c r="AA264" s="226" t="str">
        <f t="shared" si="81"/>
        <v/>
      </c>
      <c r="AB264" s="226" t="str">
        <f t="shared" si="82"/>
        <v/>
      </c>
    </row>
    <row r="265" spans="1:28" x14ac:dyDescent="0.2">
      <c r="A265" s="214" t="str">
        <f t="shared" si="83"/>
        <v>5Y 3x</v>
      </c>
      <c r="B265" s="214">
        <f t="shared" si="84"/>
        <v>5</v>
      </c>
      <c r="C265" s="223">
        <f t="shared" si="85"/>
        <v>3</v>
      </c>
      <c r="D265" s="214">
        <v>20</v>
      </c>
      <c r="E265" s="214">
        <f t="shared" si="72"/>
        <v>2045</v>
      </c>
      <c r="F265" s="218">
        <f>IF(D265=1,'Model Inputs'!$B$25*(13-'Model Inputs'!$B$23)/12,'Model Inputs'!$B$25)</f>
        <v>300000</v>
      </c>
      <c r="G265" s="218">
        <f>IF(D265=1,'Model Inputs'!$B$27*(13-'Model Inputs'!$B$23)/12,IF(D265=2,'Model Inputs'!$B$27,IF(D265&lt;=MAX(3,'Model Inputs'!$B$30+1),'Model Inputs'!$B$27*(1+'Model Inputs'!$B$28)^(D265-3),'Model Inputs'!$B$27*(1+'Model Inputs'!$B$28)^(MAX(3,'Model Inputs'!$B$30+1)-3)*(1+'Model Inputs'!$B$29)^(D265-MAX(3,'Model Inputs'!$B$30+1)))))</f>
        <v>34616139.762586243</v>
      </c>
      <c r="H265" s="224">
        <f>IF(D265&lt;=2,0,'Model Inputs'!$B$32*SIN(2*PI()*(D265-3+'Model Inputs'!$B$34)/MAX(1,'Model Inputs'!$B$33)))</f>
        <v>-0.10392304845413269</v>
      </c>
      <c r="I265" s="218">
        <f t="shared" si="73"/>
        <v>31018724.992743965</v>
      </c>
      <c r="J265" s="218">
        <f t="shared" si="86"/>
        <v>27909585.160209741</v>
      </c>
      <c r="K265" s="218">
        <f>F265+J265+IF(D265=1,'Model Inputs'!$B$26,0)</f>
        <v>28209585.160209741</v>
      </c>
      <c r="L265" s="218">
        <f t="shared" si="74"/>
        <v>84628755.480629221</v>
      </c>
      <c r="M265" s="218">
        <f>MIN(L265,'Tax Assumptions'!$B$19)</f>
        <v>24500</v>
      </c>
      <c r="N265" s="218">
        <f>MAX(L265-M265-'Tax Assumptions'!$B$8,0)</f>
        <v>84588155.480629221</v>
      </c>
      <c r="O265" s="218">
        <f>MAX(L265-M265-'Tax Assumptions'!$B$9,0)</f>
        <v>84596255.480629221</v>
      </c>
      <c r="P265" s="218">
        <f>IF(N265=0,0,LOOKUP(N265,'Tax Assumptions'!$F$9:$F$15,'Tax Assumptions'!$I$9:$I$15)+(N265-LOOKUP(N265,'Tax Assumptions'!$F$9:$F$15,'Tax Assumptions'!$F$9:$F$15))*LOOKUP(N265,'Tax Assumptions'!$F$9:$F$15,'Tax Assumptions'!$H$9:$H$15))+MIN(MAX(L265,0),'Tax Assumptions'!$B$11)*'Tax Assumptions'!$B$10+MAX(L265,0)*'Tax Assumptions'!$B$12+MAX(MAX(L265,0)-'Tax Assumptions'!$B$14,0)*'Tax Assumptions'!$B$13+MIN(L265*'Tax Assumptions'!$B$15,'Tax Assumptions'!$B$16)+MIN(L265*'Tax Assumptions'!$B$17,'Tax Assumptions'!$B$18)+IF(O265=0,0,LOOKUP(O265,'Tax Assumptions'!$K$9:$K$17,'Tax Assumptions'!$N$9:$N$17)+(O265-LOOKUP(O265,'Tax Assumptions'!$K$9:$K$17,'Tax Assumptions'!$K$9:$K$17))*LOOKUP(O265,'Tax Assumptions'!$K$9:$K$17,'Tax Assumptions'!$M$9:$M$17))+IF(O265=0,0,LOOKUP(O265,'Tax Assumptions'!$P$9:$P$12,'Tax Assumptions'!$S$9:$S$12)+(O265-LOOKUP(O265,'Tax Assumptions'!$P$9:$P$12,'Tax Assumptions'!$P$9:$P$12))*LOOKUP(O265,'Tax Assumptions'!$P$9:$P$12,'Tax Assumptions'!$R$9:$R$12))</f>
        <v>45536967.731445372</v>
      </c>
      <c r="Q265" s="218">
        <f t="shared" si="75"/>
        <v>39067287.749183849</v>
      </c>
      <c r="R265" s="218">
        <f>IF(D265&lt;=10,INDEX('Savings Projection'!$BL$19:$BL$28,D265),LOOKUP(2,1/('Savings Projection'!$BL$19:$BL$28&lt;&gt;""),'Savings Projection'!$BL$19:$BL$28))*(1+'Model Inputs'!$B$35)^(D265-1)+IF(D265&lt;=10,INDEX('Savings Projection'!$BM$19:$BM$28,D265),LOOKUP(2,1/('Savings Projection'!$BM$19:$BM$28&lt;&gt;""),'Savings Projection'!$BM$19:$BM$28))*(1+'Model Inputs'!$B$36)^(D265-1)</f>
        <v>227955.78690002306</v>
      </c>
      <c r="S265" s="218">
        <f t="shared" si="76"/>
        <v>38839331.962283827</v>
      </c>
      <c r="T265" s="218">
        <f>MIN(MAX(S265,0),'Tax Assumptions'!$B$20)</f>
        <v>7500</v>
      </c>
      <c r="U265" s="218">
        <f t="shared" si="77"/>
        <v>38831831.962283827</v>
      </c>
      <c r="V265" s="218">
        <f>MAX(V264*(1+'Model Inputs'!$B$13)+U265,0)</f>
        <v>214155815.34725979</v>
      </c>
      <c r="W265" s="218">
        <f>MAX(W264*(1+'Model Inputs'!$B$13)+M265+T265,0)</f>
        <v>1177138.9185135181</v>
      </c>
      <c r="X265" s="218">
        <f t="shared" si="78"/>
        <v>215332954.2657733</v>
      </c>
      <c r="Y265" s="226" t="str">
        <f t="shared" si="79"/>
        <v/>
      </c>
      <c r="Z265" s="226" t="str">
        <f t="shared" si="80"/>
        <v/>
      </c>
      <c r="AA265" s="226" t="str">
        <f t="shared" si="81"/>
        <v/>
      </c>
      <c r="AB265" s="226" t="str">
        <f t="shared" si="82"/>
        <v/>
      </c>
    </row>
    <row r="266" spans="1:28" x14ac:dyDescent="0.2">
      <c r="A266" s="214" t="str">
        <f t="shared" si="83"/>
        <v>5Y 3x</v>
      </c>
      <c r="B266" s="214">
        <f t="shared" si="84"/>
        <v>5</v>
      </c>
      <c r="C266" s="223">
        <f t="shared" si="85"/>
        <v>3</v>
      </c>
      <c r="D266" s="214">
        <v>21</v>
      </c>
      <c r="E266" s="214">
        <f t="shared" si="72"/>
        <v>2046</v>
      </c>
      <c r="F266" s="218">
        <f>IF(D266=1,'Model Inputs'!$B$25*(13-'Model Inputs'!$B$23)/12,'Model Inputs'!$B$25)</f>
        <v>300000</v>
      </c>
      <c r="G266" s="218">
        <f>IF(D266=1,'Model Inputs'!$B$27*(13-'Model Inputs'!$B$23)/12,IF(D266=2,'Model Inputs'!$B$27,IF(D266&lt;=MAX(3,'Model Inputs'!$B$30+1),'Model Inputs'!$B$27*(1+'Model Inputs'!$B$28)^(D266-3),'Model Inputs'!$B$27*(1+'Model Inputs'!$B$28)^(MAX(3,'Model Inputs'!$B$30+1)-3)*(1+'Model Inputs'!$B$29)^(D266-MAX(3,'Model Inputs'!$B$30+1)))))</f>
        <v>43992870.912849829</v>
      </c>
      <c r="H266" s="224">
        <f>IF(D266&lt;=2,0,'Model Inputs'!$B$32*SIN(2*PI()*(D266-3+'Model Inputs'!$B$34)/MAX(1,'Model Inputs'!$B$33)))</f>
        <v>-1.7634913907721884E-16</v>
      </c>
      <c r="I266" s="218">
        <f t="shared" si="73"/>
        <v>43992870.912849821</v>
      </c>
      <c r="J266" s="218">
        <f t="shared" si="86"/>
        <v>30781203.440388259</v>
      </c>
      <c r="K266" s="218">
        <f>F266+J266+IF(D266=1,'Model Inputs'!$B$26,0)</f>
        <v>31081203.440388259</v>
      </c>
      <c r="L266" s="218">
        <f t="shared" si="74"/>
        <v>93243610.321164772</v>
      </c>
      <c r="M266" s="218">
        <f>MIN(L266,'Tax Assumptions'!$B$19)</f>
        <v>24500</v>
      </c>
      <c r="N266" s="218">
        <f>MAX(L266-M266-'Tax Assumptions'!$B$8,0)</f>
        <v>93203010.321164772</v>
      </c>
      <c r="O266" s="218">
        <f>MAX(L266-M266-'Tax Assumptions'!$B$9,0)</f>
        <v>93211110.321164772</v>
      </c>
      <c r="P266" s="218">
        <f>IF(N266=0,0,LOOKUP(N266,'Tax Assumptions'!$F$9:$F$15,'Tax Assumptions'!$I$9:$I$15)+(N266-LOOKUP(N266,'Tax Assumptions'!$F$9:$F$15,'Tax Assumptions'!$F$9:$F$15))*LOOKUP(N266,'Tax Assumptions'!$F$9:$F$15,'Tax Assumptions'!$H$9:$H$15))+MIN(MAX(L266,0),'Tax Assumptions'!$B$11)*'Tax Assumptions'!$B$10+MAX(L266,0)*'Tax Assumptions'!$B$12+MAX(MAX(L266,0)-'Tax Assumptions'!$B$14,0)*'Tax Assumptions'!$B$13+MIN(L266*'Tax Assumptions'!$B$15,'Tax Assumptions'!$B$16)+MIN(L266*'Tax Assumptions'!$B$17,'Tax Assumptions'!$B$18)+IF(O266=0,0,LOOKUP(O266,'Tax Assumptions'!$K$9:$K$17,'Tax Assumptions'!$N$9:$N$17)+(O266-LOOKUP(O266,'Tax Assumptions'!$K$9:$K$17,'Tax Assumptions'!$K$9:$K$17))*LOOKUP(O266,'Tax Assumptions'!$K$9:$K$17,'Tax Assumptions'!$M$9:$M$17))+IF(O266=0,0,LOOKUP(O266,'Tax Assumptions'!$P$9:$P$12,'Tax Assumptions'!$S$9:$S$12)+(O266-LOOKUP(O266,'Tax Assumptions'!$P$9:$P$12,'Tax Assumptions'!$P$9:$P$12))*LOOKUP(O266,'Tax Assumptions'!$P$9:$P$12,'Tax Assumptions'!$R$9:$R$12))</f>
        <v>50199844.062433645</v>
      </c>
      <c r="Q266" s="218">
        <f t="shared" si="75"/>
        <v>43019266.258731127</v>
      </c>
      <c r="R266" s="218">
        <f>IF(D266&lt;=10,INDEX('Savings Projection'!$BL$19:$BL$28,D266),LOOKUP(2,1/('Savings Projection'!$BL$19:$BL$28&lt;&gt;""),'Savings Projection'!$BL$19:$BL$28))*(1+'Model Inputs'!$B$35)^(D266-1)+IF(D266&lt;=10,INDEX('Savings Projection'!$BM$19:$BM$28,D266),LOOKUP(2,1/('Savings Projection'!$BM$19:$BM$28&lt;&gt;""),'Savings Projection'!$BM$19:$BM$28))*(1+'Model Inputs'!$B$36)^(D266-1)</f>
        <v>234794.46050702373</v>
      </c>
      <c r="S266" s="218">
        <f t="shared" si="76"/>
        <v>42784471.798224106</v>
      </c>
      <c r="T266" s="218">
        <f>MIN(MAX(S266,0),'Tax Assumptions'!$B$20)</f>
        <v>7500</v>
      </c>
      <c r="U266" s="218">
        <f t="shared" si="77"/>
        <v>42776971.798224106</v>
      </c>
      <c r="V266" s="218">
        <f>MAX(V265*(1+'Model Inputs'!$B$13)+U266,0)</f>
        <v>269782136.06631947</v>
      </c>
      <c r="W266" s="218">
        <f>MAX(W265*(1+'Model Inputs'!$B$13)+M266+T266,0)</f>
        <v>1279767.2536243291</v>
      </c>
      <c r="X266" s="218">
        <f t="shared" si="78"/>
        <v>271061903.31994379</v>
      </c>
      <c r="Y266" s="226" t="str">
        <f t="shared" si="79"/>
        <v/>
      </c>
      <c r="Z266" s="226" t="str">
        <f t="shared" si="80"/>
        <v/>
      </c>
      <c r="AA266" s="226" t="str">
        <f t="shared" si="81"/>
        <v/>
      </c>
      <c r="AB266" s="226" t="str">
        <f t="shared" si="82"/>
        <v/>
      </c>
    </row>
    <row r="267" spans="1:28" x14ac:dyDescent="0.2">
      <c r="A267" s="214" t="str">
        <f t="shared" si="83"/>
        <v>5Y 3x</v>
      </c>
      <c r="B267" s="214">
        <f t="shared" si="84"/>
        <v>5</v>
      </c>
      <c r="C267" s="223">
        <f t="shared" si="85"/>
        <v>3</v>
      </c>
      <c r="D267" s="214">
        <v>22</v>
      </c>
      <c r="E267" s="214">
        <f t="shared" si="72"/>
        <v>2047</v>
      </c>
      <c r="F267" s="218">
        <f>IF(D267=1,'Model Inputs'!$B$25*(13-'Model Inputs'!$B$23)/12,'Model Inputs'!$B$25)</f>
        <v>300000</v>
      </c>
      <c r="G267" s="218">
        <f>IF(D267=1,'Model Inputs'!$B$27*(13-'Model Inputs'!$B$23)/12,IF(D267=2,'Model Inputs'!$B$27,IF(D267&lt;=MAX(3,'Model Inputs'!$B$30+1),'Model Inputs'!$B$27*(1+'Model Inputs'!$B$28)^(D267-3),'Model Inputs'!$B$27*(1+'Model Inputs'!$B$28)^(MAX(3,'Model Inputs'!$B$30+1)-3)*(1+'Model Inputs'!$B$29)^(D267-MAX(3,'Model Inputs'!$B$30+1)))))</f>
        <v>55909546.9462616</v>
      </c>
      <c r="H267" s="224">
        <f>IF(D267&lt;=2,0,'Model Inputs'!$B$32*SIN(2*PI()*(D267-3+'Model Inputs'!$B$34)/MAX(1,'Model Inputs'!$B$33)))</f>
        <v>0.10392304845413287</v>
      </c>
      <c r="I267" s="218">
        <f t="shared" si="73"/>
        <v>61719837.502606563</v>
      </c>
      <c r="J267" s="218">
        <f t="shared" si="86"/>
        <v>40749334.43282336</v>
      </c>
      <c r="K267" s="218">
        <f>F267+J267+IF(D267=1,'Model Inputs'!$B$26,0)</f>
        <v>41049334.43282336</v>
      </c>
      <c r="L267" s="218">
        <f t="shared" si="74"/>
        <v>123148003.29847008</v>
      </c>
      <c r="M267" s="218">
        <f>MIN(L267,'Tax Assumptions'!$B$19)</f>
        <v>24500</v>
      </c>
      <c r="N267" s="218">
        <f>MAX(L267-M267-'Tax Assumptions'!$B$8,0)</f>
        <v>123107403.29847008</v>
      </c>
      <c r="O267" s="218">
        <f>MAX(L267-M267-'Tax Assumptions'!$B$9,0)</f>
        <v>123115503.29847008</v>
      </c>
      <c r="P267" s="218">
        <f>IF(N267=0,0,LOOKUP(N267,'Tax Assumptions'!$F$9:$F$15,'Tax Assumptions'!$I$9:$I$15)+(N267-LOOKUP(N267,'Tax Assumptions'!$F$9:$F$15,'Tax Assumptions'!$F$9:$F$15))*LOOKUP(N267,'Tax Assumptions'!$F$9:$F$15,'Tax Assumptions'!$H$9:$H$15))+MIN(MAX(L267,0),'Tax Assumptions'!$B$11)*'Tax Assumptions'!$B$10+MAX(L267,0)*'Tax Assumptions'!$B$12+MAX(MAX(L267,0)-'Tax Assumptions'!$B$14,0)*'Tax Assumptions'!$B$13+MIN(L267*'Tax Assumptions'!$B$15,'Tax Assumptions'!$B$16)+MIN(L267*'Tax Assumptions'!$B$17,'Tax Assumptions'!$B$18)+IF(O267=0,0,LOOKUP(O267,'Tax Assumptions'!$K$9:$K$17,'Tax Assumptions'!$N$9:$N$17)+(O267-LOOKUP(O267,'Tax Assumptions'!$K$9:$K$17,'Tax Assumptions'!$K$9:$K$17))*LOOKUP(O267,'Tax Assumptions'!$K$9:$K$17,'Tax Assumptions'!$M$9:$M$17))+IF(O267=0,0,LOOKUP(O267,'Tax Assumptions'!$P$9:$P$12,'Tax Assumptions'!$S$9:$S$12)+(O267-LOOKUP(O267,'Tax Assumptions'!$P$9:$P$12,'Tax Assumptions'!$P$9:$P$12))*LOOKUP(O267,'Tax Assumptions'!$P$9:$P$12,'Tax Assumptions'!$R$9:$R$12))</f>
        <v>66385895.805329919</v>
      </c>
      <c r="Q267" s="218">
        <f t="shared" si="75"/>
        <v>56737607.493140161</v>
      </c>
      <c r="R267" s="218">
        <f>IF(D267&lt;=10,INDEX('Savings Projection'!$BL$19:$BL$28,D267),LOOKUP(2,1/('Savings Projection'!$BL$19:$BL$28&lt;&gt;""),'Savings Projection'!$BL$19:$BL$28))*(1+'Model Inputs'!$B$35)^(D267-1)+IF(D267&lt;=10,INDEX('Savings Projection'!$BM$19:$BM$28,D267),LOOKUP(2,1/('Savings Projection'!$BM$19:$BM$28&lt;&gt;""),'Savings Projection'!$BM$19:$BM$28))*(1+'Model Inputs'!$B$36)^(D267-1)</f>
        <v>241838.2943222344</v>
      </c>
      <c r="S267" s="218">
        <f t="shared" si="76"/>
        <v>56495769.198817924</v>
      </c>
      <c r="T267" s="218">
        <f>MIN(MAX(S267,0),'Tax Assumptions'!$B$20)</f>
        <v>7500</v>
      </c>
      <c r="U267" s="218">
        <f t="shared" si="77"/>
        <v>56488269.198817924</v>
      </c>
      <c r="V267" s="218">
        <f>MAX(V266*(1+'Model Inputs'!$B$13)+U267,0)</f>
        <v>342457333.42911655</v>
      </c>
      <c r="W267" s="218">
        <f>MAX(W266*(1+'Model Inputs'!$B$13)+M267+T267,0)</f>
        <v>1388553.2888417889</v>
      </c>
      <c r="X267" s="218">
        <f t="shared" si="78"/>
        <v>343845886.71795833</v>
      </c>
      <c r="Y267" s="226" t="str">
        <f t="shared" si="79"/>
        <v/>
      </c>
      <c r="Z267" s="226" t="str">
        <f t="shared" si="80"/>
        <v/>
      </c>
      <c r="AA267" s="226" t="str">
        <f t="shared" si="81"/>
        <v/>
      </c>
      <c r="AB267" s="226" t="str">
        <f t="shared" si="82"/>
        <v/>
      </c>
    </row>
    <row r="268" spans="1:28" x14ac:dyDescent="0.2">
      <c r="A268" s="214" t="str">
        <f t="shared" si="83"/>
        <v>5Y 3x</v>
      </c>
      <c r="B268" s="214">
        <f t="shared" si="84"/>
        <v>5</v>
      </c>
      <c r="C268" s="223">
        <f t="shared" si="85"/>
        <v>3</v>
      </c>
      <c r="D268" s="214">
        <v>23</v>
      </c>
      <c r="E268" s="214">
        <f t="shared" si="72"/>
        <v>2048</v>
      </c>
      <c r="F268" s="218">
        <f>IF(D268=1,'Model Inputs'!$B$25*(13-'Model Inputs'!$B$23)/12,'Model Inputs'!$B$25)</f>
        <v>300000</v>
      </c>
      <c r="G268" s="218">
        <f>IF(D268=1,'Model Inputs'!$B$27*(13-'Model Inputs'!$B$23)/12,IF(D268=2,'Model Inputs'!$B$27,IF(D268&lt;=MAX(3,'Model Inputs'!$B$30+1),'Model Inputs'!$B$27*(1+'Model Inputs'!$B$28)^(D268-3),'Model Inputs'!$B$27*(1+'Model Inputs'!$B$28)^(MAX(3,'Model Inputs'!$B$30+1)-3)*(1+'Model Inputs'!$B$29)^(D268-MAX(3,'Model Inputs'!$B$30+1)))))</f>
        <v>71054181.617940187</v>
      </c>
      <c r="H268" s="224">
        <f>IF(D268&lt;=2,0,'Model Inputs'!$B$32*SIN(2*PI()*(D268-3+'Model Inputs'!$B$34)/MAX(1,'Model Inputs'!$B$33)))</f>
        <v>-0.10392304845413268</v>
      </c>
      <c r="I268" s="218">
        <f t="shared" si="73"/>
        <v>63670014.458790243</v>
      </c>
      <c r="J268" s="218">
        <f t="shared" si="86"/>
        <v>57288095.855167374</v>
      </c>
      <c r="K268" s="218">
        <f>F268+J268+IF(D268=1,'Model Inputs'!$B$26,0)</f>
        <v>57588095.855167374</v>
      </c>
      <c r="L268" s="218">
        <f t="shared" si="74"/>
        <v>172764287.56550211</v>
      </c>
      <c r="M268" s="218">
        <f>MIN(L268,'Tax Assumptions'!$B$19)</f>
        <v>24500</v>
      </c>
      <c r="N268" s="218">
        <f>MAX(L268-M268-'Tax Assumptions'!$B$8,0)</f>
        <v>172723687.56550211</v>
      </c>
      <c r="O268" s="218">
        <f>MAX(L268-M268-'Tax Assumptions'!$B$9,0)</f>
        <v>172731787.56550211</v>
      </c>
      <c r="P268" s="218">
        <f>IF(N268=0,0,LOOKUP(N268,'Tax Assumptions'!$F$9:$F$15,'Tax Assumptions'!$I$9:$I$15)+(N268-LOOKUP(N268,'Tax Assumptions'!$F$9:$F$15,'Tax Assumptions'!$F$9:$F$15))*LOOKUP(N268,'Tax Assumptions'!$F$9:$F$15,'Tax Assumptions'!$H$9:$H$15))+MIN(MAX(L268,0),'Tax Assumptions'!$B$11)*'Tax Assumptions'!$B$10+MAX(L268,0)*'Tax Assumptions'!$B$12+MAX(MAX(L268,0)-'Tax Assumptions'!$B$14,0)*'Tax Assumptions'!$B$13+MIN(L268*'Tax Assumptions'!$B$15,'Tax Assumptions'!$B$16)+MIN(L268*'Tax Assumptions'!$B$17,'Tax Assumptions'!$B$18)+IF(O268=0,0,LOOKUP(O268,'Tax Assumptions'!$K$9:$K$17,'Tax Assumptions'!$N$9:$N$17)+(O268-LOOKUP(O268,'Tax Assumptions'!$K$9:$K$17,'Tax Assumptions'!$K$9:$K$17))*LOOKUP(O268,'Tax Assumptions'!$K$9:$K$17,'Tax Assumptions'!$M$9:$M$17))+IF(O268=0,0,LOOKUP(O268,'Tax Assumptions'!$P$9:$P$12,'Tax Assumptions'!$S$9:$S$12)+(O268-LOOKUP(O268,'Tax Assumptions'!$P$9:$P$12,'Tax Assumptions'!$P$9:$P$12))*LOOKUP(O268,'Tax Assumptions'!$P$9:$P$12,'Tax Assumptions'!$R$9:$R$12))</f>
        <v>93241205.82770367</v>
      </c>
      <c r="Q268" s="218">
        <f t="shared" si="75"/>
        <v>79498581.737798437</v>
      </c>
      <c r="R268" s="218">
        <f>IF(D268&lt;=10,INDEX('Savings Projection'!$BL$19:$BL$28,D268),LOOKUP(2,1/('Savings Projection'!$BL$19:$BL$28&lt;&gt;""),'Savings Projection'!$BL$19:$BL$28))*(1+'Model Inputs'!$B$35)^(D268-1)+IF(D268&lt;=10,INDEX('Savings Projection'!$BM$19:$BM$28,D268),LOOKUP(2,1/('Savings Projection'!$BM$19:$BM$28&lt;&gt;""),'Savings Projection'!$BM$19:$BM$28))*(1+'Model Inputs'!$B$36)^(D268-1)</f>
        <v>249093.44315190148</v>
      </c>
      <c r="S268" s="218">
        <f t="shared" si="76"/>
        <v>79249488.294646531</v>
      </c>
      <c r="T268" s="218">
        <f>MIN(MAX(S268,0),'Tax Assumptions'!$B$20)</f>
        <v>7500</v>
      </c>
      <c r="U268" s="218">
        <f t="shared" si="77"/>
        <v>79241988.294646531</v>
      </c>
      <c r="V268" s="218">
        <f>MAX(V267*(1+'Model Inputs'!$B$13)+U268,0)</f>
        <v>442246761.72951007</v>
      </c>
      <c r="W268" s="218">
        <f>MAX(W267*(1+'Model Inputs'!$B$13)+M268+T268,0)</f>
        <v>1503866.4861722963</v>
      </c>
      <c r="X268" s="218">
        <f t="shared" si="78"/>
        <v>443750628.21568239</v>
      </c>
      <c r="Y268" s="226" t="str">
        <f t="shared" si="79"/>
        <v/>
      </c>
      <c r="Z268" s="226" t="str">
        <f t="shared" si="80"/>
        <v/>
      </c>
      <c r="AA268" s="226" t="str">
        <f t="shared" si="81"/>
        <v/>
      </c>
      <c r="AB268" s="226" t="str">
        <f t="shared" si="82"/>
        <v/>
      </c>
    </row>
    <row r="269" spans="1:28" x14ac:dyDescent="0.2">
      <c r="A269" s="214" t="str">
        <f t="shared" si="83"/>
        <v>5Y 3x</v>
      </c>
      <c r="B269" s="214">
        <f t="shared" si="84"/>
        <v>5</v>
      </c>
      <c r="C269" s="223">
        <f t="shared" si="85"/>
        <v>3</v>
      </c>
      <c r="D269" s="214">
        <v>24</v>
      </c>
      <c r="E269" s="214">
        <f t="shared" si="72"/>
        <v>2049</v>
      </c>
      <c r="F269" s="218">
        <f>IF(D269=1,'Model Inputs'!$B$25*(13-'Model Inputs'!$B$23)/12,'Model Inputs'!$B$25)</f>
        <v>300000</v>
      </c>
      <c r="G269" s="218">
        <f>IF(D269=1,'Model Inputs'!$B$27*(13-'Model Inputs'!$B$23)/12,IF(D269=2,'Model Inputs'!$B$27,IF(D269&lt;=MAX(3,'Model Inputs'!$B$30+1),'Model Inputs'!$B$27*(1+'Model Inputs'!$B$28)^(D269-3),'Model Inputs'!$B$27*(1+'Model Inputs'!$B$28)^(MAX(3,'Model Inputs'!$B$30+1)-3)*(1+'Model Inputs'!$B$29)^(D269-MAX(3,'Model Inputs'!$B$30+1)))))</f>
        <v>90301156.084270701</v>
      </c>
      <c r="H269" s="224">
        <f>IF(D269&lt;=2,0,'Model Inputs'!$B$32*SIN(2*PI()*(D269-3+'Model Inputs'!$B$34)/MAX(1,'Model Inputs'!$B$33)))</f>
        <v>-2.0574066225675533E-16</v>
      </c>
      <c r="I269" s="218">
        <f t="shared" si="73"/>
        <v>90301156.084270686</v>
      </c>
      <c r="J269" s="218">
        <f t="shared" si="86"/>
        <v>63182470.219744325</v>
      </c>
      <c r="K269" s="218">
        <f>F269+J269+IF(D269=1,'Model Inputs'!$B$26,0)</f>
        <v>63482470.219744325</v>
      </c>
      <c r="L269" s="218">
        <f t="shared" si="74"/>
        <v>190447410.65923297</v>
      </c>
      <c r="M269" s="218">
        <f>MIN(L269,'Tax Assumptions'!$B$19)</f>
        <v>24500</v>
      </c>
      <c r="N269" s="218">
        <f>MAX(L269-M269-'Tax Assumptions'!$B$8,0)</f>
        <v>190406810.65923297</v>
      </c>
      <c r="O269" s="218">
        <f>MAX(L269-M269-'Tax Assumptions'!$B$9,0)</f>
        <v>190414910.65923297</v>
      </c>
      <c r="P269" s="218">
        <f>IF(N269=0,0,LOOKUP(N269,'Tax Assumptions'!$F$9:$F$15,'Tax Assumptions'!$I$9:$I$15)+(N269-LOOKUP(N269,'Tax Assumptions'!$F$9:$F$15,'Tax Assumptions'!$F$9:$F$15))*LOOKUP(N269,'Tax Assumptions'!$F$9:$F$15,'Tax Assumptions'!$H$9:$H$15))+MIN(MAX(L269,0),'Tax Assumptions'!$B$11)*'Tax Assumptions'!$B$10+MAX(L269,0)*'Tax Assumptions'!$B$12+MAX(MAX(L269,0)-'Tax Assumptions'!$B$14,0)*'Tax Assumptions'!$B$13+MIN(L269*'Tax Assumptions'!$B$15,'Tax Assumptions'!$B$16)+MIN(L269*'Tax Assumptions'!$B$17,'Tax Assumptions'!$B$18)+IF(O269=0,0,LOOKUP(O269,'Tax Assumptions'!$K$9:$K$17,'Tax Assumptions'!$N$9:$N$17)+(O269-LOOKUP(O269,'Tax Assumptions'!$K$9:$K$17,'Tax Assumptions'!$K$9:$K$17))*LOOKUP(O269,'Tax Assumptions'!$K$9:$K$17,'Tax Assumptions'!$M$9:$M$17))+IF(O269=0,0,LOOKUP(O269,'Tax Assumptions'!$P$9:$P$12,'Tax Assumptions'!$S$9:$S$12)+(O269-LOOKUP(O269,'Tax Assumptions'!$P$9:$P$12,'Tax Assumptions'!$P$9:$P$12))*LOOKUP(O269,'Tax Assumptions'!$P$9:$P$12,'Tax Assumptions'!$R$9:$R$12))</f>
        <v>102812373.03341645</v>
      </c>
      <c r="Q269" s="218">
        <f t="shared" si="75"/>
        <v>87610537.625816524</v>
      </c>
      <c r="R269" s="218">
        <f>IF(D269&lt;=10,INDEX('Savings Projection'!$BL$19:$BL$28,D269),LOOKUP(2,1/('Savings Projection'!$BL$19:$BL$28&lt;&gt;""),'Savings Projection'!$BL$19:$BL$28))*(1+'Model Inputs'!$B$35)^(D269-1)+IF(D269&lt;=10,INDEX('Savings Projection'!$BM$19:$BM$28,D269),LOOKUP(2,1/('Savings Projection'!$BM$19:$BM$28&lt;&gt;""),'Savings Projection'!$BM$19:$BM$28))*(1+'Model Inputs'!$B$36)^(D269-1)</f>
        <v>256566.24644645851</v>
      </c>
      <c r="S269" s="218">
        <f t="shared" si="76"/>
        <v>87353971.379370064</v>
      </c>
      <c r="T269" s="218">
        <f>MIN(MAX(S269,0),'Tax Assumptions'!$B$20)</f>
        <v>7500</v>
      </c>
      <c r="U269" s="218">
        <f t="shared" si="77"/>
        <v>87346471.379370064</v>
      </c>
      <c r="V269" s="218">
        <f>MAX(V268*(1+'Model Inputs'!$B$13)+U269,0)</f>
        <v>556128038.8126508</v>
      </c>
      <c r="W269" s="218">
        <f>MAX(W268*(1+'Model Inputs'!$B$13)+M269+T269,0)</f>
        <v>1626098.4753426341</v>
      </c>
      <c r="X269" s="218">
        <f t="shared" si="78"/>
        <v>557754137.28799343</v>
      </c>
      <c r="Y269" s="226" t="str">
        <f t="shared" si="79"/>
        <v/>
      </c>
      <c r="Z269" s="226" t="str">
        <f t="shared" si="80"/>
        <v/>
      </c>
      <c r="AA269" s="226" t="str">
        <f t="shared" si="81"/>
        <v/>
      </c>
      <c r="AB269" s="226" t="str">
        <f t="shared" si="82"/>
        <v/>
      </c>
    </row>
    <row r="270" spans="1:28" x14ac:dyDescent="0.2">
      <c r="A270" s="214" t="str">
        <f t="shared" si="83"/>
        <v>5Y 3x</v>
      </c>
      <c r="B270" s="214">
        <f t="shared" si="84"/>
        <v>5</v>
      </c>
      <c r="C270" s="223">
        <f t="shared" si="85"/>
        <v>3</v>
      </c>
      <c r="D270" s="214">
        <v>25</v>
      </c>
      <c r="E270" s="214">
        <f t="shared" si="72"/>
        <v>2050</v>
      </c>
      <c r="F270" s="218">
        <f>IF(D270=1,'Model Inputs'!$B$25*(13-'Model Inputs'!$B$23)/12,'Model Inputs'!$B$25)</f>
        <v>300000</v>
      </c>
      <c r="G270" s="218">
        <f>IF(D270=1,'Model Inputs'!$B$27*(13-'Model Inputs'!$B$23)/12,IF(D270=2,'Model Inputs'!$B$27,IF(D270&lt;=MAX(3,'Model Inputs'!$B$30+1),'Model Inputs'!$B$27*(1+'Model Inputs'!$B$28)^(D270-3),'Model Inputs'!$B$27*(1+'Model Inputs'!$B$28)^(MAX(3,'Model Inputs'!$B$30+1)-3)*(1+'Model Inputs'!$B$29)^(D270-MAX(3,'Model Inputs'!$B$30+1)))))</f>
        <v>114761701.62653697</v>
      </c>
      <c r="H270" s="224">
        <f>IF(D270&lt;=2,0,'Model Inputs'!$B$32*SIN(2*PI()*(D270-3+'Model Inputs'!$B$34)/MAX(1,'Model Inputs'!$B$33)))</f>
        <v>0.10392304845413287</v>
      </c>
      <c r="I270" s="218">
        <f t="shared" si="73"/>
        <v>126688087.50535031</v>
      </c>
      <c r="J270" s="218">
        <f t="shared" si="86"/>
        <v>83643370.677900568</v>
      </c>
      <c r="K270" s="218">
        <f>F270+J270+IF(D270=1,'Model Inputs'!$B$26,0)</f>
        <v>83943370.677900568</v>
      </c>
      <c r="L270" s="218">
        <f t="shared" si="74"/>
        <v>251830112.03370172</v>
      </c>
      <c r="M270" s="218">
        <f>MIN(L270,'Tax Assumptions'!$B$19)</f>
        <v>24500</v>
      </c>
      <c r="N270" s="218">
        <f>MAX(L270-M270-'Tax Assumptions'!$B$8,0)</f>
        <v>251789512.03370172</v>
      </c>
      <c r="O270" s="218">
        <f>MAX(L270-M270-'Tax Assumptions'!$B$9,0)</f>
        <v>251797612.03370172</v>
      </c>
      <c r="P270" s="218">
        <f>IF(N270=0,0,LOOKUP(N270,'Tax Assumptions'!$F$9:$F$15,'Tax Assumptions'!$I$9:$I$15)+(N270-LOOKUP(N270,'Tax Assumptions'!$F$9:$F$15,'Tax Assumptions'!$F$9:$F$15))*LOOKUP(N270,'Tax Assumptions'!$F$9:$F$15,'Tax Assumptions'!$H$9:$H$15))+MIN(MAX(L270,0),'Tax Assumptions'!$B$11)*'Tax Assumptions'!$B$10+MAX(L270,0)*'Tax Assumptions'!$B$12+MAX(MAX(L270,0)-'Tax Assumptions'!$B$14,0)*'Tax Assumptions'!$B$13+MIN(L270*'Tax Assumptions'!$B$15,'Tax Assumptions'!$B$16)+MIN(L270*'Tax Assumptions'!$B$17,'Tax Assumptions'!$B$18)+IF(O270=0,0,LOOKUP(O270,'Tax Assumptions'!$K$9:$K$17,'Tax Assumptions'!$N$9:$N$17)+(O270-LOOKUP(O270,'Tax Assumptions'!$K$9:$K$17,'Tax Assumptions'!$K$9:$K$17))*LOOKUP(O270,'Tax Assumptions'!$K$9:$K$17,'Tax Assumptions'!$M$9:$M$17))+IF(O270=0,0,LOOKUP(O270,'Tax Assumptions'!$P$9:$P$12,'Tax Assumptions'!$S$9:$S$12)+(O270-LOOKUP(O270,'Tax Assumptions'!$P$9:$P$12,'Tax Assumptions'!$P$9:$P$12))*LOOKUP(O270,'Tax Assumptions'!$P$9:$P$12,'Tax Assumptions'!$R$9:$R$12))</f>
        <v>136036373.97936139</v>
      </c>
      <c r="Q270" s="218">
        <f t="shared" si="75"/>
        <v>115769238.05434033</v>
      </c>
      <c r="R270" s="218">
        <f>IF(D270&lt;=10,INDEX('Savings Projection'!$BL$19:$BL$28,D270),LOOKUP(2,1/('Savings Projection'!$BL$19:$BL$28&lt;&gt;""),'Savings Projection'!$BL$19:$BL$28))*(1+'Model Inputs'!$B$35)^(D270-1)+IF(D270&lt;=10,INDEX('Savings Projection'!$BM$19:$BM$28,D270),LOOKUP(2,1/('Savings Projection'!$BM$19:$BM$28&lt;&gt;""),'Savings Projection'!$BM$19:$BM$28))*(1+'Model Inputs'!$B$36)^(D270-1)</f>
        <v>264263.23383985227</v>
      </c>
      <c r="S270" s="218">
        <f t="shared" si="76"/>
        <v>115504974.82050048</v>
      </c>
      <c r="T270" s="218">
        <f>MIN(MAX(S270,0),'Tax Assumptions'!$B$20)</f>
        <v>7500</v>
      </c>
      <c r="U270" s="218">
        <f t="shared" si="77"/>
        <v>115497474.82050048</v>
      </c>
      <c r="V270" s="218">
        <f>MAX(V269*(1+'Model Inputs'!$B$13)+U270,0)</f>
        <v>704993195.96191037</v>
      </c>
      <c r="W270" s="218">
        <f>MAX(W269*(1+'Model Inputs'!$B$13)+M270+T270,0)</f>
        <v>1755664.3838631923</v>
      </c>
      <c r="X270" s="218">
        <f t="shared" si="78"/>
        <v>706748860.34577358</v>
      </c>
      <c r="Y270" s="226" t="str">
        <f t="shared" si="79"/>
        <v/>
      </c>
      <c r="Z270" s="226" t="str">
        <f t="shared" si="80"/>
        <v/>
      </c>
      <c r="AA270" s="226" t="str">
        <f t="shared" si="81"/>
        <v/>
      </c>
      <c r="AB270" s="226" t="str">
        <f t="shared" si="82"/>
        <v/>
      </c>
    </row>
    <row r="271" spans="1:28" x14ac:dyDescent="0.2">
      <c r="A271" s="214" t="str">
        <f t="shared" si="83"/>
        <v>5Y 3x</v>
      </c>
      <c r="B271" s="214">
        <f t="shared" si="84"/>
        <v>5</v>
      </c>
      <c r="C271" s="223">
        <f t="shared" si="85"/>
        <v>3</v>
      </c>
      <c r="D271" s="214">
        <v>26</v>
      </c>
      <c r="E271" s="214">
        <f t="shared" si="72"/>
        <v>2051</v>
      </c>
      <c r="F271" s="218">
        <f>IF(D271=1,'Model Inputs'!$B$25*(13-'Model Inputs'!$B$23)/12,'Model Inputs'!$B$25)</f>
        <v>300000</v>
      </c>
      <c r="G271" s="218">
        <f>IF(D271=1,'Model Inputs'!$B$27*(13-'Model Inputs'!$B$23)/12,IF(D271=2,'Model Inputs'!$B$27,IF(D271&lt;=MAX(3,'Model Inputs'!$B$30+1),'Model Inputs'!$B$27*(1+'Model Inputs'!$B$28)^(D271-3),'Model Inputs'!$B$27*(1+'Model Inputs'!$B$28)^(MAX(3,'Model Inputs'!$B$30+1)-3)*(1+'Model Inputs'!$B$29)^(D271-MAX(3,'Model Inputs'!$B$30+1)))))</f>
        <v>145848057.00524563</v>
      </c>
      <c r="H271" s="224">
        <f>IF(D271&lt;=2,0,'Model Inputs'!$B$32*SIN(2*PI()*(D271-3+'Model Inputs'!$B$34)/MAX(1,'Model Inputs'!$B$33)))</f>
        <v>-0.10392304845413224</v>
      </c>
      <c r="I271" s="218">
        <f t="shared" si="73"/>
        <v>130691082.31014845</v>
      </c>
      <c r="J271" s="218">
        <f t="shared" si="86"/>
        <v>117591354.65008041</v>
      </c>
      <c r="K271" s="218">
        <f>F271+J271+IF(D271=1,'Model Inputs'!$B$26,0)</f>
        <v>117891354.65008041</v>
      </c>
      <c r="L271" s="218">
        <f t="shared" si="74"/>
        <v>353674063.95024121</v>
      </c>
      <c r="M271" s="218">
        <f>MIN(L271,'Tax Assumptions'!$B$19)</f>
        <v>24500</v>
      </c>
      <c r="N271" s="218">
        <f>MAX(L271-M271-'Tax Assumptions'!$B$8,0)</f>
        <v>353633463.95024121</v>
      </c>
      <c r="O271" s="218">
        <f>MAX(L271-M271-'Tax Assumptions'!$B$9,0)</f>
        <v>353641563.95024121</v>
      </c>
      <c r="P271" s="218">
        <f>IF(N271=0,0,LOOKUP(N271,'Tax Assumptions'!$F$9:$F$15,'Tax Assumptions'!$I$9:$I$15)+(N271-LOOKUP(N271,'Tax Assumptions'!$F$9:$F$15,'Tax Assumptions'!$F$9:$F$15))*LOOKUP(N271,'Tax Assumptions'!$F$9:$F$15,'Tax Assumptions'!$H$9:$H$15))+MIN(MAX(L271,0),'Tax Assumptions'!$B$11)*'Tax Assumptions'!$B$10+MAX(L271,0)*'Tax Assumptions'!$B$12+MAX(MAX(L271,0)-'Tax Assumptions'!$B$14,0)*'Tax Assumptions'!$B$13+MIN(L271*'Tax Assumptions'!$B$15,'Tax Assumptions'!$B$16)+MIN(L271*'Tax Assumptions'!$B$17,'Tax Assumptions'!$B$18)+IF(O271=0,0,LOOKUP(O271,'Tax Assumptions'!$K$9:$K$17,'Tax Assumptions'!$N$9:$N$17)+(O271-LOOKUP(O271,'Tax Assumptions'!$K$9:$K$17,'Tax Assumptions'!$K$9:$K$17))*LOOKUP(O271,'Tax Assumptions'!$K$9:$K$17,'Tax Assumptions'!$M$9:$M$17))+IF(O271=0,0,LOOKUP(O271,'Tax Assumptions'!$P$9:$P$12,'Tax Assumptions'!$S$9:$S$12)+(O271-LOOKUP(O271,'Tax Assumptions'!$P$9:$P$12,'Tax Assumptions'!$P$9:$P$12))*LOOKUP(O271,'Tax Assumptions'!$P$9:$P$12,'Tax Assumptions'!$R$9:$R$12))</f>
        <v>191160431.39370754</v>
      </c>
      <c r="Q271" s="218">
        <f t="shared" si="75"/>
        <v>162489132.55653366</v>
      </c>
      <c r="R271" s="218">
        <f>IF(D271&lt;=10,INDEX('Savings Projection'!$BL$19:$BL$28,D271),LOOKUP(2,1/('Savings Projection'!$BL$19:$BL$28&lt;&gt;""),'Savings Projection'!$BL$19:$BL$28))*(1+'Model Inputs'!$B$35)^(D271-1)+IF(D271&lt;=10,INDEX('Savings Projection'!$BM$19:$BM$28,D271),LOOKUP(2,1/('Savings Projection'!$BM$19:$BM$28&lt;&gt;""),'Savings Projection'!$BM$19:$BM$28))*(1+'Model Inputs'!$B$36)^(D271-1)</f>
        <v>272191.13085504784</v>
      </c>
      <c r="S271" s="218">
        <f t="shared" si="76"/>
        <v>162216941.42567861</v>
      </c>
      <c r="T271" s="218">
        <f>MIN(MAX(S271,0),'Tax Assumptions'!$B$20)</f>
        <v>7500</v>
      </c>
      <c r="U271" s="218">
        <f t="shared" si="77"/>
        <v>162209441.42567861</v>
      </c>
      <c r="V271" s="218">
        <f>MAX(V270*(1+'Model Inputs'!$B$13)+U271,0)</f>
        <v>909502229.14530361</v>
      </c>
      <c r="W271" s="218">
        <f>MAX(W270*(1+'Model Inputs'!$B$13)+M271+T271,0)</f>
        <v>1893004.2468949838</v>
      </c>
      <c r="X271" s="218">
        <f t="shared" si="78"/>
        <v>911395233.39219856</v>
      </c>
      <c r="Y271" s="226" t="str">
        <f t="shared" si="79"/>
        <v/>
      </c>
      <c r="Z271" s="226" t="str">
        <f t="shared" si="80"/>
        <v/>
      </c>
      <c r="AA271" s="226" t="str">
        <f t="shared" si="81"/>
        <v/>
      </c>
      <c r="AB271" s="226" t="str">
        <f t="shared" si="82"/>
        <v/>
      </c>
    </row>
    <row r="272" spans="1:28" x14ac:dyDescent="0.2">
      <c r="A272" s="214" t="str">
        <f t="shared" si="83"/>
        <v>5Y 3x</v>
      </c>
      <c r="B272" s="214">
        <f t="shared" si="84"/>
        <v>5</v>
      </c>
      <c r="C272" s="223">
        <f t="shared" si="85"/>
        <v>3</v>
      </c>
      <c r="D272" s="214">
        <v>27</v>
      </c>
      <c r="E272" s="214">
        <f t="shared" si="72"/>
        <v>2052</v>
      </c>
      <c r="F272" s="218">
        <f>IF(D272=1,'Model Inputs'!$B$25*(13-'Model Inputs'!$B$23)/12,'Model Inputs'!$B$25)</f>
        <v>300000</v>
      </c>
      <c r="G272" s="218">
        <f>IF(D272=1,'Model Inputs'!$B$27*(13-'Model Inputs'!$B$23)/12,IF(D272=2,'Model Inputs'!$B$27,IF(D272&lt;=MAX(3,'Model Inputs'!$B$30+1),'Model Inputs'!$B$27*(1+'Model Inputs'!$B$28)^(D272-3),'Model Inputs'!$B$27*(1+'Model Inputs'!$B$28)^(MAX(3,'Model Inputs'!$B$30+1)-3)*(1+'Model Inputs'!$B$29)^(D272-MAX(3,'Model Inputs'!$B$30+1)))))</f>
        <v>185355004.59402937</v>
      </c>
      <c r="H272" s="224">
        <f>IF(D272&lt;=2,0,'Model Inputs'!$B$32*SIN(2*PI()*(D272-3+'Model Inputs'!$B$34)/MAX(1,'Model Inputs'!$B$33)))</f>
        <v>-2.3513218543629179E-16</v>
      </c>
      <c r="I272" s="218">
        <f t="shared" si="73"/>
        <v>185355004.59402934</v>
      </c>
      <c r="J272" s="218">
        <f t="shared" si="86"/>
        <v>129690333.6089489</v>
      </c>
      <c r="K272" s="218">
        <f>F272+J272+IF(D272=1,'Model Inputs'!$B$26,0)</f>
        <v>129990333.6089489</v>
      </c>
      <c r="L272" s="218">
        <f t="shared" si="74"/>
        <v>389971000.82684672</v>
      </c>
      <c r="M272" s="218">
        <f>MIN(L272,'Tax Assumptions'!$B$19)</f>
        <v>24500</v>
      </c>
      <c r="N272" s="218">
        <f>MAX(L272-M272-'Tax Assumptions'!$B$8,0)</f>
        <v>389930400.82684672</v>
      </c>
      <c r="O272" s="218">
        <f>MAX(L272-M272-'Tax Assumptions'!$B$9,0)</f>
        <v>389938500.82684672</v>
      </c>
      <c r="P272" s="218">
        <f>IF(N272=0,0,LOOKUP(N272,'Tax Assumptions'!$F$9:$F$15,'Tax Assumptions'!$I$9:$I$15)+(N272-LOOKUP(N272,'Tax Assumptions'!$F$9:$F$15,'Tax Assumptions'!$F$9:$F$15))*LOOKUP(N272,'Tax Assumptions'!$F$9:$F$15,'Tax Assumptions'!$H$9:$H$15))+MIN(MAX(L272,0),'Tax Assumptions'!$B$11)*'Tax Assumptions'!$B$10+MAX(L272,0)*'Tax Assumptions'!$B$12+MAX(MAX(L272,0)-'Tax Assumptions'!$B$14,0)*'Tax Assumptions'!$B$13+MIN(L272*'Tax Assumptions'!$B$15,'Tax Assumptions'!$B$16)+MIN(L272*'Tax Assumptions'!$B$17,'Tax Assumptions'!$B$18)+IF(O272=0,0,LOOKUP(O272,'Tax Assumptions'!$K$9:$K$17,'Tax Assumptions'!$N$9:$N$17)+(O272-LOOKUP(O272,'Tax Assumptions'!$K$9:$K$17,'Tax Assumptions'!$K$9:$K$17))*LOOKUP(O272,'Tax Assumptions'!$K$9:$K$17,'Tax Assumptions'!$M$9:$M$17))+IF(O272=0,0,LOOKUP(O272,'Tax Assumptions'!$P$9:$P$12,'Tax Assumptions'!$S$9:$S$12)+(O272-LOOKUP(O272,'Tax Assumptions'!$P$9:$P$12,'Tax Assumptions'!$P$9:$P$12))*LOOKUP(O272,'Tax Assumptions'!$P$9:$P$12,'Tax Assumptions'!$R$9:$R$12))</f>
        <v>210806511.44753903</v>
      </c>
      <c r="Q272" s="218">
        <f t="shared" si="75"/>
        <v>179139989.37930769</v>
      </c>
      <c r="R272" s="218">
        <f>IF(D272&lt;=10,INDEX('Savings Projection'!$BL$19:$BL$28,D272),LOOKUP(2,1/('Savings Projection'!$BL$19:$BL$28&lt;&gt;""),'Savings Projection'!$BL$19:$BL$28))*(1+'Model Inputs'!$B$35)^(D272-1)+IF(D272&lt;=10,INDEX('Savings Projection'!$BM$19:$BM$28,D272),LOOKUP(2,1/('Savings Projection'!$BM$19:$BM$28&lt;&gt;""),'Savings Projection'!$BM$19:$BM$28))*(1+'Model Inputs'!$B$36)^(D272-1)</f>
        <v>280356.86478069925</v>
      </c>
      <c r="S272" s="218">
        <f t="shared" si="76"/>
        <v>178859632.51452699</v>
      </c>
      <c r="T272" s="218">
        <f>MIN(MAX(S272,0),'Tax Assumptions'!$B$20)</f>
        <v>7500</v>
      </c>
      <c r="U272" s="218">
        <f t="shared" si="77"/>
        <v>178852132.51452699</v>
      </c>
      <c r="V272" s="218">
        <f>MAX(V271*(1+'Model Inputs'!$B$13)+U272,0)</f>
        <v>1142924495.4085488</v>
      </c>
      <c r="W272" s="218">
        <f>MAX(W271*(1+'Model Inputs'!$B$13)+M272+T272,0)</f>
        <v>2038584.5017086829</v>
      </c>
      <c r="X272" s="218">
        <f t="shared" si="78"/>
        <v>1144963079.9102576</v>
      </c>
      <c r="Y272" s="226" t="str">
        <f t="shared" si="79"/>
        <v/>
      </c>
      <c r="Z272" s="226" t="str">
        <f t="shared" si="80"/>
        <v/>
      </c>
      <c r="AA272" s="226" t="str">
        <f t="shared" si="81"/>
        <v/>
      </c>
      <c r="AB272" s="226" t="str">
        <f t="shared" si="82"/>
        <v/>
      </c>
    </row>
    <row r="273" spans="1:28" x14ac:dyDescent="0.2">
      <c r="A273" s="214" t="str">
        <f t="shared" si="83"/>
        <v>5Y 3x</v>
      </c>
      <c r="B273" s="214">
        <f t="shared" si="84"/>
        <v>5</v>
      </c>
      <c r="C273" s="223">
        <f t="shared" si="85"/>
        <v>3</v>
      </c>
      <c r="D273" s="214">
        <v>28</v>
      </c>
      <c r="E273" s="214">
        <f t="shared" si="72"/>
        <v>2053</v>
      </c>
      <c r="F273" s="218">
        <f>IF(D273=1,'Model Inputs'!$B$25*(13-'Model Inputs'!$B$23)/12,'Model Inputs'!$B$25)</f>
        <v>300000</v>
      </c>
      <c r="G273" s="218">
        <f>IF(D273=1,'Model Inputs'!$B$27*(13-'Model Inputs'!$B$23)/12,IF(D273=2,'Model Inputs'!$B$27,IF(D273&lt;=MAX(3,'Model Inputs'!$B$30+1),'Model Inputs'!$B$27*(1+'Model Inputs'!$B$28)^(D273-3),'Model Inputs'!$B$27*(1+'Model Inputs'!$B$28)^(MAX(3,'Model Inputs'!$B$30+1)-3)*(1+'Model Inputs'!$B$29)^(D273-MAX(3,'Model Inputs'!$B$30+1)))))</f>
        <v>235563492.81236541</v>
      </c>
      <c r="H273" s="224">
        <f>IF(D273&lt;=2,0,'Model Inputs'!$B$32*SIN(2*PI()*(D273-3+'Model Inputs'!$B$34)/MAX(1,'Model Inputs'!$B$33)))</f>
        <v>0.10392304845413247</v>
      </c>
      <c r="I273" s="218">
        <f t="shared" si="73"/>
        <v>260043969.08992955</v>
      </c>
      <c r="J273" s="218">
        <f t="shared" si="86"/>
        <v>171689024.02305913</v>
      </c>
      <c r="K273" s="218">
        <f>F273+J273+IF(D273=1,'Model Inputs'!$B$26,0)</f>
        <v>171989024.02305913</v>
      </c>
      <c r="L273" s="218">
        <f t="shared" si="74"/>
        <v>515967072.06917739</v>
      </c>
      <c r="M273" s="218">
        <f>MIN(L273,'Tax Assumptions'!$B$19)</f>
        <v>24500</v>
      </c>
      <c r="N273" s="218">
        <f>MAX(L273-M273-'Tax Assumptions'!$B$8,0)</f>
        <v>515926472.06917739</v>
      </c>
      <c r="O273" s="218">
        <f>MAX(L273-M273-'Tax Assumptions'!$B$9,0)</f>
        <v>515934572.06917739</v>
      </c>
      <c r="P273" s="218">
        <f>IF(N273=0,0,LOOKUP(N273,'Tax Assumptions'!$F$9:$F$15,'Tax Assumptions'!$I$9:$I$15)+(N273-LOOKUP(N273,'Tax Assumptions'!$F$9:$F$15,'Tax Assumptions'!$F$9:$F$15))*LOOKUP(N273,'Tax Assumptions'!$F$9:$F$15,'Tax Assumptions'!$H$9:$H$15))+MIN(MAX(L273,0),'Tax Assumptions'!$B$11)*'Tax Assumptions'!$B$10+MAX(L273,0)*'Tax Assumptions'!$B$12+MAX(MAX(L273,0)-'Tax Assumptions'!$B$14,0)*'Tax Assumptions'!$B$13+MIN(L273*'Tax Assumptions'!$B$15,'Tax Assumptions'!$B$16)+MIN(L273*'Tax Assumptions'!$B$17,'Tax Assumptions'!$B$18)+IF(O273=0,0,LOOKUP(O273,'Tax Assumptions'!$K$9:$K$17,'Tax Assumptions'!$N$9:$N$17)+(O273-LOOKUP(O273,'Tax Assumptions'!$K$9:$K$17,'Tax Assumptions'!$K$9:$K$17))*LOOKUP(O273,'Tax Assumptions'!$K$9:$K$17,'Tax Assumptions'!$M$9:$M$17))+IF(O273=0,0,LOOKUP(O273,'Tax Assumptions'!$P$9:$P$12,'Tax Assumptions'!$S$9:$S$12)+(O273-LOOKUP(O273,'Tax Assumptions'!$P$9:$P$12,'Tax Assumptions'!$P$9:$P$12))*LOOKUP(O273,'Tax Assumptions'!$P$9:$P$12,'Tax Assumptions'!$R$9:$R$12))</f>
        <v>279003144.96816295</v>
      </c>
      <c r="Q273" s="218">
        <f t="shared" si="75"/>
        <v>236939427.10101444</v>
      </c>
      <c r="R273" s="218">
        <f>IF(D273&lt;=10,INDEX('Savings Projection'!$BL$19:$BL$28,D273),LOOKUP(2,1/('Savings Projection'!$BL$19:$BL$28&lt;&gt;""),'Savings Projection'!$BL$19:$BL$28))*(1+'Model Inputs'!$B$35)^(D273-1)+IF(D273&lt;=10,INDEX('Savings Projection'!$BM$19:$BM$28,D273),LOOKUP(2,1/('Savings Projection'!$BM$19:$BM$28&lt;&gt;""),'Savings Projection'!$BM$19:$BM$28))*(1+'Model Inputs'!$B$36)^(D273-1)</f>
        <v>288767.57072412025</v>
      </c>
      <c r="S273" s="218">
        <f t="shared" si="76"/>
        <v>236650659.53029031</v>
      </c>
      <c r="T273" s="218">
        <f>MIN(MAX(S273,0),'Tax Assumptions'!$B$20)</f>
        <v>7500</v>
      </c>
      <c r="U273" s="218">
        <f t="shared" si="77"/>
        <v>236643159.53029031</v>
      </c>
      <c r="V273" s="218">
        <f>MAX(V272*(1+'Model Inputs'!$B$13)+U273,0)</f>
        <v>1448143124.6633523</v>
      </c>
      <c r="W273" s="218">
        <f>MAX(W272*(1+'Model Inputs'!$B$13)+M273+T273,0)</f>
        <v>2192899.5718112038</v>
      </c>
      <c r="X273" s="218">
        <f t="shared" si="78"/>
        <v>1450336024.2351635</v>
      </c>
      <c r="Y273" s="226" t="str">
        <f t="shared" si="79"/>
        <v/>
      </c>
      <c r="Z273" s="226" t="str">
        <f t="shared" si="80"/>
        <v/>
      </c>
      <c r="AA273" s="226" t="str">
        <f t="shared" si="81"/>
        <v/>
      </c>
      <c r="AB273" s="226" t="str">
        <f t="shared" si="82"/>
        <v/>
      </c>
    </row>
    <row r="274" spans="1:28" x14ac:dyDescent="0.2">
      <c r="A274" s="214" t="str">
        <f t="shared" si="83"/>
        <v>5Y 3x</v>
      </c>
      <c r="B274" s="214">
        <f t="shared" si="84"/>
        <v>5</v>
      </c>
      <c r="C274" s="223">
        <f t="shared" si="85"/>
        <v>3</v>
      </c>
      <c r="D274" s="214">
        <v>29</v>
      </c>
      <c r="E274" s="214">
        <f t="shared" si="72"/>
        <v>2054</v>
      </c>
      <c r="F274" s="218">
        <f>IF(D274=1,'Model Inputs'!$B$25*(13-'Model Inputs'!$B$23)/12,'Model Inputs'!$B$25)</f>
        <v>300000</v>
      </c>
      <c r="G274" s="218">
        <f>IF(D274=1,'Model Inputs'!$B$27*(13-'Model Inputs'!$B$23)/12,IF(D274=2,'Model Inputs'!$B$27,IF(D274&lt;=MAX(3,'Model Inputs'!$B$30+1),'Model Inputs'!$B$27*(1+'Model Inputs'!$B$28)^(D274-3),'Model Inputs'!$B$27*(1+'Model Inputs'!$B$28)^(MAX(3,'Model Inputs'!$B$30+1)-3)*(1+'Model Inputs'!$B$29)^(D274-MAX(3,'Model Inputs'!$B$30+1)))))</f>
        <v>299372327.53708321</v>
      </c>
      <c r="H274" s="224">
        <f>IF(D274&lt;=2,0,'Model Inputs'!$B$32*SIN(2*PI()*(D274-3+'Model Inputs'!$B$34)/MAX(1,'Model Inputs'!$B$33)))</f>
        <v>-0.10392304845413265</v>
      </c>
      <c r="I274" s="218">
        <f t="shared" si="73"/>
        <v>268260642.63662043</v>
      </c>
      <c r="J274" s="218">
        <f t="shared" si="86"/>
        <v>241371727.96595448</v>
      </c>
      <c r="K274" s="218">
        <f>F274+J274+IF(D274=1,'Model Inputs'!$B$26,0)</f>
        <v>241671727.96595448</v>
      </c>
      <c r="L274" s="218">
        <f t="shared" si="74"/>
        <v>725015183.89786339</v>
      </c>
      <c r="M274" s="218">
        <f>MIN(L274,'Tax Assumptions'!$B$19)</f>
        <v>24500</v>
      </c>
      <c r="N274" s="218">
        <f>MAX(L274-M274-'Tax Assumptions'!$B$8,0)</f>
        <v>724974583.89786339</v>
      </c>
      <c r="O274" s="218">
        <f>MAX(L274-M274-'Tax Assumptions'!$B$9,0)</f>
        <v>724982683.89786339</v>
      </c>
      <c r="P274" s="218">
        <f>IF(N274=0,0,LOOKUP(N274,'Tax Assumptions'!$F$9:$F$15,'Tax Assumptions'!$I$9:$I$15)+(N274-LOOKUP(N274,'Tax Assumptions'!$F$9:$F$15,'Tax Assumptions'!$F$9:$F$15))*LOOKUP(N274,'Tax Assumptions'!$F$9:$F$15,'Tax Assumptions'!$H$9:$H$15))+MIN(MAX(L274,0),'Tax Assumptions'!$B$11)*'Tax Assumptions'!$B$10+MAX(L274,0)*'Tax Assumptions'!$B$12+MAX(MAX(L274,0)-'Tax Assumptions'!$B$14,0)*'Tax Assumptions'!$B$13+MIN(L274*'Tax Assumptions'!$B$15,'Tax Assumptions'!$B$16)+MIN(L274*'Tax Assumptions'!$B$17,'Tax Assumptions'!$B$18)+IF(O274=0,0,LOOKUP(O274,'Tax Assumptions'!$K$9:$K$17,'Tax Assumptions'!$N$9:$N$17)+(O274-LOOKUP(O274,'Tax Assumptions'!$K$9:$K$17,'Tax Assumptions'!$K$9:$K$17))*LOOKUP(O274,'Tax Assumptions'!$K$9:$K$17,'Tax Assumptions'!$M$9:$M$17))+IF(O274=0,0,LOOKUP(O274,'Tax Assumptions'!$P$9:$P$12,'Tax Assumptions'!$S$9:$S$12)+(O274-LOOKUP(O274,'Tax Assumptions'!$P$9:$P$12,'Tax Assumptions'!$P$9:$P$12))*LOOKUP(O274,'Tax Assumptions'!$P$9:$P$12,'Tax Assumptions'!$R$9:$R$12))</f>
        <v>392152525.97655761</v>
      </c>
      <c r="Q274" s="218">
        <f t="shared" si="75"/>
        <v>332838157.92130578</v>
      </c>
      <c r="R274" s="218">
        <f>IF(D274&lt;=10,INDEX('Savings Projection'!$BL$19:$BL$28,D274),LOOKUP(2,1/('Savings Projection'!$BL$19:$BL$28&lt;&gt;""),'Savings Projection'!$BL$19:$BL$28))*(1+'Model Inputs'!$B$35)^(D274-1)+IF(D274&lt;=10,INDEX('Savings Projection'!$BM$19:$BM$28,D274),LOOKUP(2,1/('Savings Projection'!$BM$19:$BM$28&lt;&gt;""),'Savings Projection'!$BM$19:$BM$28))*(1+'Model Inputs'!$B$36)^(D274-1)</f>
        <v>297430.59784584382</v>
      </c>
      <c r="S274" s="218">
        <f t="shared" si="76"/>
        <v>332540727.32345992</v>
      </c>
      <c r="T274" s="218">
        <f>MIN(MAX(S274,0),'Tax Assumptions'!$B$20)</f>
        <v>7500</v>
      </c>
      <c r="U274" s="218">
        <f t="shared" si="77"/>
        <v>332533227.32345992</v>
      </c>
      <c r="V274" s="218">
        <f>MAX(V273*(1+'Model Inputs'!$B$13)+U274,0)</f>
        <v>1867564939.4666133</v>
      </c>
      <c r="W274" s="218">
        <f>MAX(W273*(1+'Model Inputs'!$B$13)+M274+T274,0)</f>
        <v>2356473.5461198762</v>
      </c>
      <c r="X274" s="218">
        <f t="shared" si="78"/>
        <v>1869921413.0127332</v>
      </c>
      <c r="Y274" s="226" t="str">
        <f t="shared" si="79"/>
        <v/>
      </c>
      <c r="Z274" s="226" t="str">
        <f t="shared" si="80"/>
        <v/>
      </c>
      <c r="AA274" s="226" t="str">
        <f t="shared" si="81"/>
        <v/>
      </c>
      <c r="AB274" s="226" t="str">
        <f t="shared" si="82"/>
        <v/>
      </c>
    </row>
    <row r="275" spans="1:28" x14ac:dyDescent="0.2">
      <c r="A275" s="214" t="str">
        <f t="shared" si="83"/>
        <v>5Y 3x</v>
      </c>
      <c r="B275" s="214">
        <f t="shared" si="84"/>
        <v>5</v>
      </c>
      <c r="C275" s="223">
        <f t="shared" si="85"/>
        <v>3</v>
      </c>
      <c r="D275" s="214">
        <v>30</v>
      </c>
      <c r="E275" s="214">
        <f t="shared" si="72"/>
        <v>2055</v>
      </c>
      <c r="F275" s="218">
        <f>IF(D275=1,'Model Inputs'!$B$25*(13-'Model Inputs'!$B$23)/12,'Model Inputs'!$B$25)</f>
        <v>300000</v>
      </c>
      <c r="G275" s="218">
        <f>IF(D275=1,'Model Inputs'!$B$27*(13-'Model Inputs'!$B$23)/12,IF(D275=2,'Model Inputs'!$B$27,IF(D275&lt;=MAX(3,'Model Inputs'!$B$30+1),'Model Inputs'!$B$27*(1+'Model Inputs'!$B$28)^(D275-3),'Model Inputs'!$B$27*(1+'Model Inputs'!$B$28)^(MAX(3,'Model Inputs'!$B$30+1)-3)*(1+'Model Inputs'!$B$29)^(D275-MAX(3,'Model Inputs'!$B$30+1)))))</f>
        <v>380465535.74563926</v>
      </c>
      <c r="H275" s="224">
        <f>IF(D275&lt;=2,0,'Model Inputs'!$B$32*SIN(2*PI()*(D275-3+'Model Inputs'!$B$34)/MAX(1,'Model Inputs'!$B$33)))</f>
        <v>-2.645237086158283E-16</v>
      </c>
      <c r="I275" s="218">
        <f t="shared" si="73"/>
        <v>380465535.7456392</v>
      </c>
      <c r="J275" s="218">
        <f t="shared" si="86"/>
        <v>266206474.24994773</v>
      </c>
      <c r="K275" s="218">
        <f>F275+J275+IF(D275=1,'Model Inputs'!$B$26,0)</f>
        <v>266506474.24994773</v>
      </c>
      <c r="L275" s="218">
        <f t="shared" si="74"/>
        <v>799519422.74984312</v>
      </c>
      <c r="M275" s="218">
        <f>MIN(L275,'Tax Assumptions'!$B$19)</f>
        <v>24500</v>
      </c>
      <c r="N275" s="218">
        <f>MAX(L275-M275-'Tax Assumptions'!$B$8,0)</f>
        <v>799478822.74984312</v>
      </c>
      <c r="O275" s="218">
        <f>MAX(L275-M275-'Tax Assumptions'!$B$9,0)</f>
        <v>799486922.74984312</v>
      </c>
      <c r="P275" s="218">
        <f>IF(N275=0,0,LOOKUP(N275,'Tax Assumptions'!$F$9:$F$15,'Tax Assumptions'!$I$9:$I$15)+(N275-LOOKUP(N275,'Tax Assumptions'!$F$9:$F$15,'Tax Assumptions'!$F$9:$F$15))*LOOKUP(N275,'Tax Assumptions'!$F$9:$F$15,'Tax Assumptions'!$H$9:$H$15))+MIN(MAX(L275,0),'Tax Assumptions'!$B$11)*'Tax Assumptions'!$B$10+MAX(L275,0)*'Tax Assumptions'!$B$12+MAX(MAX(L275,0)-'Tax Assumptions'!$B$14,0)*'Tax Assumptions'!$B$13+MIN(L275*'Tax Assumptions'!$B$15,'Tax Assumptions'!$B$16)+MIN(L275*'Tax Assumptions'!$B$17,'Tax Assumptions'!$B$18)+IF(O275=0,0,LOOKUP(O275,'Tax Assumptions'!$K$9:$K$17,'Tax Assumptions'!$N$9:$N$17)+(O275-LOOKUP(O275,'Tax Assumptions'!$K$9:$K$17,'Tax Assumptions'!$K$9:$K$17))*LOOKUP(O275,'Tax Assumptions'!$K$9:$K$17,'Tax Assumptions'!$M$9:$M$17))+IF(O275=0,0,LOOKUP(O275,'Tax Assumptions'!$P$9:$P$12,'Tax Assumptions'!$S$9:$S$12)+(O275-LOOKUP(O275,'Tax Assumptions'!$P$9:$P$12,'Tax Assumptions'!$P$9:$P$12))*LOOKUP(O275,'Tax Assumptions'!$P$9:$P$12,'Tax Assumptions'!$R$9:$R$12))</f>
        <v>432478690.29758012</v>
      </c>
      <c r="Q275" s="218">
        <f t="shared" si="75"/>
        <v>367016232.452263</v>
      </c>
      <c r="R275" s="218">
        <f>IF(D275&lt;=10,INDEX('Savings Projection'!$BL$19:$BL$28,D275),LOOKUP(2,1/('Savings Projection'!$BL$19:$BL$28&lt;&gt;""),'Savings Projection'!$BL$19:$BL$28))*(1+'Model Inputs'!$B$35)^(D275-1)+IF(D275&lt;=10,INDEX('Savings Projection'!$BM$19:$BM$28,D275),LOOKUP(2,1/('Savings Projection'!$BM$19:$BM$28&lt;&gt;""),'Savings Projection'!$BM$19:$BM$28))*(1+'Model Inputs'!$B$36)^(D275-1)</f>
        <v>306353.51578121912</v>
      </c>
      <c r="S275" s="218">
        <f t="shared" si="76"/>
        <v>366709878.93648177</v>
      </c>
      <c r="T275" s="218">
        <f>MIN(MAX(S275,0),'Tax Assumptions'!$B$20)</f>
        <v>7500</v>
      </c>
      <c r="U275" s="218">
        <f t="shared" si="77"/>
        <v>366702378.93648177</v>
      </c>
      <c r="V275" s="218">
        <f>MAX(V274*(1+'Model Inputs'!$B$13)+U275,0)</f>
        <v>2346321214.7710919</v>
      </c>
      <c r="W275" s="218">
        <f>MAX(W274*(1+'Model Inputs'!$B$13)+M275+T275,0)</f>
        <v>2529861.958887069</v>
      </c>
      <c r="X275" s="218">
        <f t="shared" si="78"/>
        <v>2348851076.729979</v>
      </c>
      <c r="Y275" s="226" t="str">
        <f t="shared" si="79"/>
        <v/>
      </c>
      <c r="Z275" s="226" t="str">
        <f t="shared" si="80"/>
        <v/>
      </c>
      <c r="AA275" s="226" t="str">
        <f t="shared" si="81"/>
        <v/>
      </c>
      <c r="AB275" s="226" t="str">
        <f t="shared" si="82"/>
        <v/>
      </c>
    </row>
    <row r="276" spans="1:28" x14ac:dyDescent="0.2">
      <c r="A276" s="214" t="str">
        <f t="shared" ref="A276:A305" si="87">$A$30</f>
        <v>5Y 4x</v>
      </c>
      <c r="B276" s="214">
        <f t="shared" ref="B276:B305" si="88">$B$30</f>
        <v>5</v>
      </c>
      <c r="C276" s="223">
        <f t="shared" ref="C276:C305" si="89">$C$30</f>
        <v>4</v>
      </c>
      <c r="D276" s="214">
        <v>1</v>
      </c>
      <c r="E276" s="214">
        <f t="shared" si="72"/>
        <v>2026</v>
      </c>
      <c r="F276" s="218">
        <f>IF(D276=1,'Model Inputs'!$B$25*(13-'Model Inputs'!$B$23)/12,'Model Inputs'!$B$25)</f>
        <v>100000</v>
      </c>
      <c r="G276" s="218">
        <f>IF(D276=1,'Model Inputs'!$B$27*(13-'Model Inputs'!$B$23)/12,IF(D276=2,'Model Inputs'!$B$27,IF(D276&lt;=MAX(3,'Model Inputs'!$B$30+1),'Model Inputs'!$B$27*(1+'Model Inputs'!$B$28)^(D276-3),'Model Inputs'!$B$27*(1+'Model Inputs'!$B$28)^(MAX(3,'Model Inputs'!$B$30+1)-3)*(1+'Model Inputs'!$B$29)^(D276-MAX(3,'Model Inputs'!$B$30+1)))))</f>
        <v>150000</v>
      </c>
      <c r="H276" s="224">
        <f>IF(D276&lt;=2,0,'Model Inputs'!$B$32*SIN(2*PI()*(D276-3+'Model Inputs'!$B$34)/MAX(1,'Model Inputs'!$B$33)))</f>
        <v>0</v>
      </c>
      <c r="I276" s="218">
        <f t="shared" si="73"/>
        <v>150000</v>
      </c>
      <c r="J276" s="218">
        <f>0</f>
        <v>0</v>
      </c>
      <c r="K276" s="218">
        <f>F276+J276+IF(D276=1,'Model Inputs'!$B$26,0)</f>
        <v>550000</v>
      </c>
      <c r="L276" s="218">
        <f t="shared" si="74"/>
        <v>550000</v>
      </c>
      <c r="M276" s="218">
        <f>MIN(L276,'Tax Assumptions'!$B$19)</f>
        <v>24500</v>
      </c>
      <c r="N276" s="218">
        <f>MAX(L276-M276-'Tax Assumptions'!$B$8,0)</f>
        <v>509400</v>
      </c>
      <c r="O276" s="218">
        <f>MAX(L276-M276-'Tax Assumptions'!$B$9,0)</f>
        <v>517500</v>
      </c>
      <c r="P276" s="218">
        <f>IF(N276=0,0,LOOKUP(N276,'Tax Assumptions'!$F$9:$F$15,'Tax Assumptions'!$I$9:$I$15)+(N276-LOOKUP(N276,'Tax Assumptions'!$F$9:$F$15,'Tax Assumptions'!$F$9:$F$15))*LOOKUP(N276,'Tax Assumptions'!$F$9:$F$15,'Tax Assumptions'!$H$9:$H$15))+MIN(MAX(L276,0),'Tax Assumptions'!$B$11)*'Tax Assumptions'!$B$10+MAX(L276,0)*'Tax Assumptions'!$B$12+MAX(MAX(L276,0)-'Tax Assumptions'!$B$14,0)*'Tax Assumptions'!$B$13+MIN(L276*'Tax Assumptions'!$B$15,'Tax Assumptions'!$B$16)+MIN(L276*'Tax Assumptions'!$B$17,'Tax Assumptions'!$B$18)+IF(O276=0,0,LOOKUP(O276,'Tax Assumptions'!$K$9:$K$17,'Tax Assumptions'!$N$9:$N$17)+(O276-LOOKUP(O276,'Tax Assumptions'!$K$9:$K$17,'Tax Assumptions'!$K$9:$K$17))*LOOKUP(O276,'Tax Assumptions'!$K$9:$K$17,'Tax Assumptions'!$M$9:$M$17))+IF(O276=0,0,LOOKUP(O276,'Tax Assumptions'!$P$9:$P$12,'Tax Assumptions'!$S$9:$S$12)+(O276-LOOKUP(O276,'Tax Assumptions'!$P$9:$P$12,'Tax Assumptions'!$P$9:$P$12))*LOOKUP(O276,'Tax Assumptions'!$P$9:$P$12,'Tax Assumptions'!$R$9:$R$12))</f>
        <v>222834.53000000003</v>
      </c>
      <c r="Q276" s="218">
        <f t="shared" si="75"/>
        <v>302665.46999999997</v>
      </c>
      <c r="R276" s="218">
        <f>IF(D276&lt;=10,INDEX('Savings Projection'!$BL$19:$BL$28,D276),LOOKUP(2,1/('Savings Projection'!$BL$19:$BL$28&lt;&gt;""),'Savings Projection'!$BL$19:$BL$28))*(1+'Model Inputs'!$B$35)^(D276-1)+IF(D276&lt;=10,INDEX('Savings Projection'!$BM$19:$BM$28,D276),LOOKUP(2,1/('Savings Projection'!$BM$19:$BM$28&lt;&gt;""),'Savings Projection'!$BM$19:$BM$28))*(1+'Model Inputs'!$B$36)^(D276-1)</f>
        <v>118000</v>
      </c>
      <c r="S276" s="218">
        <f t="shared" si="76"/>
        <v>184665.46999999997</v>
      </c>
      <c r="T276" s="218">
        <f>MIN(MAX(S276,0),'Tax Assumptions'!$B$20)</f>
        <v>7500</v>
      </c>
      <c r="U276" s="218">
        <f t="shared" si="77"/>
        <v>177165.46999999997</v>
      </c>
      <c r="V276" s="218">
        <f>MAX('Model Inputs'!$B$7*(1+'Model Inputs'!$B$13)+U276,0)</f>
        <v>336165.47</v>
      </c>
      <c r="W276" s="218">
        <f>MAX(('Model Inputs'!$B$8+'Model Inputs'!$B$9+'Model Inputs'!$B$10)*(1+'Model Inputs'!$B$13)+M276+T276,0)</f>
        <v>32000</v>
      </c>
      <c r="X276" s="218">
        <f t="shared" si="78"/>
        <v>368165.47</v>
      </c>
      <c r="Y276" s="226" t="str">
        <f t="shared" si="79"/>
        <v/>
      </c>
      <c r="Z276" s="226" t="str">
        <f t="shared" si="80"/>
        <v/>
      </c>
      <c r="AA276" s="226" t="str">
        <f t="shared" si="81"/>
        <v/>
      </c>
      <c r="AB276" s="226" t="str">
        <f t="shared" si="82"/>
        <v/>
      </c>
    </row>
    <row r="277" spans="1:28" x14ac:dyDescent="0.2">
      <c r="A277" s="214" t="str">
        <f t="shared" si="87"/>
        <v>5Y 4x</v>
      </c>
      <c r="B277" s="214">
        <f t="shared" si="88"/>
        <v>5</v>
      </c>
      <c r="C277" s="223">
        <f t="shared" si="89"/>
        <v>4</v>
      </c>
      <c r="D277" s="214">
        <v>2</v>
      </c>
      <c r="E277" s="214">
        <f t="shared" si="72"/>
        <v>2027</v>
      </c>
      <c r="F277" s="218">
        <f>IF(D277=1,'Model Inputs'!$B$25*(13-'Model Inputs'!$B$23)/12,'Model Inputs'!$B$25)</f>
        <v>300000</v>
      </c>
      <c r="G277" s="218">
        <f>IF(D277=1,'Model Inputs'!$B$27*(13-'Model Inputs'!$B$23)/12,IF(D277=2,'Model Inputs'!$B$27,IF(D277&lt;=MAX(3,'Model Inputs'!$B$30+1),'Model Inputs'!$B$27*(1+'Model Inputs'!$B$28)^(D277-3),'Model Inputs'!$B$27*(1+'Model Inputs'!$B$28)^(MAX(3,'Model Inputs'!$B$30+1)-3)*(1+'Model Inputs'!$B$29)^(D277-MAX(3,'Model Inputs'!$B$30+1)))))</f>
        <v>450000</v>
      </c>
      <c r="H277" s="224">
        <f>IF(D277&lt;=2,0,'Model Inputs'!$B$32*SIN(2*PI()*(D277-3+'Model Inputs'!$B$34)/MAX(1,'Model Inputs'!$B$33)))</f>
        <v>0</v>
      </c>
      <c r="I277" s="218">
        <f t="shared" si="73"/>
        <v>450000</v>
      </c>
      <c r="J277" s="218">
        <f>0.75*I276</f>
        <v>112500</v>
      </c>
      <c r="K277" s="218">
        <f>F277+J277+IF(D277=1,'Model Inputs'!$B$26,0)</f>
        <v>412500</v>
      </c>
      <c r="L277" s="218">
        <f t="shared" si="74"/>
        <v>412500</v>
      </c>
      <c r="M277" s="218">
        <f>MIN(L277,'Tax Assumptions'!$B$19)</f>
        <v>24500</v>
      </c>
      <c r="N277" s="218">
        <f>MAX(L277-M277-'Tax Assumptions'!$B$8,0)</f>
        <v>371900</v>
      </c>
      <c r="O277" s="218">
        <f>MAX(L277-M277-'Tax Assumptions'!$B$9,0)</f>
        <v>380000</v>
      </c>
      <c r="P277" s="218">
        <f>IF(N277=0,0,LOOKUP(N277,'Tax Assumptions'!$F$9:$F$15,'Tax Assumptions'!$I$9:$I$15)+(N277-LOOKUP(N277,'Tax Assumptions'!$F$9:$F$15,'Tax Assumptions'!$F$9:$F$15))*LOOKUP(N277,'Tax Assumptions'!$F$9:$F$15,'Tax Assumptions'!$H$9:$H$15))+MIN(MAX(L277,0),'Tax Assumptions'!$B$11)*'Tax Assumptions'!$B$10+MAX(L277,0)*'Tax Assumptions'!$B$12+MAX(MAX(L277,0)-'Tax Assumptions'!$B$14,0)*'Tax Assumptions'!$B$13+MIN(L277*'Tax Assumptions'!$B$15,'Tax Assumptions'!$B$16)+MIN(L277*'Tax Assumptions'!$B$17,'Tax Assumptions'!$B$18)+IF(O277=0,0,LOOKUP(O277,'Tax Assumptions'!$K$9:$K$17,'Tax Assumptions'!$N$9:$N$17)+(O277-LOOKUP(O277,'Tax Assumptions'!$K$9:$K$17,'Tax Assumptions'!$K$9:$K$17))*LOOKUP(O277,'Tax Assumptions'!$K$9:$K$17,'Tax Assumptions'!$M$9:$M$17))+IF(O277=0,0,LOOKUP(O277,'Tax Assumptions'!$P$9:$P$12,'Tax Assumptions'!$S$9:$S$12)+(O277-LOOKUP(O277,'Tax Assumptions'!$P$9:$P$12,'Tax Assumptions'!$P$9:$P$12))*LOOKUP(O277,'Tax Assumptions'!$P$9:$P$12,'Tax Assumptions'!$R$9:$R$12))</f>
        <v>156730.03</v>
      </c>
      <c r="Q277" s="218">
        <f t="shared" si="75"/>
        <v>231269.97</v>
      </c>
      <c r="R277" s="218">
        <f>IF(D277&lt;=10,INDEX('Savings Projection'!$BL$19:$BL$28,D277),LOOKUP(2,1/('Savings Projection'!$BL$19:$BL$28&lt;&gt;""),'Savings Projection'!$BL$19:$BL$28))*(1+'Model Inputs'!$B$35)^(D277-1)+IF(D277&lt;=10,INDEX('Savings Projection'!$BM$19:$BM$28,D277),LOOKUP(2,1/('Savings Projection'!$BM$19:$BM$28&lt;&gt;""),'Savings Projection'!$BM$19:$BM$28))*(1+'Model Inputs'!$B$36)^(D277-1)</f>
        <v>121540</v>
      </c>
      <c r="S277" s="218">
        <f t="shared" si="76"/>
        <v>109729.97</v>
      </c>
      <c r="T277" s="218">
        <f>MIN(MAX(S277,0),'Tax Assumptions'!$B$20)</f>
        <v>7500</v>
      </c>
      <c r="U277" s="218">
        <f t="shared" si="77"/>
        <v>102229.97</v>
      </c>
      <c r="V277" s="218">
        <f>MAX(V276*(1+'Model Inputs'!$B$13)+U277,0)</f>
        <v>458565.36820000003</v>
      </c>
      <c r="W277" s="218">
        <f>MAX(W276*(1+'Model Inputs'!$B$13)+M277+T277,0)</f>
        <v>65920</v>
      </c>
      <c r="X277" s="218">
        <f t="shared" si="78"/>
        <v>524485.36820000003</v>
      </c>
      <c r="Y277" s="226" t="str">
        <f t="shared" si="79"/>
        <v/>
      </c>
      <c r="Z277" s="226" t="str">
        <f t="shared" si="80"/>
        <v/>
      </c>
      <c r="AA277" s="226" t="str">
        <f t="shared" si="81"/>
        <v/>
      </c>
      <c r="AB277" s="226" t="str">
        <f t="shared" si="82"/>
        <v/>
      </c>
    </row>
    <row r="278" spans="1:28" x14ac:dyDescent="0.2">
      <c r="A278" s="214" t="str">
        <f t="shared" si="87"/>
        <v>5Y 4x</v>
      </c>
      <c r="B278" s="214">
        <f t="shared" si="88"/>
        <v>5</v>
      </c>
      <c r="C278" s="223">
        <f t="shared" si="89"/>
        <v>4</v>
      </c>
      <c r="D278" s="214">
        <v>3</v>
      </c>
      <c r="E278" s="214">
        <f t="shared" si="72"/>
        <v>2028</v>
      </c>
      <c r="F278" s="218">
        <f>IF(D278=1,'Model Inputs'!$B$25*(13-'Model Inputs'!$B$23)/12,'Model Inputs'!$B$25)</f>
        <v>300000</v>
      </c>
      <c r="G278" s="218">
        <f>IF(D278=1,'Model Inputs'!$B$27*(13-'Model Inputs'!$B$23)/12,IF(D278=2,'Model Inputs'!$B$27,IF(D278&lt;=MAX(3,'Model Inputs'!$B$30+1),'Model Inputs'!$B$27*(1+'Model Inputs'!$B$28)^(D278-3),'Model Inputs'!$B$27*(1+'Model Inputs'!$B$28)^(MAX(3,'Model Inputs'!$B$30+1)-3)*(1+'Model Inputs'!$B$29)^(D278-MAX(3,'Model Inputs'!$B$30+1)))))</f>
        <v>450000</v>
      </c>
      <c r="H278" s="224">
        <f>IF(D278&lt;=2,0,'Model Inputs'!$B$32*SIN(2*PI()*(D278-3+'Model Inputs'!$B$34)/MAX(1,'Model Inputs'!$B$33)))</f>
        <v>0</v>
      </c>
      <c r="I278" s="218">
        <f t="shared" si="73"/>
        <v>450000</v>
      </c>
      <c r="J278" s="218">
        <f t="shared" ref="J278:J305" si="90">0.75*I277+0.25*I276</f>
        <v>375000</v>
      </c>
      <c r="K278" s="218">
        <f>F278+J278+IF(D278=1,'Model Inputs'!$B$26,0)</f>
        <v>675000</v>
      </c>
      <c r="L278" s="218">
        <f t="shared" si="74"/>
        <v>675000</v>
      </c>
      <c r="M278" s="218">
        <f>MIN(L278,'Tax Assumptions'!$B$19)</f>
        <v>24500</v>
      </c>
      <c r="N278" s="218">
        <f>MAX(L278-M278-'Tax Assumptions'!$B$8,0)</f>
        <v>634400</v>
      </c>
      <c r="O278" s="218">
        <f>MAX(L278-M278-'Tax Assumptions'!$B$9,0)</f>
        <v>642500</v>
      </c>
      <c r="P278" s="218">
        <f>IF(N278=0,0,LOOKUP(N278,'Tax Assumptions'!$F$9:$F$15,'Tax Assumptions'!$I$9:$I$15)+(N278-LOOKUP(N278,'Tax Assumptions'!$F$9:$F$15,'Tax Assumptions'!$F$9:$F$15))*LOOKUP(N278,'Tax Assumptions'!$F$9:$F$15,'Tax Assumptions'!$H$9:$H$15))+MIN(MAX(L278,0),'Tax Assumptions'!$B$11)*'Tax Assumptions'!$B$10+MAX(L278,0)*'Tax Assumptions'!$B$12+MAX(MAX(L278,0)-'Tax Assumptions'!$B$14,0)*'Tax Assumptions'!$B$13+MIN(L278*'Tax Assumptions'!$B$15,'Tax Assumptions'!$B$16)+MIN(L278*'Tax Assumptions'!$B$17,'Tax Assumptions'!$B$18)+IF(O278=0,0,LOOKUP(O278,'Tax Assumptions'!$K$9:$K$17,'Tax Assumptions'!$N$9:$N$17)+(O278-LOOKUP(O278,'Tax Assumptions'!$K$9:$K$17,'Tax Assumptions'!$K$9:$K$17))*LOOKUP(O278,'Tax Assumptions'!$K$9:$K$17,'Tax Assumptions'!$M$9:$M$17))+IF(O278=0,0,LOOKUP(O278,'Tax Assumptions'!$P$9:$P$12,'Tax Assumptions'!$S$9:$S$12)+(O278-LOOKUP(O278,'Tax Assumptions'!$P$9:$P$12,'Tax Assumptions'!$P$9:$P$12))*LOOKUP(O278,'Tax Assumptions'!$P$9:$P$12,'Tax Assumptions'!$R$9:$R$12))</f>
        <v>282929.53000000003</v>
      </c>
      <c r="Q278" s="218">
        <f t="shared" si="75"/>
        <v>367570.47</v>
      </c>
      <c r="R278" s="218">
        <f>IF(D278&lt;=10,INDEX('Savings Projection'!$BL$19:$BL$28,D278),LOOKUP(2,1/('Savings Projection'!$BL$19:$BL$28&lt;&gt;""),'Savings Projection'!$BL$19:$BL$28))*(1+'Model Inputs'!$B$35)^(D278-1)+IF(D278&lt;=10,INDEX('Savings Projection'!$BM$19:$BM$28,D278),LOOKUP(2,1/('Savings Projection'!$BM$19:$BM$28&lt;&gt;""),'Savings Projection'!$BM$19:$BM$28))*(1+'Model Inputs'!$B$36)^(D278-1)</f>
        <v>135795.20000000001</v>
      </c>
      <c r="S278" s="218">
        <f t="shared" si="76"/>
        <v>231775.26999999996</v>
      </c>
      <c r="T278" s="218">
        <f>MIN(MAX(S278,0),'Tax Assumptions'!$B$20)</f>
        <v>7500</v>
      </c>
      <c r="U278" s="218">
        <f t="shared" si="77"/>
        <v>224275.26999999996</v>
      </c>
      <c r="V278" s="218">
        <f>MAX(V277*(1+'Model Inputs'!$B$13)+U278,0)</f>
        <v>710354.56029199995</v>
      </c>
      <c r="W278" s="218">
        <f>MAX(W277*(1+'Model Inputs'!$B$13)+M278+T278,0)</f>
        <v>101875.2</v>
      </c>
      <c r="X278" s="218">
        <f t="shared" si="78"/>
        <v>812229.7602919999</v>
      </c>
      <c r="Y278" s="226" t="str">
        <f t="shared" si="79"/>
        <v/>
      </c>
      <c r="Z278" s="226" t="str">
        <f t="shared" si="80"/>
        <v/>
      </c>
      <c r="AA278" s="226" t="str">
        <f t="shared" si="81"/>
        <v/>
      </c>
      <c r="AB278" s="226" t="str">
        <f t="shared" si="82"/>
        <v/>
      </c>
    </row>
    <row r="279" spans="1:28" x14ac:dyDescent="0.2">
      <c r="A279" s="214" t="str">
        <f t="shared" si="87"/>
        <v>5Y 4x</v>
      </c>
      <c r="B279" s="214">
        <f t="shared" si="88"/>
        <v>5</v>
      </c>
      <c r="C279" s="223">
        <f t="shared" si="89"/>
        <v>4</v>
      </c>
      <c r="D279" s="214">
        <v>4</v>
      </c>
      <c r="E279" s="214">
        <f t="shared" si="72"/>
        <v>2029</v>
      </c>
      <c r="F279" s="218">
        <f>IF(D279=1,'Model Inputs'!$B$25*(13-'Model Inputs'!$B$23)/12,'Model Inputs'!$B$25)</f>
        <v>300000</v>
      </c>
      <c r="G279" s="218">
        <f>IF(D279=1,'Model Inputs'!$B$27*(13-'Model Inputs'!$B$23)/12,IF(D279=2,'Model Inputs'!$B$27,IF(D279&lt;=MAX(3,'Model Inputs'!$B$30+1),'Model Inputs'!$B$27*(1+'Model Inputs'!$B$28)^(D279-3),'Model Inputs'!$B$27*(1+'Model Inputs'!$B$28)^(MAX(3,'Model Inputs'!$B$30+1)-3)*(1+'Model Inputs'!$B$29)^(D279-MAX(3,'Model Inputs'!$B$30+1)))))</f>
        <v>653834.84153110103</v>
      </c>
      <c r="H279" s="224">
        <f>IF(D279&lt;=2,0,'Model Inputs'!$B$32*SIN(2*PI()*(D279-3+'Model Inputs'!$B$34)/MAX(1,'Model Inputs'!$B$33)))</f>
        <v>0.10392304845413264</v>
      </c>
      <c r="I279" s="218">
        <f t="shared" si="73"/>
        <v>721783.35144853778</v>
      </c>
      <c r="J279" s="218">
        <f t="shared" si="90"/>
        <v>450000</v>
      </c>
      <c r="K279" s="218">
        <f>F279+J279+IF(D279=1,'Model Inputs'!$B$26,0)</f>
        <v>750000</v>
      </c>
      <c r="L279" s="218">
        <f t="shared" si="74"/>
        <v>750000</v>
      </c>
      <c r="M279" s="218">
        <f>MIN(L279,'Tax Assumptions'!$B$19)</f>
        <v>24500</v>
      </c>
      <c r="N279" s="218">
        <f>MAX(L279-M279-'Tax Assumptions'!$B$8,0)</f>
        <v>709400</v>
      </c>
      <c r="O279" s="218">
        <f>MAX(L279-M279-'Tax Assumptions'!$B$9,0)</f>
        <v>717500</v>
      </c>
      <c r="P279" s="218">
        <f>IF(N279=0,0,LOOKUP(N279,'Tax Assumptions'!$F$9:$F$15,'Tax Assumptions'!$I$9:$I$15)+(N279-LOOKUP(N279,'Tax Assumptions'!$F$9:$F$15,'Tax Assumptions'!$F$9:$F$15))*LOOKUP(N279,'Tax Assumptions'!$F$9:$F$15,'Tax Assumptions'!$H$9:$H$15))+MIN(MAX(L279,0),'Tax Assumptions'!$B$11)*'Tax Assumptions'!$B$10+MAX(L279,0)*'Tax Assumptions'!$B$12+MAX(MAX(L279,0)-'Tax Assumptions'!$B$14,0)*'Tax Assumptions'!$B$13+MIN(L279*'Tax Assumptions'!$B$15,'Tax Assumptions'!$B$16)+MIN(L279*'Tax Assumptions'!$B$17,'Tax Assumptions'!$B$18)+IF(O279=0,0,LOOKUP(O279,'Tax Assumptions'!$K$9:$K$17,'Tax Assumptions'!$N$9:$N$17)+(O279-LOOKUP(O279,'Tax Assumptions'!$K$9:$K$17,'Tax Assumptions'!$K$9:$K$17))*LOOKUP(O279,'Tax Assumptions'!$K$9:$K$17,'Tax Assumptions'!$M$9:$M$17))+IF(O279=0,0,LOOKUP(O279,'Tax Assumptions'!$P$9:$P$12,'Tax Assumptions'!$S$9:$S$12)+(O279-LOOKUP(O279,'Tax Assumptions'!$P$9:$P$12,'Tax Assumptions'!$P$9:$P$12))*LOOKUP(O279,'Tax Assumptions'!$P$9:$P$12,'Tax Assumptions'!$R$9:$R$12))</f>
        <v>320362.53000000003</v>
      </c>
      <c r="Q279" s="218">
        <f t="shared" si="75"/>
        <v>405137.47</v>
      </c>
      <c r="R279" s="218">
        <f>IF(D279&lt;=10,INDEX('Savings Projection'!$BL$19:$BL$28,D279),LOOKUP(2,1/('Savings Projection'!$BL$19:$BL$28&lt;&gt;""),'Savings Projection'!$BL$19:$BL$28))*(1+'Model Inputs'!$B$35)^(D279-1)+IF(D279&lt;=10,INDEX('Savings Projection'!$BM$19:$BM$28,D279),LOOKUP(2,1/('Savings Projection'!$BM$19:$BM$28&lt;&gt;""),'Savings Projection'!$BM$19:$BM$28))*(1+'Model Inputs'!$B$36)^(D279-1)</f>
        <v>139869.05600000001</v>
      </c>
      <c r="S279" s="218">
        <f t="shared" si="76"/>
        <v>265268.41399999999</v>
      </c>
      <c r="T279" s="218">
        <f>MIN(MAX(S279,0),'Tax Assumptions'!$B$20)</f>
        <v>7500</v>
      </c>
      <c r="U279" s="218">
        <f t="shared" si="77"/>
        <v>257768.41399999999</v>
      </c>
      <c r="V279" s="218">
        <f>MAX(V278*(1+'Model Inputs'!$B$13)+U279,0)</f>
        <v>1010744.2479095199</v>
      </c>
      <c r="W279" s="218">
        <f>MAX(W278*(1+'Model Inputs'!$B$13)+M279+T279,0)</f>
        <v>139987.712</v>
      </c>
      <c r="X279" s="218">
        <f t="shared" si="78"/>
        <v>1150731.9599095199</v>
      </c>
      <c r="Y279" s="226" t="str">
        <f t="shared" si="79"/>
        <v/>
      </c>
      <c r="Z279" s="226" t="str">
        <f t="shared" si="80"/>
        <v/>
      </c>
      <c r="AA279" s="226" t="str">
        <f t="shared" si="81"/>
        <v/>
      </c>
      <c r="AB279" s="226" t="str">
        <f t="shared" si="82"/>
        <v/>
      </c>
    </row>
    <row r="280" spans="1:28" x14ac:dyDescent="0.2">
      <c r="A280" s="214" t="str">
        <f t="shared" si="87"/>
        <v>5Y 4x</v>
      </c>
      <c r="B280" s="214">
        <f t="shared" si="88"/>
        <v>5</v>
      </c>
      <c r="C280" s="223">
        <f t="shared" si="89"/>
        <v>4</v>
      </c>
      <c r="D280" s="214">
        <v>5</v>
      </c>
      <c r="E280" s="214">
        <f t="shared" si="72"/>
        <v>2030</v>
      </c>
      <c r="F280" s="218">
        <f>IF(D280=1,'Model Inputs'!$B$25*(13-'Model Inputs'!$B$23)/12,'Model Inputs'!$B$25)</f>
        <v>300000</v>
      </c>
      <c r="G280" s="218">
        <f>IF(D280=1,'Model Inputs'!$B$27*(13-'Model Inputs'!$B$23)/12,IF(D280=2,'Model Inputs'!$B$27,IF(D280&lt;=MAX(3,'Model Inputs'!$B$30+1),'Model Inputs'!$B$27*(1+'Model Inputs'!$B$28)^(D280-3),'Model Inputs'!$B$27*(1+'Model Inputs'!$B$28)^(MAX(3,'Model Inputs'!$B$30+1)-3)*(1+'Model Inputs'!$B$29)^(D280-MAX(3,'Model Inputs'!$B$30+1)))))</f>
        <v>950000</v>
      </c>
      <c r="H280" s="224">
        <f>IF(D280&lt;=2,0,'Model Inputs'!$B$32*SIN(2*PI()*(D280-3+'Model Inputs'!$B$34)/MAX(1,'Model Inputs'!$B$33)))</f>
        <v>-0.1039230484541326</v>
      </c>
      <c r="I280" s="218">
        <f t="shared" si="73"/>
        <v>851273.10396857408</v>
      </c>
      <c r="J280" s="218">
        <f t="shared" si="90"/>
        <v>653837.51358640334</v>
      </c>
      <c r="K280" s="218">
        <f>F280+J280+IF(D280=1,'Model Inputs'!$B$26,0)</f>
        <v>953837.51358640334</v>
      </c>
      <c r="L280" s="218">
        <f t="shared" si="74"/>
        <v>953837.51358640334</v>
      </c>
      <c r="M280" s="218">
        <f>MIN(L280,'Tax Assumptions'!$B$19)</f>
        <v>24500</v>
      </c>
      <c r="N280" s="218">
        <f>MAX(L280-M280-'Tax Assumptions'!$B$8,0)</f>
        <v>913237.51358640334</v>
      </c>
      <c r="O280" s="218">
        <f>MAX(L280-M280-'Tax Assumptions'!$B$9,0)</f>
        <v>921337.51358640334</v>
      </c>
      <c r="P280" s="218">
        <f>IF(N280=0,0,LOOKUP(N280,'Tax Assumptions'!$F$9:$F$15,'Tax Assumptions'!$I$9:$I$15)+(N280-LOOKUP(N280,'Tax Assumptions'!$F$9:$F$15,'Tax Assumptions'!$F$9:$F$15))*LOOKUP(N280,'Tax Assumptions'!$F$9:$F$15,'Tax Assumptions'!$H$9:$H$15))+MIN(MAX(L280,0),'Tax Assumptions'!$B$11)*'Tax Assumptions'!$B$10+MAX(L280,0)*'Tax Assumptions'!$B$12+MAX(MAX(L280,0)-'Tax Assumptions'!$B$14,0)*'Tax Assumptions'!$B$13+MIN(L280*'Tax Assumptions'!$B$15,'Tax Assumptions'!$B$16)+MIN(L280*'Tax Assumptions'!$B$17,'Tax Assumptions'!$B$18)+IF(O280=0,0,LOOKUP(O280,'Tax Assumptions'!$K$9:$K$17,'Tax Assumptions'!$N$9:$N$17)+(O280-LOOKUP(O280,'Tax Assumptions'!$K$9:$K$17,'Tax Assumptions'!$K$9:$K$17))*LOOKUP(O280,'Tax Assumptions'!$K$9:$K$17,'Tax Assumptions'!$M$9:$M$17))+IF(O280=0,0,LOOKUP(O280,'Tax Assumptions'!$P$9:$P$12,'Tax Assumptions'!$S$9:$S$12)+(O280-LOOKUP(O280,'Tax Assumptions'!$P$9:$P$12,'Tax Assumptions'!$P$9:$P$12))*LOOKUP(O280,'Tax Assumptions'!$P$9:$P$12,'Tax Assumptions'!$R$9:$R$12))</f>
        <v>422436.20330352732</v>
      </c>
      <c r="Q280" s="218">
        <f t="shared" si="75"/>
        <v>506901.31028287602</v>
      </c>
      <c r="R280" s="218">
        <f>IF(D280&lt;=10,INDEX('Savings Projection'!$BL$19:$BL$28,D280),LOOKUP(2,1/('Savings Projection'!$BL$19:$BL$28&lt;&gt;""),'Savings Projection'!$BL$19:$BL$28))*(1+'Model Inputs'!$B$35)^(D280-1)+IF(D280&lt;=10,INDEX('Savings Projection'!$BM$19:$BM$28,D280),LOOKUP(2,1/('Savings Projection'!$BM$19:$BM$28&lt;&gt;""),'Savings Projection'!$BM$19:$BM$28))*(1+'Model Inputs'!$B$36)^(D280-1)</f>
        <v>144065.12767999998</v>
      </c>
      <c r="S280" s="218">
        <f t="shared" si="76"/>
        <v>362836.18260287604</v>
      </c>
      <c r="T280" s="218">
        <f>MIN(MAX(S280,0),'Tax Assumptions'!$B$20)</f>
        <v>7500</v>
      </c>
      <c r="U280" s="218">
        <f t="shared" si="77"/>
        <v>355336.18260287604</v>
      </c>
      <c r="V280" s="218">
        <f>MAX(V279*(1+'Model Inputs'!$B$13)+U280,0)</f>
        <v>1426725.0853869673</v>
      </c>
      <c r="W280" s="218">
        <f>MAX(W279*(1+'Model Inputs'!$B$13)+M280+T280,0)</f>
        <v>180386.97472</v>
      </c>
      <c r="X280" s="218">
        <f t="shared" si="78"/>
        <v>1607112.0601069673</v>
      </c>
      <c r="Y280" s="226" t="str">
        <f t="shared" si="79"/>
        <v/>
      </c>
      <c r="Z280" s="226" t="str">
        <f t="shared" si="80"/>
        <v/>
      </c>
      <c r="AA280" s="226" t="str">
        <f t="shared" si="81"/>
        <v/>
      </c>
      <c r="AB280" s="226" t="str">
        <f t="shared" si="82"/>
        <v/>
      </c>
    </row>
    <row r="281" spans="1:28" x14ac:dyDescent="0.2">
      <c r="A281" s="214" t="str">
        <f t="shared" si="87"/>
        <v>5Y 4x</v>
      </c>
      <c r="B281" s="214">
        <f t="shared" si="88"/>
        <v>5</v>
      </c>
      <c r="C281" s="223">
        <f t="shared" si="89"/>
        <v>4</v>
      </c>
      <c r="D281" s="214">
        <v>6</v>
      </c>
      <c r="E281" s="214">
        <f t="shared" si="72"/>
        <v>2031</v>
      </c>
      <c r="F281" s="218">
        <f>IF(D281=1,'Model Inputs'!$B$25*(13-'Model Inputs'!$B$23)/12,'Model Inputs'!$B$25)</f>
        <v>300000</v>
      </c>
      <c r="G281" s="218">
        <f>IF(D281=1,'Model Inputs'!$B$27*(13-'Model Inputs'!$B$23)/12,IF(D281=2,'Model Inputs'!$B$27,IF(D281&lt;=MAX(3,'Model Inputs'!$B$30+1),'Model Inputs'!$B$27*(1+'Model Inputs'!$B$28)^(D281-3),'Model Inputs'!$B$27*(1+'Model Inputs'!$B$28)^(MAX(3,'Model Inputs'!$B$30+1)-3)*(1+'Model Inputs'!$B$29)^(D281-MAX(3,'Model Inputs'!$B$30+1)))))</f>
        <v>1207333.5632986501</v>
      </c>
      <c r="H281" s="224">
        <f>IF(D281&lt;=2,0,'Model Inputs'!$B$32*SIN(2*PI()*(D281-3+'Model Inputs'!$B$34)/MAX(1,'Model Inputs'!$B$33)))</f>
        <v>-2.9391523179536474E-17</v>
      </c>
      <c r="I281" s="218">
        <f t="shared" si="73"/>
        <v>1207333.5632986501</v>
      </c>
      <c r="J281" s="218">
        <f t="shared" si="90"/>
        <v>818900.66583856498</v>
      </c>
      <c r="K281" s="218">
        <f>F281+J281+IF(D281=1,'Model Inputs'!$B$26,0)</f>
        <v>1118900.665838565</v>
      </c>
      <c r="L281" s="218">
        <f t="shared" si="74"/>
        <v>4475602.6633542599</v>
      </c>
      <c r="M281" s="218">
        <f>MIN(L281,'Tax Assumptions'!$B$19)</f>
        <v>24500</v>
      </c>
      <c r="N281" s="218">
        <f>MAX(L281-M281-'Tax Assumptions'!$B$8,0)</f>
        <v>4435002.6633542599</v>
      </c>
      <c r="O281" s="218">
        <f>MAX(L281-M281-'Tax Assumptions'!$B$9,0)</f>
        <v>4443102.6633542599</v>
      </c>
      <c r="P281" s="218">
        <f>IF(N281=0,0,LOOKUP(N281,'Tax Assumptions'!$F$9:$F$15,'Tax Assumptions'!$I$9:$I$15)+(N281-LOOKUP(N281,'Tax Assumptions'!$F$9:$F$15,'Tax Assumptions'!$F$9:$F$15))*LOOKUP(N281,'Tax Assumptions'!$F$9:$F$15,'Tax Assumptions'!$H$9:$H$15))+MIN(MAX(L281,0),'Tax Assumptions'!$B$11)*'Tax Assumptions'!$B$10+MAX(L281,0)*'Tax Assumptions'!$B$12+MAX(MAX(L281,0)-'Tax Assumptions'!$B$14,0)*'Tax Assumptions'!$B$13+MIN(L281*'Tax Assumptions'!$B$15,'Tax Assumptions'!$B$16)+MIN(L281*'Tax Assumptions'!$B$17,'Tax Assumptions'!$B$18)+IF(O281=0,0,LOOKUP(O281,'Tax Assumptions'!$K$9:$K$17,'Tax Assumptions'!$N$9:$N$17)+(O281-LOOKUP(O281,'Tax Assumptions'!$K$9:$K$17,'Tax Assumptions'!$K$9:$K$17))*LOOKUP(O281,'Tax Assumptions'!$K$9:$K$17,'Tax Assumptions'!$M$9:$M$17))+IF(O281=0,0,LOOKUP(O281,'Tax Assumptions'!$P$9:$P$12,'Tax Assumptions'!$S$9:$S$12)+(O281-LOOKUP(O281,'Tax Assumptions'!$P$9:$P$12,'Tax Assumptions'!$P$9:$P$12))*LOOKUP(O281,'Tax Assumptions'!$P$9:$P$12,'Tax Assumptions'!$R$9:$R$12))</f>
        <v>2280230.299275198</v>
      </c>
      <c r="Q281" s="218">
        <f t="shared" si="75"/>
        <v>2170872.3640790619</v>
      </c>
      <c r="R281" s="218">
        <f>IF(D281&lt;=10,INDEX('Savings Projection'!$BL$19:$BL$28,D281),LOOKUP(2,1/('Savings Projection'!$BL$19:$BL$28&lt;&gt;""),'Savings Projection'!$BL$19:$BL$28))*(1+'Model Inputs'!$B$35)^(D281-1)+IF(D281&lt;=10,INDEX('Savings Projection'!$BM$19:$BM$28,D281),LOOKUP(2,1/('Savings Projection'!$BM$19:$BM$28&lt;&gt;""),'Savings Projection'!$BM$19:$BM$28))*(1+'Model Inputs'!$B$36)^(D281-1)</f>
        <v>150705.62965899997</v>
      </c>
      <c r="S281" s="218">
        <f t="shared" si="76"/>
        <v>2020166.734420062</v>
      </c>
      <c r="T281" s="218">
        <f>MIN(MAX(S281,0),'Tax Assumptions'!$B$20)</f>
        <v>7500</v>
      </c>
      <c r="U281" s="218">
        <f t="shared" si="77"/>
        <v>2012666.734420062</v>
      </c>
      <c r="V281" s="218">
        <f>MAX(V280*(1+'Model Inputs'!$B$13)+U281,0)</f>
        <v>3524995.3249302474</v>
      </c>
      <c r="W281" s="218">
        <f>MAX(W280*(1+'Model Inputs'!$B$13)+M281+T281,0)</f>
        <v>223210.1932032</v>
      </c>
      <c r="X281" s="218">
        <f t="shared" si="78"/>
        <v>3748205.5181334475</v>
      </c>
      <c r="Y281" s="226" t="str">
        <f t="shared" si="79"/>
        <v/>
      </c>
      <c r="Z281" s="226" t="str">
        <f t="shared" si="80"/>
        <v/>
      </c>
      <c r="AA281" s="226" t="str">
        <f t="shared" si="81"/>
        <v/>
      </c>
      <c r="AB281" s="226" t="str">
        <f t="shared" si="82"/>
        <v/>
      </c>
    </row>
    <row r="282" spans="1:28" x14ac:dyDescent="0.2">
      <c r="A282" s="214" t="str">
        <f t="shared" si="87"/>
        <v>5Y 4x</v>
      </c>
      <c r="B282" s="214">
        <f t="shared" si="88"/>
        <v>5</v>
      </c>
      <c r="C282" s="223">
        <f t="shared" si="89"/>
        <v>4</v>
      </c>
      <c r="D282" s="214">
        <v>7</v>
      </c>
      <c r="E282" s="214">
        <f t="shared" si="72"/>
        <v>2032</v>
      </c>
      <c r="F282" s="218">
        <f>IF(D282=1,'Model Inputs'!$B$25*(13-'Model Inputs'!$B$23)/12,'Model Inputs'!$B$25)</f>
        <v>300000</v>
      </c>
      <c r="G282" s="218">
        <f>IF(D282=1,'Model Inputs'!$B$27*(13-'Model Inputs'!$B$23)/12,IF(D282=2,'Model Inputs'!$B$27,IF(D282&lt;=MAX(3,'Model Inputs'!$B$30+1),'Model Inputs'!$B$27*(1+'Model Inputs'!$B$28)^(D282-3),'Model Inputs'!$B$27*(1+'Model Inputs'!$B$28)^(MAX(3,'Model Inputs'!$B$30+1)-3)*(1+'Model Inputs'!$B$29)^(D282-MAX(3,'Model Inputs'!$B$30+1)))))</f>
        <v>1534372.9821762268</v>
      </c>
      <c r="H282" s="224">
        <f>IF(D282&lt;=2,0,'Model Inputs'!$B$32*SIN(2*PI()*(D282-3+'Model Inputs'!$B$34)/MAX(1,'Model Inputs'!$B$33)))</f>
        <v>0.10392304845413269</v>
      </c>
      <c r="I282" s="218">
        <f t="shared" si="73"/>
        <v>1693829.6999496389</v>
      </c>
      <c r="J282" s="218">
        <f t="shared" si="90"/>
        <v>1118318.448466131</v>
      </c>
      <c r="K282" s="218">
        <f>F282+J282+IF(D282=1,'Model Inputs'!$B$26,0)</f>
        <v>1418318.448466131</v>
      </c>
      <c r="L282" s="218">
        <f t="shared" si="74"/>
        <v>5673273.793864524</v>
      </c>
      <c r="M282" s="218">
        <f>MIN(L282,'Tax Assumptions'!$B$19)</f>
        <v>24500</v>
      </c>
      <c r="N282" s="218">
        <f>MAX(L282-M282-'Tax Assumptions'!$B$8,0)</f>
        <v>5632673.793864524</v>
      </c>
      <c r="O282" s="218">
        <f>MAX(L282-M282-'Tax Assumptions'!$B$9,0)</f>
        <v>5640773.793864524</v>
      </c>
      <c r="P282" s="218">
        <f>IF(N282=0,0,LOOKUP(N282,'Tax Assumptions'!$F$9:$F$15,'Tax Assumptions'!$I$9:$I$15)+(N282-LOOKUP(N282,'Tax Assumptions'!$F$9:$F$15,'Tax Assumptions'!$F$9:$F$15))*LOOKUP(N282,'Tax Assumptions'!$F$9:$F$15,'Tax Assumptions'!$H$9:$H$15))+MIN(MAX(L282,0),'Tax Assumptions'!$B$11)*'Tax Assumptions'!$B$10+MAX(L282,0)*'Tax Assumptions'!$B$12+MAX(MAX(L282,0)-'Tax Assumptions'!$B$14,0)*'Tax Assumptions'!$B$13+MIN(L282*'Tax Assumptions'!$B$15,'Tax Assumptions'!$B$16)+MIN(L282*'Tax Assumptions'!$B$17,'Tax Assumptions'!$B$18)+IF(O282=0,0,LOOKUP(O282,'Tax Assumptions'!$K$9:$K$17,'Tax Assumptions'!$N$9:$N$17)+(O282-LOOKUP(O282,'Tax Assumptions'!$K$9:$K$17,'Tax Assumptions'!$K$9:$K$17))*LOOKUP(O282,'Tax Assumptions'!$K$9:$K$17,'Tax Assumptions'!$M$9:$M$17))+IF(O282=0,0,LOOKUP(O282,'Tax Assumptions'!$P$9:$P$12,'Tax Assumptions'!$S$9:$S$12)+(O282-LOOKUP(O282,'Tax Assumptions'!$P$9:$P$12,'Tax Assumptions'!$P$9:$P$12))*LOOKUP(O282,'Tax Assumptions'!$P$9:$P$12,'Tax Assumptions'!$R$9:$R$12))</f>
        <v>2917679.0709039257</v>
      </c>
      <c r="Q282" s="218">
        <f t="shared" si="75"/>
        <v>2731094.7229605983</v>
      </c>
      <c r="R282" s="218">
        <f>IF(D282&lt;=10,INDEX('Savings Projection'!$BL$19:$BL$28,D282),LOOKUP(2,1/('Savings Projection'!$BL$19:$BL$28&lt;&gt;""),'Savings Projection'!$BL$19:$BL$28))*(1+'Model Inputs'!$B$35)^(D282-1)+IF(D282&lt;=10,INDEX('Savings Projection'!$BM$19:$BM$28,D282),LOOKUP(2,1/('Savings Projection'!$BM$19:$BM$28&lt;&gt;""),'Savings Projection'!$BM$19:$BM$28))*(1+'Model Inputs'!$B$36)^(D282-1)</f>
        <v>155226.79854876999</v>
      </c>
      <c r="S282" s="218">
        <f t="shared" si="76"/>
        <v>2575867.9244118282</v>
      </c>
      <c r="T282" s="218">
        <f>MIN(MAX(S282,0),'Tax Assumptions'!$B$20)</f>
        <v>7500</v>
      </c>
      <c r="U282" s="218">
        <f t="shared" si="77"/>
        <v>2568367.9244118282</v>
      </c>
      <c r="V282" s="218">
        <f>MAX(V281*(1+'Model Inputs'!$B$13)+U282,0)</f>
        <v>6304862.9688378908</v>
      </c>
      <c r="W282" s="218">
        <f>MAX(W281*(1+'Model Inputs'!$B$13)+M282+T282,0)</f>
        <v>268602.80479539197</v>
      </c>
      <c r="X282" s="218">
        <f t="shared" si="78"/>
        <v>6573465.7736332826</v>
      </c>
      <c r="Y282" s="226" t="str">
        <f t="shared" si="79"/>
        <v/>
      </c>
      <c r="Z282" s="226" t="str">
        <f t="shared" si="80"/>
        <v/>
      </c>
      <c r="AA282" s="226" t="str">
        <f t="shared" si="81"/>
        <v/>
      </c>
      <c r="AB282" s="226" t="str">
        <f t="shared" si="82"/>
        <v/>
      </c>
    </row>
    <row r="283" spans="1:28" x14ac:dyDescent="0.2">
      <c r="A283" s="214" t="str">
        <f t="shared" si="87"/>
        <v>5Y 4x</v>
      </c>
      <c r="B283" s="214">
        <f t="shared" si="88"/>
        <v>5</v>
      </c>
      <c r="C283" s="223">
        <f t="shared" si="89"/>
        <v>4</v>
      </c>
      <c r="D283" s="214">
        <v>8</v>
      </c>
      <c r="E283" s="214">
        <f t="shared" si="72"/>
        <v>2033</v>
      </c>
      <c r="F283" s="218">
        <f>IF(D283=1,'Model Inputs'!$B$25*(13-'Model Inputs'!$B$23)/12,'Model Inputs'!$B$25)</f>
        <v>300000</v>
      </c>
      <c r="G283" s="218">
        <f>IF(D283=1,'Model Inputs'!$B$27*(13-'Model Inputs'!$B$23)/12,IF(D283=2,'Model Inputs'!$B$27,IF(D283&lt;=MAX(3,'Model Inputs'!$B$30+1),'Model Inputs'!$B$27*(1+'Model Inputs'!$B$28)^(D283-3),'Model Inputs'!$B$27*(1+'Model Inputs'!$B$28)^(MAX(3,'Model Inputs'!$B$30+1)-3)*(1+'Model Inputs'!$B$29)^(D283-MAX(3,'Model Inputs'!$B$30+1)))))</f>
        <v>1950000.0000000002</v>
      </c>
      <c r="H283" s="224">
        <f>IF(D283&lt;=2,0,'Model Inputs'!$B$32*SIN(2*PI()*(D283-3+'Model Inputs'!$B$34)/MAX(1,'Model Inputs'!$B$33)))</f>
        <v>-0.10392304845413264</v>
      </c>
      <c r="I283" s="218">
        <f t="shared" si="73"/>
        <v>1747350.0555144416</v>
      </c>
      <c r="J283" s="218">
        <f t="shared" si="90"/>
        <v>1572205.6657868917</v>
      </c>
      <c r="K283" s="218">
        <f>F283+J283+IF(D283=1,'Model Inputs'!$B$26,0)</f>
        <v>1872205.6657868917</v>
      </c>
      <c r="L283" s="218">
        <f t="shared" si="74"/>
        <v>7488822.6631475668</v>
      </c>
      <c r="M283" s="218">
        <f>MIN(L283,'Tax Assumptions'!$B$19)</f>
        <v>24500</v>
      </c>
      <c r="N283" s="218">
        <f>MAX(L283-M283-'Tax Assumptions'!$B$8,0)</f>
        <v>7448222.6631475668</v>
      </c>
      <c r="O283" s="218">
        <f>MAX(L283-M283-'Tax Assumptions'!$B$9,0)</f>
        <v>7456322.6631475668</v>
      </c>
      <c r="P283" s="218">
        <f>IF(N283=0,0,LOOKUP(N283,'Tax Assumptions'!$F$9:$F$15,'Tax Assumptions'!$I$9:$I$15)+(N283-LOOKUP(N283,'Tax Assumptions'!$F$9:$F$15,'Tax Assumptions'!$F$9:$F$15))*LOOKUP(N283,'Tax Assumptions'!$F$9:$F$15,'Tax Assumptions'!$H$9:$H$15))+MIN(MAX(L283,0),'Tax Assumptions'!$B$11)*'Tax Assumptions'!$B$10+MAX(L283,0)*'Tax Assumptions'!$B$12+MAX(MAX(L283,0)-'Tax Assumptions'!$B$14,0)*'Tax Assumptions'!$B$13+MIN(L283*'Tax Assumptions'!$B$15,'Tax Assumptions'!$B$16)+MIN(L283*'Tax Assumptions'!$B$17,'Tax Assumptions'!$B$18)+IF(O283=0,0,LOOKUP(O283,'Tax Assumptions'!$K$9:$K$17,'Tax Assumptions'!$N$9:$N$17)+(O283-LOOKUP(O283,'Tax Assumptions'!$K$9:$K$17,'Tax Assumptions'!$K$9:$K$17))*LOOKUP(O283,'Tax Assumptions'!$K$9:$K$17,'Tax Assumptions'!$M$9:$M$17))+IF(O283=0,0,LOOKUP(O283,'Tax Assumptions'!$P$9:$P$12,'Tax Assumptions'!$S$9:$S$12)+(O283-LOOKUP(O283,'Tax Assumptions'!$P$9:$P$12,'Tax Assumptions'!$P$9:$P$12))*LOOKUP(O283,'Tax Assumptions'!$P$9:$P$12,'Tax Assumptions'!$R$9:$R$12))</f>
        <v>3889469.7586763669</v>
      </c>
      <c r="Q283" s="218">
        <f t="shared" si="75"/>
        <v>3574852.9044712</v>
      </c>
      <c r="R283" s="218">
        <f>IF(D283&lt;=10,INDEX('Savings Projection'!$BL$19:$BL$28,D283),LOOKUP(2,1/('Savings Projection'!$BL$19:$BL$28&lt;&gt;""),'Savings Projection'!$BL$19:$BL$28))*(1+'Model Inputs'!$B$35)^(D283-1)+IF(D283&lt;=10,INDEX('Savings Projection'!$BM$19:$BM$28,D283),LOOKUP(2,1/('Savings Projection'!$BM$19:$BM$28&lt;&gt;""),'Savings Projection'!$BM$19:$BM$28))*(1+'Model Inputs'!$B$36)^(D283-1)</f>
        <v>159883.60250523311</v>
      </c>
      <c r="S283" s="218">
        <f t="shared" si="76"/>
        <v>3414969.3019659668</v>
      </c>
      <c r="T283" s="218">
        <f>MIN(MAX(S283,0),'Tax Assumptions'!$B$20)</f>
        <v>7500</v>
      </c>
      <c r="U283" s="218">
        <f t="shared" si="77"/>
        <v>3407469.3019659668</v>
      </c>
      <c r="V283" s="218">
        <f>MAX(V282*(1+'Model Inputs'!$B$13)+U283,0)</f>
        <v>10090624.048934132</v>
      </c>
      <c r="W283" s="218">
        <f>MAX(W282*(1+'Model Inputs'!$B$13)+M283+T283,0)</f>
        <v>316718.97308311553</v>
      </c>
      <c r="X283" s="218">
        <f t="shared" si="78"/>
        <v>10407343.022017248</v>
      </c>
      <c r="Y283" s="226" t="str">
        <f t="shared" si="79"/>
        <v/>
      </c>
      <c r="Z283" s="226" t="str">
        <f t="shared" si="80"/>
        <v/>
      </c>
      <c r="AA283" s="226" t="str">
        <f t="shared" si="81"/>
        <v/>
      </c>
      <c r="AB283" s="226" t="str">
        <f t="shared" si="82"/>
        <v/>
      </c>
    </row>
    <row r="284" spans="1:28" x14ac:dyDescent="0.2">
      <c r="A284" s="214" t="str">
        <f t="shared" si="87"/>
        <v>5Y 4x</v>
      </c>
      <c r="B284" s="214">
        <f t="shared" si="88"/>
        <v>5</v>
      </c>
      <c r="C284" s="223">
        <f t="shared" si="89"/>
        <v>4</v>
      </c>
      <c r="D284" s="214">
        <v>9</v>
      </c>
      <c r="E284" s="214">
        <f t="shared" si="72"/>
        <v>2034</v>
      </c>
      <c r="F284" s="218">
        <f>IF(D284=1,'Model Inputs'!$B$25*(13-'Model Inputs'!$B$23)/12,'Model Inputs'!$B$25)</f>
        <v>300000</v>
      </c>
      <c r="G284" s="218">
        <f>IF(D284=1,'Model Inputs'!$B$27*(13-'Model Inputs'!$B$23)/12,IF(D284=2,'Model Inputs'!$B$27,IF(D284&lt;=MAX(3,'Model Inputs'!$B$30+1),'Model Inputs'!$B$27*(1+'Model Inputs'!$B$28)^(D284-3),'Model Inputs'!$B$27*(1+'Model Inputs'!$B$28)^(MAX(3,'Model Inputs'!$B$30+1)-3)*(1+'Model Inputs'!$B$29)^(D284-MAX(3,'Model Inputs'!$B$30+1)))))</f>
        <v>2478210.9983498608</v>
      </c>
      <c r="H284" s="224">
        <f>IF(D284&lt;=2,0,'Model Inputs'!$B$32*SIN(2*PI()*(D284-3+'Model Inputs'!$B$34)/MAX(1,'Model Inputs'!$B$33)))</f>
        <v>-5.8783046359072947E-17</v>
      </c>
      <c r="I284" s="218">
        <f t="shared" si="73"/>
        <v>2478210.9983498603</v>
      </c>
      <c r="J284" s="218">
        <f t="shared" si="90"/>
        <v>1733969.9666232408</v>
      </c>
      <c r="K284" s="218">
        <f>F284+J284+IF(D284=1,'Model Inputs'!$B$26,0)</f>
        <v>2033969.9666232408</v>
      </c>
      <c r="L284" s="218">
        <f t="shared" si="74"/>
        <v>8135879.8664929634</v>
      </c>
      <c r="M284" s="218">
        <f>MIN(L284,'Tax Assumptions'!$B$19)</f>
        <v>24500</v>
      </c>
      <c r="N284" s="218">
        <f>MAX(L284-M284-'Tax Assumptions'!$B$8,0)</f>
        <v>8095279.8664929634</v>
      </c>
      <c r="O284" s="218">
        <f>MAX(L284-M284-'Tax Assumptions'!$B$9,0)</f>
        <v>8103379.8664929634</v>
      </c>
      <c r="P284" s="218">
        <f>IF(N284=0,0,LOOKUP(N284,'Tax Assumptions'!$F$9:$F$15,'Tax Assumptions'!$I$9:$I$15)+(N284-LOOKUP(N284,'Tax Assumptions'!$F$9:$F$15,'Tax Assumptions'!$F$9:$F$15))*LOOKUP(N284,'Tax Assumptions'!$F$9:$F$15,'Tax Assumptions'!$H$9:$H$15))+MIN(MAX(L284,0),'Tax Assumptions'!$B$11)*'Tax Assumptions'!$B$10+MAX(L284,0)*'Tax Assumptions'!$B$12+MAX(MAX(L284,0)-'Tax Assumptions'!$B$14,0)*'Tax Assumptions'!$B$13+MIN(L284*'Tax Assumptions'!$B$15,'Tax Assumptions'!$B$16)+MIN(L284*'Tax Assumptions'!$B$17,'Tax Assumptions'!$B$18)+IF(O284=0,0,LOOKUP(O284,'Tax Assumptions'!$K$9:$K$17,'Tax Assumptions'!$N$9:$N$17)+(O284-LOOKUP(O284,'Tax Assumptions'!$K$9:$K$17,'Tax Assumptions'!$K$9:$K$17))*LOOKUP(O284,'Tax Assumptions'!$K$9:$K$17,'Tax Assumptions'!$M$9:$M$17))+IF(O284=0,0,LOOKUP(O284,'Tax Assumptions'!$P$9:$P$12,'Tax Assumptions'!$S$9:$S$12)+(O284-LOOKUP(O284,'Tax Assumptions'!$P$9:$P$12,'Tax Assumptions'!$P$9:$P$12))*LOOKUP(O284,'Tax Assumptions'!$P$9:$P$12,'Tax Assumptions'!$R$9:$R$12))</f>
        <v>4235813.5973390238</v>
      </c>
      <c r="Q284" s="218">
        <f t="shared" si="75"/>
        <v>3875566.2691539396</v>
      </c>
      <c r="R284" s="218">
        <f>IF(D284&lt;=10,INDEX('Savings Projection'!$BL$19:$BL$28,D284),LOOKUP(2,1/('Savings Projection'!$BL$19:$BL$28&lt;&gt;""),'Savings Projection'!$BL$19:$BL$28))*(1+'Model Inputs'!$B$35)^(D284-1)+IF(D284&lt;=10,INDEX('Savings Projection'!$BM$19:$BM$28,D284),LOOKUP(2,1/('Savings Projection'!$BM$19:$BM$28&lt;&gt;""),'Savings Projection'!$BM$19:$BM$28))*(1+'Model Inputs'!$B$36)^(D284-1)</f>
        <v>164680.11058039009</v>
      </c>
      <c r="S284" s="218">
        <f t="shared" si="76"/>
        <v>3710886.1585735492</v>
      </c>
      <c r="T284" s="218">
        <f>MIN(MAX(S284,0),'Tax Assumptions'!$B$20)</f>
        <v>7500</v>
      </c>
      <c r="U284" s="218">
        <f t="shared" si="77"/>
        <v>3703386.1585735492</v>
      </c>
      <c r="V284" s="218">
        <f>MAX(V283*(1+'Model Inputs'!$B$13)+U284,0)</f>
        <v>14399447.650443729</v>
      </c>
      <c r="W284" s="218">
        <f>MAX(W283*(1+'Model Inputs'!$B$13)+M284+T284,0)</f>
        <v>367722.11146810249</v>
      </c>
      <c r="X284" s="218">
        <f t="shared" si="78"/>
        <v>14767169.761911832</v>
      </c>
      <c r="Y284" s="226">
        <f t="shared" si="79"/>
        <v>9</v>
      </c>
      <c r="Z284" s="226" t="str">
        <f t="shared" si="80"/>
        <v/>
      </c>
      <c r="AA284" s="226" t="str">
        <f t="shared" si="81"/>
        <v/>
      </c>
      <c r="AB284" s="226" t="str">
        <f t="shared" si="82"/>
        <v/>
      </c>
    </row>
    <row r="285" spans="1:28" x14ac:dyDescent="0.2">
      <c r="A285" s="214" t="str">
        <f t="shared" si="87"/>
        <v>5Y 4x</v>
      </c>
      <c r="B285" s="214">
        <f t="shared" si="88"/>
        <v>5</v>
      </c>
      <c r="C285" s="223">
        <f t="shared" si="89"/>
        <v>4</v>
      </c>
      <c r="D285" s="214">
        <v>10</v>
      </c>
      <c r="E285" s="214">
        <f t="shared" si="72"/>
        <v>2035</v>
      </c>
      <c r="F285" s="218">
        <f>IF(D285=1,'Model Inputs'!$B$25*(13-'Model Inputs'!$B$23)/12,'Model Inputs'!$B$25)</f>
        <v>300000</v>
      </c>
      <c r="G285" s="218">
        <f>IF(D285=1,'Model Inputs'!$B$27*(13-'Model Inputs'!$B$23)/12,IF(D285=2,'Model Inputs'!$B$27,IF(D285&lt;=MAX(3,'Model Inputs'!$B$30+1),'Model Inputs'!$B$27*(1+'Model Inputs'!$B$28)^(D285-3),'Model Inputs'!$B$27*(1+'Model Inputs'!$B$28)^(MAX(3,'Model Inputs'!$B$30+1)-3)*(1+'Model Inputs'!$B$29)^(D285-MAX(3,'Model Inputs'!$B$30+1)))))</f>
        <v>3149502.4370985711</v>
      </c>
      <c r="H285" s="224">
        <f>IF(D285&lt;=2,0,'Model Inputs'!$B$32*SIN(2*PI()*(D285-3+'Model Inputs'!$B$34)/MAX(1,'Model Inputs'!$B$33)))</f>
        <v>0.10392304845413271</v>
      </c>
      <c r="I285" s="218">
        <f t="shared" si="73"/>
        <v>3476808.331475575</v>
      </c>
      <c r="J285" s="218">
        <f t="shared" si="90"/>
        <v>2295495.7626410057</v>
      </c>
      <c r="K285" s="218">
        <f>F285+J285+IF(D285=1,'Model Inputs'!$B$26,0)</f>
        <v>2595495.7626410057</v>
      </c>
      <c r="L285" s="218">
        <f t="shared" si="74"/>
        <v>10381983.050564023</v>
      </c>
      <c r="M285" s="218">
        <f>MIN(L285,'Tax Assumptions'!$B$19)</f>
        <v>24500</v>
      </c>
      <c r="N285" s="218">
        <f>MAX(L285-M285-'Tax Assumptions'!$B$8,0)</f>
        <v>10341383.050564023</v>
      </c>
      <c r="O285" s="218">
        <f>MAX(L285-M285-'Tax Assumptions'!$B$9,0)</f>
        <v>10349483.050564023</v>
      </c>
      <c r="P285" s="218">
        <f>IF(N285=0,0,LOOKUP(N285,'Tax Assumptions'!$F$9:$F$15,'Tax Assumptions'!$I$9:$I$15)+(N285-LOOKUP(N285,'Tax Assumptions'!$F$9:$F$15,'Tax Assumptions'!$F$9:$F$15))*LOOKUP(N285,'Tax Assumptions'!$F$9:$F$15,'Tax Assumptions'!$H$9:$H$15))+MIN(MAX(L285,0),'Tax Assumptions'!$B$11)*'Tax Assumptions'!$B$10+MAX(L285,0)*'Tax Assumptions'!$B$12+MAX(MAX(L285,0)-'Tax Assumptions'!$B$14,0)*'Tax Assumptions'!$B$13+MIN(L285*'Tax Assumptions'!$B$15,'Tax Assumptions'!$B$16)+MIN(L285*'Tax Assumptions'!$B$17,'Tax Assumptions'!$B$18)+IF(O285=0,0,LOOKUP(O285,'Tax Assumptions'!$K$9:$K$17,'Tax Assumptions'!$N$9:$N$17)+(O285-LOOKUP(O285,'Tax Assumptions'!$K$9:$K$17,'Tax Assumptions'!$K$9:$K$17))*LOOKUP(O285,'Tax Assumptions'!$K$9:$K$17,'Tax Assumptions'!$M$9:$M$17))+IF(O285=0,0,LOOKUP(O285,'Tax Assumptions'!$P$9:$P$12,'Tax Assumptions'!$S$9:$S$12)+(O285-LOOKUP(O285,'Tax Assumptions'!$P$9:$P$12,'Tax Assumptions'!$P$9:$P$12))*LOOKUP(O285,'Tax Assumptions'!$P$9:$P$12,'Tax Assumptions'!$R$9:$R$12))</f>
        <v>5438062.7876448995</v>
      </c>
      <c r="Q285" s="218">
        <f t="shared" si="75"/>
        <v>4919420.2629191233</v>
      </c>
      <c r="R285" s="218">
        <f>IF(D285&lt;=10,INDEX('Savings Projection'!$BL$19:$BL$28,D285),LOOKUP(2,1/('Savings Projection'!$BL$19:$BL$28&lt;&gt;""),'Savings Projection'!$BL$19:$BL$28))*(1+'Model Inputs'!$B$35)^(D285-1)+IF(D285&lt;=10,INDEX('Savings Projection'!$BM$19:$BM$28,D285),LOOKUP(2,1/('Savings Projection'!$BM$19:$BM$28&lt;&gt;""),'Savings Projection'!$BM$19:$BM$28))*(1+'Model Inputs'!$B$36)^(D285-1)</f>
        <v>169620.51389780178</v>
      </c>
      <c r="S285" s="218">
        <f t="shared" si="76"/>
        <v>4749799.7490213215</v>
      </c>
      <c r="T285" s="218">
        <f>MIN(MAX(S285,0),'Tax Assumptions'!$B$20)</f>
        <v>7500</v>
      </c>
      <c r="U285" s="218">
        <f t="shared" si="77"/>
        <v>4742299.7490213215</v>
      </c>
      <c r="V285" s="218">
        <f>MAX(V284*(1+'Model Inputs'!$B$13)+U285,0)</f>
        <v>20005714.258491673</v>
      </c>
      <c r="W285" s="218">
        <f>MAX(W284*(1+'Model Inputs'!$B$13)+M285+T285,0)</f>
        <v>421785.43815618864</v>
      </c>
      <c r="X285" s="218">
        <f t="shared" si="78"/>
        <v>20427499.69664786</v>
      </c>
      <c r="Y285" s="226" t="str">
        <f t="shared" si="79"/>
        <v/>
      </c>
      <c r="Z285" s="226">
        <f t="shared" si="80"/>
        <v>10</v>
      </c>
      <c r="AA285" s="226">
        <f t="shared" si="81"/>
        <v>10</v>
      </c>
      <c r="AB285" s="226" t="str">
        <f t="shared" si="82"/>
        <v/>
      </c>
    </row>
    <row r="286" spans="1:28" x14ac:dyDescent="0.2">
      <c r="A286" s="214" t="str">
        <f t="shared" si="87"/>
        <v>5Y 4x</v>
      </c>
      <c r="B286" s="214">
        <f t="shared" si="88"/>
        <v>5</v>
      </c>
      <c r="C286" s="223">
        <f t="shared" si="89"/>
        <v>4</v>
      </c>
      <c r="D286" s="214">
        <v>11</v>
      </c>
      <c r="E286" s="214">
        <f t="shared" si="72"/>
        <v>2036</v>
      </c>
      <c r="F286" s="218">
        <f>IF(D286=1,'Model Inputs'!$B$25*(13-'Model Inputs'!$B$23)/12,'Model Inputs'!$B$25)</f>
        <v>300000</v>
      </c>
      <c r="G286" s="218">
        <f>IF(D286=1,'Model Inputs'!$B$27*(13-'Model Inputs'!$B$23)/12,IF(D286=2,'Model Inputs'!$B$27,IF(D286&lt;=MAX(3,'Model Inputs'!$B$30+1),'Model Inputs'!$B$27*(1+'Model Inputs'!$B$28)^(D286-3),'Model Inputs'!$B$27*(1+'Model Inputs'!$B$28)^(MAX(3,'Model Inputs'!$B$30+1)-3)*(1+'Model Inputs'!$B$29)^(D286-MAX(3,'Model Inputs'!$B$30+1)))))</f>
        <v>4002631.578947369</v>
      </c>
      <c r="H286" s="224">
        <f>IF(D286&lt;=2,0,'Model Inputs'!$B$32*SIN(2*PI()*(D286-3+'Model Inputs'!$B$34)/MAX(1,'Model Inputs'!$B$33)))</f>
        <v>-0.10392304845413253</v>
      </c>
      <c r="I286" s="218">
        <f t="shared" si="73"/>
        <v>3586665.9034243808</v>
      </c>
      <c r="J286" s="218">
        <f t="shared" si="90"/>
        <v>3227158.9981941464</v>
      </c>
      <c r="K286" s="218">
        <f>F286+J286+IF(D286=1,'Model Inputs'!$B$26,0)</f>
        <v>3527158.9981941464</v>
      </c>
      <c r="L286" s="218">
        <f t="shared" si="74"/>
        <v>14108635.992776586</v>
      </c>
      <c r="M286" s="218">
        <f>MIN(L286,'Tax Assumptions'!$B$19)</f>
        <v>24500</v>
      </c>
      <c r="N286" s="218">
        <f>MAX(L286-M286-'Tax Assumptions'!$B$8,0)</f>
        <v>14068035.992776586</v>
      </c>
      <c r="O286" s="218">
        <f>MAX(L286-M286-'Tax Assumptions'!$B$9,0)</f>
        <v>14076135.992776586</v>
      </c>
      <c r="P286" s="218">
        <f>IF(N286=0,0,LOOKUP(N286,'Tax Assumptions'!$F$9:$F$15,'Tax Assumptions'!$I$9:$I$15)+(N286-LOOKUP(N286,'Tax Assumptions'!$F$9:$F$15,'Tax Assumptions'!$F$9:$F$15))*LOOKUP(N286,'Tax Assumptions'!$F$9:$F$15,'Tax Assumptions'!$H$9:$H$15))+MIN(MAX(L286,0),'Tax Assumptions'!$B$11)*'Tax Assumptions'!$B$10+MAX(L286,0)*'Tax Assumptions'!$B$12+MAX(MAX(L286,0)-'Tax Assumptions'!$B$14,0)*'Tax Assumptions'!$B$13+MIN(L286*'Tax Assumptions'!$B$15,'Tax Assumptions'!$B$16)+MIN(L286*'Tax Assumptions'!$B$17,'Tax Assumptions'!$B$18)+IF(O286=0,0,LOOKUP(O286,'Tax Assumptions'!$K$9:$K$17,'Tax Assumptions'!$N$9:$N$17)+(O286-LOOKUP(O286,'Tax Assumptions'!$K$9:$K$17,'Tax Assumptions'!$K$9:$K$17))*LOOKUP(O286,'Tax Assumptions'!$K$9:$K$17,'Tax Assumptions'!$M$9:$M$17))+IF(O286=0,0,LOOKUP(O286,'Tax Assumptions'!$P$9:$P$12,'Tax Assumptions'!$S$9:$S$12)+(O286-LOOKUP(O286,'Tax Assumptions'!$P$9:$P$12,'Tax Assumptions'!$P$9:$P$12))*LOOKUP(O286,'Tax Assumptions'!$P$9:$P$12,'Tax Assumptions'!$R$9:$R$12))</f>
        <v>7432791.0414935956</v>
      </c>
      <c r="Q286" s="218">
        <f t="shared" si="75"/>
        <v>6651344.9512829902</v>
      </c>
      <c r="R286" s="218">
        <f>IF(D286&lt;=10,INDEX('Savings Projection'!$BL$19:$BL$28,D286),LOOKUP(2,1/('Savings Projection'!$BL$19:$BL$28&lt;&gt;""),'Savings Projection'!$BL$19:$BL$28))*(1+'Model Inputs'!$B$35)^(D286-1)+IF(D286&lt;=10,INDEX('Savings Projection'!$BM$19:$BM$28,D286),LOOKUP(2,1/('Savings Projection'!$BM$19:$BM$28&lt;&gt;""),'Savings Projection'!$BM$19:$BM$28))*(1+'Model Inputs'!$B$36)^(D286-1)</f>
        <v>174709.12931473582</v>
      </c>
      <c r="S286" s="218">
        <f t="shared" si="76"/>
        <v>6476635.8219682546</v>
      </c>
      <c r="T286" s="218">
        <f>MIN(MAX(S286,0),'Tax Assumptions'!$B$20)</f>
        <v>7500</v>
      </c>
      <c r="U286" s="218">
        <f t="shared" si="77"/>
        <v>6469135.8219682546</v>
      </c>
      <c r="V286" s="218">
        <f>MAX(V285*(1+'Model Inputs'!$B$13)+U286,0)</f>
        <v>27675192.935969427</v>
      </c>
      <c r="W286" s="218">
        <f>MAX(W285*(1+'Model Inputs'!$B$13)+M286+T286,0)</f>
        <v>479092.56444555998</v>
      </c>
      <c r="X286" s="218">
        <f t="shared" si="78"/>
        <v>28154285.500414986</v>
      </c>
      <c r="Y286" s="226" t="str">
        <f t="shared" si="79"/>
        <v/>
      </c>
      <c r="Z286" s="226" t="str">
        <f t="shared" si="80"/>
        <v/>
      </c>
      <c r="AA286" s="226" t="str">
        <f t="shared" si="81"/>
        <v/>
      </c>
      <c r="AB286" s="226">
        <f t="shared" si="82"/>
        <v>11</v>
      </c>
    </row>
    <row r="287" spans="1:28" x14ac:dyDescent="0.2">
      <c r="A287" s="214" t="str">
        <f t="shared" si="87"/>
        <v>5Y 4x</v>
      </c>
      <c r="B287" s="214">
        <f t="shared" si="88"/>
        <v>5</v>
      </c>
      <c r="C287" s="223">
        <f t="shared" si="89"/>
        <v>4</v>
      </c>
      <c r="D287" s="214">
        <v>12</v>
      </c>
      <c r="E287" s="214">
        <f t="shared" si="72"/>
        <v>2037</v>
      </c>
      <c r="F287" s="218">
        <f>IF(D287=1,'Model Inputs'!$B$25*(13-'Model Inputs'!$B$23)/12,'Model Inputs'!$B$25)</f>
        <v>300000</v>
      </c>
      <c r="G287" s="218">
        <f>IF(D287=1,'Model Inputs'!$B$27*(13-'Model Inputs'!$B$23)/12,IF(D287=2,'Model Inputs'!$B$27,IF(D287&lt;=MAX(3,'Model Inputs'!$B$30+1),'Model Inputs'!$B$27*(1+'Model Inputs'!$B$28)^(D287-3),'Model Inputs'!$B$27*(1+'Model Inputs'!$B$28)^(MAX(3,'Model Inputs'!$B$30+1)-3)*(1+'Model Inputs'!$B$29)^(D287-MAX(3,'Model Inputs'!$B$30+1)))))</f>
        <v>5086854.15450761</v>
      </c>
      <c r="H287" s="224">
        <f>IF(D287&lt;=2,0,'Model Inputs'!$B$32*SIN(2*PI()*(D287-3+'Model Inputs'!$B$34)/MAX(1,'Model Inputs'!$B$33)))</f>
        <v>-8.8174569538609421E-17</v>
      </c>
      <c r="I287" s="218">
        <f t="shared" si="73"/>
        <v>5086854.1545076091</v>
      </c>
      <c r="J287" s="218">
        <f t="shared" si="90"/>
        <v>3559201.5104371794</v>
      </c>
      <c r="K287" s="218">
        <f>F287+J287+IF(D287=1,'Model Inputs'!$B$26,0)</f>
        <v>3859201.5104371794</v>
      </c>
      <c r="L287" s="218">
        <f t="shared" si="74"/>
        <v>15436806.041748717</v>
      </c>
      <c r="M287" s="218">
        <f>MIN(L287,'Tax Assumptions'!$B$19)</f>
        <v>24500</v>
      </c>
      <c r="N287" s="218">
        <f>MAX(L287-M287-'Tax Assumptions'!$B$8,0)</f>
        <v>15396206.041748717</v>
      </c>
      <c r="O287" s="218">
        <f>MAX(L287-M287-'Tax Assumptions'!$B$9,0)</f>
        <v>15404306.041748717</v>
      </c>
      <c r="P287" s="218">
        <f>IF(N287=0,0,LOOKUP(N287,'Tax Assumptions'!$F$9:$F$15,'Tax Assumptions'!$I$9:$I$15)+(N287-LOOKUP(N287,'Tax Assumptions'!$F$9:$F$15,'Tax Assumptions'!$F$9:$F$15))*LOOKUP(N287,'Tax Assumptions'!$F$9:$F$15,'Tax Assumptions'!$H$9:$H$15))+MIN(MAX(L287,0),'Tax Assumptions'!$B$11)*'Tax Assumptions'!$B$10+MAX(L287,0)*'Tax Assumptions'!$B$12+MAX(MAX(L287,0)-'Tax Assumptions'!$B$14,0)*'Tax Assumptions'!$B$13+MIN(L287*'Tax Assumptions'!$B$15,'Tax Assumptions'!$B$16)+MIN(L287*'Tax Assumptions'!$B$17,'Tax Assumptions'!$B$18)+IF(O287=0,0,LOOKUP(O287,'Tax Assumptions'!$K$9:$K$17,'Tax Assumptions'!$N$9:$N$17)+(O287-LOOKUP(O287,'Tax Assumptions'!$K$9:$K$17,'Tax Assumptions'!$K$9:$K$17))*LOOKUP(O287,'Tax Assumptions'!$K$9:$K$17,'Tax Assumptions'!$M$9:$M$17))+IF(O287=0,0,LOOKUP(O287,'Tax Assumptions'!$P$9:$P$12,'Tax Assumptions'!$S$9:$S$12)+(O287-LOOKUP(O287,'Tax Assumptions'!$P$9:$P$12,'Tax Assumptions'!$P$9:$P$12))*LOOKUP(O287,'Tax Assumptions'!$P$9:$P$12,'Tax Assumptions'!$R$9:$R$12))</f>
        <v>8143707.3419064181</v>
      </c>
      <c r="Q287" s="218">
        <f t="shared" si="75"/>
        <v>7268598.6998422993</v>
      </c>
      <c r="R287" s="218">
        <f>IF(D287&lt;=10,INDEX('Savings Projection'!$BL$19:$BL$28,D287),LOOKUP(2,1/('Savings Projection'!$BL$19:$BL$28&lt;&gt;""),'Savings Projection'!$BL$19:$BL$28))*(1+'Model Inputs'!$B$35)^(D287-1)+IF(D287&lt;=10,INDEX('Savings Projection'!$BM$19:$BM$28,D287),LOOKUP(2,1/('Savings Projection'!$BM$19:$BM$28&lt;&gt;""),'Savings Projection'!$BM$19:$BM$28))*(1+'Model Inputs'!$B$36)^(D287-1)</f>
        <v>179950.4031941779</v>
      </c>
      <c r="S287" s="218">
        <f t="shared" si="76"/>
        <v>7088648.2966481214</v>
      </c>
      <c r="T287" s="218">
        <f>MIN(MAX(S287,0),'Tax Assumptions'!$B$20)</f>
        <v>7500</v>
      </c>
      <c r="U287" s="218">
        <f t="shared" si="77"/>
        <v>7081148.2966481214</v>
      </c>
      <c r="V287" s="218">
        <f>MAX(V286*(1+'Model Inputs'!$B$13)+U287,0)</f>
        <v>36416852.808775716</v>
      </c>
      <c r="W287" s="218">
        <f>MAX(W286*(1+'Model Inputs'!$B$13)+M287+T287,0)</f>
        <v>539838.11831229366</v>
      </c>
      <c r="X287" s="218">
        <f t="shared" si="78"/>
        <v>36956690.927088007</v>
      </c>
      <c r="Y287" s="226" t="str">
        <f t="shared" si="79"/>
        <v/>
      </c>
      <c r="Z287" s="226" t="str">
        <f t="shared" si="80"/>
        <v/>
      </c>
      <c r="AA287" s="226" t="str">
        <f t="shared" si="81"/>
        <v/>
      </c>
      <c r="AB287" s="226" t="str">
        <f t="shared" si="82"/>
        <v/>
      </c>
    </row>
    <row r="288" spans="1:28" x14ac:dyDescent="0.2">
      <c r="A288" s="214" t="str">
        <f t="shared" si="87"/>
        <v>5Y 4x</v>
      </c>
      <c r="B288" s="214">
        <f t="shared" si="88"/>
        <v>5</v>
      </c>
      <c r="C288" s="223">
        <f t="shared" si="89"/>
        <v>4</v>
      </c>
      <c r="D288" s="214">
        <v>13</v>
      </c>
      <c r="E288" s="214">
        <f t="shared" si="72"/>
        <v>2038</v>
      </c>
      <c r="F288" s="218">
        <f>IF(D288=1,'Model Inputs'!$B$25*(13-'Model Inputs'!$B$23)/12,'Model Inputs'!$B$25)</f>
        <v>300000</v>
      </c>
      <c r="G288" s="218">
        <f>IF(D288=1,'Model Inputs'!$B$27*(13-'Model Inputs'!$B$23)/12,IF(D288=2,'Model Inputs'!$B$27,IF(D288&lt;=MAX(3,'Model Inputs'!$B$30+1),'Model Inputs'!$B$27*(1+'Model Inputs'!$B$28)^(D288-3),'Model Inputs'!$B$27*(1+'Model Inputs'!$B$28)^(MAX(3,'Model Inputs'!$B$30+1)-3)*(1+'Model Inputs'!$B$29)^(D288-MAX(3,'Model Inputs'!$B$30+1)))))</f>
        <v>6464768.1603602255</v>
      </c>
      <c r="H288" s="224">
        <f>IF(D288&lt;=2,0,'Model Inputs'!$B$32*SIN(2*PI()*(D288-3+'Model Inputs'!$B$34)/MAX(1,'Model Inputs'!$B$33)))</f>
        <v>0.10392304845413261</v>
      </c>
      <c r="I288" s="218">
        <f t="shared" si="73"/>
        <v>7136606.5751340752</v>
      </c>
      <c r="J288" s="218">
        <f t="shared" si="90"/>
        <v>4711807.0917368019</v>
      </c>
      <c r="K288" s="218">
        <f>F288+J288+IF(D288=1,'Model Inputs'!$B$26,0)</f>
        <v>5011807.0917368019</v>
      </c>
      <c r="L288" s="218">
        <f t="shared" si="74"/>
        <v>20047228.366947208</v>
      </c>
      <c r="M288" s="218">
        <f>MIN(L288,'Tax Assumptions'!$B$19)</f>
        <v>24500</v>
      </c>
      <c r="N288" s="218">
        <f>MAX(L288-M288-'Tax Assumptions'!$B$8,0)</f>
        <v>20006628.366947208</v>
      </c>
      <c r="O288" s="218">
        <f>MAX(L288-M288-'Tax Assumptions'!$B$9,0)</f>
        <v>20014728.366947208</v>
      </c>
      <c r="P288" s="218">
        <f>IF(N288=0,0,LOOKUP(N288,'Tax Assumptions'!$F$9:$F$15,'Tax Assumptions'!$I$9:$I$15)+(N288-LOOKUP(N288,'Tax Assumptions'!$F$9:$F$15,'Tax Assumptions'!$F$9:$F$15))*LOOKUP(N288,'Tax Assumptions'!$F$9:$F$15,'Tax Assumptions'!$H$9:$H$15))+MIN(MAX(L288,0),'Tax Assumptions'!$B$11)*'Tax Assumptions'!$B$10+MAX(L288,0)*'Tax Assumptions'!$B$12+MAX(MAX(L288,0)-'Tax Assumptions'!$B$14,0)*'Tax Assumptions'!$B$13+MIN(L288*'Tax Assumptions'!$B$15,'Tax Assumptions'!$B$16)+MIN(L288*'Tax Assumptions'!$B$17,'Tax Assumptions'!$B$18)+IF(O288=0,0,LOOKUP(O288,'Tax Assumptions'!$K$9:$K$17,'Tax Assumptions'!$N$9:$N$17)+(O288-LOOKUP(O288,'Tax Assumptions'!$K$9:$K$17,'Tax Assumptions'!$K$9:$K$17))*LOOKUP(O288,'Tax Assumptions'!$K$9:$K$17,'Tax Assumptions'!$M$9:$M$17))+IF(O288=0,0,LOOKUP(O288,'Tax Assumptions'!$P$9:$P$12,'Tax Assumptions'!$S$9:$S$12)+(O288-LOOKUP(O288,'Tax Assumptions'!$P$9:$P$12,'Tax Assumptions'!$P$9:$P$12))*LOOKUP(O288,'Tax Assumptions'!$P$9:$P$12,'Tax Assumptions'!$R$9:$R$12))</f>
        <v>10611481.995692162</v>
      </c>
      <c r="Q288" s="218">
        <f t="shared" si="75"/>
        <v>9411246.3712550458</v>
      </c>
      <c r="R288" s="218">
        <f>IF(D288&lt;=10,INDEX('Savings Projection'!$BL$19:$BL$28,D288),LOOKUP(2,1/('Savings Projection'!$BL$19:$BL$28&lt;&gt;""),'Savings Projection'!$BL$19:$BL$28))*(1+'Model Inputs'!$B$35)^(D288-1)+IF(D288&lt;=10,INDEX('Savings Projection'!$BM$19:$BM$28,D288),LOOKUP(2,1/('Savings Projection'!$BM$19:$BM$28&lt;&gt;""),'Savings Projection'!$BM$19:$BM$28))*(1+'Model Inputs'!$B$36)^(D288-1)</f>
        <v>185348.91529000323</v>
      </c>
      <c r="S288" s="218">
        <f t="shared" si="76"/>
        <v>9225897.4559650421</v>
      </c>
      <c r="T288" s="218">
        <f>MIN(MAX(S288,0),'Tax Assumptions'!$B$20)</f>
        <v>7500</v>
      </c>
      <c r="U288" s="218">
        <f t="shared" si="77"/>
        <v>9218397.4559650421</v>
      </c>
      <c r="V288" s="218">
        <f>MAX(V287*(1+'Model Inputs'!$B$13)+U288,0)</f>
        <v>47820261.433267303</v>
      </c>
      <c r="W288" s="218">
        <f>MAX(W287*(1+'Model Inputs'!$B$13)+M288+T288,0)</f>
        <v>604228.40541103133</v>
      </c>
      <c r="X288" s="218">
        <f t="shared" si="78"/>
        <v>48424489.838678338</v>
      </c>
      <c r="Y288" s="226" t="str">
        <f t="shared" si="79"/>
        <v/>
      </c>
      <c r="Z288" s="226" t="str">
        <f t="shared" si="80"/>
        <v/>
      </c>
      <c r="AA288" s="226" t="str">
        <f t="shared" si="81"/>
        <v/>
      </c>
      <c r="AB288" s="226" t="str">
        <f t="shared" si="82"/>
        <v/>
      </c>
    </row>
    <row r="289" spans="1:28" x14ac:dyDescent="0.2">
      <c r="A289" s="214" t="str">
        <f t="shared" si="87"/>
        <v>5Y 4x</v>
      </c>
      <c r="B289" s="214">
        <f t="shared" si="88"/>
        <v>5</v>
      </c>
      <c r="C289" s="223">
        <f t="shared" si="89"/>
        <v>4</v>
      </c>
      <c r="D289" s="214">
        <v>14</v>
      </c>
      <c r="E289" s="214">
        <f t="shared" si="72"/>
        <v>2039</v>
      </c>
      <c r="F289" s="218">
        <f>IF(D289=1,'Model Inputs'!$B$25*(13-'Model Inputs'!$B$23)/12,'Model Inputs'!$B$25)</f>
        <v>300000</v>
      </c>
      <c r="G289" s="218">
        <f>IF(D289=1,'Model Inputs'!$B$27*(13-'Model Inputs'!$B$23)/12,IF(D289=2,'Model Inputs'!$B$27,IF(D289&lt;=MAX(3,'Model Inputs'!$B$30+1),'Model Inputs'!$B$27*(1+'Model Inputs'!$B$28)^(D289-3),'Model Inputs'!$B$27*(1+'Model Inputs'!$B$28)^(MAX(3,'Model Inputs'!$B$30+1)-3)*(1+'Model Inputs'!$B$29)^(D289-MAX(3,'Model Inputs'!$B$30+1)))))</f>
        <v>8215927.9778393377</v>
      </c>
      <c r="H289" s="224">
        <f>IF(D289&lt;=2,0,'Model Inputs'!$B$32*SIN(2*PI()*(D289-3+'Model Inputs'!$B$34)/MAX(1,'Model Inputs'!$B$33)))</f>
        <v>-0.10392304845413251</v>
      </c>
      <c r="I289" s="218">
        <f t="shared" si="73"/>
        <v>7362103.6965026772</v>
      </c>
      <c r="J289" s="218">
        <f t="shared" si="90"/>
        <v>6624168.4699774589</v>
      </c>
      <c r="K289" s="218">
        <f>F289+J289+IF(D289=1,'Model Inputs'!$B$26,0)</f>
        <v>6924168.4699774589</v>
      </c>
      <c r="L289" s="218">
        <f t="shared" si="74"/>
        <v>27696673.879909836</v>
      </c>
      <c r="M289" s="218">
        <f>MIN(L289,'Tax Assumptions'!$B$19)</f>
        <v>24500</v>
      </c>
      <c r="N289" s="218">
        <f>MAX(L289-M289-'Tax Assumptions'!$B$8,0)</f>
        <v>27656073.879909836</v>
      </c>
      <c r="O289" s="218">
        <f>MAX(L289-M289-'Tax Assumptions'!$B$9,0)</f>
        <v>27664173.879909836</v>
      </c>
      <c r="P289" s="218">
        <f>IF(N289=0,0,LOOKUP(N289,'Tax Assumptions'!$F$9:$F$15,'Tax Assumptions'!$I$9:$I$15)+(N289-LOOKUP(N289,'Tax Assumptions'!$F$9:$F$15,'Tax Assumptions'!$F$9:$F$15))*LOOKUP(N289,'Tax Assumptions'!$F$9:$F$15,'Tax Assumptions'!$H$9:$H$15))+MIN(MAX(L289,0),'Tax Assumptions'!$B$11)*'Tax Assumptions'!$B$10+MAX(L289,0)*'Tax Assumptions'!$B$12+MAX(MAX(L289,0)-'Tax Assumptions'!$B$14,0)*'Tax Assumptions'!$B$13+MIN(L289*'Tax Assumptions'!$B$15,'Tax Assumptions'!$B$16)+MIN(L289*'Tax Assumptions'!$B$17,'Tax Assumptions'!$B$18)+IF(O289=0,0,LOOKUP(O289,'Tax Assumptions'!$K$9:$K$17,'Tax Assumptions'!$N$9:$N$17)+(O289-LOOKUP(O289,'Tax Assumptions'!$K$9:$K$17,'Tax Assumptions'!$K$9:$K$17))*LOOKUP(O289,'Tax Assumptions'!$K$9:$K$17,'Tax Assumptions'!$M$9:$M$17))+IF(O289=0,0,LOOKUP(O289,'Tax Assumptions'!$P$9:$P$12,'Tax Assumptions'!$S$9:$S$12)+(O289-LOOKUP(O289,'Tax Assumptions'!$P$9:$P$12,'Tax Assumptions'!$P$9:$P$12))*LOOKUP(O289,'Tax Assumptions'!$P$9:$P$12,'Tax Assumptions'!$R$9:$R$12))</f>
        <v>14721909.244239999</v>
      </c>
      <c r="Q289" s="218">
        <f t="shared" si="75"/>
        <v>12950264.635669837</v>
      </c>
      <c r="R289" s="218">
        <f>IF(D289&lt;=10,INDEX('Savings Projection'!$BL$19:$BL$28,D289),LOOKUP(2,1/('Savings Projection'!$BL$19:$BL$28&lt;&gt;""),'Savings Projection'!$BL$19:$BL$28))*(1+'Model Inputs'!$B$35)^(D289-1)+IF(D289&lt;=10,INDEX('Savings Projection'!$BM$19:$BM$28,D289),LOOKUP(2,1/('Savings Projection'!$BM$19:$BM$28&lt;&gt;""),'Savings Projection'!$BM$19:$BM$28))*(1+'Model Inputs'!$B$36)^(D289-1)</f>
        <v>190909.3827487033</v>
      </c>
      <c r="S289" s="218">
        <f t="shared" si="76"/>
        <v>12759355.252921134</v>
      </c>
      <c r="T289" s="218">
        <f>MIN(MAX(S289,0),'Tax Assumptions'!$B$20)</f>
        <v>7500</v>
      </c>
      <c r="U289" s="218">
        <f t="shared" si="77"/>
        <v>12751855.252921134</v>
      </c>
      <c r="V289" s="218">
        <f>MAX(V288*(1+'Model Inputs'!$B$13)+U289,0)</f>
        <v>63441332.372184478</v>
      </c>
      <c r="W289" s="218">
        <f>MAX(W288*(1+'Model Inputs'!$B$13)+M289+T289,0)</f>
        <v>672482.1097356932</v>
      </c>
      <c r="X289" s="218">
        <f t="shared" si="78"/>
        <v>64113814.481920168</v>
      </c>
      <c r="Y289" s="226" t="str">
        <f t="shared" si="79"/>
        <v/>
      </c>
      <c r="Z289" s="226" t="str">
        <f t="shared" si="80"/>
        <v/>
      </c>
      <c r="AA289" s="226" t="str">
        <f t="shared" si="81"/>
        <v/>
      </c>
      <c r="AB289" s="226" t="str">
        <f t="shared" si="82"/>
        <v/>
      </c>
    </row>
    <row r="290" spans="1:28" x14ac:dyDescent="0.2">
      <c r="A290" s="214" t="str">
        <f t="shared" si="87"/>
        <v>5Y 4x</v>
      </c>
      <c r="B290" s="214">
        <f t="shared" si="88"/>
        <v>5</v>
      </c>
      <c r="C290" s="223">
        <f t="shared" si="89"/>
        <v>4</v>
      </c>
      <c r="D290" s="214">
        <v>15</v>
      </c>
      <c r="E290" s="214">
        <f t="shared" si="72"/>
        <v>2040</v>
      </c>
      <c r="F290" s="218">
        <f>IF(D290=1,'Model Inputs'!$B$25*(13-'Model Inputs'!$B$23)/12,'Model Inputs'!$B$25)</f>
        <v>300000</v>
      </c>
      <c r="G290" s="218">
        <f>IF(D290=1,'Model Inputs'!$B$27*(13-'Model Inputs'!$B$23)/12,IF(D290=2,'Model Inputs'!$B$27,IF(D290&lt;=MAX(3,'Model Inputs'!$B$30+1),'Model Inputs'!$B$27*(1+'Model Inputs'!$B$28)^(D290-3),'Model Inputs'!$B$27*(1+'Model Inputs'!$B$28)^(MAX(3,'Model Inputs'!$B$30+1)-3)*(1+'Model Inputs'!$B$29)^(D290-MAX(3,'Model Inputs'!$B$30+1)))))</f>
        <v>10441437.475041937</v>
      </c>
      <c r="H290" s="224">
        <f>IF(D290&lt;=2,0,'Model Inputs'!$B$32*SIN(2*PI()*(D290-3+'Model Inputs'!$B$34)/MAX(1,'Model Inputs'!$B$33)))</f>
        <v>-1.1756609271814589E-16</v>
      </c>
      <c r="I290" s="218">
        <f t="shared" si="73"/>
        <v>10441437.475041935</v>
      </c>
      <c r="J290" s="218">
        <f t="shared" si="90"/>
        <v>7305729.4161605267</v>
      </c>
      <c r="K290" s="218">
        <f>F290+J290+IF(D290=1,'Model Inputs'!$B$26,0)</f>
        <v>7605729.4161605267</v>
      </c>
      <c r="L290" s="218">
        <f t="shared" si="74"/>
        <v>30422917.664642107</v>
      </c>
      <c r="M290" s="218">
        <f>MIN(L290,'Tax Assumptions'!$B$19)</f>
        <v>24500</v>
      </c>
      <c r="N290" s="218">
        <f>MAX(L290-M290-'Tax Assumptions'!$B$8,0)</f>
        <v>30382317.664642107</v>
      </c>
      <c r="O290" s="218">
        <f>MAX(L290-M290-'Tax Assumptions'!$B$9,0)</f>
        <v>30390417.664642107</v>
      </c>
      <c r="P290" s="218">
        <f>IF(N290=0,0,LOOKUP(N290,'Tax Assumptions'!$F$9:$F$15,'Tax Assumptions'!$I$9:$I$15)+(N290-LOOKUP(N290,'Tax Assumptions'!$F$9:$F$15,'Tax Assumptions'!$F$9:$F$15))*LOOKUP(N290,'Tax Assumptions'!$F$9:$F$15,'Tax Assumptions'!$H$9:$H$15))+MIN(MAX(L290,0),'Tax Assumptions'!$B$11)*'Tax Assumptions'!$B$10+MAX(L290,0)*'Tax Assumptions'!$B$12+MAX(MAX(L290,0)-'Tax Assumptions'!$B$14,0)*'Tax Assumptions'!$B$13+MIN(L290*'Tax Assumptions'!$B$15,'Tax Assumptions'!$B$16)+MIN(L290*'Tax Assumptions'!$B$17,'Tax Assumptions'!$B$18)+IF(O290=0,0,LOOKUP(O290,'Tax Assumptions'!$K$9:$K$17,'Tax Assumptions'!$N$9:$N$17)+(O290-LOOKUP(O290,'Tax Assumptions'!$K$9:$K$17,'Tax Assumptions'!$K$9:$K$17))*LOOKUP(O290,'Tax Assumptions'!$K$9:$K$17,'Tax Assumptions'!$M$9:$M$17))+IF(O290=0,0,LOOKUP(O290,'Tax Assumptions'!$P$9:$P$12,'Tax Assumptions'!$S$9:$S$12)+(O290-LOOKUP(O290,'Tax Assumptions'!$P$9:$P$12,'Tax Assumptions'!$P$9:$P$12))*LOOKUP(O290,'Tax Assumptions'!$P$9:$P$12,'Tax Assumptions'!$R$9:$R$12))</f>
        <v>16197515.955164187</v>
      </c>
      <c r="Q290" s="218">
        <f t="shared" si="75"/>
        <v>14200901.70947792</v>
      </c>
      <c r="R290" s="218">
        <f>IF(D290&lt;=10,INDEX('Savings Projection'!$BL$19:$BL$28,D290),LOOKUP(2,1/('Savings Projection'!$BL$19:$BL$28&lt;&gt;""),'Savings Projection'!$BL$19:$BL$28))*(1+'Model Inputs'!$B$35)^(D290-1)+IF(D290&lt;=10,INDEX('Savings Projection'!$BM$19:$BM$28,D290),LOOKUP(2,1/('Savings Projection'!$BM$19:$BM$28&lt;&gt;""),'Savings Projection'!$BM$19:$BM$28))*(1+'Model Inputs'!$B$36)^(D290-1)</f>
        <v>196636.66423116444</v>
      </c>
      <c r="S290" s="218">
        <f t="shared" si="76"/>
        <v>14004265.045246756</v>
      </c>
      <c r="T290" s="218">
        <f>MIN(MAX(S290,0),'Tax Assumptions'!$B$20)</f>
        <v>7500</v>
      </c>
      <c r="U290" s="218">
        <f t="shared" si="77"/>
        <v>13996765.045246756</v>
      </c>
      <c r="V290" s="218">
        <f>MAX(V289*(1+'Model Inputs'!$B$13)+U290,0)</f>
        <v>81244577.359762296</v>
      </c>
      <c r="W290" s="218">
        <f>MAX(W289*(1+'Model Inputs'!$B$13)+M290+T290,0)</f>
        <v>744831.03631983488</v>
      </c>
      <c r="X290" s="218">
        <f t="shared" si="78"/>
        <v>81989408.396082133</v>
      </c>
      <c r="Y290" s="226" t="str">
        <f t="shared" si="79"/>
        <v/>
      </c>
      <c r="Z290" s="226" t="str">
        <f t="shared" si="80"/>
        <v/>
      </c>
      <c r="AA290" s="226" t="str">
        <f t="shared" si="81"/>
        <v/>
      </c>
      <c r="AB290" s="226" t="str">
        <f t="shared" si="82"/>
        <v/>
      </c>
    </row>
    <row r="291" spans="1:28" x14ac:dyDescent="0.2">
      <c r="A291" s="214" t="str">
        <f t="shared" si="87"/>
        <v>5Y 4x</v>
      </c>
      <c r="B291" s="214">
        <f t="shared" si="88"/>
        <v>5</v>
      </c>
      <c r="C291" s="223">
        <f t="shared" si="89"/>
        <v>4</v>
      </c>
      <c r="D291" s="214">
        <v>16</v>
      </c>
      <c r="E291" s="214">
        <f t="shared" si="72"/>
        <v>2041</v>
      </c>
      <c r="F291" s="218">
        <f>IF(D291=1,'Model Inputs'!$B$25*(13-'Model Inputs'!$B$23)/12,'Model Inputs'!$B$25)</f>
        <v>300000</v>
      </c>
      <c r="G291" s="218">
        <f>IF(D291=1,'Model Inputs'!$B$27*(13-'Model Inputs'!$B$23)/12,IF(D291=2,'Model Inputs'!$B$27,IF(D291&lt;=MAX(3,'Model Inputs'!$B$30+1),'Model Inputs'!$B$27*(1+'Model Inputs'!$B$28)^(D291-3),'Model Inputs'!$B$27*(1+'Model Inputs'!$B$28)^(MAX(3,'Model Inputs'!$B$30+1)-3)*(1+'Model Inputs'!$B$29)^(D291-MAX(3,'Model Inputs'!$B$30+1)))))</f>
        <v>13269787.276528884</v>
      </c>
      <c r="H291" s="224">
        <f>IF(D291&lt;=2,0,'Model Inputs'!$B$32*SIN(2*PI()*(D291-3+'Model Inputs'!$B$34)/MAX(1,'Model Inputs'!$B$33)))</f>
        <v>0.10392304845413262</v>
      </c>
      <c r="I291" s="218">
        <f t="shared" si="73"/>
        <v>14648824.022643628</v>
      </c>
      <c r="J291" s="218">
        <f t="shared" si="90"/>
        <v>9671604.0304071214</v>
      </c>
      <c r="K291" s="218">
        <f>F291+J291+IF(D291=1,'Model Inputs'!$B$26,0)</f>
        <v>9971604.0304071214</v>
      </c>
      <c r="L291" s="218">
        <f t="shared" si="74"/>
        <v>39886416.121628486</v>
      </c>
      <c r="M291" s="218">
        <f>MIN(L291,'Tax Assumptions'!$B$19)</f>
        <v>24500</v>
      </c>
      <c r="N291" s="218">
        <f>MAX(L291-M291-'Tax Assumptions'!$B$8,0)</f>
        <v>39845816.121628486</v>
      </c>
      <c r="O291" s="218">
        <f>MAX(L291-M291-'Tax Assumptions'!$B$9,0)</f>
        <v>39853916.121628486</v>
      </c>
      <c r="P291" s="218">
        <f>IF(N291=0,0,LOOKUP(N291,'Tax Assumptions'!$F$9:$F$15,'Tax Assumptions'!$I$9:$I$15)+(N291-LOOKUP(N291,'Tax Assumptions'!$F$9:$F$15,'Tax Assumptions'!$F$9:$F$15))*LOOKUP(N291,'Tax Assumptions'!$F$9:$F$15,'Tax Assumptions'!$H$9:$H$15))+MIN(MAX(L291,0),'Tax Assumptions'!$B$11)*'Tax Assumptions'!$B$10+MAX(L291,0)*'Tax Assumptions'!$B$12+MAX(MAX(L291,0)-'Tax Assumptions'!$B$14,0)*'Tax Assumptions'!$B$13+MIN(L291*'Tax Assumptions'!$B$15,'Tax Assumptions'!$B$16)+MIN(L291*'Tax Assumptions'!$B$17,'Tax Assumptions'!$B$18)+IF(O291=0,0,LOOKUP(O291,'Tax Assumptions'!$K$9:$K$17,'Tax Assumptions'!$N$9:$N$17)+(O291-LOOKUP(O291,'Tax Assumptions'!$K$9:$K$17,'Tax Assumptions'!$K$9:$K$17))*LOOKUP(O291,'Tax Assumptions'!$K$9:$K$17,'Tax Assumptions'!$M$9:$M$17))+IF(O291=0,0,LOOKUP(O291,'Tax Assumptions'!$P$9:$P$12,'Tax Assumptions'!$S$9:$S$12)+(O291-LOOKUP(O291,'Tax Assumptions'!$P$9:$P$12,'Tax Assumptions'!$P$9:$P$12))*LOOKUP(O291,'Tax Assumptions'!$P$9:$P$12,'Tax Assumptions'!$R$9:$R$12))</f>
        <v>21319729.12999263</v>
      </c>
      <c r="Q291" s="218">
        <f t="shared" si="75"/>
        <v>18542186.991635855</v>
      </c>
      <c r="R291" s="218">
        <f>IF(D291&lt;=10,INDEX('Savings Projection'!$BL$19:$BL$28,D291),LOOKUP(2,1/('Savings Projection'!$BL$19:$BL$28&lt;&gt;""),'Savings Projection'!$BL$19:$BL$28))*(1+'Model Inputs'!$B$35)^(D291-1)+IF(D291&lt;=10,INDEX('Savings Projection'!$BM$19:$BM$28,D291),LOOKUP(2,1/('Savings Projection'!$BM$19:$BM$28&lt;&gt;""),'Savings Projection'!$BM$19:$BM$28))*(1+'Model Inputs'!$B$36)^(D291-1)</f>
        <v>202535.76415809937</v>
      </c>
      <c r="S291" s="218">
        <f t="shared" si="76"/>
        <v>18339651.227477755</v>
      </c>
      <c r="T291" s="218">
        <f>MIN(MAX(S291,0),'Tax Assumptions'!$B$20)</f>
        <v>7500</v>
      </c>
      <c r="U291" s="218">
        <f t="shared" si="77"/>
        <v>18332151.227477755</v>
      </c>
      <c r="V291" s="218">
        <f>MAX(V290*(1+'Model Inputs'!$B$13)+U291,0)</f>
        <v>104451403.22882579</v>
      </c>
      <c r="W291" s="218">
        <f>MAX(W290*(1+'Model Inputs'!$B$13)+M291+T291,0)</f>
        <v>821520.89849902503</v>
      </c>
      <c r="X291" s="218">
        <f t="shared" si="78"/>
        <v>105272924.12732482</v>
      </c>
      <c r="Y291" s="226" t="str">
        <f t="shared" si="79"/>
        <v/>
      </c>
      <c r="Z291" s="226" t="str">
        <f t="shared" si="80"/>
        <v/>
      </c>
      <c r="AA291" s="226" t="str">
        <f t="shared" si="81"/>
        <v/>
      </c>
      <c r="AB291" s="226" t="str">
        <f t="shared" si="82"/>
        <v/>
      </c>
    </row>
    <row r="292" spans="1:28" x14ac:dyDescent="0.2">
      <c r="A292" s="214" t="str">
        <f t="shared" si="87"/>
        <v>5Y 4x</v>
      </c>
      <c r="B292" s="214">
        <f t="shared" si="88"/>
        <v>5</v>
      </c>
      <c r="C292" s="223">
        <f t="shared" si="89"/>
        <v>4</v>
      </c>
      <c r="D292" s="214">
        <v>17</v>
      </c>
      <c r="E292" s="214">
        <f t="shared" ref="E292:E355" si="91">2025+D292</f>
        <v>2042</v>
      </c>
      <c r="F292" s="218">
        <f>IF(D292=1,'Model Inputs'!$B$25*(13-'Model Inputs'!$B$23)/12,'Model Inputs'!$B$25)</f>
        <v>300000</v>
      </c>
      <c r="G292" s="218">
        <f>IF(D292=1,'Model Inputs'!$B$27*(13-'Model Inputs'!$B$23)/12,IF(D292=2,'Model Inputs'!$B$27,IF(D292&lt;=MAX(3,'Model Inputs'!$B$30+1),'Model Inputs'!$B$27*(1+'Model Inputs'!$B$28)^(D292-3),'Model Inputs'!$B$27*(1+'Model Inputs'!$B$28)^(MAX(3,'Model Inputs'!$B$30+1)-3)*(1+'Model Inputs'!$B$29)^(D292-MAX(3,'Model Inputs'!$B$30+1)))))</f>
        <v>16864273.217670217</v>
      </c>
      <c r="H292" s="224">
        <f>IF(D292&lt;=2,0,'Model Inputs'!$B$32*SIN(2*PI()*(D292-3+'Model Inputs'!$B$34)/MAX(1,'Model Inputs'!$B$33)))</f>
        <v>-0.1039230484541325</v>
      </c>
      <c r="I292" s="218">
        <f t="shared" ref="I292:I355" si="92">G292*(1+H292)</f>
        <v>15111686.534926547</v>
      </c>
      <c r="J292" s="218">
        <f t="shared" si="90"/>
        <v>13596977.385743205</v>
      </c>
      <c r="K292" s="218">
        <f>F292+J292+IF(D292=1,'Model Inputs'!$B$26,0)</f>
        <v>13896977.385743205</v>
      </c>
      <c r="L292" s="218">
        <f t="shared" ref="L292:L355" si="93">IF(D292&lt;=B292,K292,K292*C292)</f>
        <v>55587909.542972818</v>
      </c>
      <c r="M292" s="218">
        <f>MIN(L292,'Tax Assumptions'!$B$19)</f>
        <v>24500</v>
      </c>
      <c r="N292" s="218">
        <f>MAX(L292-M292-'Tax Assumptions'!$B$8,0)</f>
        <v>55547309.542972818</v>
      </c>
      <c r="O292" s="218">
        <f>MAX(L292-M292-'Tax Assumptions'!$B$9,0)</f>
        <v>55555409.542972818</v>
      </c>
      <c r="P292" s="218">
        <f>IF(N292=0,0,LOOKUP(N292,'Tax Assumptions'!$F$9:$F$15,'Tax Assumptions'!$I$9:$I$15)+(N292-LOOKUP(N292,'Tax Assumptions'!$F$9:$F$15,'Tax Assumptions'!$F$9:$F$15))*LOOKUP(N292,'Tax Assumptions'!$F$9:$F$15,'Tax Assumptions'!$H$9:$H$15))+MIN(MAX(L292,0),'Tax Assumptions'!$B$11)*'Tax Assumptions'!$B$10+MAX(L292,0)*'Tax Assumptions'!$B$12+MAX(MAX(L292,0)-'Tax Assumptions'!$B$14,0)*'Tax Assumptions'!$B$13+MIN(L292*'Tax Assumptions'!$B$15,'Tax Assumptions'!$B$16)+MIN(L292*'Tax Assumptions'!$B$17,'Tax Assumptions'!$B$18)+IF(O292=0,0,LOOKUP(O292,'Tax Assumptions'!$K$9:$K$17,'Tax Assumptions'!$N$9:$N$17)+(O292-LOOKUP(O292,'Tax Assumptions'!$K$9:$K$17,'Tax Assumptions'!$K$9:$K$17))*LOOKUP(O292,'Tax Assumptions'!$K$9:$K$17,'Tax Assumptions'!$M$9:$M$17))+IF(O292=0,0,LOOKUP(O292,'Tax Assumptions'!$P$9:$P$12,'Tax Assumptions'!$S$9:$S$12)+(O292-LOOKUP(O292,'Tax Assumptions'!$P$9:$P$12,'Tax Assumptions'!$P$9:$P$12))*LOOKUP(O292,'Tax Assumptions'!$P$9:$P$12,'Tax Assumptions'!$R$9:$R$12))</f>
        <v>29818319.459229466</v>
      </c>
      <c r="Q292" s="218">
        <f t="shared" ref="Q292:Q355" si="94">L292-M292-P292</f>
        <v>25745090.083743352</v>
      </c>
      <c r="R292" s="218">
        <f>IF(D292&lt;=10,INDEX('Savings Projection'!$BL$19:$BL$28,D292),LOOKUP(2,1/('Savings Projection'!$BL$19:$BL$28&lt;&gt;""),'Savings Projection'!$BL$19:$BL$28))*(1+'Model Inputs'!$B$35)^(D292-1)+IF(D292&lt;=10,INDEX('Savings Projection'!$BM$19:$BM$28,D292),LOOKUP(2,1/('Savings Projection'!$BM$19:$BM$28&lt;&gt;""),'Savings Projection'!$BM$19:$BM$28))*(1+'Model Inputs'!$B$36)^(D292-1)</f>
        <v>208611.83708284231</v>
      </c>
      <c r="S292" s="218">
        <f t="shared" ref="S292:S355" si="95">Q292-R292</f>
        <v>25536478.246660512</v>
      </c>
      <c r="T292" s="218">
        <f>MIN(MAX(S292,0),'Tax Assumptions'!$B$20)</f>
        <v>7500</v>
      </c>
      <c r="U292" s="218">
        <f t="shared" ref="U292:U355" si="96">S292-T292</f>
        <v>25528978.246660512</v>
      </c>
      <c r="V292" s="218">
        <f>MAX(V291*(1+'Model Inputs'!$B$13)+U292,0)</f>
        <v>136247465.66921586</v>
      </c>
      <c r="W292" s="218">
        <f>MAX(W291*(1+'Model Inputs'!$B$13)+M292+T292,0)</f>
        <v>902812.15240896656</v>
      </c>
      <c r="X292" s="218">
        <f t="shared" ref="X292:X355" si="97">V292+W292</f>
        <v>137150277.82162482</v>
      </c>
      <c r="Y292" s="226" t="str">
        <f t="shared" si="79"/>
        <v/>
      </c>
      <c r="Z292" s="226" t="str">
        <f t="shared" si="80"/>
        <v/>
      </c>
      <c r="AA292" s="226" t="str">
        <f t="shared" si="81"/>
        <v/>
      </c>
      <c r="AB292" s="226" t="str">
        <f t="shared" si="82"/>
        <v/>
      </c>
    </row>
    <row r="293" spans="1:28" x14ac:dyDescent="0.2">
      <c r="A293" s="214" t="str">
        <f t="shared" si="87"/>
        <v>5Y 4x</v>
      </c>
      <c r="B293" s="214">
        <f t="shared" si="88"/>
        <v>5</v>
      </c>
      <c r="C293" s="223">
        <f t="shared" si="89"/>
        <v>4</v>
      </c>
      <c r="D293" s="214">
        <v>18</v>
      </c>
      <c r="E293" s="214">
        <f t="shared" si="91"/>
        <v>2043</v>
      </c>
      <c r="F293" s="218">
        <f>IF(D293=1,'Model Inputs'!$B$25*(13-'Model Inputs'!$B$23)/12,'Model Inputs'!$B$25)</f>
        <v>300000</v>
      </c>
      <c r="G293" s="218">
        <f>IF(D293=1,'Model Inputs'!$B$27*(13-'Model Inputs'!$B$23)/12,IF(D293=2,'Model Inputs'!$B$27,IF(D293&lt;=MAX(3,'Model Inputs'!$B$30+1),'Model Inputs'!$B$27*(1+'Model Inputs'!$B$28)^(D293-3),'Model Inputs'!$B$27*(1+'Model Inputs'!$B$28)^(MAX(3,'Model Inputs'!$B$30+1)-3)*(1+'Model Inputs'!$B$29)^(D293-MAX(3,'Model Inputs'!$B$30+1)))))</f>
        <v>21432424.290875554</v>
      </c>
      <c r="H293" s="224">
        <f>IF(D293&lt;=2,0,'Model Inputs'!$B$32*SIN(2*PI()*(D293-3+'Model Inputs'!$B$34)/MAX(1,'Model Inputs'!$B$33)))</f>
        <v>-5.7328325735374245E-16</v>
      </c>
      <c r="I293" s="218">
        <f t="shared" si="92"/>
        <v>21432424.290875543</v>
      </c>
      <c r="J293" s="218">
        <f t="shared" si="90"/>
        <v>14995970.906855816</v>
      </c>
      <c r="K293" s="218">
        <f>F293+J293+IF(D293=1,'Model Inputs'!$B$26,0)</f>
        <v>15295970.906855816</v>
      </c>
      <c r="L293" s="218">
        <f t="shared" si="93"/>
        <v>61183883.627423264</v>
      </c>
      <c r="M293" s="218">
        <f>MIN(L293,'Tax Assumptions'!$B$19)</f>
        <v>24500</v>
      </c>
      <c r="N293" s="218">
        <f>MAX(L293-M293-'Tax Assumptions'!$B$8,0)</f>
        <v>61143283.627423264</v>
      </c>
      <c r="O293" s="218">
        <f>MAX(L293-M293-'Tax Assumptions'!$B$9,0)</f>
        <v>61151383.627423264</v>
      </c>
      <c r="P293" s="218">
        <f>IF(N293=0,0,LOOKUP(N293,'Tax Assumptions'!$F$9:$F$15,'Tax Assumptions'!$I$9:$I$15)+(N293-LOOKUP(N293,'Tax Assumptions'!$F$9:$F$15,'Tax Assumptions'!$F$9:$F$15))*LOOKUP(N293,'Tax Assumptions'!$F$9:$F$15,'Tax Assumptions'!$H$9:$H$15))+MIN(MAX(L293,0),'Tax Assumptions'!$B$11)*'Tax Assumptions'!$B$10+MAX(L293,0)*'Tax Assumptions'!$B$12+MAX(MAX(L293,0)-'Tax Assumptions'!$B$14,0)*'Tax Assumptions'!$B$13+MIN(L293*'Tax Assumptions'!$B$15,'Tax Assumptions'!$B$16)+MIN(L293*'Tax Assumptions'!$B$17,'Tax Assumptions'!$B$18)+IF(O293=0,0,LOOKUP(O293,'Tax Assumptions'!$K$9:$K$17,'Tax Assumptions'!$N$9:$N$17)+(O293-LOOKUP(O293,'Tax Assumptions'!$K$9:$K$17,'Tax Assumptions'!$K$9:$K$17))*LOOKUP(O293,'Tax Assumptions'!$K$9:$K$17,'Tax Assumptions'!$M$9:$M$17))+IF(O293=0,0,LOOKUP(O293,'Tax Assumptions'!$P$9:$P$12,'Tax Assumptions'!$S$9:$S$12)+(O293-LOOKUP(O293,'Tax Assumptions'!$P$9:$P$12,'Tax Assumptions'!$P$9:$P$12))*LOOKUP(O293,'Tax Assumptions'!$P$9:$P$12,'Tax Assumptions'!$R$9:$R$12))</f>
        <v>32847196.392179113</v>
      </c>
      <c r="Q293" s="218">
        <f t="shared" si="94"/>
        <v>28312187.235244151</v>
      </c>
      <c r="R293" s="218">
        <f>IF(D293&lt;=10,INDEX('Savings Projection'!$BL$19:$BL$28,D293),LOOKUP(2,1/('Savings Projection'!$BL$19:$BL$28&lt;&gt;""),'Savings Projection'!$BL$19:$BL$28))*(1+'Model Inputs'!$B$35)^(D293-1)+IF(D293&lt;=10,INDEX('Savings Projection'!$BM$19:$BM$28,D293),LOOKUP(2,1/('Savings Projection'!$BM$19:$BM$28&lt;&gt;""),'Savings Projection'!$BM$19:$BM$28))*(1+'Model Inputs'!$B$36)^(D293-1)</f>
        <v>214870.1921953276</v>
      </c>
      <c r="S293" s="218">
        <f t="shared" si="95"/>
        <v>28097317.043048825</v>
      </c>
      <c r="T293" s="218">
        <f>MIN(MAX(S293,0),'Tax Assumptions'!$B$20)</f>
        <v>7500</v>
      </c>
      <c r="U293" s="218">
        <f t="shared" si="96"/>
        <v>28089817.043048825</v>
      </c>
      <c r="V293" s="218">
        <f>MAX(V292*(1+'Model Inputs'!$B$13)+U293,0)</f>
        <v>172512130.65241766</v>
      </c>
      <c r="W293" s="218">
        <f>MAX(W292*(1+'Model Inputs'!$B$13)+M293+T293,0)</f>
        <v>988980.88155350462</v>
      </c>
      <c r="X293" s="218">
        <f t="shared" si="97"/>
        <v>173501111.53397116</v>
      </c>
      <c r="Y293" s="226" t="str">
        <f t="shared" ref="Y293:Y356" si="98">IF(AND(X293&gt;=$F$14,IF(D293=1,0,X292)&lt;$F$14),D293,"")</f>
        <v/>
      </c>
      <c r="Z293" s="226" t="str">
        <f t="shared" ref="Z293:Z305" si="99">IF(AND(X293&gt;=$F$15,IF(D293=1,0,X292)&lt;$F$15),D293,"")</f>
        <v/>
      </c>
      <c r="AA293" s="226" t="str">
        <f t="shared" ref="AA293:AA305" si="100">IF(AND(X293&gt;=$F$16,IF(D293=1,0,X292)&lt;$F$16),D293,"")</f>
        <v/>
      </c>
      <c r="AB293" s="226" t="str">
        <f t="shared" ref="AB293:AB305" si="101">IF(AND(X293&gt;=$F$17,IF(D293=1,0,X292)&lt;$F$17),D293,"")</f>
        <v/>
      </c>
    </row>
    <row r="294" spans="1:28" x14ac:dyDescent="0.2">
      <c r="A294" s="214" t="str">
        <f t="shared" si="87"/>
        <v>5Y 4x</v>
      </c>
      <c r="B294" s="214">
        <f t="shared" si="88"/>
        <v>5</v>
      </c>
      <c r="C294" s="223">
        <f t="shared" si="89"/>
        <v>4</v>
      </c>
      <c r="D294" s="214">
        <v>19</v>
      </c>
      <c r="E294" s="214">
        <f t="shared" si="91"/>
        <v>2044</v>
      </c>
      <c r="F294" s="218">
        <f>IF(D294=1,'Model Inputs'!$B$25*(13-'Model Inputs'!$B$23)/12,'Model Inputs'!$B$25)</f>
        <v>300000</v>
      </c>
      <c r="G294" s="218">
        <f>IF(D294=1,'Model Inputs'!$B$27*(13-'Model Inputs'!$B$23)/12,IF(D294=2,'Model Inputs'!$B$27,IF(D294&lt;=MAX(3,'Model Inputs'!$B$30+1),'Model Inputs'!$B$27*(1+'Model Inputs'!$B$28)^(D294-3),'Model Inputs'!$B$27*(1+'Model Inputs'!$B$28)^(MAX(3,'Model Inputs'!$B$30+1)-3)*(1+'Model Inputs'!$B$29)^(D294-MAX(3,'Model Inputs'!$B$30+1)))))</f>
        <v>27237984.409717187</v>
      </c>
      <c r="H294" s="224">
        <f>IF(D294&lt;=2,0,'Model Inputs'!$B$32*SIN(2*PI()*(D294-3+'Model Inputs'!$B$34)/MAX(1,'Model Inputs'!$B$33)))</f>
        <v>0.10392304845413286</v>
      </c>
      <c r="I294" s="218">
        <f t="shared" si="92"/>
        <v>30068638.783321142</v>
      </c>
      <c r="J294" s="218">
        <f t="shared" si="90"/>
        <v>19852239.851888295</v>
      </c>
      <c r="K294" s="218">
        <f>F294+J294+IF(D294=1,'Model Inputs'!$B$26,0)</f>
        <v>20152239.851888295</v>
      </c>
      <c r="L294" s="218">
        <f t="shared" si="93"/>
        <v>80608959.407553181</v>
      </c>
      <c r="M294" s="218">
        <f>MIN(L294,'Tax Assumptions'!$B$19)</f>
        <v>24500</v>
      </c>
      <c r="N294" s="218">
        <f>MAX(L294-M294-'Tax Assumptions'!$B$8,0)</f>
        <v>80568359.407553181</v>
      </c>
      <c r="O294" s="218">
        <f>MAX(L294-M294-'Tax Assumptions'!$B$9,0)</f>
        <v>80576459.407553181</v>
      </c>
      <c r="P294" s="218">
        <f>IF(N294=0,0,LOOKUP(N294,'Tax Assumptions'!$F$9:$F$15,'Tax Assumptions'!$I$9:$I$15)+(N294-LOOKUP(N294,'Tax Assumptions'!$F$9:$F$15,'Tax Assumptions'!$F$9:$F$15))*LOOKUP(N294,'Tax Assumptions'!$F$9:$F$15,'Tax Assumptions'!$H$9:$H$15))+MIN(MAX(L294,0),'Tax Assumptions'!$B$11)*'Tax Assumptions'!$B$10+MAX(L294,0)*'Tax Assumptions'!$B$12+MAX(MAX(L294,0)-'Tax Assumptions'!$B$14,0)*'Tax Assumptions'!$B$13+MIN(L294*'Tax Assumptions'!$B$15,'Tax Assumptions'!$B$16)+MIN(L294*'Tax Assumptions'!$B$17,'Tax Assumptions'!$B$18)+IF(O294=0,0,LOOKUP(O294,'Tax Assumptions'!$K$9:$K$17,'Tax Assumptions'!$N$9:$N$17)+(O294-LOOKUP(O294,'Tax Assumptions'!$K$9:$K$17,'Tax Assumptions'!$K$9:$K$17))*LOOKUP(O294,'Tax Assumptions'!$K$9:$K$17,'Tax Assumptions'!$M$9:$M$17))+IF(O294=0,0,LOOKUP(O294,'Tax Assumptions'!$P$9:$P$12,'Tax Assumptions'!$S$9:$S$12)+(O294-LOOKUP(O294,'Tax Assumptions'!$P$9:$P$12,'Tax Assumptions'!$P$9:$P$12))*LOOKUP(O294,'Tax Assumptions'!$P$9:$P$12,'Tax Assumptions'!$R$9:$R$12))</f>
        <v>43361212.908932224</v>
      </c>
      <c r="Q294" s="218">
        <f t="shared" si="94"/>
        <v>37223246.498620957</v>
      </c>
      <c r="R294" s="218">
        <f>IF(D294&lt;=10,INDEX('Savings Projection'!$BL$19:$BL$28,D294),LOOKUP(2,1/('Savings Projection'!$BL$19:$BL$28&lt;&gt;""),'Savings Projection'!$BL$19:$BL$28))*(1+'Model Inputs'!$B$35)^(D294-1)+IF(D294&lt;=10,INDEX('Savings Projection'!$BM$19:$BM$28,D294),LOOKUP(2,1/('Savings Projection'!$BM$19:$BM$28&lt;&gt;""),'Savings Projection'!$BM$19:$BM$28))*(1+'Model Inputs'!$B$36)^(D294-1)</f>
        <v>221316.29796118743</v>
      </c>
      <c r="S294" s="218">
        <f t="shared" si="95"/>
        <v>37001930.200659767</v>
      </c>
      <c r="T294" s="218">
        <f>MIN(MAX(S294,0),'Tax Assumptions'!$B$20)</f>
        <v>7500</v>
      </c>
      <c r="U294" s="218">
        <f t="shared" si="96"/>
        <v>36994430.200659767</v>
      </c>
      <c r="V294" s="218">
        <f>MAX(V293*(1+'Model Inputs'!$B$13)+U294,0)</f>
        <v>219857288.69222248</v>
      </c>
      <c r="W294" s="218">
        <f>MAX(W293*(1+'Model Inputs'!$B$13)+M294+T294,0)</f>
        <v>1080319.7344467151</v>
      </c>
      <c r="X294" s="218">
        <f t="shared" si="97"/>
        <v>220937608.42666918</v>
      </c>
      <c r="Y294" s="226" t="str">
        <f t="shared" si="98"/>
        <v/>
      </c>
      <c r="Z294" s="226" t="str">
        <f t="shared" si="99"/>
        <v/>
      </c>
      <c r="AA294" s="226" t="str">
        <f t="shared" si="100"/>
        <v/>
      </c>
      <c r="AB294" s="226" t="str">
        <f t="shared" si="101"/>
        <v/>
      </c>
    </row>
    <row r="295" spans="1:28" x14ac:dyDescent="0.2">
      <c r="A295" s="214" t="str">
        <f t="shared" si="87"/>
        <v>5Y 4x</v>
      </c>
      <c r="B295" s="214">
        <f t="shared" si="88"/>
        <v>5</v>
      </c>
      <c r="C295" s="223">
        <f t="shared" si="89"/>
        <v>4</v>
      </c>
      <c r="D295" s="214">
        <v>20</v>
      </c>
      <c r="E295" s="214">
        <f t="shared" si="91"/>
        <v>2045</v>
      </c>
      <c r="F295" s="218">
        <f>IF(D295=1,'Model Inputs'!$B$25*(13-'Model Inputs'!$B$23)/12,'Model Inputs'!$B$25)</f>
        <v>300000</v>
      </c>
      <c r="G295" s="218">
        <f>IF(D295=1,'Model Inputs'!$B$27*(13-'Model Inputs'!$B$23)/12,IF(D295=2,'Model Inputs'!$B$27,IF(D295&lt;=MAX(3,'Model Inputs'!$B$30+1),'Model Inputs'!$B$27*(1+'Model Inputs'!$B$28)^(D295-3),'Model Inputs'!$B$27*(1+'Model Inputs'!$B$28)^(MAX(3,'Model Inputs'!$B$30+1)-3)*(1+'Model Inputs'!$B$29)^(D295-MAX(3,'Model Inputs'!$B$30+1)))))</f>
        <v>34616139.762586243</v>
      </c>
      <c r="H295" s="224">
        <f>IF(D295&lt;=2,0,'Model Inputs'!$B$32*SIN(2*PI()*(D295-3+'Model Inputs'!$B$34)/MAX(1,'Model Inputs'!$B$33)))</f>
        <v>-0.10392304845413269</v>
      </c>
      <c r="I295" s="218">
        <f t="shared" si="92"/>
        <v>31018724.992743965</v>
      </c>
      <c r="J295" s="218">
        <f t="shared" si="90"/>
        <v>27909585.160209741</v>
      </c>
      <c r="K295" s="218">
        <f>F295+J295+IF(D295=1,'Model Inputs'!$B$26,0)</f>
        <v>28209585.160209741</v>
      </c>
      <c r="L295" s="218">
        <f t="shared" si="93"/>
        <v>112838340.64083897</v>
      </c>
      <c r="M295" s="218">
        <f>MIN(L295,'Tax Assumptions'!$B$19)</f>
        <v>24500</v>
      </c>
      <c r="N295" s="218">
        <f>MAX(L295-M295-'Tax Assumptions'!$B$8,0)</f>
        <v>112797740.64083897</v>
      </c>
      <c r="O295" s="218">
        <f>MAX(L295-M295-'Tax Assumptions'!$B$9,0)</f>
        <v>112805840.64083897</v>
      </c>
      <c r="P295" s="218">
        <f>IF(N295=0,0,LOOKUP(N295,'Tax Assumptions'!$F$9:$F$15,'Tax Assumptions'!$I$9:$I$15)+(N295-LOOKUP(N295,'Tax Assumptions'!$F$9:$F$15,'Tax Assumptions'!$F$9:$F$15))*LOOKUP(N295,'Tax Assumptions'!$F$9:$F$15,'Tax Assumptions'!$H$9:$H$15))+MIN(MAX(L295,0),'Tax Assumptions'!$B$11)*'Tax Assumptions'!$B$10+MAX(L295,0)*'Tax Assumptions'!$B$12+MAX(MAX(L295,0)-'Tax Assumptions'!$B$14,0)*'Tax Assumptions'!$B$13+MIN(L295*'Tax Assumptions'!$B$15,'Tax Assumptions'!$B$16)+MIN(L295*'Tax Assumptions'!$B$17,'Tax Assumptions'!$B$18)+IF(O295=0,0,LOOKUP(O295,'Tax Assumptions'!$K$9:$K$17,'Tax Assumptions'!$N$9:$N$17)+(O295-LOOKUP(O295,'Tax Assumptions'!$K$9:$K$17,'Tax Assumptions'!$K$9:$K$17))*LOOKUP(O295,'Tax Assumptions'!$K$9:$K$17,'Tax Assumptions'!$M$9:$M$17))+IF(O295=0,0,LOOKUP(O295,'Tax Assumptions'!$P$9:$P$12,'Tax Assumptions'!$S$9:$S$12)+(O295-LOOKUP(O295,'Tax Assumptions'!$P$9:$P$12,'Tax Assumptions'!$P$9:$P$12))*LOOKUP(O295,'Tax Assumptions'!$P$9:$P$12,'Tax Assumptions'!$R$9:$R$12))</f>
        <v>60805687.795260496</v>
      </c>
      <c r="Q295" s="218">
        <f t="shared" si="94"/>
        <v>52008152.845578469</v>
      </c>
      <c r="R295" s="218">
        <f>IF(D295&lt;=10,INDEX('Savings Projection'!$BL$19:$BL$28,D295),LOOKUP(2,1/('Savings Projection'!$BL$19:$BL$28&lt;&gt;""),'Savings Projection'!$BL$19:$BL$28))*(1+'Model Inputs'!$B$35)^(D295-1)+IF(D295&lt;=10,INDEX('Savings Projection'!$BM$19:$BM$28,D295),LOOKUP(2,1/('Savings Projection'!$BM$19:$BM$28&lt;&gt;""),'Savings Projection'!$BM$19:$BM$28))*(1+'Model Inputs'!$B$36)^(D295-1)</f>
        <v>227955.78690002306</v>
      </c>
      <c r="S295" s="218">
        <f t="shared" si="95"/>
        <v>51780197.058678448</v>
      </c>
      <c r="T295" s="218">
        <f>MIN(MAX(S295,0),'Tax Assumptions'!$B$20)</f>
        <v>7500</v>
      </c>
      <c r="U295" s="218">
        <f t="shared" si="96"/>
        <v>51772697.058678448</v>
      </c>
      <c r="V295" s="218">
        <f>MAX(V294*(1+'Model Inputs'!$B$13)+U295,0)</f>
        <v>284821423.07243431</v>
      </c>
      <c r="W295" s="218">
        <f>MAX(W294*(1+'Model Inputs'!$B$13)+M295+T295,0)</f>
        <v>1177138.9185135181</v>
      </c>
      <c r="X295" s="218">
        <f t="shared" si="97"/>
        <v>285998561.99094784</v>
      </c>
      <c r="Y295" s="226" t="str">
        <f t="shared" si="98"/>
        <v/>
      </c>
      <c r="Z295" s="226" t="str">
        <f t="shared" si="99"/>
        <v/>
      </c>
      <c r="AA295" s="226" t="str">
        <f t="shared" si="100"/>
        <v/>
      </c>
      <c r="AB295" s="226" t="str">
        <f t="shared" si="101"/>
        <v/>
      </c>
    </row>
    <row r="296" spans="1:28" x14ac:dyDescent="0.2">
      <c r="A296" s="214" t="str">
        <f t="shared" si="87"/>
        <v>5Y 4x</v>
      </c>
      <c r="B296" s="214">
        <f t="shared" si="88"/>
        <v>5</v>
      </c>
      <c r="C296" s="223">
        <f t="shared" si="89"/>
        <v>4</v>
      </c>
      <c r="D296" s="214">
        <v>21</v>
      </c>
      <c r="E296" s="214">
        <f t="shared" si="91"/>
        <v>2046</v>
      </c>
      <c r="F296" s="218">
        <f>IF(D296=1,'Model Inputs'!$B$25*(13-'Model Inputs'!$B$23)/12,'Model Inputs'!$B$25)</f>
        <v>300000</v>
      </c>
      <c r="G296" s="218">
        <f>IF(D296=1,'Model Inputs'!$B$27*(13-'Model Inputs'!$B$23)/12,IF(D296=2,'Model Inputs'!$B$27,IF(D296&lt;=MAX(3,'Model Inputs'!$B$30+1),'Model Inputs'!$B$27*(1+'Model Inputs'!$B$28)^(D296-3),'Model Inputs'!$B$27*(1+'Model Inputs'!$B$28)^(MAX(3,'Model Inputs'!$B$30+1)-3)*(1+'Model Inputs'!$B$29)^(D296-MAX(3,'Model Inputs'!$B$30+1)))))</f>
        <v>43992870.912849829</v>
      </c>
      <c r="H296" s="224">
        <f>IF(D296&lt;=2,0,'Model Inputs'!$B$32*SIN(2*PI()*(D296-3+'Model Inputs'!$B$34)/MAX(1,'Model Inputs'!$B$33)))</f>
        <v>-1.7634913907721884E-16</v>
      </c>
      <c r="I296" s="218">
        <f t="shared" si="92"/>
        <v>43992870.912849821</v>
      </c>
      <c r="J296" s="218">
        <f t="shared" si="90"/>
        <v>30781203.440388259</v>
      </c>
      <c r="K296" s="218">
        <f>F296+J296+IF(D296=1,'Model Inputs'!$B$26,0)</f>
        <v>31081203.440388259</v>
      </c>
      <c r="L296" s="218">
        <f t="shared" si="93"/>
        <v>124324813.76155303</v>
      </c>
      <c r="M296" s="218">
        <f>MIN(L296,'Tax Assumptions'!$B$19)</f>
        <v>24500</v>
      </c>
      <c r="N296" s="218">
        <f>MAX(L296-M296-'Tax Assumptions'!$B$8,0)</f>
        <v>124284213.76155303</v>
      </c>
      <c r="O296" s="218">
        <f>MAX(L296-M296-'Tax Assumptions'!$B$9,0)</f>
        <v>124292313.76155303</v>
      </c>
      <c r="P296" s="218">
        <f>IF(N296=0,0,LOOKUP(N296,'Tax Assumptions'!$F$9:$F$15,'Tax Assumptions'!$I$9:$I$15)+(N296-LOOKUP(N296,'Tax Assumptions'!$F$9:$F$15,'Tax Assumptions'!$F$9:$F$15))*LOOKUP(N296,'Tax Assumptions'!$F$9:$F$15,'Tax Assumptions'!$H$9:$H$15))+MIN(MAX(L296,0),'Tax Assumptions'!$B$11)*'Tax Assumptions'!$B$10+MAX(L296,0)*'Tax Assumptions'!$B$12+MAX(MAX(L296,0)-'Tax Assumptions'!$B$14,0)*'Tax Assumptions'!$B$13+MIN(L296*'Tax Assumptions'!$B$15,'Tax Assumptions'!$B$16)+MIN(L296*'Tax Assumptions'!$B$17,'Tax Assumptions'!$B$18)+IF(O296=0,0,LOOKUP(O296,'Tax Assumptions'!$K$9:$K$17,'Tax Assumptions'!$N$9:$N$17)+(O296-LOOKUP(O296,'Tax Assumptions'!$K$9:$K$17,'Tax Assumptions'!$K$9:$K$17))*LOOKUP(O296,'Tax Assumptions'!$K$9:$K$17,'Tax Assumptions'!$M$9:$M$17))+IF(O296=0,0,LOOKUP(O296,'Tax Assumptions'!$P$9:$P$12,'Tax Assumptions'!$S$9:$S$12)+(O296-LOOKUP(O296,'Tax Assumptions'!$P$9:$P$12,'Tax Assumptions'!$P$9:$P$12))*LOOKUP(O296,'Tax Assumptions'!$P$9:$P$12,'Tax Assumptions'!$R$9:$R$12))</f>
        <v>67022856.236578189</v>
      </c>
      <c r="Q296" s="218">
        <f t="shared" si="94"/>
        <v>57277457.524974845</v>
      </c>
      <c r="R296" s="218">
        <f>IF(D296&lt;=10,INDEX('Savings Projection'!$BL$19:$BL$28,D296),LOOKUP(2,1/('Savings Projection'!$BL$19:$BL$28&lt;&gt;""),'Savings Projection'!$BL$19:$BL$28))*(1+'Model Inputs'!$B$35)^(D296-1)+IF(D296&lt;=10,INDEX('Savings Projection'!$BM$19:$BM$28,D296),LOOKUP(2,1/('Savings Projection'!$BM$19:$BM$28&lt;&gt;""),'Savings Projection'!$BM$19:$BM$28))*(1+'Model Inputs'!$B$36)^(D296-1)</f>
        <v>234794.46050702373</v>
      </c>
      <c r="S296" s="218">
        <f t="shared" si="95"/>
        <v>57042663.064467825</v>
      </c>
      <c r="T296" s="218">
        <f>MIN(MAX(S296,0),'Tax Assumptions'!$B$20)</f>
        <v>7500</v>
      </c>
      <c r="U296" s="218">
        <f t="shared" si="96"/>
        <v>57035163.064467825</v>
      </c>
      <c r="V296" s="218">
        <f>MAX(V295*(1+'Model Inputs'!$B$13)+U296,0)</f>
        <v>358945871.52124822</v>
      </c>
      <c r="W296" s="218">
        <f>MAX(W295*(1+'Model Inputs'!$B$13)+M296+T296,0)</f>
        <v>1279767.2536243291</v>
      </c>
      <c r="X296" s="218">
        <f t="shared" si="97"/>
        <v>360225638.77487254</v>
      </c>
      <c r="Y296" s="226" t="str">
        <f t="shared" si="98"/>
        <v/>
      </c>
      <c r="Z296" s="226" t="str">
        <f t="shared" si="99"/>
        <v/>
      </c>
      <c r="AA296" s="226" t="str">
        <f t="shared" si="100"/>
        <v/>
      </c>
      <c r="AB296" s="226" t="str">
        <f t="shared" si="101"/>
        <v/>
      </c>
    </row>
    <row r="297" spans="1:28" x14ac:dyDescent="0.2">
      <c r="A297" s="214" t="str">
        <f t="shared" si="87"/>
        <v>5Y 4x</v>
      </c>
      <c r="B297" s="214">
        <f t="shared" si="88"/>
        <v>5</v>
      </c>
      <c r="C297" s="223">
        <f t="shared" si="89"/>
        <v>4</v>
      </c>
      <c r="D297" s="214">
        <v>22</v>
      </c>
      <c r="E297" s="214">
        <f t="shared" si="91"/>
        <v>2047</v>
      </c>
      <c r="F297" s="218">
        <f>IF(D297=1,'Model Inputs'!$B$25*(13-'Model Inputs'!$B$23)/12,'Model Inputs'!$B$25)</f>
        <v>300000</v>
      </c>
      <c r="G297" s="218">
        <f>IF(D297=1,'Model Inputs'!$B$27*(13-'Model Inputs'!$B$23)/12,IF(D297=2,'Model Inputs'!$B$27,IF(D297&lt;=MAX(3,'Model Inputs'!$B$30+1),'Model Inputs'!$B$27*(1+'Model Inputs'!$B$28)^(D297-3),'Model Inputs'!$B$27*(1+'Model Inputs'!$B$28)^(MAX(3,'Model Inputs'!$B$30+1)-3)*(1+'Model Inputs'!$B$29)^(D297-MAX(3,'Model Inputs'!$B$30+1)))))</f>
        <v>55909546.9462616</v>
      </c>
      <c r="H297" s="224">
        <f>IF(D297&lt;=2,0,'Model Inputs'!$B$32*SIN(2*PI()*(D297-3+'Model Inputs'!$B$34)/MAX(1,'Model Inputs'!$B$33)))</f>
        <v>0.10392304845413287</v>
      </c>
      <c r="I297" s="218">
        <f t="shared" si="92"/>
        <v>61719837.502606563</v>
      </c>
      <c r="J297" s="218">
        <f t="shared" si="90"/>
        <v>40749334.43282336</v>
      </c>
      <c r="K297" s="218">
        <f>F297+J297+IF(D297=1,'Model Inputs'!$B$26,0)</f>
        <v>41049334.43282336</v>
      </c>
      <c r="L297" s="218">
        <f t="shared" si="93"/>
        <v>164197337.73129344</v>
      </c>
      <c r="M297" s="218">
        <f>MIN(L297,'Tax Assumptions'!$B$19)</f>
        <v>24500</v>
      </c>
      <c r="N297" s="218">
        <f>MAX(L297-M297-'Tax Assumptions'!$B$8,0)</f>
        <v>164156737.73129344</v>
      </c>
      <c r="O297" s="218">
        <f>MAX(L297-M297-'Tax Assumptions'!$B$9,0)</f>
        <v>164164837.73129344</v>
      </c>
      <c r="P297" s="218">
        <f>IF(N297=0,0,LOOKUP(N297,'Tax Assumptions'!$F$9:$F$15,'Tax Assumptions'!$I$9:$I$15)+(N297-LOOKUP(N297,'Tax Assumptions'!$F$9:$F$15,'Tax Assumptions'!$F$9:$F$15))*LOOKUP(N297,'Tax Assumptions'!$F$9:$F$15,'Tax Assumptions'!$H$9:$H$15))+MIN(MAX(L297,0),'Tax Assumptions'!$B$11)*'Tax Assumptions'!$B$10+MAX(L297,0)*'Tax Assumptions'!$B$12+MAX(MAX(L297,0)-'Tax Assumptions'!$B$14,0)*'Tax Assumptions'!$B$13+MIN(L297*'Tax Assumptions'!$B$15,'Tax Assumptions'!$B$16)+MIN(L297*'Tax Assumptions'!$B$17,'Tax Assumptions'!$B$18)+IF(O297=0,0,LOOKUP(O297,'Tax Assumptions'!$K$9:$K$17,'Tax Assumptions'!$N$9:$N$17)+(O297-LOOKUP(O297,'Tax Assumptions'!$K$9:$K$17,'Tax Assumptions'!$K$9:$K$17))*LOOKUP(O297,'Tax Assumptions'!$K$9:$K$17,'Tax Assumptions'!$M$9:$M$17))+IF(O297=0,0,LOOKUP(O297,'Tax Assumptions'!$P$9:$P$12,'Tax Assumptions'!$S$9:$S$12)+(O297-LOOKUP(O297,'Tax Assumptions'!$P$9:$P$12,'Tax Assumptions'!$P$9:$P$12))*LOOKUP(O297,'Tax Assumptions'!$P$9:$P$12,'Tax Assumptions'!$R$9:$R$12))</f>
        <v>88604258.5604399</v>
      </c>
      <c r="Q297" s="218">
        <f t="shared" si="94"/>
        <v>75568579.17085354</v>
      </c>
      <c r="R297" s="218">
        <f>IF(D297&lt;=10,INDEX('Savings Projection'!$BL$19:$BL$28,D297),LOOKUP(2,1/('Savings Projection'!$BL$19:$BL$28&lt;&gt;""),'Savings Projection'!$BL$19:$BL$28))*(1+'Model Inputs'!$B$35)^(D297-1)+IF(D297&lt;=10,INDEX('Savings Projection'!$BM$19:$BM$28,D297),LOOKUP(2,1/('Savings Projection'!$BM$19:$BM$28&lt;&gt;""),'Savings Projection'!$BM$19:$BM$28))*(1+'Model Inputs'!$B$36)^(D297-1)</f>
        <v>241838.2943222344</v>
      </c>
      <c r="S297" s="218">
        <f t="shared" si="95"/>
        <v>75326740.876531303</v>
      </c>
      <c r="T297" s="218">
        <f>MIN(MAX(S297,0),'Tax Assumptions'!$B$20)</f>
        <v>7500</v>
      </c>
      <c r="U297" s="218">
        <f t="shared" si="96"/>
        <v>75319240.876531303</v>
      </c>
      <c r="V297" s="218">
        <f>MAX(V296*(1+'Model Inputs'!$B$13)+U297,0)</f>
        <v>455801864.68905443</v>
      </c>
      <c r="W297" s="218">
        <f>MAX(W296*(1+'Model Inputs'!$B$13)+M297+T297,0)</f>
        <v>1388553.2888417889</v>
      </c>
      <c r="X297" s="218">
        <f t="shared" si="97"/>
        <v>457190417.97789621</v>
      </c>
      <c r="Y297" s="226" t="str">
        <f t="shared" si="98"/>
        <v/>
      </c>
      <c r="Z297" s="226" t="str">
        <f t="shared" si="99"/>
        <v/>
      </c>
      <c r="AA297" s="226" t="str">
        <f t="shared" si="100"/>
        <v/>
      </c>
      <c r="AB297" s="226" t="str">
        <f t="shared" si="101"/>
        <v/>
      </c>
    </row>
    <row r="298" spans="1:28" x14ac:dyDescent="0.2">
      <c r="A298" s="214" t="str">
        <f t="shared" si="87"/>
        <v>5Y 4x</v>
      </c>
      <c r="B298" s="214">
        <f t="shared" si="88"/>
        <v>5</v>
      </c>
      <c r="C298" s="223">
        <f t="shared" si="89"/>
        <v>4</v>
      </c>
      <c r="D298" s="214">
        <v>23</v>
      </c>
      <c r="E298" s="214">
        <f t="shared" si="91"/>
        <v>2048</v>
      </c>
      <c r="F298" s="218">
        <f>IF(D298=1,'Model Inputs'!$B$25*(13-'Model Inputs'!$B$23)/12,'Model Inputs'!$B$25)</f>
        <v>300000</v>
      </c>
      <c r="G298" s="218">
        <f>IF(D298=1,'Model Inputs'!$B$27*(13-'Model Inputs'!$B$23)/12,IF(D298=2,'Model Inputs'!$B$27,IF(D298&lt;=MAX(3,'Model Inputs'!$B$30+1),'Model Inputs'!$B$27*(1+'Model Inputs'!$B$28)^(D298-3),'Model Inputs'!$B$27*(1+'Model Inputs'!$B$28)^(MAX(3,'Model Inputs'!$B$30+1)-3)*(1+'Model Inputs'!$B$29)^(D298-MAX(3,'Model Inputs'!$B$30+1)))))</f>
        <v>71054181.617940187</v>
      </c>
      <c r="H298" s="224">
        <f>IF(D298&lt;=2,0,'Model Inputs'!$B$32*SIN(2*PI()*(D298-3+'Model Inputs'!$B$34)/MAX(1,'Model Inputs'!$B$33)))</f>
        <v>-0.10392304845413268</v>
      </c>
      <c r="I298" s="218">
        <f t="shared" si="92"/>
        <v>63670014.458790243</v>
      </c>
      <c r="J298" s="218">
        <f t="shared" si="90"/>
        <v>57288095.855167374</v>
      </c>
      <c r="K298" s="218">
        <f>F298+J298+IF(D298=1,'Model Inputs'!$B$26,0)</f>
        <v>57588095.855167374</v>
      </c>
      <c r="L298" s="218">
        <f t="shared" si="93"/>
        <v>230352383.4206695</v>
      </c>
      <c r="M298" s="218">
        <f>MIN(L298,'Tax Assumptions'!$B$19)</f>
        <v>24500</v>
      </c>
      <c r="N298" s="218">
        <f>MAX(L298-M298-'Tax Assumptions'!$B$8,0)</f>
        <v>230311783.4206695</v>
      </c>
      <c r="O298" s="218">
        <f>MAX(L298-M298-'Tax Assumptions'!$B$9,0)</f>
        <v>230319883.4206695</v>
      </c>
      <c r="P298" s="218">
        <f>IF(N298=0,0,LOOKUP(N298,'Tax Assumptions'!$F$9:$F$15,'Tax Assumptions'!$I$9:$I$15)+(N298-LOOKUP(N298,'Tax Assumptions'!$F$9:$F$15,'Tax Assumptions'!$F$9:$F$15))*LOOKUP(N298,'Tax Assumptions'!$F$9:$F$15,'Tax Assumptions'!$H$9:$H$15))+MIN(MAX(L298,0),'Tax Assumptions'!$B$11)*'Tax Assumptions'!$B$10+MAX(L298,0)*'Tax Assumptions'!$B$12+MAX(MAX(L298,0)-'Tax Assumptions'!$B$14,0)*'Tax Assumptions'!$B$13+MIN(L298*'Tax Assumptions'!$B$15,'Tax Assumptions'!$B$16)+MIN(L298*'Tax Assumptions'!$B$17,'Tax Assumptions'!$B$18)+IF(O298=0,0,LOOKUP(O298,'Tax Assumptions'!$K$9:$K$17,'Tax Assumptions'!$N$9:$N$17)+(O298-LOOKUP(O298,'Tax Assumptions'!$K$9:$K$17,'Tax Assumptions'!$K$9:$K$17))*LOOKUP(O298,'Tax Assumptions'!$K$9:$K$17,'Tax Assumptions'!$M$9:$M$17))+IF(O298=0,0,LOOKUP(O298,'Tax Assumptions'!$P$9:$P$12,'Tax Assumptions'!$S$9:$S$12)+(O298-LOOKUP(O298,'Tax Assumptions'!$P$9:$P$12,'Tax Assumptions'!$P$9:$P$12))*LOOKUP(O298,'Tax Assumptions'!$P$9:$P$12,'Tax Assumptions'!$R$9:$R$12))</f>
        <v>124411338.59027158</v>
      </c>
      <c r="Q298" s="218">
        <f t="shared" si="94"/>
        <v>105916544.83039792</v>
      </c>
      <c r="R298" s="218">
        <f>IF(D298&lt;=10,INDEX('Savings Projection'!$BL$19:$BL$28,D298),LOOKUP(2,1/('Savings Projection'!$BL$19:$BL$28&lt;&gt;""),'Savings Projection'!$BL$19:$BL$28))*(1+'Model Inputs'!$B$35)^(D298-1)+IF(D298&lt;=10,INDEX('Savings Projection'!$BM$19:$BM$28,D298),LOOKUP(2,1/('Savings Projection'!$BM$19:$BM$28&lt;&gt;""),'Savings Projection'!$BM$19:$BM$28))*(1+'Model Inputs'!$B$36)^(D298-1)</f>
        <v>249093.44315190148</v>
      </c>
      <c r="S298" s="218">
        <f t="shared" si="95"/>
        <v>105667451.38724601</v>
      </c>
      <c r="T298" s="218">
        <f>MIN(MAX(S298,0),'Tax Assumptions'!$B$20)</f>
        <v>7500</v>
      </c>
      <c r="U298" s="218">
        <f t="shared" si="96"/>
        <v>105659951.38724601</v>
      </c>
      <c r="V298" s="218">
        <f>MAX(V297*(1+'Model Inputs'!$B$13)+U298,0)</f>
        <v>588809927.95764375</v>
      </c>
      <c r="W298" s="218">
        <f>MAX(W297*(1+'Model Inputs'!$B$13)+M298+T298,0)</f>
        <v>1503866.4861722963</v>
      </c>
      <c r="X298" s="218">
        <f t="shared" si="97"/>
        <v>590313794.44381607</v>
      </c>
      <c r="Y298" s="226" t="str">
        <f t="shared" si="98"/>
        <v/>
      </c>
      <c r="Z298" s="226" t="str">
        <f t="shared" si="99"/>
        <v/>
      </c>
      <c r="AA298" s="226" t="str">
        <f t="shared" si="100"/>
        <v/>
      </c>
      <c r="AB298" s="226" t="str">
        <f t="shared" si="101"/>
        <v/>
      </c>
    </row>
    <row r="299" spans="1:28" x14ac:dyDescent="0.2">
      <c r="A299" s="214" t="str">
        <f t="shared" si="87"/>
        <v>5Y 4x</v>
      </c>
      <c r="B299" s="214">
        <f t="shared" si="88"/>
        <v>5</v>
      </c>
      <c r="C299" s="223">
        <f t="shared" si="89"/>
        <v>4</v>
      </c>
      <c r="D299" s="214">
        <v>24</v>
      </c>
      <c r="E299" s="214">
        <f t="shared" si="91"/>
        <v>2049</v>
      </c>
      <c r="F299" s="218">
        <f>IF(D299=1,'Model Inputs'!$B$25*(13-'Model Inputs'!$B$23)/12,'Model Inputs'!$B$25)</f>
        <v>300000</v>
      </c>
      <c r="G299" s="218">
        <f>IF(D299=1,'Model Inputs'!$B$27*(13-'Model Inputs'!$B$23)/12,IF(D299=2,'Model Inputs'!$B$27,IF(D299&lt;=MAX(3,'Model Inputs'!$B$30+1),'Model Inputs'!$B$27*(1+'Model Inputs'!$B$28)^(D299-3),'Model Inputs'!$B$27*(1+'Model Inputs'!$B$28)^(MAX(3,'Model Inputs'!$B$30+1)-3)*(1+'Model Inputs'!$B$29)^(D299-MAX(3,'Model Inputs'!$B$30+1)))))</f>
        <v>90301156.084270701</v>
      </c>
      <c r="H299" s="224">
        <f>IF(D299&lt;=2,0,'Model Inputs'!$B$32*SIN(2*PI()*(D299-3+'Model Inputs'!$B$34)/MAX(1,'Model Inputs'!$B$33)))</f>
        <v>-2.0574066225675533E-16</v>
      </c>
      <c r="I299" s="218">
        <f t="shared" si="92"/>
        <v>90301156.084270686</v>
      </c>
      <c r="J299" s="218">
        <f t="shared" si="90"/>
        <v>63182470.219744325</v>
      </c>
      <c r="K299" s="218">
        <f>F299+J299+IF(D299=1,'Model Inputs'!$B$26,0)</f>
        <v>63482470.219744325</v>
      </c>
      <c r="L299" s="218">
        <f t="shared" si="93"/>
        <v>253929880.8789773</v>
      </c>
      <c r="M299" s="218">
        <f>MIN(L299,'Tax Assumptions'!$B$19)</f>
        <v>24500</v>
      </c>
      <c r="N299" s="218">
        <f>MAX(L299-M299-'Tax Assumptions'!$B$8,0)</f>
        <v>253889280.8789773</v>
      </c>
      <c r="O299" s="218">
        <f>MAX(L299-M299-'Tax Assumptions'!$B$9,0)</f>
        <v>253897380.8789773</v>
      </c>
      <c r="P299" s="218">
        <f>IF(N299=0,0,LOOKUP(N299,'Tax Assumptions'!$F$9:$F$15,'Tax Assumptions'!$I$9:$I$15)+(N299-LOOKUP(N299,'Tax Assumptions'!$F$9:$F$15,'Tax Assumptions'!$F$9:$F$15))*LOOKUP(N299,'Tax Assumptions'!$F$9:$F$15,'Tax Assumptions'!$H$9:$H$15))+MIN(MAX(L299,0),'Tax Assumptions'!$B$11)*'Tax Assumptions'!$B$10+MAX(L299,0)*'Tax Assumptions'!$B$12+MAX(MAX(L299,0)-'Tax Assumptions'!$B$14,0)*'Tax Assumptions'!$B$13+MIN(L299*'Tax Assumptions'!$B$15,'Tax Assumptions'!$B$16)+MIN(L299*'Tax Assumptions'!$B$17,'Tax Assumptions'!$B$18)+IF(O299=0,0,LOOKUP(O299,'Tax Assumptions'!$K$9:$K$17,'Tax Assumptions'!$N$9:$N$17)+(O299-LOOKUP(O299,'Tax Assumptions'!$K$9:$K$17,'Tax Assumptions'!$K$9:$K$17))*LOOKUP(O299,'Tax Assumptions'!$K$9:$K$17,'Tax Assumptions'!$M$9:$M$17))+IF(O299=0,0,LOOKUP(O299,'Tax Assumptions'!$P$9:$P$12,'Tax Assumptions'!$S$9:$S$12)+(O299-LOOKUP(O299,'Tax Assumptions'!$P$9:$P$12,'Tax Assumptions'!$P$9:$P$12))*LOOKUP(O299,'Tax Assumptions'!$P$9:$P$12,'Tax Assumptions'!$R$9:$R$12))</f>
        <v>137172894.86455524</v>
      </c>
      <c r="Q299" s="218">
        <f t="shared" si="94"/>
        <v>116732486.01442206</v>
      </c>
      <c r="R299" s="218">
        <f>IF(D299&lt;=10,INDEX('Savings Projection'!$BL$19:$BL$28,D299),LOOKUP(2,1/('Savings Projection'!$BL$19:$BL$28&lt;&gt;""),'Savings Projection'!$BL$19:$BL$28))*(1+'Model Inputs'!$B$35)^(D299-1)+IF(D299&lt;=10,INDEX('Savings Projection'!$BM$19:$BM$28,D299),LOOKUP(2,1/('Savings Projection'!$BM$19:$BM$28&lt;&gt;""),'Savings Projection'!$BM$19:$BM$28))*(1+'Model Inputs'!$B$36)^(D299-1)</f>
        <v>256566.24644645851</v>
      </c>
      <c r="S299" s="218">
        <f t="shared" si="95"/>
        <v>116475919.7679756</v>
      </c>
      <c r="T299" s="218">
        <f>MIN(MAX(S299,0),'Tax Assumptions'!$B$20)</f>
        <v>7500</v>
      </c>
      <c r="U299" s="218">
        <f t="shared" si="96"/>
        <v>116468419.7679756</v>
      </c>
      <c r="V299" s="218">
        <f>MAX(V298*(1+'Model Inputs'!$B$13)+U299,0)</f>
        <v>740606943.40307796</v>
      </c>
      <c r="W299" s="218">
        <f>MAX(W298*(1+'Model Inputs'!$B$13)+M299+T299,0)</f>
        <v>1626098.4753426341</v>
      </c>
      <c r="X299" s="218">
        <f t="shared" si="97"/>
        <v>742233041.87842059</v>
      </c>
      <c r="Y299" s="226" t="str">
        <f t="shared" si="98"/>
        <v/>
      </c>
      <c r="Z299" s="226" t="str">
        <f t="shared" si="99"/>
        <v/>
      </c>
      <c r="AA299" s="226" t="str">
        <f t="shared" si="100"/>
        <v/>
      </c>
      <c r="AB299" s="226" t="str">
        <f t="shared" si="101"/>
        <v/>
      </c>
    </row>
    <row r="300" spans="1:28" x14ac:dyDescent="0.2">
      <c r="A300" s="214" t="str">
        <f t="shared" si="87"/>
        <v>5Y 4x</v>
      </c>
      <c r="B300" s="214">
        <f t="shared" si="88"/>
        <v>5</v>
      </c>
      <c r="C300" s="223">
        <f t="shared" si="89"/>
        <v>4</v>
      </c>
      <c r="D300" s="214">
        <v>25</v>
      </c>
      <c r="E300" s="214">
        <f t="shared" si="91"/>
        <v>2050</v>
      </c>
      <c r="F300" s="218">
        <f>IF(D300=1,'Model Inputs'!$B$25*(13-'Model Inputs'!$B$23)/12,'Model Inputs'!$B$25)</f>
        <v>300000</v>
      </c>
      <c r="G300" s="218">
        <f>IF(D300=1,'Model Inputs'!$B$27*(13-'Model Inputs'!$B$23)/12,IF(D300=2,'Model Inputs'!$B$27,IF(D300&lt;=MAX(3,'Model Inputs'!$B$30+1),'Model Inputs'!$B$27*(1+'Model Inputs'!$B$28)^(D300-3),'Model Inputs'!$B$27*(1+'Model Inputs'!$B$28)^(MAX(3,'Model Inputs'!$B$30+1)-3)*(1+'Model Inputs'!$B$29)^(D300-MAX(3,'Model Inputs'!$B$30+1)))))</f>
        <v>114761701.62653697</v>
      </c>
      <c r="H300" s="224">
        <f>IF(D300&lt;=2,0,'Model Inputs'!$B$32*SIN(2*PI()*(D300-3+'Model Inputs'!$B$34)/MAX(1,'Model Inputs'!$B$33)))</f>
        <v>0.10392304845413287</v>
      </c>
      <c r="I300" s="218">
        <f t="shared" si="92"/>
        <v>126688087.50535031</v>
      </c>
      <c r="J300" s="218">
        <f t="shared" si="90"/>
        <v>83643370.677900568</v>
      </c>
      <c r="K300" s="218">
        <f>F300+J300+IF(D300=1,'Model Inputs'!$B$26,0)</f>
        <v>83943370.677900568</v>
      </c>
      <c r="L300" s="218">
        <f t="shared" si="93"/>
        <v>335773482.71160227</v>
      </c>
      <c r="M300" s="218">
        <f>MIN(L300,'Tax Assumptions'!$B$19)</f>
        <v>24500</v>
      </c>
      <c r="N300" s="218">
        <f>MAX(L300-M300-'Tax Assumptions'!$B$8,0)</f>
        <v>335732882.71160227</v>
      </c>
      <c r="O300" s="218">
        <f>MAX(L300-M300-'Tax Assumptions'!$B$9,0)</f>
        <v>335740982.71160227</v>
      </c>
      <c r="P300" s="218">
        <f>IF(N300=0,0,LOOKUP(N300,'Tax Assumptions'!$F$9:$F$15,'Tax Assumptions'!$I$9:$I$15)+(N300-LOOKUP(N300,'Tax Assumptions'!$F$9:$F$15,'Tax Assumptions'!$F$9:$F$15))*LOOKUP(N300,'Tax Assumptions'!$F$9:$F$15,'Tax Assumptions'!$H$9:$H$15))+MIN(MAX(L300,0),'Tax Assumptions'!$B$11)*'Tax Assumptions'!$B$10+MAX(L300,0)*'Tax Assumptions'!$B$12+MAX(MAX(L300,0)-'Tax Assumptions'!$B$14,0)*'Tax Assumptions'!$B$13+MIN(L300*'Tax Assumptions'!$B$15,'Tax Assumptions'!$B$16)+MIN(L300*'Tax Assumptions'!$B$17,'Tax Assumptions'!$B$18)+IF(O300=0,0,LOOKUP(O300,'Tax Assumptions'!$K$9:$K$17,'Tax Assumptions'!$N$9:$N$17)+(O300-LOOKUP(O300,'Tax Assumptions'!$K$9:$K$17,'Tax Assumptions'!$K$9:$K$17))*LOOKUP(O300,'Tax Assumptions'!$K$9:$K$17,'Tax Assumptions'!$M$9:$M$17))+IF(O300=0,0,LOOKUP(O300,'Tax Assumptions'!$P$9:$P$12,'Tax Assumptions'!$S$9:$S$12)+(O300-LOOKUP(O300,'Tax Assumptions'!$P$9:$P$12,'Tax Assumptions'!$P$9:$P$12))*LOOKUP(O300,'Tax Assumptions'!$P$9:$P$12,'Tax Assumptions'!$R$9:$R$12))</f>
        <v>181471562.79248184</v>
      </c>
      <c r="Q300" s="218">
        <f t="shared" si="94"/>
        <v>154277419.91912043</v>
      </c>
      <c r="R300" s="218">
        <f>IF(D300&lt;=10,INDEX('Savings Projection'!$BL$19:$BL$28,D300),LOOKUP(2,1/('Savings Projection'!$BL$19:$BL$28&lt;&gt;""),'Savings Projection'!$BL$19:$BL$28))*(1+'Model Inputs'!$B$35)^(D300-1)+IF(D300&lt;=10,INDEX('Savings Projection'!$BM$19:$BM$28,D300),LOOKUP(2,1/('Savings Projection'!$BM$19:$BM$28&lt;&gt;""),'Savings Projection'!$BM$19:$BM$28))*(1+'Model Inputs'!$B$36)^(D300-1)</f>
        <v>264263.23383985227</v>
      </c>
      <c r="S300" s="218">
        <f t="shared" si="95"/>
        <v>154013156.68528059</v>
      </c>
      <c r="T300" s="218">
        <f>MIN(MAX(S300,0),'Tax Assumptions'!$B$20)</f>
        <v>7500</v>
      </c>
      <c r="U300" s="218">
        <f t="shared" si="96"/>
        <v>154005656.68528059</v>
      </c>
      <c r="V300" s="218">
        <f>MAX(V299*(1+'Model Inputs'!$B$13)+U300,0)</f>
        <v>939049016.69254327</v>
      </c>
      <c r="W300" s="218">
        <f>MAX(W299*(1+'Model Inputs'!$B$13)+M300+T300,0)</f>
        <v>1755664.3838631923</v>
      </c>
      <c r="X300" s="218">
        <f t="shared" si="97"/>
        <v>940804681.07640648</v>
      </c>
      <c r="Y300" s="226" t="str">
        <f t="shared" si="98"/>
        <v/>
      </c>
      <c r="Z300" s="226" t="str">
        <f t="shared" si="99"/>
        <v/>
      </c>
      <c r="AA300" s="226" t="str">
        <f t="shared" si="100"/>
        <v/>
      </c>
      <c r="AB300" s="226" t="str">
        <f t="shared" si="101"/>
        <v/>
      </c>
    </row>
    <row r="301" spans="1:28" x14ac:dyDescent="0.2">
      <c r="A301" s="214" t="str">
        <f t="shared" si="87"/>
        <v>5Y 4x</v>
      </c>
      <c r="B301" s="214">
        <f t="shared" si="88"/>
        <v>5</v>
      </c>
      <c r="C301" s="223">
        <f t="shared" si="89"/>
        <v>4</v>
      </c>
      <c r="D301" s="214">
        <v>26</v>
      </c>
      <c r="E301" s="214">
        <f t="shared" si="91"/>
        <v>2051</v>
      </c>
      <c r="F301" s="218">
        <f>IF(D301=1,'Model Inputs'!$B$25*(13-'Model Inputs'!$B$23)/12,'Model Inputs'!$B$25)</f>
        <v>300000</v>
      </c>
      <c r="G301" s="218">
        <f>IF(D301=1,'Model Inputs'!$B$27*(13-'Model Inputs'!$B$23)/12,IF(D301=2,'Model Inputs'!$B$27,IF(D301&lt;=MAX(3,'Model Inputs'!$B$30+1),'Model Inputs'!$B$27*(1+'Model Inputs'!$B$28)^(D301-3),'Model Inputs'!$B$27*(1+'Model Inputs'!$B$28)^(MAX(3,'Model Inputs'!$B$30+1)-3)*(1+'Model Inputs'!$B$29)^(D301-MAX(3,'Model Inputs'!$B$30+1)))))</f>
        <v>145848057.00524563</v>
      </c>
      <c r="H301" s="224">
        <f>IF(D301&lt;=2,0,'Model Inputs'!$B$32*SIN(2*PI()*(D301-3+'Model Inputs'!$B$34)/MAX(1,'Model Inputs'!$B$33)))</f>
        <v>-0.10392304845413224</v>
      </c>
      <c r="I301" s="218">
        <f t="shared" si="92"/>
        <v>130691082.31014845</v>
      </c>
      <c r="J301" s="218">
        <f t="shared" si="90"/>
        <v>117591354.65008041</v>
      </c>
      <c r="K301" s="218">
        <f>F301+J301+IF(D301=1,'Model Inputs'!$B$26,0)</f>
        <v>117891354.65008041</v>
      </c>
      <c r="L301" s="218">
        <f t="shared" si="93"/>
        <v>471565418.60032165</v>
      </c>
      <c r="M301" s="218">
        <f>MIN(L301,'Tax Assumptions'!$B$19)</f>
        <v>24500</v>
      </c>
      <c r="N301" s="218">
        <f>MAX(L301-M301-'Tax Assumptions'!$B$8,0)</f>
        <v>471524818.60032165</v>
      </c>
      <c r="O301" s="218">
        <f>MAX(L301-M301-'Tax Assumptions'!$B$9,0)</f>
        <v>471532918.60032165</v>
      </c>
      <c r="P301" s="218">
        <f>IF(N301=0,0,LOOKUP(N301,'Tax Assumptions'!$F$9:$F$15,'Tax Assumptions'!$I$9:$I$15)+(N301-LOOKUP(N301,'Tax Assumptions'!$F$9:$F$15,'Tax Assumptions'!$F$9:$F$15))*LOOKUP(N301,'Tax Assumptions'!$F$9:$F$15,'Tax Assumptions'!$H$9:$H$15))+MIN(MAX(L301,0),'Tax Assumptions'!$B$11)*'Tax Assumptions'!$B$10+MAX(L301,0)*'Tax Assumptions'!$B$12+MAX(MAX(L301,0)-'Tax Assumptions'!$B$14,0)*'Tax Assumptions'!$B$13+MIN(L301*'Tax Assumptions'!$B$15,'Tax Assumptions'!$B$16)+MIN(L301*'Tax Assumptions'!$B$17,'Tax Assumptions'!$B$18)+IF(O301=0,0,LOOKUP(O301,'Tax Assumptions'!$K$9:$K$17,'Tax Assumptions'!$N$9:$N$17)+(O301-LOOKUP(O301,'Tax Assumptions'!$K$9:$K$17,'Tax Assumptions'!$K$9:$K$17))*LOOKUP(O301,'Tax Assumptions'!$K$9:$K$17,'Tax Assumptions'!$M$9:$M$17))+IF(O301=0,0,LOOKUP(O301,'Tax Assumptions'!$P$9:$P$12,'Tax Assumptions'!$S$9:$S$12)+(O301-LOOKUP(O301,'Tax Assumptions'!$P$9:$P$12,'Tax Assumptions'!$P$9:$P$12))*LOOKUP(O301,'Tax Assumptions'!$P$9:$P$12,'Tax Assumptions'!$R$9:$R$12))</f>
        <v>254970306.01161006</v>
      </c>
      <c r="Q301" s="218">
        <f t="shared" si="94"/>
        <v>216570612.58871159</v>
      </c>
      <c r="R301" s="218">
        <f>IF(D301&lt;=10,INDEX('Savings Projection'!$BL$19:$BL$28,D301),LOOKUP(2,1/('Savings Projection'!$BL$19:$BL$28&lt;&gt;""),'Savings Projection'!$BL$19:$BL$28))*(1+'Model Inputs'!$B$35)^(D301-1)+IF(D301&lt;=10,INDEX('Savings Projection'!$BM$19:$BM$28,D301),LOOKUP(2,1/('Savings Projection'!$BM$19:$BM$28&lt;&gt;""),'Savings Projection'!$BM$19:$BM$28))*(1+'Model Inputs'!$B$36)^(D301-1)</f>
        <v>272191.13085504784</v>
      </c>
      <c r="S301" s="218">
        <f t="shared" si="95"/>
        <v>216298421.45785654</v>
      </c>
      <c r="T301" s="218">
        <f>MIN(MAX(S301,0),'Tax Assumptions'!$B$20)</f>
        <v>7500</v>
      </c>
      <c r="U301" s="218">
        <f t="shared" si="96"/>
        <v>216290921.45785654</v>
      </c>
      <c r="V301" s="218">
        <f>MAX(V300*(1+'Model Inputs'!$B$13)+U301,0)</f>
        <v>1211682879.1519525</v>
      </c>
      <c r="W301" s="218">
        <f>MAX(W300*(1+'Model Inputs'!$B$13)+M301+T301,0)</f>
        <v>1893004.2468949838</v>
      </c>
      <c r="X301" s="218">
        <f t="shared" si="97"/>
        <v>1213575883.3988476</v>
      </c>
      <c r="Y301" s="226" t="str">
        <f t="shared" si="98"/>
        <v/>
      </c>
      <c r="Z301" s="226" t="str">
        <f t="shared" si="99"/>
        <v/>
      </c>
      <c r="AA301" s="226" t="str">
        <f t="shared" si="100"/>
        <v/>
      </c>
      <c r="AB301" s="226" t="str">
        <f t="shared" si="101"/>
        <v/>
      </c>
    </row>
    <row r="302" spans="1:28" x14ac:dyDescent="0.2">
      <c r="A302" s="214" t="str">
        <f t="shared" si="87"/>
        <v>5Y 4x</v>
      </c>
      <c r="B302" s="214">
        <f t="shared" si="88"/>
        <v>5</v>
      </c>
      <c r="C302" s="223">
        <f t="shared" si="89"/>
        <v>4</v>
      </c>
      <c r="D302" s="214">
        <v>27</v>
      </c>
      <c r="E302" s="214">
        <f t="shared" si="91"/>
        <v>2052</v>
      </c>
      <c r="F302" s="218">
        <f>IF(D302=1,'Model Inputs'!$B$25*(13-'Model Inputs'!$B$23)/12,'Model Inputs'!$B$25)</f>
        <v>300000</v>
      </c>
      <c r="G302" s="218">
        <f>IF(D302=1,'Model Inputs'!$B$27*(13-'Model Inputs'!$B$23)/12,IF(D302=2,'Model Inputs'!$B$27,IF(D302&lt;=MAX(3,'Model Inputs'!$B$30+1),'Model Inputs'!$B$27*(1+'Model Inputs'!$B$28)^(D302-3),'Model Inputs'!$B$27*(1+'Model Inputs'!$B$28)^(MAX(3,'Model Inputs'!$B$30+1)-3)*(1+'Model Inputs'!$B$29)^(D302-MAX(3,'Model Inputs'!$B$30+1)))))</f>
        <v>185355004.59402937</v>
      </c>
      <c r="H302" s="224">
        <f>IF(D302&lt;=2,0,'Model Inputs'!$B$32*SIN(2*PI()*(D302-3+'Model Inputs'!$B$34)/MAX(1,'Model Inputs'!$B$33)))</f>
        <v>-2.3513218543629179E-16</v>
      </c>
      <c r="I302" s="218">
        <f t="shared" si="92"/>
        <v>185355004.59402934</v>
      </c>
      <c r="J302" s="218">
        <f t="shared" si="90"/>
        <v>129690333.6089489</v>
      </c>
      <c r="K302" s="218">
        <f>F302+J302+IF(D302=1,'Model Inputs'!$B$26,0)</f>
        <v>129990333.6089489</v>
      </c>
      <c r="L302" s="218">
        <f t="shared" si="93"/>
        <v>519961334.43579561</v>
      </c>
      <c r="M302" s="218">
        <f>MIN(L302,'Tax Assumptions'!$B$19)</f>
        <v>24500</v>
      </c>
      <c r="N302" s="218">
        <f>MAX(L302-M302-'Tax Assumptions'!$B$8,0)</f>
        <v>519920734.43579561</v>
      </c>
      <c r="O302" s="218">
        <f>MAX(L302-M302-'Tax Assumptions'!$B$9,0)</f>
        <v>519928834.43579561</v>
      </c>
      <c r="P302" s="218">
        <f>IF(N302=0,0,LOOKUP(N302,'Tax Assumptions'!$F$9:$F$15,'Tax Assumptions'!$I$9:$I$15)+(N302-LOOKUP(N302,'Tax Assumptions'!$F$9:$F$15,'Tax Assumptions'!$F$9:$F$15))*LOOKUP(N302,'Tax Assumptions'!$F$9:$F$15,'Tax Assumptions'!$H$9:$H$15))+MIN(MAX(L302,0),'Tax Assumptions'!$B$11)*'Tax Assumptions'!$B$10+MAX(L302,0)*'Tax Assumptions'!$B$12+MAX(MAX(L302,0)-'Tax Assumptions'!$B$14,0)*'Tax Assumptions'!$B$13+MIN(L302*'Tax Assumptions'!$B$15,'Tax Assumptions'!$B$16)+MIN(L302*'Tax Assumptions'!$B$17,'Tax Assumptions'!$B$18)+IF(O302=0,0,LOOKUP(O302,'Tax Assumptions'!$K$9:$K$17,'Tax Assumptions'!$N$9:$N$17)+(O302-LOOKUP(O302,'Tax Assumptions'!$K$9:$K$17,'Tax Assumptions'!$K$9:$K$17))*LOOKUP(O302,'Tax Assumptions'!$K$9:$K$17,'Tax Assumptions'!$M$9:$M$17))+IF(O302=0,0,LOOKUP(O302,'Tax Assumptions'!$P$9:$P$12,'Tax Assumptions'!$S$9:$S$12)+(O302-LOOKUP(O302,'Tax Assumptions'!$P$9:$P$12,'Tax Assumptions'!$P$9:$P$12))*LOOKUP(O302,'Tax Assumptions'!$P$9:$P$12,'Tax Assumptions'!$R$9:$R$12))</f>
        <v>281165079.41671872</v>
      </c>
      <c r="Q302" s="218">
        <f t="shared" si="94"/>
        <v>238771755.01907688</v>
      </c>
      <c r="R302" s="218">
        <f>IF(D302&lt;=10,INDEX('Savings Projection'!$BL$19:$BL$28,D302),LOOKUP(2,1/('Savings Projection'!$BL$19:$BL$28&lt;&gt;""),'Savings Projection'!$BL$19:$BL$28))*(1+'Model Inputs'!$B$35)^(D302-1)+IF(D302&lt;=10,INDEX('Savings Projection'!$BM$19:$BM$28,D302),LOOKUP(2,1/('Savings Projection'!$BM$19:$BM$28&lt;&gt;""),'Savings Projection'!$BM$19:$BM$28))*(1+'Model Inputs'!$B$36)^(D302-1)</f>
        <v>280356.86478069925</v>
      </c>
      <c r="S302" s="218">
        <f t="shared" si="95"/>
        <v>238491398.15429619</v>
      </c>
      <c r="T302" s="218">
        <f>MIN(MAX(S302,0),'Tax Assumptions'!$B$20)</f>
        <v>7500</v>
      </c>
      <c r="U302" s="218">
        <f t="shared" si="96"/>
        <v>238483898.15429619</v>
      </c>
      <c r="V302" s="218">
        <f>MAX(V301*(1+'Model Inputs'!$B$13)+U302,0)</f>
        <v>1522867750.0553658</v>
      </c>
      <c r="W302" s="218">
        <f>MAX(W301*(1+'Model Inputs'!$B$13)+M302+T302,0)</f>
        <v>2038584.5017086829</v>
      </c>
      <c r="X302" s="218">
        <f t="shared" si="97"/>
        <v>1524906334.5570745</v>
      </c>
      <c r="Y302" s="226" t="str">
        <f t="shared" si="98"/>
        <v/>
      </c>
      <c r="Z302" s="226" t="str">
        <f t="shared" si="99"/>
        <v/>
      </c>
      <c r="AA302" s="226" t="str">
        <f t="shared" si="100"/>
        <v/>
      </c>
      <c r="AB302" s="226" t="str">
        <f t="shared" si="101"/>
        <v/>
      </c>
    </row>
    <row r="303" spans="1:28" x14ac:dyDescent="0.2">
      <c r="A303" s="214" t="str">
        <f t="shared" si="87"/>
        <v>5Y 4x</v>
      </c>
      <c r="B303" s="214">
        <f t="shared" si="88"/>
        <v>5</v>
      </c>
      <c r="C303" s="223">
        <f t="shared" si="89"/>
        <v>4</v>
      </c>
      <c r="D303" s="214">
        <v>28</v>
      </c>
      <c r="E303" s="214">
        <f t="shared" si="91"/>
        <v>2053</v>
      </c>
      <c r="F303" s="218">
        <f>IF(D303=1,'Model Inputs'!$B$25*(13-'Model Inputs'!$B$23)/12,'Model Inputs'!$B$25)</f>
        <v>300000</v>
      </c>
      <c r="G303" s="218">
        <f>IF(D303=1,'Model Inputs'!$B$27*(13-'Model Inputs'!$B$23)/12,IF(D303=2,'Model Inputs'!$B$27,IF(D303&lt;=MAX(3,'Model Inputs'!$B$30+1),'Model Inputs'!$B$27*(1+'Model Inputs'!$B$28)^(D303-3),'Model Inputs'!$B$27*(1+'Model Inputs'!$B$28)^(MAX(3,'Model Inputs'!$B$30+1)-3)*(1+'Model Inputs'!$B$29)^(D303-MAX(3,'Model Inputs'!$B$30+1)))))</f>
        <v>235563492.81236541</v>
      </c>
      <c r="H303" s="224">
        <f>IF(D303&lt;=2,0,'Model Inputs'!$B$32*SIN(2*PI()*(D303-3+'Model Inputs'!$B$34)/MAX(1,'Model Inputs'!$B$33)))</f>
        <v>0.10392304845413247</v>
      </c>
      <c r="I303" s="218">
        <f t="shared" si="92"/>
        <v>260043969.08992955</v>
      </c>
      <c r="J303" s="218">
        <f t="shared" si="90"/>
        <v>171689024.02305913</v>
      </c>
      <c r="K303" s="218">
        <f>F303+J303+IF(D303=1,'Model Inputs'!$B$26,0)</f>
        <v>171989024.02305913</v>
      </c>
      <c r="L303" s="218">
        <f t="shared" si="93"/>
        <v>687956096.09223652</v>
      </c>
      <c r="M303" s="218">
        <f>MIN(L303,'Tax Assumptions'!$B$19)</f>
        <v>24500</v>
      </c>
      <c r="N303" s="218">
        <f>MAX(L303-M303-'Tax Assumptions'!$B$8,0)</f>
        <v>687915496.09223652</v>
      </c>
      <c r="O303" s="218">
        <f>MAX(L303-M303-'Tax Assumptions'!$B$9,0)</f>
        <v>687923596.09223652</v>
      </c>
      <c r="P303" s="218">
        <f>IF(N303=0,0,LOOKUP(N303,'Tax Assumptions'!$F$9:$F$15,'Tax Assumptions'!$I$9:$I$15)+(N303-LOOKUP(N303,'Tax Assumptions'!$F$9:$F$15,'Tax Assumptions'!$F$9:$F$15))*LOOKUP(N303,'Tax Assumptions'!$F$9:$F$15,'Tax Assumptions'!$H$9:$H$15))+MIN(MAX(L303,0),'Tax Assumptions'!$B$11)*'Tax Assumptions'!$B$10+MAX(L303,0)*'Tax Assumptions'!$B$12+MAX(MAX(L303,0)-'Tax Assumptions'!$B$14,0)*'Tax Assumptions'!$B$13+MIN(L303*'Tax Assumptions'!$B$15,'Tax Assumptions'!$B$16)+MIN(L303*'Tax Assumptions'!$B$17,'Tax Assumptions'!$B$18)+IF(O303=0,0,LOOKUP(O303,'Tax Assumptions'!$K$9:$K$17,'Tax Assumptions'!$N$9:$N$17)+(O303-LOOKUP(O303,'Tax Assumptions'!$K$9:$K$17,'Tax Assumptions'!$K$9:$K$17))*LOOKUP(O303,'Tax Assumptions'!$K$9:$K$17,'Tax Assumptions'!$M$9:$M$17))+IF(O303=0,0,LOOKUP(O303,'Tax Assumptions'!$P$9:$P$12,'Tax Assumptions'!$S$9:$S$12)+(O303-LOOKUP(O303,'Tax Assumptions'!$P$9:$P$12,'Tax Assumptions'!$P$9:$P$12))*LOOKUP(O303,'Tax Assumptions'!$P$9:$P$12,'Tax Assumptions'!$R$9:$R$12))</f>
        <v>372093924.11088395</v>
      </c>
      <c r="Q303" s="218">
        <f t="shared" si="94"/>
        <v>315837671.98135257</v>
      </c>
      <c r="R303" s="218">
        <f>IF(D303&lt;=10,INDEX('Savings Projection'!$BL$19:$BL$28,D303),LOOKUP(2,1/('Savings Projection'!$BL$19:$BL$28&lt;&gt;""),'Savings Projection'!$BL$19:$BL$28))*(1+'Model Inputs'!$B$35)^(D303-1)+IF(D303&lt;=10,INDEX('Savings Projection'!$BM$19:$BM$28,D303),LOOKUP(2,1/('Savings Projection'!$BM$19:$BM$28&lt;&gt;""),'Savings Projection'!$BM$19:$BM$28))*(1+'Model Inputs'!$B$36)^(D303-1)</f>
        <v>288767.57072412025</v>
      </c>
      <c r="S303" s="218">
        <f t="shared" si="95"/>
        <v>315548904.41062844</v>
      </c>
      <c r="T303" s="218">
        <f>MIN(MAX(S303,0),'Tax Assumptions'!$B$20)</f>
        <v>7500</v>
      </c>
      <c r="U303" s="218">
        <f t="shared" si="96"/>
        <v>315541404.41062844</v>
      </c>
      <c r="V303" s="218">
        <f>MAX(V302*(1+'Model Inputs'!$B$13)+U303,0)</f>
        <v>1929781219.4693165</v>
      </c>
      <c r="W303" s="218">
        <f>MAX(W302*(1+'Model Inputs'!$B$13)+M303+T303,0)</f>
        <v>2192899.5718112038</v>
      </c>
      <c r="X303" s="218">
        <f t="shared" si="97"/>
        <v>1931974119.0411277</v>
      </c>
      <c r="Y303" s="226" t="str">
        <f t="shared" si="98"/>
        <v/>
      </c>
      <c r="Z303" s="226" t="str">
        <f t="shared" si="99"/>
        <v/>
      </c>
      <c r="AA303" s="226" t="str">
        <f t="shared" si="100"/>
        <v/>
      </c>
      <c r="AB303" s="226" t="str">
        <f t="shared" si="101"/>
        <v/>
      </c>
    </row>
    <row r="304" spans="1:28" x14ac:dyDescent="0.2">
      <c r="A304" s="214" t="str">
        <f t="shared" si="87"/>
        <v>5Y 4x</v>
      </c>
      <c r="B304" s="214">
        <f t="shared" si="88"/>
        <v>5</v>
      </c>
      <c r="C304" s="223">
        <f t="shared" si="89"/>
        <v>4</v>
      </c>
      <c r="D304" s="214">
        <v>29</v>
      </c>
      <c r="E304" s="214">
        <f t="shared" si="91"/>
        <v>2054</v>
      </c>
      <c r="F304" s="218">
        <f>IF(D304=1,'Model Inputs'!$B$25*(13-'Model Inputs'!$B$23)/12,'Model Inputs'!$B$25)</f>
        <v>300000</v>
      </c>
      <c r="G304" s="218">
        <f>IF(D304=1,'Model Inputs'!$B$27*(13-'Model Inputs'!$B$23)/12,IF(D304=2,'Model Inputs'!$B$27,IF(D304&lt;=MAX(3,'Model Inputs'!$B$30+1),'Model Inputs'!$B$27*(1+'Model Inputs'!$B$28)^(D304-3),'Model Inputs'!$B$27*(1+'Model Inputs'!$B$28)^(MAX(3,'Model Inputs'!$B$30+1)-3)*(1+'Model Inputs'!$B$29)^(D304-MAX(3,'Model Inputs'!$B$30+1)))))</f>
        <v>299372327.53708321</v>
      </c>
      <c r="H304" s="224">
        <f>IF(D304&lt;=2,0,'Model Inputs'!$B$32*SIN(2*PI()*(D304-3+'Model Inputs'!$B$34)/MAX(1,'Model Inputs'!$B$33)))</f>
        <v>-0.10392304845413265</v>
      </c>
      <c r="I304" s="218">
        <f t="shared" si="92"/>
        <v>268260642.63662043</v>
      </c>
      <c r="J304" s="218">
        <f t="shared" si="90"/>
        <v>241371727.96595448</v>
      </c>
      <c r="K304" s="218">
        <f>F304+J304+IF(D304=1,'Model Inputs'!$B$26,0)</f>
        <v>241671727.96595448</v>
      </c>
      <c r="L304" s="218">
        <f t="shared" si="93"/>
        <v>966686911.86381793</v>
      </c>
      <c r="M304" s="218">
        <f>MIN(L304,'Tax Assumptions'!$B$19)</f>
        <v>24500</v>
      </c>
      <c r="N304" s="218">
        <f>MAX(L304-M304-'Tax Assumptions'!$B$8,0)</f>
        <v>966646311.86381793</v>
      </c>
      <c r="O304" s="218">
        <f>MAX(L304-M304-'Tax Assumptions'!$B$9,0)</f>
        <v>966654411.86381793</v>
      </c>
      <c r="P304" s="218">
        <f>IF(N304=0,0,LOOKUP(N304,'Tax Assumptions'!$F$9:$F$15,'Tax Assumptions'!$I$9:$I$15)+(N304-LOOKUP(N304,'Tax Assumptions'!$F$9:$F$15,'Tax Assumptions'!$F$9:$F$15))*LOOKUP(N304,'Tax Assumptions'!$F$9:$F$15,'Tax Assumptions'!$H$9:$H$15))+MIN(MAX(L304,0),'Tax Assumptions'!$B$11)*'Tax Assumptions'!$B$10+MAX(L304,0)*'Tax Assumptions'!$B$12+MAX(MAX(L304,0)-'Tax Assumptions'!$B$14,0)*'Tax Assumptions'!$B$13+MIN(L304*'Tax Assumptions'!$B$15,'Tax Assumptions'!$B$16)+MIN(L304*'Tax Assumptions'!$B$17,'Tax Assumptions'!$B$18)+IF(O304=0,0,LOOKUP(O304,'Tax Assumptions'!$K$9:$K$17,'Tax Assumptions'!$N$9:$N$17)+(O304-LOOKUP(O304,'Tax Assumptions'!$K$9:$K$17,'Tax Assumptions'!$K$9:$K$17))*LOOKUP(O304,'Tax Assumptions'!$K$9:$K$17,'Tax Assumptions'!$M$9:$M$17))+IF(O304=0,0,LOOKUP(O304,'Tax Assumptions'!$P$9:$P$12,'Tax Assumptions'!$S$9:$S$12)+(O304-LOOKUP(O304,'Tax Assumptions'!$P$9:$P$12,'Tax Assumptions'!$P$9:$P$12))*LOOKUP(O304,'Tax Assumptions'!$P$9:$P$12,'Tax Assumptions'!$R$9:$R$12))</f>
        <v>522959765.45541006</v>
      </c>
      <c r="Q304" s="218">
        <f t="shared" si="94"/>
        <v>443702646.40840787</v>
      </c>
      <c r="R304" s="218">
        <f>IF(D304&lt;=10,INDEX('Savings Projection'!$BL$19:$BL$28,D304),LOOKUP(2,1/('Savings Projection'!$BL$19:$BL$28&lt;&gt;""),'Savings Projection'!$BL$19:$BL$28))*(1+'Model Inputs'!$B$35)^(D304-1)+IF(D304&lt;=10,INDEX('Savings Projection'!$BM$19:$BM$28,D304),LOOKUP(2,1/('Savings Projection'!$BM$19:$BM$28&lt;&gt;""),'Savings Projection'!$BM$19:$BM$28))*(1+'Model Inputs'!$B$36)^(D304-1)</f>
        <v>297430.59784584382</v>
      </c>
      <c r="S304" s="218">
        <f t="shared" si="95"/>
        <v>443405215.81056201</v>
      </c>
      <c r="T304" s="218">
        <f>MIN(MAX(S304,0),'Tax Assumptions'!$B$20)</f>
        <v>7500</v>
      </c>
      <c r="U304" s="218">
        <f t="shared" si="96"/>
        <v>443397715.81056201</v>
      </c>
      <c r="V304" s="218">
        <f>MAX(V303*(1+'Model Inputs'!$B$13)+U304,0)</f>
        <v>2488965808.4480376</v>
      </c>
      <c r="W304" s="218">
        <f>MAX(W303*(1+'Model Inputs'!$B$13)+M304+T304,0)</f>
        <v>2356473.5461198762</v>
      </c>
      <c r="X304" s="218">
        <f t="shared" si="97"/>
        <v>2491322281.9941573</v>
      </c>
      <c r="Y304" s="226" t="str">
        <f t="shared" si="98"/>
        <v/>
      </c>
      <c r="Z304" s="226" t="str">
        <f t="shared" si="99"/>
        <v/>
      </c>
      <c r="AA304" s="226" t="str">
        <f t="shared" si="100"/>
        <v/>
      </c>
      <c r="AB304" s="226" t="str">
        <f t="shared" si="101"/>
        <v/>
      </c>
    </row>
    <row r="305" spans="1:28" x14ac:dyDescent="0.2">
      <c r="A305" s="214" t="str">
        <f t="shared" si="87"/>
        <v>5Y 4x</v>
      </c>
      <c r="B305" s="214">
        <f t="shared" si="88"/>
        <v>5</v>
      </c>
      <c r="C305" s="223">
        <f t="shared" si="89"/>
        <v>4</v>
      </c>
      <c r="D305" s="214">
        <v>30</v>
      </c>
      <c r="E305" s="214">
        <f t="shared" si="91"/>
        <v>2055</v>
      </c>
      <c r="F305" s="218">
        <f>IF(D305=1,'Model Inputs'!$B$25*(13-'Model Inputs'!$B$23)/12,'Model Inputs'!$B$25)</f>
        <v>300000</v>
      </c>
      <c r="G305" s="218">
        <f>IF(D305=1,'Model Inputs'!$B$27*(13-'Model Inputs'!$B$23)/12,IF(D305=2,'Model Inputs'!$B$27,IF(D305&lt;=MAX(3,'Model Inputs'!$B$30+1),'Model Inputs'!$B$27*(1+'Model Inputs'!$B$28)^(D305-3),'Model Inputs'!$B$27*(1+'Model Inputs'!$B$28)^(MAX(3,'Model Inputs'!$B$30+1)-3)*(1+'Model Inputs'!$B$29)^(D305-MAX(3,'Model Inputs'!$B$30+1)))))</f>
        <v>380465535.74563926</v>
      </c>
      <c r="H305" s="224">
        <f>IF(D305&lt;=2,0,'Model Inputs'!$B$32*SIN(2*PI()*(D305-3+'Model Inputs'!$B$34)/MAX(1,'Model Inputs'!$B$33)))</f>
        <v>-2.645237086158283E-16</v>
      </c>
      <c r="I305" s="218">
        <f t="shared" si="92"/>
        <v>380465535.7456392</v>
      </c>
      <c r="J305" s="218">
        <f t="shared" si="90"/>
        <v>266206474.24994773</v>
      </c>
      <c r="K305" s="218">
        <f>F305+J305+IF(D305=1,'Model Inputs'!$B$26,0)</f>
        <v>266506474.24994773</v>
      </c>
      <c r="L305" s="218">
        <f t="shared" si="93"/>
        <v>1066025896.9997909</v>
      </c>
      <c r="M305" s="218">
        <f>MIN(L305,'Tax Assumptions'!$B$19)</f>
        <v>24500</v>
      </c>
      <c r="N305" s="218">
        <f>MAX(L305-M305-'Tax Assumptions'!$B$8,0)</f>
        <v>1065985296.9997909</v>
      </c>
      <c r="O305" s="218">
        <f>MAX(L305-M305-'Tax Assumptions'!$B$9,0)</f>
        <v>1065993396.9997909</v>
      </c>
      <c r="P305" s="218">
        <f>IF(N305=0,0,LOOKUP(N305,'Tax Assumptions'!$F$9:$F$15,'Tax Assumptions'!$I$9:$I$15)+(N305-LOOKUP(N305,'Tax Assumptions'!$F$9:$F$15,'Tax Assumptions'!$F$9:$F$15))*LOOKUP(N305,'Tax Assumptions'!$F$9:$F$15,'Tax Assumptions'!$H$9:$H$15))+MIN(MAX(L305,0),'Tax Assumptions'!$B$11)*'Tax Assumptions'!$B$10+MAX(L305,0)*'Tax Assumptions'!$B$12+MAX(MAX(L305,0)-'Tax Assumptions'!$B$14,0)*'Tax Assumptions'!$B$13+MIN(L305*'Tax Assumptions'!$B$15,'Tax Assumptions'!$B$16)+MIN(L305*'Tax Assumptions'!$B$17,'Tax Assumptions'!$B$18)+IF(O305=0,0,LOOKUP(O305,'Tax Assumptions'!$K$9:$K$17,'Tax Assumptions'!$N$9:$N$17)+(O305-LOOKUP(O305,'Tax Assumptions'!$K$9:$K$17,'Tax Assumptions'!$K$9:$K$17))*LOOKUP(O305,'Tax Assumptions'!$K$9:$K$17,'Tax Assumptions'!$M$9:$M$17))+IF(O305=0,0,LOOKUP(O305,'Tax Assumptions'!$P$9:$P$12,'Tax Assumptions'!$S$9:$S$12)+(O305-LOOKUP(O305,'Tax Assumptions'!$P$9:$P$12,'Tax Assumptions'!$P$9:$P$12))*LOOKUP(O305,'Tax Assumptions'!$P$9:$P$12,'Tax Assumptions'!$R$9:$R$12))</f>
        <v>576727984.55010676</v>
      </c>
      <c r="Q305" s="218">
        <f t="shared" si="94"/>
        <v>489273412.44968414</v>
      </c>
      <c r="R305" s="218">
        <f>IF(D305&lt;=10,INDEX('Savings Projection'!$BL$19:$BL$28,D305),LOOKUP(2,1/('Savings Projection'!$BL$19:$BL$28&lt;&gt;""),'Savings Projection'!$BL$19:$BL$28))*(1+'Model Inputs'!$B$35)^(D305-1)+IF(D305&lt;=10,INDEX('Savings Projection'!$BM$19:$BM$28,D305),LOOKUP(2,1/('Savings Projection'!$BM$19:$BM$28&lt;&gt;""),'Savings Projection'!$BM$19:$BM$28))*(1+'Model Inputs'!$B$36)^(D305-1)</f>
        <v>306353.51578121912</v>
      </c>
      <c r="S305" s="218">
        <f t="shared" si="95"/>
        <v>488967058.93390292</v>
      </c>
      <c r="T305" s="218">
        <f>MIN(MAX(S305,0),'Tax Assumptions'!$B$20)</f>
        <v>7500</v>
      </c>
      <c r="U305" s="218">
        <f t="shared" si="96"/>
        <v>488959558.93390292</v>
      </c>
      <c r="V305" s="218">
        <f>MAX(V304*(1+'Model Inputs'!$B$13)+U305,0)</f>
        <v>3127263315.8888226</v>
      </c>
      <c r="W305" s="218">
        <f>MAX(W304*(1+'Model Inputs'!$B$13)+M305+T305,0)</f>
        <v>2529861.958887069</v>
      </c>
      <c r="X305" s="218">
        <f t="shared" si="97"/>
        <v>3129793177.8477097</v>
      </c>
      <c r="Y305" s="226" t="str">
        <f t="shared" si="98"/>
        <v/>
      </c>
      <c r="Z305" s="226" t="str">
        <f t="shared" si="99"/>
        <v/>
      </c>
      <c r="AA305" s="226" t="str">
        <f t="shared" si="100"/>
        <v/>
      </c>
      <c r="AB305" s="226" t="str">
        <f t="shared" si="101"/>
        <v/>
      </c>
    </row>
  </sheetData>
  <mergeCells count="12">
    <mergeCell ref="A1:O1"/>
    <mergeCell ref="A33:X33"/>
    <mergeCell ref="B5:O5"/>
    <mergeCell ref="A4:O4"/>
    <mergeCell ref="B9:O9"/>
    <mergeCell ref="B8:O8"/>
    <mergeCell ref="A20:O20"/>
    <mergeCell ref="A34:X34"/>
    <mergeCell ref="A2:O2"/>
    <mergeCell ref="B6:O6"/>
    <mergeCell ref="A12:G12"/>
    <mergeCell ref="B7:O7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64A2"/>
  </sheetPr>
  <dimension ref="A1:AJ769"/>
  <sheetViews>
    <sheetView showGridLines="0" workbookViewId="0">
      <pane ySplit="20" topLeftCell="A21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10" customWidth="1"/>
    <col min="4" max="4" width="12" customWidth="1"/>
    <col min="5" max="5" width="14" customWidth="1"/>
    <col min="6" max="6" width="15" customWidth="1"/>
    <col min="7" max="7" width="12" customWidth="1"/>
    <col min="8" max="8" width="13" customWidth="1"/>
    <col min="9" max="9" width="20" customWidth="1"/>
    <col min="10" max="10" width="14" customWidth="1"/>
    <col min="11" max="13" width="15" customWidth="1"/>
    <col min="14" max="14" width="12" customWidth="1"/>
    <col min="15" max="15" width="15" customWidth="1"/>
    <col min="16" max="16" width="28" customWidth="1"/>
    <col min="17" max="20" width="15" customWidth="1"/>
    <col min="21" max="21" width="36" customWidth="1"/>
    <col min="22" max="23" width="13" customWidth="1"/>
    <col min="24" max="31" width="14" customWidth="1"/>
    <col min="32" max="32" width="15" customWidth="1"/>
    <col min="33" max="36" width="14" customWidth="1"/>
  </cols>
  <sheetData>
    <row r="1" spans="1:21" ht="24" customHeight="1" x14ac:dyDescent="0.2">
      <c r="A1" s="242" t="s">
        <v>370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</row>
    <row r="2" spans="1:21" ht="34" customHeight="1" x14ac:dyDescent="0.2">
      <c r="A2" s="241" t="s">
        <v>371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</row>
    <row r="3" spans="1:21" ht="18" customHeight="1" x14ac:dyDescent="0.2"/>
    <row r="4" spans="1:21" ht="18" customHeight="1" x14ac:dyDescent="0.2">
      <c r="A4" s="240" t="s">
        <v>2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</row>
    <row r="5" spans="1:21" ht="18" customHeight="1" x14ac:dyDescent="0.2">
      <c r="A5" s="228" t="s">
        <v>372</v>
      </c>
      <c r="B5" s="238" t="s">
        <v>373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</row>
    <row r="6" spans="1:21" ht="18" customHeight="1" x14ac:dyDescent="0.2">
      <c r="A6" s="228" t="s">
        <v>374</v>
      </c>
      <c r="B6" s="238" t="s">
        <v>375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</row>
    <row r="7" spans="1:21" ht="18" customHeight="1" x14ac:dyDescent="0.2">
      <c r="A7" s="228" t="s">
        <v>376</v>
      </c>
      <c r="B7" s="238" t="s">
        <v>377</v>
      </c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</row>
    <row r="8" spans="1:21" ht="18" customHeight="1" x14ac:dyDescent="0.2">
      <c r="A8" s="228" t="s">
        <v>378</v>
      </c>
      <c r="B8" s="238" t="s">
        <v>379</v>
      </c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</row>
    <row r="9" spans="1:21" ht="18" customHeight="1" x14ac:dyDescent="0.2">
      <c r="A9" s="228" t="s">
        <v>9</v>
      </c>
      <c r="B9" s="238" t="s">
        <v>10</v>
      </c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</row>
    <row r="10" spans="1:21" ht="18" customHeight="1" x14ac:dyDescent="0.2">
      <c r="A10" s="228" t="s">
        <v>11</v>
      </c>
      <c r="B10" s="238" t="s">
        <v>12</v>
      </c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</row>
    <row r="11" spans="1:21" ht="18" customHeight="1" x14ac:dyDescent="0.2"/>
    <row r="12" spans="1:21" ht="18" customHeight="1" x14ac:dyDescent="0.2">
      <c r="A12" s="240" t="s">
        <v>13</v>
      </c>
      <c r="B12" s="270"/>
      <c r="C12" s="270"/>
      <c r="D12" s="270"/>
      <c r="E12" s="270"/>
      <c r="F12" s="270"/>
      <c r="G12" s="270"/>
    </row>
    <row r="13" spans="1:21" ht="18" customHeight="1" x14ac:dyDescent="0.2">
      <c r="A13" s="229" t="s">
        <v>14</v>
      </c>
      <c r="B13" s="229" t="s">
        <v>15</v>
      </c>
      <c r="C13" s="229" t="s">
        <v>16</v>
      </c>
      <c r="D13" s="229" t="s">
        <v>17</v>
      </c>
      <c r="E13" s="229" t="s">
        <v>18</v>
      </c>
      <c r="F13" s="229" t="s">
        <v>19</v>
      </c>
      <c r="G13" s="229" t="s">
        <v>20</v>
      </c>
    </row>
    <row r="14" spans="1:21" ht="18" customHeight="1" x14ac:dyDescent="0.2">
      <c r="A14" s="226" t="s">
        <v>21</v>
      </c>
      <c r="B14" s="230">
        <v>5000000</v>
      </c>
      <c r="C14" s="231">
        <v>1</v>
      </c>
      <c r="D14" s="230">
        <f>B14*C14+B14*'Model Inputs'!$G$18</f>
        <v>5125000</v>
      </c>
      <c r="E14" s="230">
        <f>IF(C14&gt;=1,0,-PMT('Model Inputs'!$G$16/12,'Model Inputs'!$G$17*12,B14*(1-C14))*12)+B14*SUM('Model Inputs'!$G$19:$G$21)+'Model Inputs'!$G$22+'Model Inputs'!$G$23</f>
        <v>110000</v>
      </c>
      <c r="F14" s="230">
        <f>D14+('Model Inputs'!$B$11+E14)/'Model Inputs'!$B$16</f>
        <v>13982142.857142856</v>
      </c>
      <c r="G14" s="227" t="s">
        <v>22</v>
      </c>
      <c r="I14" s="229" t="s">
        <v>380</v>
      </c>
      <c r="J14" s="229" t="s">
        <v>381</v>
      </c>
      <c r="L14" s="229" t="s">
        <v>382</v>
      </c>
      <c r="M14" s="229" t="s">
        <v>383</v>
      </c>
      <c r="N14" s="229" t="s">
        <v>384</v>
      </c>
      <c r="O14" s="229" t="s">
        <v>385</v>
      </c>
      <c r="P14" s="229" t="s">
        <v>204</v>
      </c>
    </row>
    <row r="15" spans="1:21" ht="18" customHeight="1" x14ac:dyDescent="0.2">
      <c r="A15" s="226" t="s">
        <v>23</v>
      </c>
      <c r="B15" s="230">
        <v>5000000</v>
      </c>
      <c r="C15" s="231">
        <v>0.5</v>
      </c>
      <c r="D15" s="230">
        <f>B15*C15+B15*'Model Inputs'!$G$18</f>
        <v>2625000</v>
      </c>
      <c r="E15" s="230">
        <f>IF(C15&gt;=1,0,-PMT('Model Inputs'!$G$16/12,'Model Inputs'!$G$17*12,B15*(1-C15))*12)+B15*SUM('Model Inputs'!$G$19:$G$21)+'Model Inputs'!$G$22+'Model Inputs'!$G$23</f>
        <v>299620.40704788914</v>
      </c>
      <c r="F15" s="230">
        <f>D15+('Model Inputs'!$B$11+E15)/'Model Inputs'!$B$16</f>
        <v>16899868.772796832</v>
      </c>
      <c r="G15" s="227" t="s">
        <v>22</v>
      </c>
      <c r="I15" s="226" t="s">
        <v>386</v>
      </c>
      <c r="J15" s="237">
        <v>3</v>
      </c>
      <c r="L15" s="226" t="s">
        <v>387</v>
      </c>
      <c r="M15" s="230">
        <v>10000000</v>
      </c>
      <c r="N15" s="233">
        <v>0.15</v>
      </c>
      <c r="O15" s="230">
        <f>$J$16+M15*N15</f>
        <v>1800000</v>
      </c>
      <c r="P15" s="232" t="s">
        <v>388</v>
      </c>
    </row>
    <row r="16" spans="1:21" ht="18" customHeight="1" x14ac:dyDescent="0.2">
      <c r="A16" s="226" t="s">
        <v>24</v>
      </c>
      <c r="B16" s="230">
        <v>7000000</v>
      </c>
      <c r="C16" s="231">
        <v>1</v>
      </c>
      <c r="D16" s="230">
        <f>B16*C16+B16*'Model Inputs'!$G$18</f>
        <v>7175000</v>
      </c>
      <c r="E16" s="230">
        <f>IF(C16&gt;=1,0,-PMT('Model Inputs'!$G$16/12,'Model Inputs'!$G$17*12,B16*(1-C16))*12)+B16*SUM('Model Inputs'!$G$19:$G$21)+'Model Inputs'!$G$22+'Model Inputs'!$G$23</f>
        <v>154000</v>
      </c>
      <c r="F16" s="230">
        <f>D16+('Model Inputs'!$B$11+E16)/'Model Inputs'!$B$16</f>
        <v>17289285.714285713</v>
      </c>
      <c r="G16" s="227" t="s">
        <v>22</v>
      </c>
      <c r="I16" s="226" t="s">
        <v>389</v>
      </c>
      <c r="J16" s="230">
        <v>300000</v>
      </c>
      <c r="L16" s="226" t="s">
        <v>118</v>
      </c>
      <c r="M16" s="230">
        <v>25000000</v>
      </c>
      <c r="N16" s="233">
        <v>0.15</v>
      </c>
      <c r="O16" s="230">
        <f>$J$16+M16*N16</f>
        <v>4050000</v>
      </c>
      <c r="P16" s="232" t="s">
        <v>390</v>
      </c>
    </row>
    <row r="17" spans="1:21" ht="18" customHeight="1" x14ac:dyDescent="0.2">
      <c r="A17" s="226" t="s">
        <v>25</v>
      </c>
      <c r="B17" s="230">
        <v>7000000</v>
      </c>
      <c r="C17" s="231">
        <v>0.5</v>
      </c>
      <c r="D17" s="230">
        <f>B17*C17+B17*'Model Inputs'!$G$18</f>
        <v>3675000</v>
      </c>
      <c r="E17" s="230">
        <f>IF(C17&gt;=1,0,-PMT('Model Inputs'!$G$16/12,'Model Inputs'!$G$17*12,B17*(1-C17))*12)+B17*SUM('Model Inputs'!$G$19:$G$21)+'Model Inputs'!$G$22+'Model Inputs'!$G$23</f>
        <v>419468.5698670448</v>
      </c>
      <c r="F17" s="230">
        <f>D17+('Model Inputs'!$B$11+E17)/'Model Inputs'!$B$16</f>
        <v>21374101.996201277</v>
      </c>
      <c r="G17" s="227" t="s">
        <v>22</v>
      </c>
      <c r="I17" s="226" t="s">
        <v>391</v>
      </c>
      <c r="J17" s="233">
        <v>0</v>
      </c>
      <c r="L17" s="226" t="s">
        <v>119</v>
      </c>
      <c r="M17" s="230">
        <v>50000000</v>
      </c>
      <c r="N17" s="233">
        <v>0.2</v>
      </c>
      <c r="O17" s="230">
        <f>$J$16+M17*N17</f>
        <v>10300000</v>
      </c>
      <c r="P17" s="232" t="s">
        <v>392</v>
      </c>
    </row>
    <row r="18" spans="1:21" ht="18" customHeight="1" x14ac:dyDescent="0.2">
      <c r="L18" s="226" t="s">
        <v>393</v>
      </c>
      <c r="M18" s="230">
        <v>100000000</v>
      </c>
      <c r="N18" s="233">
        <v>0.15</v>
      </c>
      <c r="O18" s="230">
        <f>$J$16+M18*N18</f>
        <v>15300000</v>
      </c>
      <c r="P18" s="232" t="s">
        <v>394</v>
      </c>
    </row>
    <row r="19" spans="1:21" ht="18" customHeight="1" x14ac:dyDescent="0.2"/>
    <row r="20" spans="1:21" ht="22" customHeight="1" x14ac:dyDescent="0.2">
      <c r="A20" s="240" t="s">
        <v>26</v>
      </c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</row>
    <row r="21" spans="1:21" ht="18" customHeight="1" x14ac:dyDescent="0.2">
      <c r="A21" s="229" t="s">
        <v>27</v>
      </c>
      <c r="B21" s="229" t="s">
        <v>395</v>
      </c>
      <c r="C21" s="229" t="s">
        <v>396</v>
      </c>
      <c r="D21" s="229" t="s">
        <v>397</v>
      </c>
      <c r="E21" s="229" t="s">
        <v>382</v>
      </c>
      <c r="F21" s="229" t="s">
        <v>398</v>
      </c>
      <c r="G21" s="229" t="s">
        <v>399</v>
      </c>
      <c r="H21" s="229" t="s">
        <v>400</v>
      </c>
      <c r="I21" s="229" t="s">
        <v>385</v>
      </c>
      <c r="J21" s="229" t="s">
        <v>30</v>
      </c>
      <c r="K21" s="229" t="s">
        <v>401</v>
      </c>
      <c r="L21" s="229" t="s">
        <v>32</v>
      </c>
      <c r="M21" s="229" t="s">
        <v>33</v>
      </c>
      <c r="N21" s="229" t="s">
        <v>34</v>
      </c>
      <c r="O21" s="229" t="s">
        <v>35</v>
      </c>
      <c r="P21" s="229" t="s">
        <v>36</v>
      </c>
      <c r="Q21" s="229" t="s">
        <v>37</v>
      </c>
      <c r="R21" s="229" t="s">
        <v>38</v>
      </c>
      <c r="S21" s="229" t="s">
        <v>39</v>
      </c>
      <c r="T21" s="229" t="s">
        <v>40</v>
      </c>
      <c r="U21" s="229" t="s">
        <v>41</v>
      </c>
    </row>
    <row r="22" spans="1:21" ht="18" customHeight="1" x14ac:dyDescent="0.2">
      <c r="A22" s="226" t="s">
        <v>402</v>
      </c>
      <c r="B22" s="234">
        <v>3</v>
      </c>
      <c r="C22" s="235">
        <f t="shared" ref="C22:C45" si="0">$J$15</f>
        <v>3</v>
      </c>
      <c r="D22" s="234">
        <v>7</v>
      </c>
      <c r="E22" s="226" t="str">
        <f>$L$15</f>
        <v>Starter</v>
      </c>
      <c r="F22" s="230">
        <f>$M$15</f>
        <v>10000000</v>
      </c>
      <c r="G22" s="236">
        <f>$N$15</f>
        <v>0.15</v>
      </c>
      <c r="H22" s="230">
        <f t="shared" ref="H22:H45" si="1">$J$16</f>
        <v>300000</v>
      </c>
      <c r="I22" s="230">
        <f>$O$15</f>
        <v>1800000</v>
      </c>
      <c r="J22" s="230">
        <f>INDEX('Savings Projection'!$BK$19:$BK$58,B22)</f>
        <v>562500</v>
      </c>
      <c r="K22" s="230">
        <f t="shared" ref="K22:K45" si="2">SUMIFS($T$50:$T$769,$A$50:$A$769,$A22,$J$50:$J$769,10)</f>
        <v>1800000</v>
      </c>
      <c r="L22" s="230">
        <f t="shared" ref="L22:L45" si="3">SUMIFS($AF$50:$AF$769,$A$50:$A$769,$A22,$J$50:$J$769,10)</f>
        <v>9671701.9444180299</v>
      </c>
      <c r="M22" s="230">
        <f t="shared" ref="M22:M45" si="4">L22-$F$14</f>
        <v>-4310440.9127248265</v>
      </c>
      <c r="N22" s="230">
        <f t="shared" ref="N22:N45" si="5">L22-$F$15</f>
        <v>-7228166.8283788022</v>
      </c>
      <c r="O22" s="230">
        <f t="shared" ref="O22:O45" si="6">L22-$F$16</f>
        <v>-7617583.7698676828</v>
      </c>
      <c r="P22" s="230">
        <f t="shared" ref="P22:P45" si="7">L22-$F$17</f>
        <v>-11702400.051783247</v>
      </c>
      <c r="Q22" s="226" t="str">
        <f t="shared" ref="Q22:Q45" si="8">IF(SUMIFS($AG$50:$AG$769,$A$50:$A$769,$A22)=0,"Not by Y30","Y"&amp;SUMIFS($AG$50:$AG$769,$A$50:$A$769,$A22)&amp;" / "&amp;(2025+SUMIFS($AG$50:$AG$769,$A$50:$A$769,$A22)))</f>
        <v>Y14 / 2039</v>
      </c>
      <c r="R22" s="226" t="str">
        <f t="shared" ref="R22:R45" si="9">IF(SUMIFS($AH$50:$AH$769,$A$50:$A$769,$A22)=0,"Not by Y30","Y"&amp;SUMIFS($AH$50:$AH$769,$A$50:$A$769,$A22)&amp;" / "&amp;(2025+SUMIFS($AH$50:$AH$769,$A$50:$A$769,$A22)))</f>
        <v>Y15 / 2040</v>
      </c>
      <c r="S22" s="226" t="str">
        <f t="shared" ref="S22:S45" si="10">IF(SUMIFS($AI$50:$AI$769,$A$50:$A$769,$A22)=0,"Not by Y30","Y"&amp;SUMIFS($AI$50:$AI$769,$A$50:$A$769,$A22)&amp;" / "&amp;(2025+SUMIFS($AI$50:$AI$769,$A$50:$A$769,$A22)))</f>
        <v>Y16 / 2041</v>
      </c>
      <c r="T22" s="226" t="str">
        <f t="shared" ref="T22:T45" si="11">IF(SUMIFS($AJ$50:$AJ$769,$A$50:$A$769,$A22)=0,"Not by Y30","Y"&amp;SUMIFS($AJ$50:$AJ$769,$A$50:$A$769,$A22)&amp;" / "&amp;(2025+SUMIFS($AJ$50:$AJ$769,$A$50:$A$769,$A22)))</f>
        <v>Y18 / 2043</v>
      </c>
      <c r="U22" s="226" t="str">
        <f t="shared" ref="U22:U45" si="12">IF(L22&gt;=$F$17,"Clears $7M 50% by Y10",IF(L22&gt;=$F$16,"Clears $7M cash by Y10",IF(L22&gt;=$F$15,"Clears $5M 50% by Y10",IF(L22&gt;=$F$14,"Clears $5M cash by Y10","Short of $5M retire+house by Y10"))))</f>
        <v>Short of $5M retire+house by Y10</v>
      </c>
    </row>
    <row r="23" spans="1:21" ht="18" customHeight="1" x14ac:dyDescent="0.2">
      <c r="A23" s="226" t="s">
        <v>403</v>
      </c>
      <c r="B23" s="234">
        <v>3</v>
      </c>
      <c r="C23" s="235">
        <f t="shared" si="0"/>
        <v>3</v>
      </c>
      <c r="D23" s="234">
        <v>7</v>
      </c>
      <c r="E23" s="226" t="str">
        <f>$L$16</f>
        <v>Base</v>
      </c>
      <c r="F23" s="230">
        <f>$M$16</f>
        <v>25000000</v>
      </c>
      <c r="G23" s="236">
        <f>$N$16</f>
        <v>0.15</v>
      </c>
      <c r="H23" s="230">
        <f t="shared" si="1"/>
        <v>300000</v>
      </c>
      <c r="I23" s="230">
        <f>$O$16</f>
        <v>4050000</v>
      </c>
      <c r="J23" s="230">
        <f>INDEX('Savings Projection'!$BK$19:$BK$58,B23)</f>
        <v>562500</v>
      </c>
      <c r="K23" s="230">
        <f t="shared" si="2"/>
        <v>4050000</v>
      </c>
      <c r="L23" s="230">
        <f t="shared" si="3"/>
        <v>14310063.543058032</v>
      </c>
      <c r="M23" s="230">
        <f t="shared" si="4"/>
        <v>327920.68591517583</v>
      </c>
      <c r="N23" s="230">
        <f t="shared" si="5"/>
        <v>-2589805.2297387999</v>
      </c>
      <c r="O23" s="230">
        <f t="shared" si="6"/>
        <v>-2979222.1712276805</v>
      </c>
      <c r="P23" s="230">
        <f t="shared" si="7"/>
        <v>-7064038.4531432446</v>
      </c>
      <c r="Q23" s="226" t="str">
        <f t="shared" si="8"/>
        <v>Y10 / 2035</v>
      </c>
      <c r="R23" s="226" t="str">
        <f t="shared" si="9"/>
        <v>Y11 / 2036</v>
      </c>
      <c r="S23" s="226" t="str">
        <f t="shared" si="10"/>
        <v>Y12 / 2037</v>
      </c>
      <c r="T23" s="226" t="str">
        <f t="shared" si="11"/>
        <v>Y13 / 2038</v>
      </c>
      <c r="U23" s="226" t="str">
        <f t="shared" si="12"/>
        <v>Clears $5M cash by Y10</v>
      </c>
    </row>
    <row r="24" spans="1:21" ht="18" customHeight="1" x14ac:dyDescent="0.2">
      <c r="A24" s="226" t="s">
        <v>404</v>
      </c>
      <c r="B24" s="234">
        <v>3</v>
      </c>
      <c r="C24" s="235">
        <f t="shared" si="0"/>
        <v>3</v>
      </c>
      <c r="D24" s="234">
        <v>7</v>
      </c>
      <c r="E24" s="226" t="str">
        <f>$L$17</f>
        <v>Upside</v>
      </c>
      <c r="F24" s="230">
        <f>$M$17</f>
        <v>50000000</v>
      </c>
      <c r="G24" s="236">
        <f>$N$17</f>
        <v>0.2</v>
      </c>
      <c r="H24" s="230">
        <f t="shared" si="1"/>
        <v>300000</v>
      </c>
      <c r="I24" s="230">
        <f>$O$17</f>
        <v>10300000</v>
      </c>
      <c r="J24" s="230">
        <f>INDEX('Savings Projection'!$BK$19:$BK$58,B24)</f>
        <v>562500</v>
      </c>
      <c r="K24" s="230">
        <f t="shared" si="2"/>
        <v>10300000</v>
      </c>
      <c r="L24" s="230">
        <f t="shared" si="3"/>
        <v>27044606.131574549</v>
      </c>
      <c r="M24" s="230">
        <f t="shared" si="4"/>
        <v>13062463.274431692</v>
      </c>
      <c r="N24" s="230">
        <f t="shared" si="5"/>
        <v>10144737.358777717</v>
      </c>
      <c r="O24" s="230">
        <f t="shared" si="6"/>
        <v>9755320.4172888361</v>
      </c>
      <c r="P24" s="230">
        <f t="shared" si="7"/>
        <v>5670504.135373272</v>
      </c>
      <c r="Q24" s="226" t="str">
        <f t="shared" si="8"/>
        <v>Y8 / 2033</v>
      </c>
      <c r="R24" s="226" t="str">
        <f t="shared" si="9"/>
        <v>Y9 / 2034</v>
      </c>
      <c r="S24" s="226" t="str">
        <f t="shared" si="10"/>
        <v>Y9 / 2034</v>
      </c>
      <c r="T24" s="226" t="str">
        <f t="shared" si="11"/>
        <v>Y10 / 2035</v>
      </c>
      <c r="U24" s="226" t="str">
        <f t="shared" si="12"/>
        <v>Clears $7M 50% by Y10</v>
      </c>
    </row>
    <row r="25" spans="1:21" ht="18" customHeight="1" x14ac:dyDescent="0.2">
      <c r="A25" s="226" t="s">
        <v>405</v>
      </c>
      <c r="B25" s="234">
        <v>3</v>
      </c>
      <c r="C25" s="235">
        <f t="shared" si="0"/>
        <v>3</v>
      </c>
      <c r="D25" s="234">
        <v>7</v>
      </c>
      <c r="E25" s="226" t="str">
        <f>$L$18</f>
        <v>Tail</v>
      </c>
      <c r="F25" s="230">
        <f>$M$18</f>
        <v>100000000</v>
      </c>
      <c r="G25" s="236">
        <f>$N$18</f>
        <v>0.15</v>
      </c>
      <c r="H25" s="230">
        <f t="shared" si="1"/>
        <v>300000</v>
      </c>
      <c r="I25" s="230">
        <f>$O$18</f>
        <v>15300000</v>
      </c>
      <c r="J25" s="230">
        <f>INDEX('Savings Projection'!$BK$19:$BK$58,B25)</f>
        <v>562500</v>
      </c>
      <c r="K25" s="230">
        <f t="shared" si="2"/>
        <v>15300000</v>
      </c>
      <c r="L25" s="230">
        <f t="shared" si="3"/>
        <v>37209901.330774546</v>
      </c>
      <c r="M25" s="230">
        <f t="shared" si="4"/>
        <v>23227758.473631687</v>
      </c>
      <c r="N25" s="230">
        <f t="shared" si="5"/>
        <v>20310032.557977714</v>
      </c>
      <c r="O25" s="230">
        <f t="shared" si="6"/>
        <v>19920615.616488833</v>
      </c>
      <c r="P25" s="230">
        <f t="shared" si="7"/>
        <v>15835799.334573269</v>
      </c>
      <c r="Q25" s="226" t="str">
        <f t="shared" si="8"/>
        <v>Y8 / 2033</v>
      </c>
      <c r="R25" s="226" t="str">
        <f t="shared" si="9"/>
        <v>Y8 / 2033</v>
      </c>
      <c r="S25" s="226" t="str">
        <f t="shared" si="10"/>
        <v>Y8 / 2033</v>
      </c>
      <c r="T25" s="226" t="str">
        <f t="shared" si="11"/>
        <v>Y9 / 2034</v>
      </c>
      <c r="U25" s="226" t="str">
        <f t="shared" si="12"/>
        <v>Clears $7M 50% by Y10</v>
      </c>
    </row>
    <row r="26" spans="1:21" ht="18" customHeight="1" x14ac:dyDescent="0.2">
      <c r="A26" s="226" t="s">
        <v>406</v>
      </c>
      <c r="B26" s="234">
        <v>3</v>
      </c>
      <c r="C26" s="235">
        <f t="shared" si="0"/>
        <v>3</v>
      </c>
      <c r="D26" s="234">
        <v>8</v>
      </c>
      <c r="E26" s="226" t="str">
        <f>$L$15</f>
        <v>Starter</v>
      </c>
      <c r="F26" s="230">
        <f>$M$15</f>
        <v>10000000</v>
      </c>
      <c r="G26" s="236">
        <f>$N$15</f>
        <v>0.15</v>
      </c>
      <c r="H26" s="230">
        <f t="shared" si="1"/>
        <v>300000</v>
      </c>
      <c r="I26" s="230">
        <f>$O$15</f>
        <v>1800000</v>
      </c>
      <c r="J26" s="230">
        <f>INDEX('Savings Projection'!$BK$19:$BK$58,B26)</f>
        <v>562500</v>
      </c>
      <c r="K26" s="230">
        <f t="shared" si="2"/>
        <v>1800000</v>
      </c>
      <c r="L26" s="230">
        <f t="shared" si="3"/>
        <v>11049556.384334499</v>
      </c>
      <c r="M26" s="230">
        <f t="shared" si="4"/>
        <v>-2932586.4728083573</v>
      </c>
      <c r="N26" s="230">
        <f t="shared" si="5"/>
        <v>-5850312.388462333</v>
      </c>
      <c r="O26" s="230">
        <f t="shared" si="6"/>
        <v>-6239729.3299512137</v>
      </c>
      <c r="P26" s="230">
        <f t="shared" si="7"/>
        <v>-10324545.611866778</v>
      </c>
      <c r="Q26" s="226" t="str">
        <f t="shared" si="8"/>
        <v>Y13 / 2038</v>
      </c>
      <c r="R26" s="226" t="str">
        <f t="shared" si="9"/>
        <v>Y14 / 2039</v>
      </c>
      <c r="S26" s="226" t="str">
        <f t="shared" si="10"/>
        <v>Y15 / 2040</v>
      </c>
      <c r="T26" s="226" t="str">
        <f t="shared" si="11"/>
        <v>Y17 / 2042</v>
      </c>
      <c r="U26" s="226" t="str">
        <f t="shared" si="12"/>
        <v>Short of $5M retire+house by Y10</v>
      </c>
    </row>
    <row r="27" spans="1:21" ht="18" customHeight="1" x14ac:dyDescent="0.2">
      <c r="A27" s="226" t="s">
        <v>407</v>
      </c>
      <c r="B27" s="234">
        <v>3</v>
      </c>
      <c r="C27" s="235">
        <f t="shared" si="0"/>
        <v>3</v>
      </c>
      <c r="D27" s="234">
        <v>8</v>
      </c>
      <c r="E27" s="226" t="str">
        <f>$L$16</f>
        <v>Base</v>
      </c>
      <c r="F27" s="230">
        <f>$M$16</f>
        <v>25000000</v>
      </c>
      <c r="G27" s="236">
        <f>$N$16</f>
        <v>0.15</v>
      </c>
      <c r="H27" s="230">
        <f t="shared" si="1"/>
        <v>300000</v>
      </c>
      <c r="I27" s="230">
        <f>$O$16</f>
        <v>4050000</v>
      </c>
      <c r="J27" s="230">
        <f>INDEX('Savings Projection'!$BK$19:$BK$58,B27)</f>
        <v>562500</v>
      </c>
      <c r="K27" s="230">
        <f t="shared" si="2"/>
        <v>4050000</v>
      </c>
      <c r="L27" s="230">
        <f t="shared" si="3"/>
        <v>14425095.628334498</v>
      </c>
      <c r="M27" s="230">
        <f t="shared" si="4"/>
        <v>442952.77119164169</v>
      </c>
      <c r="N27" s="230">
        <f t="shared" si="5"/>
        <v>-2474773.144462334</v>
      </c>
      <c r="O27" s="230">
        <f t="shared" si="6"/>
        <v>-2864190.0859512147</v>
      </c>
      <c r="P27" s="230">
        <f t="shared" si="7"/>
        <v>-6949006.3678667787</v>
      </c>
      <c r="Q27" s="226" t="str">
        <f t="shared" si="8"/>
        <v>Y10 / 2035</v>
      </c>
      <c r="R27" s="226" t="str">
        <f t="shared" si="9"/>
        <v>Y11 / 2036</v>
      </c>
      <c r="S27" s="226" t="str">
        <f t="shared" si="10"/>
        <v>Y12 / 2037</v>
      </c>
      <c r="T27" s="226" t="str">
        <f t="shared" si="11"/>
        <v>Y13 / 2038</v>
      </c>
      <c r="U27" s="226" t="str">
        <f t="shared" si="12"/>
        <v>Clears $5M cash by Y10</v>
      </c>
    </row>
    <row r="28" spans="1:21" ht="18" customHeight="1" x14ac:dyDescent="0.2">
      <c r="A28" s="226" t="s">
        <v>408</v>
      </c>
      <c r="B28" s="234">
        <v>3</v>
      </c>
      <c r="C28" s="235">
        <f t="shared" si="0"/>
        <v>3</v>
      </c>
      <c r="D28" s="234">
        <v>8</v>
      </c>
      <c r="E28" s="226" t="str">
        <f>$L$17</f>
        <v>Upside</v>
      </c>
      <c r="F28" s="230">
        <f>$M$17</f>
        <v>50000000</v>
      </c>
      <c r="G28" s="236">
        <f>$N$17</f>
        <v>0.2</v>
      </c>
      <c r="H28" s="230">
        <f t="shared" si="1"/>
        <v>300000</v>
      </c>
      <c r="I28" s="230">
        <f>$O$17</f>
        <v>10300000</v>
      </c>
      <c r="J28" s="230">
        <f>INDEX('Savings Projection'!$BK$19:$BK$58,B28)</f>
        <v>562500</v>
      </c>
      <c r="K28" s="230">
        <f t="shared" si="2"/>
        <v>10300000</v>
      </c>
      <c r="L28" s="230">
        <f t="shared" si="3"/>
        <v>23692580.999576498</v>
      </c>
      <c r="M28" s="230">
        <f t="shared" si="4"/>
        <v>9710438.1424336415</v>
      </c>
      <c r="N28" s="230">
        <f t="shared" si="5"/>
        <v>6792712.2267796658</v>
      </c>
      <c r="O28" s="230">
        <f t="shared" si="6"/>
        <v>6403295.2852907851</v>
      </c>
      <c r="P28" s="230">
        <f t="shared" si="7"/>
        <v>2318479.003375221</v>
      </c>
      <c r="Q28" s="226" t="str">
        <f t="shared" si="8"/>
        <v>Y9 / 2034</v>
      </c>
      <c r="R28" s="226" t="str">
        <f t="shared" si="9"/>
        <v>Y9 / 2034</v>
      </c>
      <c r="S28" s="226" t="str">
        <f t="shared" si="10"/>
        <v>Y9 / 2034</v>
      </c>
      <c r="T28" s="226" t="str">
        <f t="shared" si="11"/>
        <v>Y10 / 2035</v>
      </c>
      <c r="U28" s="226" t="str">
        <f t="shared" si="12"/>
        <v>Clears $7M 50% by Y10</v>
      </c>
    </row>
    <row r="29" spans="1:21" ht="18" customHeight="1" x14ac:dyDescent="0.2">
      <c r="A29" s="226" t="s">
        <v>409</v>
      </c>
      <c r="B29" s="234">
        <v>3</v>
      </c>
      <c r="C29" s="235">
        <f t="shared" si="0"/>
        <v>3</v>
      </c>
      <c r="D29" s="234">
        <v>8</v>
      </c>
      <c r="E29" s="226" t="str">
        <f>$L$18</f>
        <v>Tail</v>
      </c>
      <c r="F29" s="230">
        <f>$M$18</f>
        <v>100000000</v>
      </c>
      <c r="G29" s="236">
        <f>$N$18</f>
        <v>0.15</v>
      </c>
      <c r="H29" s="230">
        <f t="shared" si="1"/>
        <v>300000</v>
      </c>
      <c r="I29" s="230">
        <f>$O$18</f>
        <v>15300000</v>
      </c>
      <c r="J29" s="230">
        <f>INDEX('Savings Projection'!$BK$19:$BK$58,B29)</f>
        <v>562500</v>
      </c>
      <c r="K29" s="230">
        <f t="shared" si="2"/>
        <v>15300000</v>
      </c>
      <c r="L29" s="230">
        <f t="shared" si="3"/>
        <v>31090312.319576498</v>
      </c>
      <c r="M29" s="230">
        <f t="shared" si="4"/>
        <v>17108169.462433644</v>
      </c>
      <c r="N29" s="230">
        <f t="shared" si="5"/>
        <v>14190443.546779666</v>
      </c>
      <c r="O29" s="230">
        <f t="shared" si="6"/>
        <v>13801026.605290785</v>
      </c>
      <c r="P29" s="230">
        <f t="shared" si="7"/>
        <v>9716210.3233752213</v>
      </c>
      <c r="Q29" s="226" t="str">
        <f t="shared" si="8"/>
        <v>Y8 / 2033</v>
      </c>
      <c r="R29" s="226" t="str">
        <f t="shared" si="9"/>
        <v>Y9 / 2034</v>
      </c>
      <c r="S29" s="226" t="str">
        <f t="shared" si="10"/>
        <v>Y9 / 2034</v>
      </c>
      <c r="T29" s="226" t="str">
        <f t="shared" si="11"/>
        <v>Y9 / 2034</v>
      </c>
      <c r="U29" s="226" t="str">
        <f t="shared" si="12"/>
        <v>Clears $7M 50% by Y10</v>
      </c>
    </row>
    <row r="30" spans="1:21" ht="18" customHeight="1" x14ac:dyDescent="0.2">
      <c r="A30" s="226" t="s">
        <v>410</v>
      </c>
      <c r="B30" s="234">
        <v>4</v>
      </c>
      <c r="C30" s="235">
        <f t="shared" si="0"/>
        <v>3</v>
      </c>
      <c r="D30" s="234">
        <v>7</v>
      </c>
      <c r="E30" s="226" t="str">
        <f>$L$15</f>
        <v>Starter</v>
      </c>
      <c r="F30" s="230">
        <f>$M$15</f>
        <v>10000000</v>
      </c>
      <c r="G30" s="236">
        <f>$N$15</f>
        <v>0.15</v>
      </c>
      <c r="H30" s="230">
        <f t="shared" si="1"/>
        <v>300000</v>
      </c>
      <c r="I30" s="230">
        <f>$O$15</f>
        <v>1800000</v>
      </c>
      <c r="J30" s="230">
        <f>INDEX('Savings Projection'!$BK$19:$BK$58,B30)</f>
        <v>834283.35144853778</v>
      </c>
      <c r="K30" s="230">
        <f t="shared" si="2"/>
        <v>1800000</v>
      </c>
      <c r="L30" s="230">
        <f t="shared" si="3"/>
        <v>8654706.1639834959</v>
      </c>
      <c r="M30" s="230">
        <f t="shared" si="4"/>
        <v>-5327436.6931593604</v>
      </c>
      <c r="N30" s="230">
        <f t="shared" si="5"/>
        <v>-8245162.6088133361</v>
      </c>
      <c r="O30" s="230">
        <f t="shared" si="6"/>
        <v>-8634579.5503022168</v>
      </c>
      <c r="P30" s="230">
        <f t="shared" si="7"/>
        <v>-12719395.832217781</v>
      </c>
      <c r="Q30" s="226" t="str">
        <f t="shared" si="8"/>
        <v>Y14 / 2039</v>
      </c>
      <c r="R30" s="226" t="str">
        <f t="shared" si="9"/>
        <v>Y16 / 2041</v>
      </c>
      <c r="S30" s="226" t="str">
        <f t="shared" si="10"/>
        <v>Y16 / 2041</v>
      </c>
      <c r="T30" s="226" t="str">
        <f t="shared" si="11"/>
        <v>Y19 / 2044</v>
      </c>
      <c r="U30" s="226" t="str">
        <f t="shared" si="12"/>
        <v>Short of $5M retire+house by Y10</v>
      </c>
    </row>
    <row r="31" spans="1:21" ht="18" customHeight="1" x14ac:dyDescent="0.2">
      <c r="A31" s="226" t="s">
        <v>411</v>
      </c>
      <c r="B31" s="234">
        <v>4</v>
      </c>
      <c r="C31" s="235">
        <f t="shared" si="0"/>
        <v>3</v>
      </c>
      <c r="D31" s="234">
        <v>7</v>
      </c>
      <c r="E31" s="226" t="str">
        <f>$L$16</f>
        <v>Base</v>
      </c>
      <c r="F31" s="230">
        <f>$M$16</f>
        <v>25000000</v>
      </c>
      <c r="G31" s="236">
        <f>$N$16</f>
        <v>0.15</v>
      </c>
      <c r="H31" s="230">
        <f t="shared" si="1"/>
        <v>300000</v>
      </c>
      <c r="I31" s="230">
        <f>$O$16</f>
        <v>4050000</v>
      </c>
      <c r="J31" s="230">
        <f>INDEX('Savings Projection'!$BK$19:$BK$58,B31)</f>
        <v>834283.35144853778</v>
      </c>
      <c r="K31" s="230">
        <f t="shared" si="2"/>
        <v>4050000</v>
      </c>
      <c r="L31" s="230">
        <f t="shared" si="3"/>
        <v>13293067.762623498</v>
      </c>
      <c r="M31" s="230">
        <f t="shared" si="4"/>
        <v>-689075.09451935813</v>
      </c>
      <c r="N31" s="230">
        <f t="shared" si="5"/>
        <v>-3606801.0101733338</v>
      </c>
      <c r="O31" s="230">
        <f t="shared" si="6"/>
        <v>-3996217.9516622145</v>
      </c>
      <c r="P31" s="230">
        <f t="shared" si="7"/>
        <v>-8081034.2335777786</v>
      </c>
      <c r="Q31" s="226" t="str">
        <f t="shared" si="8"/>
        <v>Y11 / 2036</v>
      </c>
      <c r="R31" s="226" t="str">
        <f t="shared" si="9"/>
        <v>Y12 / 2037</v>
      </c>
      <c r="S31" s="226" t="str">
        <f t="shared" si="10"/>
        <v>Y12 / 2037</v>
      </c>
      <c r="T31" s="226" t="str">
        <f t="shared" si="11"/>
        <v>Y13 / 2038</v>
      </c>
      <c r="U31" s="226" t="str">
        <f t="shared" si="12"/>
        <v>Short of $5M retire+house by Y10</v>
      </c>
    </row>
    <row r="32" spans="1:21" ht="18" customHeight="1" x14ac:dyDescent="0.2">
      <c r="A32" s="226" t="s">
        <v>412</v>
      </c>
      <c r="B32" s="234">
        <v>4</v>
      </c>
      <c r="C32" s="235">
        <f t="shared" si="0"/>
        <v>3</v>
      </c>
      <c r="D32" s="234">
        <v>7</v>
      </c>
      <c r="E32" s="226" t="str">
        <f>$L$17</f>
        <v>Upside</v>
      </c>
      <c r="F32" s="230">
        <f>$M$17</f>
        <v>50000000</v>
      </c>
      <c r="G32" s="236">
        <f>$N$17</f>
        <v>0.2</v>
      </c>
      <c r="H32" s="230">
        <f t="shared" si="1"/>
        <v>300000</v>
      </c>
      <c r="I32" s="230">
        <f>$O$17</f>
        <v>10300000</v>
      </c>
      <c r="J32" s="230">
        <f>INDEX('Savings Projection'!$BK$19:$BK$58,B32)</f>
        <v>834283.35144853778</v>
      </c>
      <c r="K32" s="230">
        <f t="shared" si="2"/>
        <v>10300000</v>
      </c>
      <c r="L32" s="230">
        <f t="shared" si="3"/>
        <v>26027610.351140019</v>
      </c>
      <c r="M32" s="230">
        <f t="shared" si="4"/>
        <v>12045467.493997162</v>
      </c>
      <c r="N32" s="230">
        <f t="shared" si="5"/>
        <v>9127741.5783431865</v>
      </c>
      <c r="O32" s="230">
        <f t="shared" si="6"/>
        <v>8738324.6368543059</v>
      </c>
      <c r="P32" s="230">
        <f t="shared" si="7"/>
        <v>4653508.3549387418</v>
      </c>
      <c r="Q32" s="226" t="str">
        <f t="shared" si="8"/>
        <v>Y8 / 2033</v>
      </c>
      <c r="R32" s="226" t="str">
        <f t="shared" si="9"/>
        <v>Y9 / 2034</v>
      </c>
      <c r="S32" s="226" t="str">
        <f t="shared" si="10"/>
        <v>Y9 / 2034</v>
      </c>
      <c r="T32" s="226" t="str">
        <f t="shared" si="11"/>
        <v>Y10 / 2035</v>
      </c>
      <c r="U32" s="226" t="str">
        <f t="shared" si="12"/>
        <v>Clears $7M 50% by Y10</v>
      </c>
    </row>
    <row r="33" spans="1:32" ht="18" customHeight="1" x14ac:dyDescent="0.2">
      <c r="A33" s="226" t="s">
        <v>413</v>
      </c>
      <c r="B33" s="234">
        <v>4</v>
      </c>
      <c r="C33" s="235">
        <f t="shared" si="0"/>
        <v>3</v>
      </c>
      <c r="D33" s="234">
        <v>7</v>
      </c>
      <c r="E33" s="226" t="str">
        <f>$L$18</f>
        <v>Tail</v>
      </c>
      <c r="F33" s="230">
        <f>$M$18</f>
        <v>100000000</v>
      </c>
      <c r="G33" s="236">
        <f>$N$18</f>
        <v>0.15</v>
      </c>
      <c r="H33" s="230">
        <f t="shared" si="1"/>
        <v>300000</v>
      </c>
      <c r="I33" s="230">
        <f>$O$18</f>
        <v>15300000</v>
      </c>
      <c r="J33" s="230">
        <f>INDEX('Savings Projection'!$BK$19:$BK$58,B33)</f>
        <v>834283.35144853778</v>
      </c>
      <c r="K33" s="230">
        <f t="shared" si="2"/>
        <v>15300000</v>
      </c>
      <c r="L33" s="230">
        <f t="shared" si="3"/>
        <v>36192905.550340012</v>
      </c>
      <c r="M33" s="230">
        <f t="shared" si="4"/>
        <v>22210762.693197154</v>
      </c>
      <c r="N33" s="230">
        <f t="shared" si="5"/>
        <v>19293036.77754318</v>
      </c>
      <c r="O33" s="230">
        <f t="shared" si="6"/>
        <v>18903619.836054299</v>
      </c>
      <c r="P33" s="230">
        <f t="shared" si="7"/>
        <v>14818803.554138735</v>
      </c>
      <c r="Q33" s="226" t="str">
        <f t="shared" si="8"/>
        <v>Y8 / 2033</v>
      </c>
      <c r="R33" s="226" t="str">
        <f t="shared" si="9"/>
        <v>Y8 / 2033</v>
      </c>
      <c r="S33" s="226" t="str">
        <f t="shared" si="10"/>
        <v>Y8 / 2033</v>
      </c>
      <c r="T33" s="226" t="str">
        <f t="shared" si="11"/>
        <v>Y9 / 2034</v>
      </c>
      <c r="U33" s="226" t="str">
        <f t="shared" si="12"/>
        <v>Clears $7M 50% by Y10</v>
      </c>
    </row>
    <row r="34" spans="1:32" ht="18" customHeight="1" x14ac:dyDescent="0.2">
      <c r="A34" s="226" t="s">
        <v>414</v>
      </c>
      <c r="B34" s="234">
        <v>4</v>
      </c>
      <c r="C34" s="235">
        <f t="shared" si="0"/>
        <v>3</v>
      </c>
      <c r="D34" s="234">
        <v>8</v>
      </c>
      <c r="E34" s="226" t="str">
        <f>$L$15</f>
        <v>Starter</v>
      </c>
      <c r="F34" s="230">
        <f>$M$15</f>
        <v>10000000</v>
      </c>
      <c r="G34" s="236">
        <f>$N$15</f>
        <v>0.15</v>
      </c>
      <c r="H34" s="230">
        <f t="shared" si="1"/>
        <v>300000</v>
      </c>
      <c r="I34" s="230">
        <f>$O$15</f>
        <v>1800000</v>
      </c>
      <c r="J34" s="230">
        <f>INDEX('Savings Projection'!$BK$19:$BK$58,B34)</f>
        <v>834283.35144853778</v>
      </c>
      <c r="K34" s="230">
        <f t="shared" si="2"/>
        <v>1800000</v>
      </c>
      <c r="L34" s="230">
        <f t="shared" si="3"/>
        <v>10032560.603899963</v>
      </c>
      <c r="M34" s="230">
        <f t="shared" si="4"/>
        <v>-3949582.2532428931</v>
      </c>
      <c r="N34" s="230">
        <f t="shared" si="5"/>
        <v>-6867308.1688968688</v>
      </c>
      <c r="O34" s="230">
        <f t="shared" si="6"/>
        <v>-7256725.1103857495</v>
      </c>
      <c r="P34" s="230">
        <f t="shared" si="7"/>
        <v>-11341541.392301314</v>
      </c>
      <c r="Q34" s="226" t="str">
        <f t="shared" si="8"/>
        <v>Y13 / 2038</v>
      </c>
      <c r="R34" s="226" t="str">
        <f t="shared" si="9"/>
        <v>Y15 / 2040</v>
      </c>
      <c r="S34" s="226" t="str">
        <f t="shared" si="10"/>
        <v>Y15 / 2040</v>
      </c>
      <c r="T34" s="226" t="str">
        <f t="shared" si="11"/>
        <v>Y18 / 2043</v>
      </c>
      <c r="U34" s="226" t="str">
        <f t="shared" si="12"/>
        <v>Short of $5M retire+house by Y10</v>
      </c>
    </row>
    <row r="35" spans="1:32" ht="18" customHeight="1" x14ac:dyDescent="0.2">
      <c r="A35" s="226" t="s">
        <v>415</v>
      </c>
      <c r="B35" s="234">
        <v>4</v>
      </c>
      <c r="C35" s="235">
        <f t="shared" si="0"/>
        <v>3</v>
      </c>
      <c r="D35" s="234">
        <v>8</v>
      </c>
      <c r="E35" s="226" t="str">
        <f>$L$16</f>
        <v>Base</v>
      </c>
      <c r="F35" s="230">
        <f>$M$16</f>
        <v>25000000</v>
      </c>
      <c r="G35" s="236">
        <f>$N$16</f>
        <v>0.15</v>
      </c>
      <c r="H35" s="230">
        <f t="shared" si="1"/>
        <v>300000</v>
      </c>
      <c r="I35" s="230">
        <f>$O$16</f>
        <v>4050000</v>
      </c>
      <c r="J35" s="230">
        <f>INDEX('Savings Projection'!$BK$19:$BK$58,B35)</f>
        <v>834283.35144853778</v>
      </c>
      <c r="K35" s="230">
        <f t="shared" si="2"/>
        <v>4050000</v>
      </c>
      <c r="L35" s="230">
        <f t="shared" si="3"/>
        <v>13408099.847899964</v>
      </c>
      <c r="M35" s="230">
        <f t="shared" si="4"/>
        <v>-574043.00924289227</v>
      </c>
      <c r="N35" s="230">
        <f t="shared" si="5"/>
        <v>-3491768.9248968679</v>
      </c>
      <c r="O35" s="230">
        <f t="shared" si="6"/>
        <v>-3881185.8663857486</v>
      </c>
      <c r="P35" s="230">
        <f t="shared" si="7"/>
        <v>-7966002.1483013127</v>
      </c>
      <c r="Q35" s="226" t="str">
        <f t="shared" si="8"/>
        <v>Y11 / 2036</v>
      </c>
      <c r="R35" s="226" t="str">
        <f t="shared" si="9"/>
        <v>Y12 / 2037</v>
      </c>
      <c r="S35" s="226" t="str">
        <f t="shared" si="10"/>
        <v>Y12 / 2037</v>
      </c>
      <c r="T35" s="226" t="str">
        <f t="shared" si="11"/>
        <v>Y13 / 2038</v>
      </c>
      <c r="U35" s="226" t="str">
        <f t="shared" si="12"/>
        <v>Short of $5M retire+house by Y10</v>
      </c>
    </row>
    <row r="36" spans="1:32" ht="18" customHeight="1" x14ac:dyDescent="0.2">
      <c r="A36" s="226" t="s">
        <v>416</v>
      </c>
      <c r="B36" s="234">
        <v>4</v>
      </c>
      <c r="C36" s="235">
        <f t="shared" si="0"/>
        <v>3</v>
      </c>
      <c r="D36" s="234">
        <v>8</v>
      </c>
      <c r="E36" s="226" t="str">
        <f>$L$17</f>
        <v>Upside</v>
      </c>
      <c r="F36" s="230">
        <f>$M$17</f>
        <v>50000000</v>
      </c>
      <c r="G36" s="236">
        <f>$N$17</f>
        <v>0.2</v>
      </c>
      <c r="H36" s="230">
        <f t="shared" si="1"/>
        <v>300000</v>
      </c>
      <c r="I36" s="230">
        <f>$O$17</f>
        <v>10300000</v>
      </c>
      <c r="J36" s="230">
        <f>INDEX('Savings Projection'!$BK$19:$BK$58,B36)</f>
        <v>834283.35144853778</v>
      </c>
      <c r="K36" s="230">
        <f t="shared" si="2"/>
        <v>10300000</v>
      </c>
      <c r="L36" s="230">
        <f t="shared" si="3"/>
        <v>22675585.219141964</v>
      </c>
      <c r="M36" s="230">
        <f t="shared" si="4"/>
        <v>8693442.3619991075</v>
      </c>
      <c r="N36" s="230">
        <f t="shared" si="5"/>
        <v>5775716.4463451318</v>
      </c>
      <c r="O36" s="230">
        <f t="shared" si="6"/>
        <v>5386299.5048562512</v>
      </c>
      <c r="P36" s="230">
        <f t="shared" si="7"/>
        <v>1301483.2229406871</v>
      </c>
      <c r="Q36" s="226" t="str">
        <f t="shared" si="8"/>
        <v>Y9 / 2034</v>
      </c>
      <c r="R36" s="226" t="str">
        <f t="shared" si="9"/>
        <v>Y9 / 2034</v>
      </c>
      <c r="S36" s="226" t="str">
        <f t="shared" si="10"/>
        <v>Y10 / 2035</v>
      </c>
      <c r="T36" s="226" t="str">
        <f t="shared" si="11"/>
        <v>Y10 / 2035</v>
      </c>
      <c r="U36" s="226" t="str">
        <f t="shared" si="12"/>
        <v>Clears $7M 50% by Y10</v>
      </c>
    </row>
    <row r="37" spans="1:32" ht="18" customHeight="1" x14ac:dyDescent="0.2">
      <c r="A37" s="226" t="s">
        <v>417</v>
      </c>
      <c r="B37" s="234">
        <v>4</v>
      </c>
      <c r="C37" s="235">
        <f t="shared" si="0"/>
        <v>3</v>
      </c>
      <c r="D37" s="234">
        <v>8</v>
      </c>
      <c r="E37" s="226" t="str">
        <f>$L$18</f>
        <v>Tail</v>
      </c>
      <c r="F37" s="230">
        <f>$M$18</f>
        <v>100000000</v>
      </c>
      <c r="G37" s="236">
        <f>$N$18</f>
        <v>0.15</v>
      </c>
      <c r="H37" s="230">
        <f t="shared" si="1"/>
        <v>300000</v>
      </c>
      <c r="I37" s="230">
        <f>$O$18</f>
        <v>15300000</v>
      </c>
      <c r="J37" s="230">
        <f>INDEX('Savings Projection'!$BK$19:$BK$58,B37)</f>
        <v>834283.35144853778</v>
      </c>
      <c r="K37" s="230">
        <f t="shared" si="2"/>
        <v>15300000</v>
      </c>
      <c r="L37" s="230">
        <f t="shared" si="3"/>
        <v>30073316.539141964</v>
      </c>
      <c r="M37" s="230">
        <f t="shared" si="4"/>
        <v>16091173.681999108</v>
      </c>
      <c r="N37" s="230">
        <f t="shared" si="5"/>
        <v>13173447.766345132</v>
      </c>
      <c r="O37" s="230">
        <f t="shared" si="6"/>
        <v>12784030.824856251</v>
      </c>
      <c r="P37" s="230">
        <f t="shared" si="7"/>
        <v>8699214.5429406874</v>
      </c>
      <c r="Q37" s="226" t="str">
        <f t="shared" si="8"/>
        <v>Y9 / 2034</v>
      </c>
      <c r="R37" s="226" t="str">
        <f t="shared" si="9"/>
        <v>Y9 / 2034</v>
      </c>
      <c r="S37" s="226" t="str">
        <f t="shared" si="10"/>
        <v>Y9 / 2034</v>
      </c>
      <c r="T37" s="226" t="str">
        <f t="shared" si="11"/>
        <v>Y9 / 2034</v>
      </c>
      <c r="U37" s="226" t="str">
        <f t="shared" si="12"/>
        <v>Clears $7M 50% by Y10</v>
      </c>
    </row>
    <row r="38" spans="1:32" ht="18" customHeight="1" x14ac:dyDescent="0.2">
      <c r="A38" s="226" t="s">
        <v>418</v>
      </c>
      <c r="B38" s="234">
        <v>5</v>
      </c>
      <c r="C38" s="235">
        <f t="shared" si="0"/>
        <v>3</v>
      </c>
      <c r="D38" s="234">
        <v>7</v>
      </c>
      <c r="E38" s="226" t="str">
        <f>$L$15</f>
        <v>Starter</v>
      </c>
      <c r="F38" s="230">
        <f>$M$15</f>
        <v>10000000</v>
      </c>
      <c r="G38" s="236">
        <f>$N$15</f>
        <v>0.15</v>
      </c>
      <c r="H38" s="230">
        <f t="shared" si="1"/>
        <v>300000</v>
      </c>
      <c r="I38" s="230">
        <f>$O$15</f>
        <v>1800000</v>
      </c>
      <c r="J38" s="230">
        <f>INDEX('Savings Projection'!$BK$19:$BK$58,B38)</f>
        <v>1031718.9418307085</v>
      </c>
      <c r="K38" s="230">
        <f t="shared" si="2"/>
        <v>1800000</v>
      </c>
      <c r="L38" s="230">
        <f t="shared" si="3"/>
        <v>7445823.8028046684</v>
      </c>
      <c r="M38" s="230">
        <f t="shared" si="4"/>
        <v>-6536319.0543381879</v>
      </c>
      <c r="N38" s="230">
        <f t="shared" si="5"/>
        <v>-9454044.9699921645</v>
      </c>
      <c r="O38" s="230">
        <f t="shared" si="6"/>
        <v>-9843461.9114810452</v>
      </c>
      <c r="P38" s="230">
        <f t="shared" si="7"/>
        <v>-13928278.193396609</v>
      </c>
      <c r="Q38" s="226" t="str">
        <f t="shared" si="8"/>
        <v>Y15 / 2040</v>
      </c>
      <c r="R38" s="226" t="str">
        <f t="shared" si="9"/>
        <v>Y17 / 2042</v>
      </c>
      <c r="S38" s="226" t="str">
        <f t="shared" si="10"/>
        <v>Y17 / 2042</v>
      </c>
      <c r="T38" s="226" t="str">
        <f t="shared" si="11"/>
        <v>Y20 / 2045</v>
      </c>
      <c r="U38" s="226" t="str">
        <f t="shared" si="12"/>
        <v>Short of $5M retire+house by Y10</v>
      </c>
    </row>
    <row r="39" spans="1:32" ht="18" customHeight="1" x14ac:dyDescent="0.2">
      <c r="A39" s="226" t="s">
        <v>419</v>
      </c>
      <c r="B39" s="234">
        <v>5</v>
      </c>
      <c r="C39" s="235">
        <f t="shared" si="0"/>
        <v>3</v>
      </c>
      <c r="D39" s="234">
        <v>7</v>
      </c>
      <c r="E39" s="226" t="str">
        <f>$L$16</f>
        <v>Base</v>
      </c>
      <c r="F39" s="230">
        <f>$M$16</f>
        <v>25000000</v>
      </c>
      <c r="G39" s="236">
        <f>$N$16</f>
        <v>0.15</v>
      </c>
      <c r="H39" s="230">
        <f t="shared" si="1"/>
        <v>300000</v>
      </c>
      <c r="I39" s="230">
        <f>$O$16</f>
        <v>4050000</v>
      </c>
      <c r="J39" s="230">
        <f>INDEX('Savings Projection'!$BK$19:$BK$58,B39)</f>
        <v>1031718.9418307085</v>
      </c>
      <c r="K39" s="230">
        <f t="shared" si="2"/>
        <v>4050000</v>
      </c>
      <c r="L39" s="230">
        <f t="shared" si="3"/>
        <v>12084185.401444672</v>
      </c>
      <c r="M39" s="230">
        <f t="shared" si="4"/>
        <v>-1897957.4556981847</v>
      </c>
      <c r="N39" s="230">
        <f t="shared" si="5"/>
        <v>-4815683.3713521603</v>
      </c>
      <c r="O39" s="230">
        <f t="shared" si="6"/>
        <v>-5205100.312841041</v>
      </c>
      <c r="P39" s="230">
        <f t="shared" si="7"/>
        <v>-9289916.5947566051</v>
      </c>
      <c r="Q39" s="226" t="str">
        <f t="shared" si="8"/>
        <v>Y11 / 2036</v>
      </c>
      <c r="R39" s="226" t="str">
        <f t="shared" si="9"/>
        <v>Y12 / 2037</v>
      </c>
      <c r="S39" s="226" t="str">
        <f t="shared" si="10"/>
        <v>Y12 / 2037</v>
      </c>
      <c r="T39" s="226" t="str">
        <f t="shared" si="11"/>
        <v>Y14 / 2039</v>
      </c>
      <c r="U39" s="226" t="str">
        <f t="shared" si="12"/>
        <v>Short of $5M retire+house by Y10</v>
      </c>
    </row>
    <row r="40" spans="1:32" ht="18" customHeight="1" x14ac:dyDescent="0.2">
      <c r="A40" s="226" t="s">
        <v>420</v>
      </c>
      <c r="B40" s="234">
        <v>5</v>
      </c>
      <c r="C40" s="235">
        <f t="shared" si="0"/>
        <v>3</v>
      </c>
      <c r="D40" s="234">
        <v>7</v>
      </c>
      <c r="E40" s="226" t="str">
        <f>$L$17</f>
        <v>Upside</v>
      </c>
      <c r="F40" s="230">
        <f>$M$17</f>
        <v>50000000</v>
      </c>
      <c r="G40" s="236">
        <f>$N$17</f>
        <v>0.2</v>
      </c>
      <c r="H40" s="230">
        <f t="shared" si="1"/>
        <v>300000</v>
      </c>
      <c r="I40" s="230">
        <f>$O$17</f>
        <v>10300000</v>
      </c>
      <c r="J40" s="230">
        <f>INDEX('Savings Projection'!$BK$19:$BK$58,B40)</f>
        <v>1031718.9418307085</v>
      </c>
      <c r="K40" s="230">
        <f t="shared" si="2"/>
        <v>10300000</v>
      </c>
      <c r="L40" s="230">
        <f t="shared" si="3"/>
        <v>24818727.989961188</v>
      </c>
      <c r="M40" s="230">
        <f t="shared" si="4"/>
        <v>10836585.132818332</v>
      </c>
      <c r="N40" s="230">
        <f t="shared" si="5"/>
        <v>7918859.2171643563</v>
      </c>
      <c r="O40" s="230">
        <f t="shared" si="6"/>
        <v>7529442.2756754756</v>
      </c>
      <c r="P40" s="230">
        <f t="shared" si="7"/>
        <v>3444625.9937599115</v>
      </c>
      <c r="Q40" s="226" t="str">
        <f t="shared" si="8"/>
        <v>Y9 / 2034</v>
      </c>
      <c r="R40" s="226" t="str">
        <f t="shared" si="9"/>
        <v>Y9 / 2034</v>
      </c>
      <c r="S40" s="226" t="str">
        <f t="shared" si="10"/>
        <v>Y9 / 2034</v>
      </c>
      <c r="T40" s="226" t="str">
        <f t="shared" si="11"/>
        <v>Y10 / 2035</v>
      </c>
      <c r="U40" s="226" t="str">
        <f t="shared" si="12"/>
        <v>Clears $7M 50% by Y10</v>
      </c>
    </row>
    <row r="41" spans="1:32" ht="18" customHeight="1" x14ac:dyDescent="0.2">
      <c r="A41" s="226" t="s">
        <v>421</v>
      </c>
      <c r="B41" s="234">
        <v>5</v>
      </c>
      <c r="C41" s="235">
        <f t="shared" si="0"/>
        <v>3</v>
      </c>
      <c r="D41" s="234">
        <v>7</v>
      </c>
      <c r="E41" s="226" t="str">
        <f>$L$18</f>
        <v>Tail</v>
      </c>
      <c r="F41" s="230">
        <f>$M$18</f>
        <v>100000000</v>
      </c>
      <c r="G41" s="236">
        <f>$N$18</f>
        <v>0.15</v>
      </c>
      <c r="H41" s="230">
        <f t="shared" si="1"/>
        <v>300000</v>
      </c>
      <c r="I41" s="230">
        <f>$O$18</f>
        <v>15300000</v>
      </c>
      <c r="J41" s="230">
        <f>INDEX('Savings Projection'!$BK$19:$BK$58,B41)</f>
        <v>1031718.9418307085</v>
      </c>
      <c r="K41" s="230">
        <f t="shared" si="2"/>
        <v>15300000</v>
      </c>
      <c r="L41" s="230">
        <f t="shared" si="3"/>
        <v>34984023.189161189</v>
      </c>
      <c r="M41" s="230">
        <f t="shared" si="4"/>
        <v>21001880.332018331</v>
      </c>
      <c r="N41" s="230">
        <f t="shared" si="5"/>
        <v>18084154.416364357</v>
      </c>
      <c r="O41" s="230">
        <f t="shared" si="6"/>
        <v>17694737.474875476</v>
      </c>
      <c r="P41" s="230">
        <f t="shared" si="7"/>
        <v>13609921.192959912</v>
      </c>
      <c r="Q41" s="226" t="str">
        <f t="shared" si="8"/>
        <v>Y8 / 2033</v>
      </c>
      <c r="R41" s="226" t="str">
        <f t="shared" si="9"/>
        <v>Y8 / 2033</v>
      </c>
      <c r="S41" s="226" t="str">
        <f t="shared" si="10"/>
        <v>Y8 / 2033</v>
      </c>
      <c r="T41" s="226" t="str">
        <f t="shared" si="11"/>
        <v>Y9 / 2034</v>
      </c>
      <c r="U41" s="226" t="str">
        <f t="shared" si="12"/>
        <v>Clears $7M 50% by Y10</v>
      </c>
    </row>
    <row r="42" spans="1:32" ht="18" customHeight="1" x14ac:dyDescent="0.2">
      <c r="A42" s="226" t="s">
        <v>422</v>
      </c>
      <c r="B42" s="234">
        <v>5</v>
      </c>
      <c r="C42" s="235">
        <f t="shared" si="0"/>
        <v>3</v>
      </c>
      <c r="D42" s="234">
        <v>8</v>
      </c>
      <c r="E42" s="226" t="str">
        <f>$L$15</f>
        <v>Starter</v>
      </c>
      <c r="F42" s="230">
        <f>$M$15</f>
        <v>10000000</v>
      </c>
      <c r="G42" s="236">
        <f>$N$15</f>
        <v>0.15</v>
      </c>
      <c r="H42" s="230">
        <f t="shared" si="1"/>
        <v>300000</v>
      </c>
      <c r="I42" s="230">
        <f>$O$15</f>
        <v>1800000</v>
      </c>
      <c r="J42" s="230">
        <f>INDEX('Savings Projection'!$BK$19:$BK$58,B42)</f>
        <v>1031718.9418307085</v>
      </c>
      <c r="K42" s="230">
        <f t="shared" si="2"/>
        <v>1800000</v>
      </c>
      <c r="L42" s="230">
        <f t="shared" si="3"/>
        <v>8823678.2427211385</v>
      </c>
      <c r="M42" s="230">
        <f t="shared" si="4"/>
        <v>-5158464.6144217178</v>
      </c>
      <c r="N42" s="230">
        <f t="shared" si="5"/>
        <v>-8076190.5300756935</v>
      </c>
      <c r="O42" s="230">
        <f t="shared" si="6"/>
        <v>-8465607.4715645742</v>
      </c>
      <c r="P42" s="230">
        <f t="shared" si="7"/>
        <v>-12550423.753480138</v>
      </c>
      <c r="Q42" s="226" t="str">
        <f t="shared" si="8"/>
        <v>Y14 / 2039</v>
      </c>
      <c r="R42" s="226" t="str">
        <f t="shared" si="9"/>
        <v>Y16 / 2041</v>
      </c>
      <c r="S42" s="226" t="str">
        <f t="shared" si="10"/>
        <v>Y16 / 2041</v>
      </c>
      <c r="T42" s="226" t="str">
        <f t="shared" si="11"/>
        <v>Y18 / 2043</v>
      </c>
      <c r="U42" s="226" t="str">
        <f t="shared" si="12"/>
        <v>Short of $5M retire+house by Y10</v>
      </c>
    </row>
    <row r="43" spans="1:32" ht="18" customHeight="1" x14ac:dyDescent="0.2">
      <c r="A43" s="226" t="s">
        <v>423</v>
      </c>
      <c r="B43" s="234">
        <v>5</v>
      </c>
      <c r="C43" s="235">
        <f t="shared" si="0"/>
        <v>3</v>
      </c>
      <c r="D43" s="234">
        <v>8</v>
      </c>
      <c r="E43" s="226" t="str">
        <f>$L$16</f>
        <v>Base</v>
      </c>
      <c r="F43" s="230">
        <f>$M$16</f>
        <v>25000000</v>
      </c>
      <c r="G43" s="236">
        <f>$N$16</f>
        <v>0.15</v>
      </c>
      <c r="H43" s="230">
        <f t="shared" si="1"/>
        <v>300000</v>
      </c>
      <c r="I43" s="230">
        <f>$O$16</f>
        <v>4050000</v>
      </c>
      <c r="J43" s="230">
        <f>INDEX('Savings Projection'!$BK$19:$BK$58,B43)</f>
        <v>1031718.9418307085</v>
      </c>
      <c r="K43" s="230">
        <f t="shared" si="2"/>
        <v>4050000</v>
      </c>
      <c r="L43" s="230">
        <f t="shared" si="3"/>
        <v>12199217.486721138</v>
      </c>
      <c r="M43" s="230">
        <f t="shared" si="4"/>
        <v>-1782925.3704217188</v>
      </c>
      <c r="N43" s="230">
        <f t="shared" si="5"/>
        <v>-4700651.2860756945</v>
      </c>
      <c r="O43" s="230">
        <f t="shared" si="6"/>
        <v>-5090068.2275645752</v>
      </c>
      <c r="P43" s="230">
        <f t="shared" si="7"/>
        <v>-9174884.5094801392</v>
      </c>
      <c r="Q43" s="226" t="str">
        <f t="shared" si="8"/>
        <v>Y11 / 2036</v>
      </c>
      <c r="R43" s="226" t="str">
        <f t="shared" si="9"/>
        <v>Y12 / 2037</v>
      </c>
      <c r="S43" s="226" t="str">
        <f t="shared" si="10"/>
        <v>Y12 / 2037</v>
      </c>
      <c r="T43" s="226" t="str">
        <f t="shared" si="11"/>
        <v>Y14 / 2039</v>
      </c>
      <c r="U43" s="226" t="str">
        <f t="shared" si="12"/>
        <v>Short of $5M retire+house by Y10</v>
      </c>
    </row>
    <row r="44" spans="1:32" ht="18" customHeight="1" x14ac:dyDescent="0.2">
      <c r="A44" s="226" t="s">
        <v>424</v>
      </c>
      <c r="B44" s="234">
        <v>5</v>
      </c>
      <c r="C44" s="235">
        <f t="shared" si="0"/>
        <v>3</v>
      </c>
      <c r="D44" s="234">
        <v>8</v>
      </c>
      <c r="E44" s="226" t="str">
        <f>$L$17</f>
        <v>Upside</v>
      </c>
      <c r="F44" s="230">
        <f>$M$17</f>
        <v>50000000</v>
      </c>
      <c r="G44" s="236">
        <f>$N$17</f>
        <v>0.2</v>
      </c>
      <c r="H44" s="230">
        <f t="shared" si="1"/>
        <v>300000</v>
      </c>
      <c r="I44" s="230">
        <f>$O$17</f>
        <v>10300000</v>
      </c>
      <c r="J44" s="230">
        <f>INDEX('Savings Projection'!$BK$19:$BK$58,B44)</f>
        <v>1031718.9418307085</v>
      </c>
      <c r="K44" s="230">
        <f t="shared" si="2"/>
        <v>10300000</v>
      </c>
      <c r="L44" s="230">
        <f t="shared" si="3"/>
        <v>21466702.857963137</v>
      </c>
      <c r="M44" s="230">
        <f t="shared" si="4"/>
        <v>7484560.000820281</v>
      </c>
      <c r="N44" s="230">
        <f t="shared" si="5"/>
        <v>4566834.0851663053</v>
      </c>
      <c r="O44" s="230">
        <f t="shared" si="6"/>
        <v>4177417.1436774246</v>
      </c>
      <c r="P44" s="230">
        <f t="shared" si="7"/>
        <v>92600.861761860549</v>
      </c>
      <c r="Q44" s="226" t="str">
        <f t="shared" si="8"/>
        <v>Y9 / 2034</v>
      </c>
      <c r="R44" s="226" t="str">
        <f t="shared" si="9"/>
        <v>Y10 / 2035</v>
      </c>
      <c r="S44" s="226" t="str">
        <f t="shared" si="10"/>
        <v>Y10 / 2035</v>
      </c>
      <c r="T44" s="226" t="str">
        <f t="shared" si="11"/>
        <v>Y10 / 2035</v>
      </c>
      <c r="U44" s="226" t="str">
        <f t="shared" si="12"/>
        <v>Clears $7M 50% by Y10</v>
      </c>
    </row>
    <row r="45" spans="1:32" ht="18" customHeight="1" x14ac:dyDescent="0.2">
      <c r="A45" s="226" t="s">
        <v>425</v>
      </c>
      <c r="B45" s="234">
        <v>5</v>
      </c>
      <c r="C45" s="235">
        <f t="shared" si="0"/>
        <v>3</v>
      </c>
      <c r="D45" s="234">
        <v>8</v>
      </c>
      <c r="E45" s="226" t="str">
        <f>$L$18</f>
        <v>Tail</v>
      </c>
      <c r="F45" s="230">
        <f>$M$18</f>
        <v>100000000</v>
      </c>
      <c r="G45" s="236">
        <f>$N$18</f>
        <v>0.15</v>
      </c>
      <c r="H45" s="230">
        <f t="shared" si="1"/>
        <v>300000</v>
      </c>
      <c r="I45" s="230">
        <f>$O$18</f>
        <v>15300000</v>
      </c>
      <c r="J45" s="230">
        <f>INDEX('Savings Projection'!$BK$19:$BK$58,B45)</f>
        <v>1031718.9418307085</v>
      </c>
      <c r="K45" s="230">
        <f t="shared" si="2"/>
        <v>15300000</v>
      </c>
      <c r="L45" s="230">
        <f t="shared" si="3"/>
        <v>28864434.177963138</v>
      </c>
      <c r="M45" s="230">
        <f t="shared" si="4"/>
        <v>14882291.320820281</v>
      </c>
      <c r="N45" s="230">
        <f t="shared" si="5"/>
        <v>11964565.405166306</v>
      </c>
      <c r="O45" s="230">
        <f t="shared" si="6"/>
        <v>11575148.463677425</v>
      </c>
      <c r="P45" s="230">
        <f t="shared" si="7"/>
        <v>7490332.1817618608</v>
      </c>
      <c r="Q45" s="226" t="str">
        <f t="shared" si="8"/>
        <v>Y9 / 2034</v>
      </c>
      <c r="R45" s="226" t="str">
        <f t="shared" si="9"/>
        <v>Y9 / 2034</v>
      </c>
      <c r="S45" s="226" t="str">
        <f t="shared" si="10"/>
        <v>Y9 / 2034</v>
      </c>
      <c r="T45" s="226" t="str">
        <f t="shared" si="11"/>
        <v>Y10 / 2035</v>
      </c>
      <c r="U45" s="226" t="str">
        <f t="shared" si="12"/>
        <v>Clears $7M 50% by Y10</v>
      </c>
    </row>
    <row r="46" spans="1:32" ht="18" customHeight="1" x14ac:dyDescent="0.2"/>
    <row r="47" spans="1:32" ht="18" customHeight="1" x14ac:dyDescent="0.2"/>
    <row r="48" spans="1:32" ht="22" customHeight="1" x14ac:dyDescent="0.2">
      <c r="A48" s="240" t="s">
        <v>51</v>
      </c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  <c r="AA48" s="270"/>
      <c r="AB48" s="270"/>
      <c r="AC48" s="270"/>
      <c r="AD48" s="270"/>
      <c r="AE48" s="270"/>
      <c r="AF48" s="270"/>
    </row>
    <row r="49" spans="1:36" ht="18" customHeight="1" x14ac:dyDescent="0.2">
      <c r="A49" s="241" t="s">
        <v>426</v>
      </c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  <c r="AE49" s="270"/>
      <c r="AF49" s="270"/>
    </row>
    <row r="50" spans="1:36" ht="18" customHeight="1" x14ac:dyDescent="0.2">
      <c r="A50" s="226" t="str">
        <f t="shared" ref="A50:A79" si="13">$A$22</f>
        <v>3Y -&gt; PM Y7 Starter</v>
      </c>
      <c r="B50" s="226">
        <f t="shared" ref="B50:B79" si="14">$B$22</f>
        <v>3</v>
      </c>
      <c r="C50" s="235">
        <f t="shared" ref="C50:C79" si="15">$C$22</f>
        <v>3</v>
      </c>
      <c r="D50" s="226">
        <f t="shared" ref="D50:D79" si="16">$D$22</f>
        <v>7</v>
      </c>
      <c r="E50" s="226" t="str">
        <f t="shared" ref="E50:E79" si="17">$E$22</f>
        <v>Starter</v>
      </c>
      <c r="F50" s="230">
        <f t="shared" ref="F50:F79" si="18">$F$22</f>
        <v>10000000</v>
      </c>
      <c r="G50" s="236">
        <f t="shared" ref="G50:G79" si="19">$G$22</f>
        <v>0.15</v>
      </c>
      <c r="H50" s="230">
        <f t="shared" ref="H50:H79" si="20">$H$22</f>
        <v>300000</v>
      </c>
      <c r="I50" s="236">
        <f t="shared" ref="I50:I113" si="21">$J$17</f>
        <v>0</v>
      </c>
      <c r="J50" s="234">
        <v>1</v>
      </c>
      <c r="K50" s="234">
        <f t="shared" ref="K50:K113" si="22">2025+J50</f>
        <v>2026</v>
      </c>
      <c r="L50" s="230">
        <f>IF(J50=1,'Model Inputs'!$B$25*(13-'Model Inputs'!$B$23)/12,'Model Inputs'!$B$25)</f>
        <v>100000</v>
      </c>
      <c r="M50" s="230">
        <f>IF(J50=1,'Model Inputs'!$B$27*(13-'Model Inputs'!$B$23)/12,IF(J50=2,'Model Inputs'!$B$27,IF(J50&lt;=MAX(3,'Model Inputs'!$B$30+1),'Model Inputs'!$B$27*(1+'Model Inputs'!$B$28)^(J50-3),'Model Inputs'!$B$27*(1+'Model Inputs'!$B$28)^(MAX(3,'Model Inputs'!$B$30+1)-3)*(1+'Model Inputs'!$B$29)^(J50-MAX(3,'Model Inputs'!$B$30+1)))))</f>
        <v>150000</v>
      </c>
      <c r="N50" s="236">
        <f>IF(J50&lt;=2,0,'Model Inputs'!$B$32*SIN(2*PI()*(J50-3+'Model Inputs'!$B$34)/MAX(1,'Model Inputs'!$B$33)))</f>
        <v>0</v>
      </c>
      <c r="O50" s="230">
        <f t="shared" ref="O50:O113" si="23">M50*(1+N50)</f>
        <v>150000</v>
      </c>
      <c r="P50" s="230">
        <f>0</f>
        <v>0</v>
      </c>
      <c r="Q50" s="230">
        <f>L50+P50+IF(J50=1,'Model Inputs'!$B$26,0)</f>
        <v>550000</v>
      </c>
      <c r="R50" s="230">
        <f t="shared" ref="R50:R113" si="24">IF(J50&lt;=B50,Q50,Q50*C50)</f>
        <v>550000</v>
      </c>
      <c r="S50" s="230">
        <f t="shared" ref="S50:S113" si="25">H50+F50*G50*(1+I50)^MAX(0,J50-D50)</f>
        <v>1800000</v>
      </c>
      <c r="T50" s="230">
        <f t="shared" ref="T50:T113" si="26">IF(J50&gt;=D50,S50,R50)</f>
        <v>550000</v>
      </c>
      <c r="U50" s="230">
        <f>MIN(T50,'Tax Assumptions'!$B$19)</f>
        <v>24500</v>
      </c>
      <c r="V50" s="230">
        <f>MAX(T50-U50-'Tax Assumptions'!$B$8,0)</f>
        <v>509400</v>
      </c>
      <c r="W50" s="230">
        <f>MAX(T50-U50-'Tax Assumptions'!$B$9,0)</f>
        <v>517500</v>
      </c>
      <c r="X50" s="230">
        <f>IF(V50=0,0,LOOKUP(V50,'Tax Assumptions'!$F$9:$F$15,'Tax Assumptions'!$I$9:$I$15)+(V50-LOOKUP(V50,'Tax Assumptions'!$F$9:$F$15,'Tax Assumptions'!$F$9:$F$15))*LOOKUP(V50,'Tax Assumptions'!$F$9:$F$15,'Tax Assumptions'!$H$9:$H$15))+MIN(MAX(T50,0),'Tax Assumptions'!$B$11)*'Tax Assumptions'!$B$10+MAX(T50,0)*'Tax Assumptions'!$B$12+MAX(MAX(T50,0)-'Tax Assumptions'!$B$14,0)*'Tax Assumptions'!$B$13+MIN(T50*'Tax Assumptions'!$B$15,'Tax Assumptions'!$B$16)+MIN(T50*'Tax Assumptions'!$B$17,'Tax Assumptions'!$B$18)+IF(W50=0,0,LOOKUP(W50,'Tax Assumptions'!$K$9:$K$17,'Tax Assumptions'!$N$9:$N$17)+(W50-LOOKUP(W50,'Tax Assumptions'!$K$9:$K$17,'Tax Assumptions'!$K$9:$K$17))*LOOKUP(W50,'Tax Assumptions'!$K$9:$K$17,'Tax Assumptions'!$M$9:$M$17))+IF(W50=0,0,LOOKUP(W50,'Tax Assumptions'!$P$9:$P$12,'Tax Assumptions'!$S$9:$S$12)+(W50-LOOKUP(W50,'Tax Assumptions'!$P$9:$P$12,'Tax Assumptions'!$P$9:$P$12))*LOOKUP(W50,'Tax Assumptions'!$P$9:$P$12,'Tax Assumptions'!$R$9:$R$12))</f>
        <v>222834.53000000003</v>
      </c>
      <c r="Y50" s="230">
        <f t="shared" ref="Y50:Y113" si="27">T50-U50-X50</f>
        <v>302665.46999999997</v>
      </c>
      <c r="Z50" s="230">
        <f>IF(J50&lt;=10,INDEX('Savings Projection'!$BL$19:$BL$28,J50),LOOKUP(2,1/('Savings Projection'!$BL$19:$BL$28&lt;&gt;""),'Savings Projection'!$BL$19:$BL$28))*(1+'Model Inputs'!$B$35)^(J50-1)+IF(J50&lt;=10,INDEX('Savings Projection'!$BM$19:$BM$28,J50),LOOKUP(2,1/('Savings Projection'!$BM$19:$BM$28&lt;&gt;""),'Savings Projection'!$BM$19:$BM$28))*(1+'Model Inputs'!$B$36)^(J50-1)</f>
        <v>118000</v>
      </c>
      <c r="AA50" s="230">
        <f t="shared" ref="AA50:AA113" si="28">Y50-Z50</f>
        <v>184665.46999999997</v>
      </c>
      <c r="AB50" s="230">
        <f>MIN(MAX(AA50,0),'Tax Assumptions'!$B$20)</f>
        <v>7500</v>
      </c>
      <c r="AC50" s="230">
        <f t="shared" ref="AC50:AC113" si="29">AA50-AB50</f>
        <v>177165.46999999997</v>
      </c>
      <c r="AD50" s="230">
        <f>MAX('Model Inputs'!$B$7*(1+'Model Inputs'!$B$13)+AC50,0)</f>
        <v>336165.47</v>
      </c>
      <c r="AE50" s="230">
        <f>MAX(('Model Inputs'!$B$8+'Model Inputs'!$B$9+'Model Inputs'!$B$10)*(1+'Model Inputs'!$B$13)+U50+AB50,0)</f>
        <v>32000</v>
      </c>
      <c r="AF50" s="230">
        <f t="shared" ref="AF50:AF113" si="30">AD50+AE50</f>
        <v>368165.47</v>
      </c>
      <c r="AG50" s="226" t="str">
        <f>IF(AND(AF50&gt;=$F$14,0&lt;$F$14),J50,"")</f>
        <v/>
      </c>
      <c r="AH50" s="226" t="str">
        <f>IF(AND(AF50&gt;=$F$15,0&lt;$F$15),J50,"")</f>
        <v/>
      </c>
      <c r="AI50" s="226" t="str">
        <f>IF(AND(AF50&gt;=$F$16,0&lt;$F$16),J50,"")</f>
        <v/>
      </c>
      <c r="AJ50" s="226" t="str">
        <f>IF(AND(AF50&gt;=$F$17,0&lt;$F$17),J50,"")</f>
        <v/>
      </c>
    </row>
    <row r="51" spans="1:36" ht="18" customHeight="1" x14ac:dyDescent="0.2">
      <c r="A51" s="226" t="str">
        <f t="shared" si="13"/>
        <v>3Y -&gt; PM Y7 Starter</v>
      </c>
      <c r="B51" s="226">
        <f t="shared" si="14"/>
        <v>3</v>
      </c>
      <c r="C51" s="235">
        <f t="shared" si="15"/>
        <v>3</v>
      </c>
      <c r="D51" s="226">
        <f t="shared" si="16"/>
        <v>7</v>
      </c>
      <c r="E51" s="226" t="str">
        <f t="shared" si="17"/>
        <v>Starter</v>
      </c>
      <c r="F51" s="230">
        <f t="shared" si="18"/>
        <v>10000000</v>
      </c>
      <c r="G51" s="236">
        <f t="shared" si="19"/>
        <v>0.15</v>
      </c>
      <c r="H51" s="230">
        <f t="shared" si="20"/>
        <v>300000</v>
      </c>
      <c r="I51" s="236">
        <f t="shared" si="21"/>
        <v>0</v>
      </c>
      <c r="J51" s="234">
        <v>2</v>
      </c>
      <c r="K51" s="234">
        <f t="shared" si="22"/>
        <v>2027</v>
      </c>
      <c r="L51" s="230">
        <f>IF(J51=1,'Model Inputs'!$B$25*(13-'Model Inputs'!$B$23)/12,'Model Inputs'!$B$25)</f>
        <v>300000</v>
      </c>
      <c r="M51" s="230">
        <f>IF(J51=1,'Model Inputs'!$B$27*(13-'Model Inputs'!$B$23)/12,IF(J51=2,'Model Inputs'!$B$27,IF(J51&lt;=MAX(3,'Model Inputs'!$B$30+1),'Model Inputs'!$B$27*(1+'Model Inputs'!$B$28)^(J51-3),'Model Inputs'!$B$27*(1+'Model Inputs'!$B$28)^(MAX(3,'Model Inputs'!$B$30+1)-3)*(1+'Model Inputs'!$B$29)^(J51-MAX(3,'Model Inputs'!$B$30+1)))))</f>
        <v>450000</v>
      </c>
      <c r="N51" s="236">
        <f>IF(J51&lt;=2,0,'Model Inputs'!$B$32*SIN(2*PI()*(J51-3+'Model Inputs'!$B$34)/MAX(1,'Model Inputs'!$B$33)))</f>
        <v>0</v>
      </c>
      <c r="O51" s="230">
        <f t="shared" si="23"/>
        <v>450000</v>
      </c>
      <c r="P51" s="230">
        <f>0.75*O50</f>
        <v>112500</v>
      </c>
      <c r="Q51" s="230">
        <f>L51+P51+IF(J51=1,'Model Inputs'!$B$26,0)</f>
        <v>412500</v>
      </c>
      <c r="R51" s="230">
        <f t="shared" si="24"/>
        <v>412500</v>
      </c>
      <c r="S51" s="230">
        <f t="shared" si="25"/>
        <v>1800000</v>
      </c>
      <c r="T51" s="230">
        <f t="shared" si="26"/>
        <v>412500</v>
      </c>
      <c r="U51" s="230">
        <f>MIN(T51,'Tax Assumptions'!$B$19)</f>
        <v>24500</v>
      </c>
      <c r="V51" s="230">
        <f>MAX(T51-U51-'Tax Assumptions'!$B$8,0)</f>
        <v>371900</v>
      </c>
      <c r="W51" s="230">
        <f>MAX(T51-U51-'Tax Assumptions'!$B$9,0)</f>
        <v>380000</v>
      </c>
      <c r="X51" s="230">
        <f>IF(V51=0,0,LOOKUP(V51,'Tax Assumptions'!$F$9:$F$15,'Tax Assumptions'!$I$9:$I$15)+(V51-LOOKUP(V51,'Tax Assumptions'!$F$9:$F$15,'Tax Assumptions'!$F$9:$F$15))*LOOKUP(V51,'Tax Assumptions'!$F$9:$F$15,'Tax Assumptions'!$H$9:$H$15))+MIN(MAX(T51,0),'Tax Assumptions'!$B$11)*'Tax Assumptions'!$B$10+MAX(T51,0)*'Tax Assumptions'!$B$12+MAX(MAX(T51,0)-'Tax Assumptions'!$B$14,0)*'Tax Assumptions'!$B$13+MIN(T51*'Tax Assumptions'!$B$15,'Tax Assumptions'!$B$16)+MIN(T51*'Tax Assumptions'!$B$17,'Tax Assumptions'!$B$18)+IF(W51=0,0,LOOKUP(W51,'Tax Assumptions'!$K$9:$K$17,'Tax Assumptions'!$N$9:$N$17)+(W51-LOOKUP(W51,'Tax Assumptions'!$K$9:$K$17,'Tax Assumptions'!$K$9:$K$17))*LOOKUP(W51,'Tax Assumptions'!$K$9:$K$17,'Tax Assumptions'!$M$9:$M$17))+IF(W51=0,0,LOOKUP(W51,'Tax Assumptions'!$P$9:$P$12,'Tax Assumptions'!$S$9:$S$12)+(W51-LOOKUP(W51,'Tax Assumptions'!$P$9:$P$12,'Tax Assumptions'!$P$9:$P$12))*LOOKUP(W51,'Tax Assumptions'!$P$9:$P$12,'Tax Assumptions'!$R$9:$R$12))</f>
        <v>156730.03</v>
      </c>
      <c r="Y51" s="230">
        <f t="shared" si="27"/>
        <v>231269.97</v>
      </c>
      <c r="Z51" s="230">
        <f>IF(J51&lt;=10,INDEX('Savings Projection'!$BL$19:$BL$28,J51),LOOKUP(2,1/('Savings Projection'!$BL$19:$BL$28&lt;&gt;""),'Savings Projection'!$BL$19:$BL$28))*(1+'Model Inputs'!$B$35)^(J51-1)+IF(J51&lt;=10,INDEX('Savings Projection'!$BM$19:$BM$28,J51),LOOKUP(2,1/('Savings Projection'!$BM$19:$BM$28&lt;&gt;""),'Savings Projection'!$BM$19:$BM$28))*(1+'Model Inputs'!$B$36)^(J51-1)</f>
        <v>121540</v>
      </c>
      <c r="AA51" s="230">
        <f t="shared" si="28"/>
        <v>109729.97</v>
      </c>
      <c r="AB51" s="230">
        <f>MIN(MAX(AA51,0),'Tax Assumptions'!$B$20)</f>
        <v>7500</v>
      </c>
      <c r="AC51" s="230">
        <f t="shared" si="29"/>
        <v>102229.97</v>
      </c>
      <c r="AD51" s="230">
        <f>MAX(AD50*(1+'Model Inputs'!$B$13)+AC51,0)</f>
        <v>458565.36820000003</v>
      </c>
      <c r="AE51" s="230">
        <f>MAX(AE50*(1+'Model Inputs'!$B$13)+U51+AB51,0)</f>
        <v>65920</v>
      </c>
      <c r="AF51" s="230">
        <f t="shared" si="30"/>
        <v>524485.36820000003</v>
      </c>
      <c r="AG51" s="226" t="str">
        <f t="shared" ref="AG51:AG79" si="31">IF(AND(AF51&gt;=$F$14,AF50&lt;$F$14),J51,"")</f>
        <v/>
      </c>
      <c r="AH51" s="226" t="str">
        <f t="shared" ref="AH51:AH79" si="32">IF(AND(AF51&gt;=$F$15,AF50&lt;$F$15),J51,"")</f>
        <v/>
      </c>
      <c r="AI51" s="226" t="str">
        <f t="shared" ref="AI51:AI79" si="33">IF(AND(AF51&gt;=$F$16,AF50&lt;$F$16),J51,"")</f>
        <v/>
      </c>
      <c r="AJ51" s="226" t="str">
        <f t="shared" ref="AJ51:AJ79" si="34">IF(AND(AF51&gt;=$F$17,AF50&lt;$F$17),J51,"")</f>
        <v/>
      </c>
    </row>
    <row r="52" spans="1:36" ht="18" customHeight="1" x14ac:dyDescent="0.2">
      <c r="A52" s="226" t="str">
        <f t="shared" si="13"/>
        <v>3Y -&gt; PM Y7 Starter</v>
      </c>
      <c r="B52" s="226">
        <f t="shared" si="14"/>
        <v>3</v>
      </c>
      <c r="C52" s="235">
        <f t="shared" si="15"/>
        <v>3</v>
      </c>
      <c r="D52" s="226">
        <f t="shared" si="16"/>
        <v>7</v>
      </c>
      <c r="E52" s="226" t="str">
        <f t="shared" si="17"/>
        <v>Starter</v>
      </c>
      <c r="F52" s="230">
        <f t="shared" si="18"/>
        <v>10000000</v>
      </c>
      <c r="G52" s="236">
        <f t="shared" si="19"/>
        <v>0.15</v>
      </c>
      <c r="H52" s="230">
        <f t="shared" si="20"/>
        <v>300000</v>
      </c>
      <c r="I52" s="236">
        <f t="shared" si="21"/>
        <v>0</v>
      </c>
      <c r="J52" s="234">
        <v>3</v>
      </c>
      <c r="K52" s="234">
        <f t="shared" si="22"/>
        <v>2028</v>
      </c>
      <c r="L52" s="230">
        <f>IF(J52=1,'Model Inputs'!$B$25*(13-'Model Inputs'!$B$23)/12,'Model Inputs'!$B$25)</f>
        <v>300000</v>
      </c>
      <c r="M52" s="230">
        <f>IF(J52=1,'Model Inputs'!$B$27*(13-'Model Inputs'!$B$23)/12,IF(J52=2,'Model Inputs'!$B$27,IF(J52&lt;=MAX(3,'Model Inputs'!$B$30+1),'Model Inputs'!$B$27*(1+'Model Inputs'!$B$28)^(J52-3),'Model Inputs'!$B$27*(1+'Model Inputs'!$B$28)^(MAX(3,'Model Inputs'!$B$30+1)-3)*(1+'Model Inputs'!$B$29)^(J52-MAX(3,'Model Inputs'!$B$30+1)))))</f>
        <v>450000</v>
      </c>
      <c r="N52" s="236">
        <f>IF(J52&lt;=2,0,'Model Inputs'!$B$32*SIN(2*PI()*(J52-3+'Model Inputs'!$B$34)/MAX(1,'Model Inputs'!$B$33)))</f>
        <v>0</v>
      </c>
      <c r="O52" s="230">
        <f t="shared" si="23"/>
        <v>450000</v>
      </c>
      <c r="P52" s="230">
        <f t="shared" ref="P52:P79" si="35">0.75*O51+0.25*O50</f>
        <v>375000</v>
      </c>
      <c r="Q52" s="230">
        <f>L52+P52+IF(J52=1,'Model Inputs'!$B$26,0)</f>
        <v>675000</v>
      </c>
      <c r="R52" s="230">
        <f t="shared" si="24"/>
        <v>675000</v>
      </c>
      <c r="S52" s="230">
        <f t="shared" si="25"/>
        <v>1800000</v>
      </c>
      <c r="T52" s="230">
        <f t="shared" si="26"/>
        <v>675000</v>
      </c>
      <c r="U52" s="230">
        <f>MIN(T52,'Tax Assumptions'!$B$19)</f>
        <v>24500</v>
      </c>
      <c r="V52" s="230">
        <f>MAX(T52-U52-'Tax Assumptions'!$B$8,0)</f>
        <v>634400</v>
      </c>
      <c r="W52" s="230">
        <f>MAX(T52-U52-'Tax Assumptions'!$B$9,0)</f>
        <v>642500</v>
      </c>
      <c r="X52" s="230">
        <f>IF(V52=0,0,LOOKUP(V52,'Tax Assumptions'!$F$9:$F$15,'Tax Assumptions'!$I$9:$I$15)+(V52-LOOKUP(V52,'Tax Assumptions'!$F$9:$F$15,'Tax Assumptions'!$F$9:$F$15))*LOOKUP(V52,'Tax Assumptions'!$F$9:$F$15,'Tax Assumptions'!$H$9:$H$15))+MIN(MAX(T52,0),'Tax Assumptions'!$B$11)*'Tax Assumptions'!$B$10+MAX(T52,0)*'Tax Assumptions'!$B$12+MAX(MAX(T52,0)-'Tax Assumptions'!$B$14,0)*'Tax Assumptions'!$B$13+MIN(T52*'Tax Assumptions'!$B$15,'Tax Assumptions'!$B$16)+MIN(T52*'Tax Assumptions'!$B$17,'Tax Assumptions'!$B$18)+IF(W52=0,0,LOOKUP(W52,'Tax Assumptions'!$K$9:$K$17,'Tax Assumptions'!$N$9:$N$17)+(W52-LOOKUP(W52,'Tax Assumptions'!$K$9:$K$17,'Tax Assumptions'!$K$9:$K$17))*LOOKUP(W52,'Tax Assumptions'!$K$9:$K$17,'Tax Assumptions'!$M$9:$M$17))+IF(W52=0,0,LOOKUP(W52,'Tax Assumptions'!$P$9:$P$12,'Tax Assumptions'!$S$9:$S$12)+(W52-LOOKUP(W52,'Tax Assumptions'!$P$9:$P$12,'Tax Assumptions'!$P$9:$P$12))*LOOKUP(W52,'Tax Assumptions'!$P$9:$P$12,'Tax Assumptions'!$R$9:$R$12))</f>
        <v>282929.53000000003</v>
      </c>
      <c r="Y52" s="230">
        <f t="shared" si="27"/>
        <v>367570.47</v>
      </c>
      <c r="Z52" s="230">
        <f>IF(J52&lt;=10,INDEX('Savings Projection'!$BL$19:$BL$28,J52),LOOKUP(2,1/('Savings Projection'!$BL$19:$BL$28&lt;&gt;""),'Savings Projection'!$BL$19:$BL$28))*(1+'Model Inputs'!$B$35)^(J52-1)+IF(J52&lt;=10,INDEX('Savings Projection'!$BM$19:$BM$28,J52),LOOKUP(2,1/('Savings Projection'!$BM$19:$BM$28&lt;&gt;""),'Savings Projection'!$BM$19:$BM$28))*(1+'Model Inputs'!$B$36)^(J52-1)</f>
        <v>135795.20000000001</v>
      </c>
      <c r="AA52" s="230">
        <f t="shared" si="28"/>
        <v>231775.26999999996</v>
      </c>
      <c r="AB52" s="230">
        <f>MIN(MAX(AA52,0),'Tax Assumptions'!$B$20)</f>
        <v>7500</v>
      </c>
      <c r="AC52" s="230">
        <f t="shared" si="29"/>
        <v>224275.26999999996</v>
      </c>
      <c r="AD52" s="230">
        <f>MAX(AD51*(1+'Model Inputs'!$B$13)+AC52,0)</f>
        <v>710354.56029199995</v>
      </c>
      <c r="AE52" s="230">
        <f>MAX(AE51*(1+'Model Inputs'!$B$13)+U52+AB52,0)</f>
        <v>101875.2</v>
      </c>
      <c r="AF52" s="230">
        <f t="shared" si="30"/>
        <v>812229.7602919999</v>
      </c>
      <c r="AG52" s="226" t="str">
        <f t="shared" si="31"/>
        <v/>
      </c>
      <c r="AH52" s="226" t="str">
        <f t="shared" si="32"/>
        <v/>
      </c>
      <c r="AI52" s="226" t="str">
        <f t="shared" si="33"/>
        <v/>
      </c>
      <c r="AJ52" s="226" t="str">
        <f t="shared" si="34"/>
        <v/>
      </c>
    </row>
    <row r="53" spans="1:36" ht="18" customHeight="1" x14ac:dyDescent="0.2">
      <c r="A53" s="226" t="str">
        <f t="shared" si="13"/>
        <v>3Y -&gt; PM Y7 Starter</v>
      </c>
      <c r="B53" s="226">
        <f t="shared" si="14"/>
        <v>3</v>
      </c>
      <c r="C53" s="235">
        <f t="shared" si="15"/>
        <v>3</v>
      </c>
      <c r="D53" s="226">
        <f t="shared" si="16"/>
        <v>7</v>
      </c>
      <c r="E53" s="226" t="str">
        <f t="shared" si="17"/>
        <v>Starter</v>
      </c>
      <c r="F53" s="230">
        <f t="shared" si="18"/>
        <v>10000000</v>
      </c>
      <c r="G53" s="236">
        <f t="shared" si="19"/>
        <v>0.15</v>
      </c>
      <c r="H53" s="230">
        <f t="shared" si="20"/>
        <v>300000</v>
      </c>
      <c r="I53" s="236">
        <f t="shared" si="21"/>
        <v>0</v>
      </c>
      <c r="J53" s="234">
        <v>4</v>
      </c>
      <c r="K53" s="234">
        <f t="shared" si="22"/>
        <v>2029</v>
      </c>
      <c r="L53" s="230">
        <f>IF(J53=1,'Model Inputs'!$B$25*(13-'Model Inputs'!$B$23)/12,'Model Inputs'!$B$25)</f>
        <v>300000</v>
      </c>
      <c r="M53" s="230">
        <f>IF(J53=1,'Model Inputs'!$B$27*(13-'Model Inputs'!$B$23)/12,IF(J53=2,'Model Inputs'!$B$27,IF(J53&lt;=MAX(3,'Model Inputs'!$B$30+1),'Model Inputs'!$B$27*(1+'Model Inputs'!$B$28)^(J53-3),'Model Inputs'!$B$27*(1+'Model Inputs'!$B$28)^(MAX(3,'Model Inputs'!$B$30+1)-3)*(1+'Model Inputs'!$B$29)^(J53-MAX(3,'Model Inputs'!$B$30+1)))))</f>
        <v>653834.84153110103</v>
      </c>
      <c r="N53" s="236">
        <f>IF(J53&lt;=2,0,'Model Inputs'!$B$32*SIN(2*PI()*(J53-3+'Model Inputs'!$B$34)/MAX(1,'Model Inputs'!$B$33)))</f>
        <v>0.10392304845413264</v>
      </c>
      <c r="O53" s="230">
        <f t="shared" si="23"/>
        <v>721783.35144853778</v>
      </c>
      <c r="P53" s="230">
        <f t="shared" si="35"/>
        <v>450000</v>
      </c>
      <c r="Q53" s="230">
        <f>L53+P53+IF(J53=1,'Model Inputs'!$B$26,0)</f>
        <v>750000</v>
      </c>
      <c r="R53" s="230">
        <f t="shared" si="24"/>
        <v>2250000</v>
      </c>
      <c r="S53" s="230">
        <f t="shared" si="25"/>
        <v>1800000</v>
      </c>
      <c r="T53" s="230">
        <f t="shared" si="26"/>
        <v>2250000</v>
      </c>
      <c r="U53" s="230">
        <f>MIN(T53,'Tax Assumptions'!$B$19)</f>
        <v>24500</v>
      </c>
      <c r="V53" s="230">
        <f>MAX(T53-U53-'Tax Assumptions'!$B$8,0)</f>
        <v>2209400</v>
      </c>
      <c r="W53" s="230">
        <f>MAX(T53-U53-'Tax Assumptions'!$B$9,0)</f>
        <v>2217500</v>
      </c>
      <c r="X53" s="230">
        <f>IF(V53=0,0,LOOKUP(V53,'Tax Assumptions'!$F$9:$F$15,'Tax Assumptions'!$I$9:$I$15)+(V53-LOOKUP(V53,'Tax Assumptions'!$F$9:$F$15,'Tax Assumptions'!$F$9:$F$15))*LOOKUP(V53,'Tax Assumptions'!$F$9:$F$15,'Tax Assumptions'!$H$9:$H$15))+MIN(MAX(T53,0),'Tax Assumptions'!$B$11)*'Tax Assumptions'!$B$10+MAX(T53,0)*'Tax Assumptions'!$B$12+MAX(MAX(T53,0)-'Tax Assumptions'!$B$14,0)*'Tax Assumptions'!$B$13+MIN(T53*'Tax Assumptions'!$B$15,'Tax Assumptions'!$B$16)+MIN(T53*'Tax Assumptions'!$B$17,'Tax Assumptions'!$B$18)+IF(W53=0,0,LOOKUP(W53,'Tax Assumptions'!$K$9:$K$17,'Tax Assumptions'!$N$9:$N$17)+(W53-LOOKUP(W53,'Tax Assumptions'!$K$9:$K$17,'Tax Assumptions'!$K$9:$K$17))*LOOKUP(W53,'Tax Assumptions'!$K$9:$K$17,'Tax Assumptions'!$M$9:$M$17))+IF(W53=0,0,LOOKUP(W53,'Tax Assumptions'!$P$9:$P$12,'Tax Assumptions'!$S$9:$S$12)+(W53-LOOKUP(W53,'Tax Assumptions'!$P$9:$P$12,'Tax Assumptions'!$P$9:$P$12))*LOOKUP(W53,'Tax Assumptions'!$P$9:$P$12,'Tax Assumptions'!$R$9:$R$12))</f>
        <v>1103420.635</v>
      </c>
      <c r="Y53" s="230">
        <f t="shared" si="27"/>
        <v>1122079.365</v>
      </c>
      <c r="Z53" s="230">
        <f>IF(J53&lt;=10,INDEX('Savings Projection'!$BL$19:$BL$28,J53),LOOKUP(2,1/('Savings Projection'!$BL$19:$BL$28&lt;&gt;""),'Savings Projection'!$BL$19:$BL$28))*(1+'Model Inputs'!$B$35)^(J53-1)+IF(J53&lt;=10,INDEX('Savings Projection'!$BM$19:$BM$28,J53),LOOKUP(2,1/('Savings Projection'!$BM$19:$BM$28&lt;&gt;""),'Savings Projection'!$BM$19:$BM$28))*(1+'Model Inputs'!$B$36)^(J53-1)</f>
        <v>139869.05600000001</v>
      </c>
      <c r="AA53" s="230">
        <f t="shared" si="28"/>
        <v>982210.30900000001</v>
      </c>
      <c r="AB53" s="230">
        <f>MIN(MAX(AA53,0),'Tax Assumptions'!$B$20)</f>
        <v>7500</v>
      </c>
      <c r="AC53" s="230">
        <f t="shared" si="29"/>
        <v>974710.30900000001</v>
      </c>
      <c r="AD53" s="230">
        <f>MAX(AD52*(1+'Model Inputs'!$B$13)+AC53,0)</f>
        <v>1727686.1429095198</v>
      </c>
      <c r="AE53" s="230">
        <f>MAX(AE52*(1+'Model Inputs'!$B$13)+U53+AB53,0)</f>
        <v>139987.712</v>
      </c>
      <c r="AF53" s="230">
        <f t="shared" si="30"/>
        <v>1867673.8549095199</v>
      </c>
      <c r="AG53" s="226" t="str">
        <f t="shared" si="31"/>
        <v/>
      </c>
      <c r="AH53" s="226" t="str">
        <f t="shared" si="32"/>
        <v/>
      </c>
      <c r="AI53" s="226" t="str">
        <f t="shared" si="33"/>
        <v/>
      </c>
      <c r="AJ53" s="226" t="str">
        <f t="shared" si="34"/>
        <v/>
      </c>
    </row>
    <row r="54" spans="1:36" ht="18" customHeight="1" x14ac:dyDescent="0.2">
      <c r="A54" s="226" t="str">
        <f t="shared" si="13"/>
        <v>3Y -&gt; PM Y7 Starter</v>
      </c>
      <c r="B54" s="226">
        <f t="shared" si="14"/>
        <v>3</v>
      </c>
      <c r="C54" s="235">
        <f t="shared" si="15"/>
        <v>3</v>
      </c>
      <c r="D54" s="226">
        <f t="shared" si="16"/>
        <v>7</v>
      </c>
      <c r="E54" s="226" t="str">
        <f t="shared" si="17"/>
        <v>Starter</v>
      </c>
      <c r="F54" s="230">
        <f t="shared" si="18"/>
        <v>10000000</v>
      </c>
      <c r="G54" s="236">
        <f t="shared" si="19"/>
        <v>0.15</v>
      </c>
      <c r="H54" s="230">
        <f t="shared" si="20"/>
        <v>300000</v>
      </c>
      <c r="I54" s="236">
        <f t="shared" si="21"/>
        <v>0</v>
      </c>
      <c r="J54" s="234">
        <v>5</v>
      </c>
      <c r="K54" s="234">
        <f t="shared" si="22"/>
        <v>2030</v>
      </c>
      <c r="L54" s="230">
        <f>IF(J54=1,'Model Inputs'!$B$25*(13-'Model Inputs'!$B$23)/12,'Model Inputs'!$B$25)</f>
        <v>300000</v>
      </c>
      <c r="M54" s="230">
        <f>IF(J54=1,'Model Inputs'!$B$27*(13-'Model Inputs'!$B$23)/12,IF(J54=2,'Model Inputs'!$B$27,IF(J54&lt;=MAX(3,'Model Inputs'!$B$30+1),'Model Inputs'!$B$27*(1+'Model Inputs'!$B$28)^(J54-3),'Model Inputs'!$B$27*(1+'Model Inputs'!$B$28)^(MAX(3,'Model Inputs'!$B$30+1)-3)*(1+'Model Inputs'!$B$29)^(J54-MAX(3,'Model Inputs'!$B$30+1)))))</f>
        <v>950000</v>
      </c>
      <c r="N54" s="236">
        <f>IF(J54&lt;=2,0,'Model Inputs'!$B$32*SIN(2*PI()*(J54-3+'Model Inputs'!$B$34)/MAX(1,'Model Inputs'!$B$33)))</f>
        <v>-0.1039230484541326</v>
      </c>
      <c r="O54" s="230">
        <f t="shared" si="23"/>
        <v>851273.10396857408</v>
      </c>
      <c r="P54" s="230">
        <f t="shared" si="35"/>
        <v>653837.51358640334</v>
      </c>
      <c r="Q54" s="230">
        <f>L54+P54+IF(J54=1,'Model Inputs'!$B$26,0)</f>
        <v>953837.51358640334</v>
      </c>
      <c r="R54" s="230">
        <f t="shared" si="24"/>
        <v>2861512.54075921</v>
      </c>
      <c r="S54" s="230">
        <f t="shared" si="25"/>
        <v>1800000</v>
      </c>
      <c r="T54" s="230">
        <f t="shared" si="26"/>
        <v>2861512.54075921</v>
      </c>
      <c r="U54" s="230">
        <f>MIN(T54,'Tax Assumptions'!$B$19)</f>
        <v>24500</v>
      </c>
      <c r="V54" s="230">
        <f>MAX(T54-U54-'Tax Assumptions'!$B$8,0)</f>
        <v>2820912.54075921</v>
      </c>
      <c r="W54" s="230">
        <f>MAX(T54-U54-'Tax Assumptions'!$B$9,0)</f>
        <v>2829012.54075921</v>
      </c>
      <c r="X54" s="230">
        <f>IF(V54=0,0,LOOKUP(V54,'Tax Assumptions'!$F$9:$F$15,'Tax Assumptions'!$I$9:$I$15)+(V54-LOOKUP(V54,'Tax Assumptions'!$F$9:$F$15,'Tax Assumptions'!$F$9:$F$15))*LOOKUP(V54,'Tax Assumptions'!$F$9:$F$15,'Tax Assumptions'!$H$9:$H$15))+MIN(MAX(T54,0),'Tax Assumptions'!$B$11)*'Tax Assumptions'!$B$10+MAX(T54,0)*'Tax Assumptions'!$B$12+MAX(MAX(T54,0)-'Tax Assumptions'!$B$14,0)*'Tax Assumptions'!$B$13+MIN(T54*'Tax Assumptions'!$B$15,'Tax Assumptions'!$B$16)+MIN(T54*'Tax Assumptions'!$B$17,'Tax Assumptions'!$B$18)+IF(W54=0,0,LOOKUP(W54,'Tax Assumptions'!$K$9:$K$17,'Tax Assumptions'!$N$9:$N$17)+(W54-LOOKUP(W54,'Tax Assumptions'!$K$9:$K$17,'Tax Assumptions'!$K$9:$K$17))*LOOKUP(W54,'Tax Assumptions'!$K$9:$K$17,'Tax Assumptions'!$M$9:$M$17))+IF(W54=0,0,LOOKUP(W54,'Tax Assumptions'!$P$9:$P$12,'Tax Assumptions'!$S$9:$S$12)+(W54-LOOKUP(W54,'Tax Assumptions'!$P$9:$P$12,'Tax Assumptions'!$P$9:$P$12))*LOOKUP(W54,'Tax Assumptions'!$P$9:$P$12,'Tax Assumptions'!$R$9:$R$12))</f>
        <v>1426764.0060518396</v>
      </c>
      <c r="Y54" s="230">
        <f t="shared" si="27"/>
        <v>1410248.5347073704</v>
      </c>
      <c r="Z54" s="230">
        <f>IF(J54&lt;=10,INDEX('Savings Projection'!$BL$19:$BL$28,J54),LOOKUP(2,1/('Savings Projection'!$BL$19:$BL$28&lt;&gt;""),'Savings Projection'!$BL$19:$BL$28))*(1+'Model Inputs'!$B$35)^(J54-1)+IF(J54&lt;=10,INDEX('Savings Projection'!$BM$19:$BM$28,J54),LOOKUP(2,1/('Savings Projection'!$BM$19:$BM$28&lt;&gt;""),'Savings Projection'!$BM$19:$BM$28))*(1+'Model Inputs'!$B$36)^(J54-1)</f>
        <v>144065.12767999998</v>
      </c>
      <c r="AA54" s="230">
        <f t="shared" si="28"/>
        <v>1266183.4070273705</v>
      </c>
      <c r="AB54" s="230">
        <f>MIN(MAX(AA54,0),'Tax Assumptions'!$B$20)</f>
        <v>7500</v>
      </c>
      <c r="AC54" s="230">
        <f t="shared" si="29"/>
        <v>1258683.4070273705</v>
      </c>
      <c r="AD54" s="230">
        <f>MAX(AD53*(1+'Model Inputs'!$B$13)+AC54,0)</f>
        <v>3090030.7185114617</v>
      </c>
      <c r="AE54" s="230">
        <f>MAX(AE53*(1+'Model Inputs'!$B$13)+U54+AB54,0)</f>
        <v>180386.97472</v>
      </c>
      <c r="AF54" s="230">
        <f t="shared" si="30"/>
        <v>3270417.6932314616</v>
      </c>
      <c r="AG54" s="226" t="str">
        <f t="shared" si="31"/>
        <v/>
      </c>
      <c r="AH54" s="226" t="str">
        <f t="shared" si="32"/>
        <v/>
      </c>
      <c r="AI54" s="226" t="str">
        <f t="shared" si="33"/>
        <v/>
      </c>
      <c r="AJ54" s="226" t="str">
        <f t="shared" si="34"/>
        <v/>
      </c>
    </row>
    <row r="55" spans="1:36" ht="18" customHeight="1" x14ac:dyDescent="0.2">
      <c r="A55" s="226" t="str">
        <f t="shared" si="13"/>
        <v>3Y -&gt; PM Y7 Starter</v>
      </c>
      <c r="B55" s="226">
        <f t="shared" si="14"/>
        <v>3</v>
      </c>
      <c r="C55" s="235">
        <f t="shared" si="15"/>
        <v>3</v>
      </c>
      <c r="D55" s="226">
        <f t="shared" si="16"/>
        <v>7</v>
      </c>
      <c r="E55" s="226" t="str">
        <f t="shared" si="17"/>
        <v>Starter</v>
      </c>
      <c r="F55" s="230">
        <f t="shared" si="18"/>
        <v>10000000</v>
      </c>
      <c r="G55" s="236">
        <f t="shared" si="19"/>
        <v>0.15</v>
      </c>
      <c r="H55" s="230">
        <f t="shared" si="20"/>
        <v>300000</v>
      </c>
      <c r="I55" s="236">
        <f t="shared" si="21"/>
        <v>0</v>
      </c>
      <c r="J55" s="234">
        <v>6</v>
      </c>
      <c r="K55" s="234">
        <f t="shared" si="22"/>
        <v>2031</v>
      </c>
      <c r="L55" s="230">
        <f>IF(J55=1,'Model Inputs'!$B$25*(13-'Model Inputs'!$B$23)/12,'Model Inputs'!$B$25)</f>
        <v>300000</v>
      </c>
      <c r="M55" s="230">
        <f>IF(J55=1,'Model Inputs'!$B$27*(13-'Model Inputs'!$B$23)/12,IF(J55=2,'Model Inputs'!$B$27,IF(J55&lt;=MAX(3,'Model Inputs'!$B$30+1),'Model Inputs'!$B$27*(1+'Model Inputs'!$B$28)^(J55-3),'Model Inputs'!$B$27*(1+'Model Inputs'!$B$28)^(MAX(3,'Model Inputs'!$B$30+1)-3)*(1+'Model Inputs'!$B$29)^(J55-MAX(3,'Model Inputs'!$B$30+1)))))</f>
        <v>1207333.5632986501</v>
      </c>
      <c r="N55" s="236">
        <f>IF(J55&lt;=2,0,'Model Inputs'!$B$32*SIN(2*PI()*(J55-3+'Model Inputs'!$B$34)/MAX(1,'Model Inputs'!$B$33)))</f>
        <v>-2.9391523179536474E-17</v>
      </c>
      <c r="O55" s="230">
        <f t="shared" si="23"/>
        <v>1207333.5632986501</v>
      </c>
      <c r="P55" s="230">
        <f t="shared" si="35"/>
        <v>818900.66583856498</v>
      </c>
      <c r="Q55" s="230">
        <f>L55+P55+IF(J55=1,'Model Inputs'!$B$26,0)</f>
        <v>1118900.665838565</v>
      </c>
      <c r="R55" s="230">
        <f t="shared" si="24"/>
        <v>3356701.9975156952</v>
      </c>
      <c r="S55" s="230">
        <f t="shared" si="25"/>
        <v>1800000</v>
      </c>
      <c r="T55" s="230">
        <f t="shared" si="26"/>
        <v>3356701.9975156952</v>
      </c>
      <c r="U55" s="230">
        <f>MIN(T55,'Tax Assumptions'!$B$19)</f>
        <v>24500</v>
      </c>
      <c r="V55" s="230">
        <f>MAX(T55-U55-'Tax Assumptions'!$B$8,0)</f>
        <v>3316101.9975156952</v>
      </c>
      <c r="W55" s="230">
        <f>MAX(T55-U55-'Tax Assumptions'!$B$9,0)</f>
        <v>3324201.9975156952</v>
      </c>
      <c r="X55" s="230">
        <f>IF(V55=0,0,LOOKUP(V55,'Tax Assumptions'!$F$9:$F$15,'Tax Assumptions'!$I$9:$I$15)+(V55-LOOKUP(V55,'Tax Assumptions'!$F$9:$F$15,'Tax Assumptions'!$F$9:$F$15))*LOOKUP(V55,'Tax Assumptions'!$F$9:$F$15,'Tax Assumptions'!$H$9:$H$15))+MIN(MAX(T55,0),'Tax Assumptions'!$B$11)*'Tax Assumptions'!$B$10+MAX(T55,0)*'Tax Assumptions'!$B$12+MAX(MAX(T55,0)-'Tax Assumptions'!$B$14,0)*'Tax Assumptions'!$B$13+MIN(T55*'Tax Assumptions'!$B$15,'Tax Assumptions'!$B$16)+MIN(T55*'Tax Assumptions'!$B$17,'Tax Assumptions'!$B$18)+IF(W55=0,0,LOOKUP(W55,'Tax Assumptions'!$K$9:$K$17,'Tax Assumptions'!$N$9:$N$17)+(W55-LOOKUP(W55,'Tax Assumptions'!$K$9:$K$17,'Tax Assumptions'!$K$9:$K$17))*LOOKUP(W55,'Tax Assumptions'!$K$9:$K$17,'Tax Assumptions'!$M$9:$M$17))+IF(W55=0,0,LOOKUP(W55,'Tax Assumptions'!$P$9:$P$12,'Tax Assumptions'!$S$9:$S$12)+(W55-LOOKUP(W55,'Tax Assumptions'!$P$9:$P$12,'Tax Assumptions'!$P$9:$P$12))*LOOKUP(W55,'Tax Assumptions'!$P$9:$P$12,'Tax Assumptions'!$R$9:$R$12))</f>
        <v>1688600.3832063989</v>
      </c>
      <c r="Y55" s="230">
        <f t="shared" si="27"/>
        <v>1643601.6143092962</v>
      </c>
      <c r="Z55" s="230">
        <f>IF(J55&lt;=10,INDEX('Savings Projection'!$BL$19:$BL$28,J55),LOOKUP(2,1/('Savings Projection'!$BL$19:$BL$28&lt;&gt;""),'Savings Projection'!$BL$19:$BL$28))*(1+'Model Inputs'!$B$35)^(J55-1)+IF(J55&lt;=10,INDEX('Savings Projection'!$BM$19:$BM$28,J55),LOOKUP(2,1/('Savings Projection'!$BM$19:$BM$28&lt;&gt;""),'Savings Projection'!$BM$19:$BM$28))*(1+'Model Inputs'!$B$36)^(J55-1)</f>
        <v>150705.62965899997</v>
      </c>
      <c r="AA55" s="230">
        <f t="shared" si="28"/>
        <v>1492895.9846502962</v>
      </c>
      <c r="AB55" s="230">
        <f>MIN(MAX(AA55,0),'Tax Assumptions'!$B$20)</f>
        <v>7500</v>
      </c>
      <c r="AC55" s="230">
        <f t="shared" si="29"/>
        <v>1485395.9846502962</v>
      </c>
      <c r="AD55" s="230">
        <f>MAX(AD54*(1+'Model Inputs'!$B$13)+AC55,0)</f>
        <v>4760828.5462724455</v>
      </c>
      <c r="AE55" s="230">
        <f>MAX(AE54*(1+'Model Inputs'!$B$13)+U55+AB55,0)</f>
        <v>223210.1932032</v>
      </c>
      <c r="AF55" s="230">
        <f t="shared" si="30"/>
        <v>4984038.7394756451</v>
      </c>
      <c r="AG55" s="226" t="str">
        <f t="shared" si="31"/>
        <v/>
      </c>
      <c r="AH55" s="226" t="str">
        <f t="shared" si="32"/>
        <v/>
      </c>
      <c r="AI55" s="226" t="str">
        <f t="shared" si="33"/>
        <v/>
      </c>
      <c r="AJ55" s="226" t="str">
        <f t="shared" si="34"/>
        <v/>
      </c>
    </row>
    <row r="56" spans="1:36" ht="18" customHeight="1" x14ac:dyDescent="0.2">
      <c r="A56" s="226" t="str">
        <f t="shared" si="13"/>
        <v>3Y -&gt; PM Y7 Starter</v>
      </c>
      <c r="B56" s="226">
        <f t="shared" si="14"/>
        <v>3</v>
      </c>
      <c r="C56" s="235">
        <f t="shared" si="15"/>
        <v>3</v>
      </c>
      <c r="D56" s="226">
        <f t="shared" si="16"/>
        <v>7</v>
      </c>
      <c r="E56" s="226" t="str">
        <f t="shared" si="17"/>
        <v>Starter</v>
      </c>
      <c r="F56" s="230">
        <f t="shared" si="18"/>
        <v>10000000</v>
      </c>
      <c r="G56" s="236">
        <f t="shared" si="19"/>
        <v>0.15</v>
      </c>
      <c r="H56" s="230">
        <f t="shared" si="20"/>
        <v>300000</v>
      </c>
      <c r="I56" s="236">
        <f t="shared" si="21"/>
        <v>0</v>
      </c>
      <c r="J56" s="234">
        <v>7</v>
      </c>
      <c r="K56" s="234">
        <f t="shared" si="22"/>
        <v>2032</v>
      </c>
      <c r="L56" s="230">
        <f>IF(J56=1,'Model Inputs'!$B$25*(13-'Model Inputs'!$B$23)/12,'Model Inputs'!$B$25)</f>
        <v>300000</v>
      </c>
      <c r="M56" s="230">
        <f>IF(J56=1,'Model Inputs'!$B$27*(13-'Model Inputs'!$B$23)/12,IF(J56=2,'Model Inputs'!$B$27,IF(J56&lt;=MAX(3,'Model Inputs'!$B$30+1),'Model Inputs'!$B$27*(1+'Model Inputs'!$B$28)^(J56-3),'Model Inputs'!$B$27*(1+'Model Inputs'!$B$28)^(MAX(3,'Model Inputs'!$B$30+1)-3)*(1+'Model Inputs'!$B$29)^(J56-MAX(3,'Model Inputs'!$B$30+1)))))</f>
        <v>1534372.9821762268</v>
      </c>
      <c r="N56" s="236">
        <f>IF(J56&lt;=2,0,'Model Inputs'!$B$32*SIN(2*PI()*(J56-3+'Model Inputs'!$B$34)/MAX(1,'Model Inputs'!$B$33)))</f>
        <v>0.10392304845413269</v>
      </c>
      <c r="O56" s="230">
        <f t="shared" si="23"/>
        <v>1693829.6999496389</v>
      </c>
      <c r="P56" s="230">
        <f t="shared" si="35"/>
        <v>1118318.448466131</v>
      </c>
      <c r="Q56" s="230">
        <f>L56+P56+IF(J56=1,'Model Inputs'!$B$26,0)</f>
        <v>1418318.448466131</v>
      </c>
      <c r="R56" s="230">
        <f t="shared" si="24"/>
        <v>4254955.3453983925</v>
      </c>
      <c r="S56" s="230">
        <f t="shared" si="25"/>
        <v>1800000</v>
      </c>
      <c r="T56" s="230">
        <f t="shared" si="26"/>
        <v>1800000</v>
      </c>
      <c r="U56" s="230">
        <f>MIN(T56,'Tax Assumptions'!$B$19)</f>
        <v>24500</v>
      </c>
      <c r="V56" s="230">
        <f>MAX(T56-U56-'Tax Assumptions'!$B$8,0)</f>
        <v>1759400</v>
      </c>
      <c r="W56" s="230">
        <f>MAX(T56-U56-'Tax Assumptions'!$B$9,0)</f>
        <v>1767500</v>
      </c>
      <c r="X56" s="230">
        <f>IF(V56=0,0,LOOKUP(V56,'Tax Assumptions'!$F$9:$F$15,'Tax Assumptions'!$I$9:$I$15)+(V56-LOOKUP(V56,'Tax Assumptions'!$F$9:$F$15,'Tax Assumptions'!$F$9:$F$15))*LOOKUP(V56,'Tax Assumptions'!$F$9:$F$15,'Tax Assumptions'!$H$9:$H$15))+MIN(MAX(T56,0),'Tax Assumptions'!$B$11)*'Tax Assumptions'!$B$10+MAX(T56,0)*'Tax Assumptions'!$B$12+MAX(MAX(T56,0)-'Tax Assumptions'!$B$14,0)*'Tax Assumptions'!$B$13+MIN(T56*'Tax Assumptions'!$B$15,'Tax Assumptions'!$B$16)+MIN(T56*'Tax Assumptions'!$B$17,'Tax Assumptions'!$B$18)+IF(W56=0,0,LOOKUP(W56,'Tax Assumptions'!$K$9:$K$17,'Tax Assumptions'!$N$9:$N$17)+(W56-LOOKUP(W56,'Tax Assumptions'!$K$9:$K$17,'Tax Assumptions'!$K$9:$K$17))*LOOKUP(W56,'Tax Assumptions'!$K$9:$K$17,'Tax Assumptions'!$M$9:$M$17))+IF(W56=0,0,LOOKUP(W56,'Tax Assumptions'!$P$9:$P$12,'Tax Assumptions'!$S$9:$S$12)+(W56-LOOKUP(W56,'Tax Assumptions'!$P$9:$P$12,'Tax Assumptions'!$P$9:$P$12))*LOOKUP(W56,'Tax Assumptions'!$P$9:$P$12,'Tax Assumptions'!$R$9:$R$12))</f>
        <v>865478.63500000001</v>
      </c>
      <c r="Y56" s="230">
        <f t="shared" si="27"/>
        <v>910021.36499999999</v>
      </c>
      <c r="Z56" s="230">
        <f>IF(J56&lt;=10,INDEX('Savings Projection'!$BL$19:$BL$28,J56),LOOKUP(2,1/('Savings Projection'!$BL$19:$BL$28&lt;&gt;""),'Savings Projection'!$BL$19:$BL$28))*(1+'Model Inputs'!$B$35)^(J56-1)+IF(J56&lt;=10,INDEX('Savings Projection'!$BM$19:$BM$28,J56),LOOKUP(2,1/('Savings Projection'!$BM$19:$BM$28&lt;&gt;""),'Savings Projection'!$BM$19:$BM$28))*(1+'Model Inputs'!$B$36)^(J56-1)</f>
        <v>155226.79854876999</v>
      </c>
      <c r="AA56" s="230">
        <f t="shared" si="28"/>
        <v>754794.56645122997</v>
      </c>
      <c r="AB56" s="230">
        <f>MIN(MAX(AA56,0),'Tax Assumptions'!$B$20)</f>
        <v>7500</v>
      </c>
      <c r="AC56" s="230">
        <f t="shared" si="29"/>
        <v>747294.56645122997</v>
      </c>
      <c r="AD56" s="230">
        <f>MAX(AD55*(1+'Model Inputs'!$B$13)+AC56,0)</f>
        <v>5793772.8255000226</v>
      </c>
      <c r="AE56" s="230">
        <f>MAX(AE55*(1+'Model Inputs'!$B$13)+U56+AB56,0)</f>
        <v>268602.80479539197</v>
      </c>
      <c r="AF56" s="230">
        <f t="shared" si="30"/>
        <v>6062375.6302954145</v>
      </c>
      <c r="AG56" s="226" t="str">
        <f t="shared" si="31"/>
        <v/>
      </c>
      <c r="AH56" s="226" t="str">
        <f t="shared" si="32"/>
        <v/>
      </c>
      <c r="AI56" s="226" t="str">
        <f t="shared" si="33"/>
        <v/>
      </c>
      <c r="AJ56" s="226" t="str">
        <f t="shared" si="34"/>
        <v/>
      </c>
    </row>
    <row r="57" spans="1:36" ht="18" customHeight="1" x14ac:dyDescent="0.2">
      <c r="A57" s="226" t="str">
        <f t="shared" si="13"/>
        <v>3Y -&gt; PM Y7 Starter</v>
      </c>
      <c r="B57" s="226">
        <f t="shared" si="14"/>
        <v>3</v>
      </c>
      <c r="C57" s="235">
        <f t="shared" si="15"/>
        <v>3</v>
      </c>
      <c r="D57" s="226">
        <f t="shared" si="16"/>
        <v>7</v>
      </c>
      <c r="E57" s="226" t="str">
        <f t="shared" si="17"/>
        <v>Starter</v>
      </c>
      <c r="F57" s="230">
        <f t="shared" si="18"/>
        <v>10000000</v>
      </c>
      <c r="G57" s="236">
        <f t="shared" si="19"/>
        <v>0.15</v>
      </c>
      <c r="H57" s="230">
        <f t="shared" si="20"/>
        <v>300000</v>
      </c>
      <c r="I57" s="236">
        <f t="shared" si="21"/>
        <v>0</v>
      </c>
      <c r="J57" s="234">
        <v>8</v>
      </c>
      <c r="K57" s="234">
        <f t="shared" si="22"/>
        <v>2033</v>
      </c>
      <c r="L57" s="230">
        <f>IF(J57=1,'Model Inputs'!$B$25*(13-'Model Inputs'!$B$23)/12,'Model Inputs'!$B$25)</f>
        <v>300000</v>
      </c>
      <c r="M57" s="230">
        <f>IF(J57=1,'Model Inputs'!$B$27*(13-'Model Inputs'!$B$23)/12,IF(J57=2,'Model Inputs'!$B$27,IF(J57&lt;=MAX(3,'Model Inputs'!$B$30+1),'Model Inputs'!$B$27*(1+'Model Inputs'!$B$28)^(J57-3),'Model Inputs'!$B$27*(1+'Model Inputs'!$B$28)^(MAX(3,'Model Inputs'!$B$30+1)-3)*(1+'Model Inputs'!$B$29)^(J57-MAX(3,'Model Inputs'!$B$30+1)))))</f>
        <v>1950000.0000000002</v>
      </c>
      <c r="N57" s="236">
        <f>IF(J57&lt;=2,0,'Model Inputs'!$B$32*SIN(2*PI()*(J57-3+'Model Inputs'!$B$34)/MAX(1,'Model Inputs'!$B$33)))</f>
        <v>-0.10392304845413264</v>
      </c>
      <c r="O57" s="230">
        <f t="shared" si="23"/>
        <v>1747350.0555144416</v>
      </c>
      <c r="P57" s="230">
        <f t="shared" si="35"/>
        <v>1572205.6657868917</v>
      </c>
      <c r="Q57" s="230">
        <f>L57+P57+IF(J57=1,'Model Inputs'!$B$26,0)</f>
        <v>1872205.6657868917</v>
      </c>
      <c r="R57" s="230">
        <f t="shared" si="24"/>
        <v>5616616.9973606747</v>
      </c>
      <c r="S57" s="230">
        <f t="shared" si="25"/>
        <v>1800000</v>
      </c>
      <c r="T57" s="230">
        <f t="shared" si="26"/>
        <v>1800000</v>
      </c>
      <c r="U57" s="230">
        <f>MIN(T57,'Tax Assumptions'!$B$19)</f>
        <v>24500</v>
      </c>
      <c r="V57" s="230">
        <f>MAX(T57-U57-'Tax Assumptions'!$B$8,0)</f>
        <v>1759400</v>
      </c>
      <c r="W57" s="230">
        <f>MAX(T57-U57-'Tax Assumptions'!$B$9,0)</f>
        <v>1767500</v>
      </c>
      <c r="X57" s="230">
        <f>IF(V57=0,0,LOOKUP(V57,'Tax Assumptions'!$F$9:$F$15,'Tax Assumptions'!$I$9:$I$15)+(V57-LOOKUP(V57,'Tax Assumptions'!$F$9:$F$15,'Tax Assumptions'!$F$9:$F$15))*LOOKUP(V57,'Tax Assumptions'!$F$9:$F$15,'Tax Assumptions'!$H$9:$H$15))+MIN(MAX(T57,0),'Tax Assumptions'!$B$11)*'Tax Assumptions'!$B$10+MAX(T57,0)*'Tax Assumptions'!$B$12+MAX(MAX(T57,0)-'Tax Assumptions'!$B$14,0)*'Tax Assumptions'!$B$13+MIN(T57*'Tax Assumptions'!$B$15,'Tax Assumptions'!$B$16)+MIN(T57*'Tax Assumptions'!$B$17,'Tax Assumptions'!$B$18)+IF(W57=0,0,LOOKUP(W57,'Tax Assumptions'!$K$9:$K$17,'Tax Assumptions'!$N$9:$N$17)+(W57-LOOKUP(W57,'Tax Assumptions'!$K$9:$K$17,'Tax Assumptions'!$K$9:$K$17))*LOOKUP(W57,'Tax Assumptions'!$K$9:$K$17,'Tax Assumptions'!$M$9:$M$17))+IF(W57=0,0,LOOKUP(W57,'Tax Assumptions'!$P$9:$P$12,'Tax Assumptions'!$S$9:$S$12)+(W57-LOOKUP(W57,'Tax Assumptions'!$P$9:$P$12,'Tax Assumptions'!$P$9:$P$12))*LOOKUP(W57,'Tax Assumptions'!$P$9:$P$12,'Tax Assumptions'!$R$9:$R$12))</f>
        <v>865478.63500000001</v>
      </c>
      <c r="Y57" s="230">
        <f t="shared" si="27"/>
        <v>910021.36499999999</v>
      </c>
      <c r="Z57" s="230">
        <f>IF(J57&lt;=10,INDEX('Savings Projection'!$BL$19:$BL$28,J57),LOOKUP(2,1/('Savings Projection'!$BL$19:$BL$28&lt;&gt;""),'Savings Projection'!$BL$19:$BL$28))*(1+'Model Inputs'!$B$35)^(J57-1)+IF(J57&lt;=10,INDEX('Savings Projection'!$BM$19:$BM$28,J57),LOOKUP(2,1/('Savings Projection'!$BM$19:$BM$28&lt;&gt;""),'Savings Projection'!$BM$19:$BM$28))*(1+'Model Inputs'!$B$36)^(J57-1)</f>
        <v>159883.60250523311</v>
      </c>
      <c r="AA57" s="230">
        <f t="shared" si="28"/>
        <v>750137.76249476685</v>
      </c>
      <c r="AB57" s="230">
        <f>MIN(MAX(AA57,0),'Tax Assumptions'!$B$20)</f>
        <v>7500</v>
      </c>
      <c r="AC57" s="230">
        <f t="shared" si="29"/>
        <v>742637.76249476685</v>
      </c>
      <c r="AD57" s="230">
        <f>MAX(AD56*(1+'Model Inputs'!$B$13)+AC57,0)</f>
        <v>6884036.9575247914</v>
      </c>
      <c r="AE57" s="230">
        <f>MAX(AE56*(1+'Model Inputs'!$B$13)+U57+AB57,0)</f>
        <v>316718.97308311553</v>
      </c>
      <c r="AF57" s="230">
        <f t="shared" si="30"/>
        <v>7200755.9306079065</v>
      </c>
      <c r="AG57" s="226" t="str">
        <f t="shared" si="31"/>
        <v/>
      </c>
      <c r="AH57" s="226" t="str">
        <f t="shared" si="32"/>
        <v/>
      </c>
      <c r="AI57" s="226" t="str">
        <f t="shared" si="33"/>
        <v/>
      </c>
      <c r="AJ57" s="226" t="str">
        <f t="shared" si="34"/>
        <v/>
      </c>
    </row>
    <row r="58" spans="1:36" ht="18" customHeight="1" x14ac:dyDescent="0.2">
      <c r="A58" s="226" t="str">
        <f t="shared" si="13"/>
        <v>3Y -&gt; PM Y7 Starter</v>
      </c>
      <c r="B58" s="226">
        <f t="shared" si="14"/>
        <v>3</v>
      </c>
      <c r="C58" s="235">
        <f t="shared" si="15"/>
        <v>3</v>
      </c>
      <c r="D58" s="226">
        <f t="shared" si="16"/>
        <v>7</v>
      </c>
      <c r="E58" s="226" t="str">
        <f t="shared" si="17"/>
        <v>Starter</v>
      </c>
      <c r="F58" s="230">
        <f t="shared" si="18"/>
        <v>10000000</v>
      </c>
      <c r="G58" s="236">
        <f t="shared" si="19"/>
        <v>0.15</v>
      </c>
      <c r="H58" s="230">
        <f t="shared" si="20"/>
        <v>300000</v>
      </c>
      <c r="I58" s="236">
        <f t="shared" si="21"/>
        <v>0</v>
      </c>
      <c r="J58" s="234">
        <v>9</v>
      </c>
      <c r="K58" s="234">
        <f t="shared" si="22"/>
        <v>2034</v>
      </c>
      <c r="L58" s="230">
        <f>IF(J58=1,'Model Inputs'!$B$25*(13-'Model Inputs'!$B$23)/12,'Model Inputs'!$B$25)</f>
        <v>300000</v>
      </c>
      <c r="M58" s="230">
        <f>IF(J58=1,'Model Inputs'!$B$27*(13-'Model Inputs'!$B$23)/12,IF(J58=2,'Model Inputs'!$B$27,IF(J58&lt;=MAX(3,'Model Inputs'!$B$30+1),'Model Inputs'!$B$27*(1+'Model Inputs'!$B$28)^(J58-3),'Model Inputs'!$B$27*(1+'Model Inputs'!$B$28)^(MAX(3,'Model Inputs'!$B$30+1)-3)*(1+'Model Inputs'!$B$29)^(J58-MAX(3,'Model Inputs'!$B$30+1)))))</f>
        <v>2478210.9983498608</v>
      </c>
      <c r="N58" s="236">
        <f>IF(J58&lt;=2,0,'Model Inputs'!$B$32*SIN(2*PI()*(J58-3+'Model Inputs'!$B$34)/MAX(1,'Model Inputs'!$B$33)))</f>
        <v>-5.8783046359072947E-17</v>
      </c>
      <c r="O58" s="230">
        <f t="shared" si="23"/>
        <v>2478210.9983498603</v>
      </c>
      <c r="P58" s="230">
        <f t="shared" si="35"/>
        <v>1733969.9666232408</v>
      </c>
      <c r="Q58" s="230">
        <f>L58+P58+IF(J58=1,'Model Inputs'!$B$26,0)</f>
        <v>2033969.9666232408</v>
      </c>
      <c r="R58" s="230">
        <f t="shared" si="24"/>
        <v>6101909.8998697223</v>
      </c>
      <c r="S58" s="230">
        <f t="shared" si="25"/>
        <v>1800000</v>
      </c>
      <c r="T58" s="230">
        <f t="shared" si="26"/>
        <v>1800000</v>
      </c>
      <c r="U58" s="230">
        <f>MIN(T58,'Tax Assumptions'!$B$19)</f>
        <v>24500</v>
      </c>
      <c r="V58" s="230">
        <f>MAX(T58-U58-'Tax Assumptions'!$B$8,0)</f>
        <v>1759400</v>
      </c>
      <c r="W58" s="230">
        <f>MAX(T58-U58-'Tax Assumptions'!$B$9,0)</f>
        <v>1767500</v>
      </c>
      <c r="X58" s="230">
        <f>IF(V58=0,0,LOOKUP(V58,'Tax Assumptions'!$F$9:$F$15,'Tax Assumptions'!$I$9:$I$15)+(V58-LOOKUP(V58,'Tax Assumptions'!$F$9:$F$15,'Tax Assumptions'!$F$9:$F$15))*LOOKUP(V58,'Tax Assumptions'!$F$9:$F$15,'Tax Assumptions'!$H$9:$H$15))+MIN(MAX(T58,0),'Tax Assumptions'!$B$11)*'Tax Assumptions'!$B$10+MAX(T58,0)*'Tax Assumptions'!$B$12+MAX(MAX(T58,0)-'Tax Assumptions'!$B$14,0)*'Tax Assumptions'!$B$13+MIN(T58*'Tax Assumptions'!$B$15,'Tax Assumptions'!$B$16)+MIN(T58*'Tax Assumptions'!$B$17,'Tax Assumptions'!$B$18)+IF(W58=0,0,LOOKUP(W58,'Tax Assumptions'!$K$9:$K$17,'Tax Assumptions'!$N$9:$N$17)+(W58-LOOKUP(W58,'Tax Assumptions'!$K$9:$K$17,'Tax Assumptions'!$K$9:$K$17))*LOOKUP(W58,'Tax Assumptions'!$K$9:$K$17,'Tax Assumptions'!$M$9:$M$17))+IF(W58=0,0,LOOKUP(W58,'Tax Assumptions'!$P$9:$P$12,'Tax Assumptions'!$S$9:$S$12)+(W58-LOOKUP(W58,'Tax Assumptions'!$P$9:$P$12,'Tax Assumptions'!$P$9:$P$12))*LOOKUP(W58,'Tax Assumptions'!$P$9:$P$12,'Tax Assumptions'!$R$9:$R$12))</f>
        <v>865478.63500000001</v>
      </c>
      <c r="Y58" s="230">
        <f t="shared" si="27"/>
        <v>910021.36499999999</v>
      </c>
      <c r="Z58" s="230">
        <f>IF(J58&lt;=10,INDEX('Savings Projection'!$BL$19:$BL$28,J58),LOOKUP(2,1/('Savings Projection'!$BL$19:$BL$28&lt;&gt;""),'Savings Projection'!$BL$19:$BL$28))*(1+'Model Inputs'!$B$35)^(J58-1)+IF(J58&lt;=10,INDEX('Savings Projection'!$BM$19:$BM$28,J58),LOOKUP(2,1/('Savings Projection'!$BM$19:$BM$28&lt;&gt;""),'Savings Projection'!$BM$19:$BM$28))*(1+'Model Inputs'!$B$36)^(J58-1)</f>
        <v>164680.11058039009</v>
      </c>
      <c r="AA58" s="230">
        <f t="shared" si="28"/>
        <v>745341.2544196099</v>
      </c>
      <c r="AB58" s="230">
        <f>MIN(MAX(AA58,0),'Tax Assumptions'!$B$20)</f>
        <v>7500</v>
      </c>
      <c r="AC58" s="230">
        <f t="shared" si="29"/>
        <v>737841.2544196099</v>
      </c>
      <c r="AD58" s="230">
        <f>MAX(AD57*(1+'Model Inputs'!$B$13)+AC58,0)</f>
        <v>8034920.4293958889</v>
      </c>
      <c r="AE58" s="230">
        <f>MAX(AE57*(1+'Model Inputs'!$B$13)+U58+AB58,0)</f>
        <v>367722.11146810249</v>
      </c>
      <c r="AF58" s="230">
        <f t="shared" si="30"/>
        <v>8402642.5408639908</v>
      </c>
      <c r="AG58" s="226" t="str">
        <f t="shared" si="31"/>
        <v/>
      </c>
      <c r="AH58" s="226" t="str">
        <f t="shared" si="32"/>
        <v/>
      </c>
      <c r="AI58" s="226" t="str">
        <f t="shared" si="33"/>
        <v/>
      </c>
      <c r="AJ58" s="226" t="str">
        <f t="shared" si="34"/>
        <v/>
      </c>
    </row>
    <row r="59" spans="1:36" ht="18" customHeight="1" x14ac:dyDescent="0.2">
      <c r="A59" s="226" t="str">
        <f t="shared" si="13"/>
        <v>3Y -&gt; PM Y7 Starter</v>
      </c>
      <c r="B59" s="226">
        <f t="shared" si="14"/>
        <v>3</v>
      </c>
      <c r="C59" s="235">
        <f t="shared" si="15"/>
        <v>3</v>
      </c>
      <c r="D59" s="226">
        <f t="shared" si="16"/>
        <v>7</v>
      </c>
      <c r="E59" s="226" t="str">
        <f t="shared" si="17"/>
        <v>Starter</v>
      </c>
      <c r="F59" s="230">
        <f t="shared" si="18"/>
        <v>10000000</v>
      </c>
      <c r="G59" s="236">
        <f t="shared" si="19"/>
        <v>0.15</v>
      </c>
      <c r="H59" s="230">
        <f t="shared" si="20"/>
        <v>300000</v>
      </c>
      <c r="I59" s="236">
        <f t="shared" si="21"/>
        <v>0</v>
      </c>
      <c r="J59" s="234">
        <v>10</v>
      </c>
      <c r="K59" s="234">
        <f t="shared" si="22"/>
        <v>2035</v>
      </c>
      <c r="L59" s="230">
        <f>IF(J59=1,'Model Inputs'!$B$25*(13-'Model Inputs'!$B$23)/12,'Model Inputs'!$B$25)</f>
        <v>300000</v>
      </c>
      <c r="M59" s="230">
        <f>IF(J59=1,'Model Inputs'!$B$27*(13-'Model Inputs'!$B$23)/12,IF(J59=2,'Model Inputs'!$B$27,IF(J59&lt;=MAX(3,'Model Inputs'!$B$30+1),'Model Inputs'!$B$27*(1+'Model Inputs'!$B$28)^(J59-3),'Model Inputs'!$B$27*(1+'Model Inputs'!$B$28)^(MAX(3,'Model Inputs'!$B$30+1)-3)*(1+'Model Inputs'!$B$29)^(J59-MAX(3,'Model Inputs'!$B$30+1)))))</f>
        <v>3149502.4370985711</v>
      </c>
      <c r="N59" s="236">
        <f>IF(J59&lt;=2,0,'Model Inputs'!$B$32*SIN(2*PI()*(J59-3+'Model Inputs'!$B$34)/MAX(1,'Model Inputs'!$B$33)))</f>
        <v>0.10392304845413271</v>
      </c>
      <c r="O59" s="230">
        <f t="shared" si="23"/>
        <v>3476808.331475575</v>
      </c>
      <c r="P59" s="230">
        <f t="shared" si="35"/>
        <v>2295495.7626410057</v>
      </c>
      <c r="Q59" s="230">
        <f>L59+P59+IF(J59=1,'Model Inputs'!$B$26,0)</f>
        <v>2595495.7626410057</v>
      </c>
      <c r="R59" s="230">
        <f t="shared" si="24"/>
        <v>7786487.2879230175</v>
      </c>
      <c r="S59" s="230">
        <f t="shared" si="25"/>
        <v>1800000</v>
      </c>
      <c r="T59" s="230">
        <f t="shared" si="26"/>
        <v>1800000</v>
      </c>
      <c r="U59" s="230">
        <f>MIN(T59,'Tax Assumptions'!$B$19)</f>
        <v>24500</v>
      </c>
      <c r="V59" s="230">
        <f>MAX(T59-U59-'Tax Assumptions'!$B$8,0)</f>
        <v>1759400</v>
      </c>
      <c r="W59" s="230">
        <f>MAX(T59-U59-'Tax Assumptions'!$B$9,0)</f>
        <v>1767500</v>
      </c>
      <c r="X59" s="230">
        <f>IF(V59=0,0,LOOKUP(V59,'Tax Assumptions'!$F$9:$F$15,'Tax Assumptions'!$I$9:$I$15)+(V59-LOOKUP(V59,'Tax Assumptions'!$F$9:$F$15,'Tax Assumptions'!$F$9:$F$15))*LOOKUP(V59,'Tax Assumptions'!$F$9:$F$15,'Tax Assumptions'!$H$9:$H$15))+MIN(MAX(T59,0),'Tax Assumptions'!$B$11)*'Tax Assumptions'!$B$10+MAX(T59,0)*'Tax Assumptions'!$B$12+MAX(MAX(T59,0)-'Tax Assumptions'!$B$14,0)*'Tax Assumptions'!$B$13+MIN(T59*'Tax Assumptions'!$B$15,'Tax Assumptions'!$B$16)+MIN(T59*'Tax Assumptions'!$B$17,'Tax Assumptions'!$B$18)+IF(W59=0,0,LOOKUP(W59,'Tax Assumptions'!$K$9:$K$17,'Tax Assumptions'!$N$9:$N$17)+(W59-LOOKUP(W59,'Tax Assumptions'!$K$9:$K$17,'Tax Assumptions'!$K$9:$K$17))*LOOKUP(W59,'Tax Assumptions'!$K$9:$K$17,'Tax Assumptions'!$M$9:$M$17))+IF(W59=0,0,LOOKUP(W59,'Tax Assumptions'!$P$9:$P$12,'Tax Assumptions'!$S$9:$S$12)+(W59-LOOKUP(W59,'Tax Assumptions'!$P$9:$P$12,'Tax Assumptions'!$P$9:$P$12))*LOOKUP(W59,'Tax Assumptions'!$P$9:$P$12,'Tax Assumptions'!$R$9:$R$12))</f>
        <v>865478.63500000001</v>
      </c>
      <c r="Y59" s="230">
        <f t="shared" si="27"/>
        <v>910021.36499999999</v>
      </c>
      <c r="Z59" s="230">
        <f>IF(J59&lt;=10,INDEX('Savings Projection'!$BL$19:$BL$28,J59),LOOKUP(2,1/('Savings Projection'!$BL$19:$BL$28&lt;&gt;""),'Savings Projection'!$BL$19:$BL$28))*(1+'Model Inputs'!$B$35)^(J59-1)+IF(J59&lt;=10,INDEX('Savings Projection'!$BM$19:$BM$28,J59),LOOKUP(2,1/('Savings Projection'!$BM$19:$BM$28&lt;&gt;""),'Savings Projection'!$BM$19:$BM$28))*(1+'Model Inputs'!$B$36)^(J59-1)</f>
        <v>169620.51389780178</v>
      </c>
      <c r="AA59" s="230">
        <f t="shared" si="28"/>
        <v>740400.85110219824</v>
      </c>
      <c r="AB59" s="230">
        <f>MIN(MAX(AA59,0),'Tax Assumptions'!$B$20)</f>
        <v>7500</v>
      </c>
      <c r="AC59" s="230">
        <f t="shared" si="29"/>
        <v>732900.85110219824</v>
      </c>
      <c r="AD59" s="230">
        <f>MAX(AD58*(1+'Model Inputs'!$B$13)+AC59,0)</f>
        <v>9249916.5062618405</v>
      </c>
      <c r="AE59" s="230">
        <f>MAX(AE58*(1+'Model Inputs'!$B$13)+U59+AB59,0)</f>
        <v>421785.43815618864</v>
      </c>
      <c r="AF59" s="230">
        <f t="shared" si="30"/>
        <v>9671701.9444180299</v>
      </c>
      <c r="AG59" s="226" t="str">
        <f t="shared" si="31"/>
        <v/>
      </c>
      <c r="AH59" s="226" t="str">
        <f t="shared" si="32"/>
        <v/>
      </c>
      <c r="AI59" s="226" t="str">
        <f t="shared" si="33"/>
        <v/>
      </c>
      <c r="AJ59" s="226" t="str">
        <f t="shared" si="34"/>
        <v/>
      </c>
    </row>
    <row r="60" spans="1:36" ht="18" customHeight="1" x14ac:dyDescent="0.2">
      <c r="A60" s="226" t="str">
        <f t="shared" si="13"/>
        <v>3Y -&gt; PM Y7 Starter</v>
      </c>
      <c r="B60" s="226">
        <f t="shared" si="14"/>
        <v>3</v>
      </c>
      <c r="C60" s="235">
        <f t="shared" si="15"/>
        <v>3</v>
      </c>
      <c r="D60" s="226">
        <f t="shared" si="16"/>
        <v>7</v>
      </c>
      <c r="E60" s="226" t="str">
        <f t="shared" si="17"/>
        <v>Starter</v>
      </c>
      <c r="F60" s="230">
        <f t="shared" si="18"/>
        <v>10000000</v>
      </c>
      <c r="G60" s="236">
        <f t="shared" si="19"/>
        <v>0.15</v>
      </c>
      <c r="H60" s="230">
        <f t="shared" si="20"/>
        <v>300000</v>
      </c>
      <c r="I60" s="236">
        <f t="shared" si="21"/>
        <v>0</v>
      </c>
      <c r="J60" s="234">
        <v>11</v>
      </c>
      <c r="K60" s="234">
        <f t="shared" si="22"/>
        <v>2036</v>
      </c>
      <c r="L60" s="230">
        <f>IF(J60=1,'Model Inputs'!$B$25*(13-'Model Inputs'!$B$23)/12,'Model Inputs'!$B$25)</f>
        <v>300000</v>
      </c>
      <c r="M60" s="230">
        <f>IF(J60=1,'Model Inputs'!$B$27*(13-'Model Inputs'!$B$23)/12,IF(J60=2,'Model Inputs'!$B$27,IF(J60&lt;=MAX(3,'Model Inputs'!$B$30+1),'Model Inputs'!$B$27*(1+'Model Inputs'!$B$28)^(J60-3),'Model Inputs'!$B$27*(1+'Model Inputs'!$B$28)^(MAX(3,'Model Inputs'!$B$30+1)-3)*(1+'Model Inputs'!$B$29)^(J60-MAX(3,'Model Inputs'!$B$30+1)))))</f>
        <v>4002631.578947369</v>
      </c>
      <c r="N60" s="236">
        <f>IF(J60&lt;=2,0,'Model Inputs'!$B$32*SIN(2*PI()*(J60-3+'Model Inputs'!$B$34)/MAX(1,'Model Inputs'!$B$33)))</f>
        <v>-0.10392304845413253</v>
      </c>
      <c r="O60" s="230">
        <f t="shared" si="23"/>
        <v>3586665.9034243808</v>
      </c>
      <c r="P60" s="230">
        <f t="shared" si="35"/>
        <v>3227158.9981941464</v>
      </c>
      <c r="Q60" s="230">
        <f>L60+P60+IF(J60=1,'Model Inputs'!$B$26,0)</f>
        <v>3527158.9981941464</v>
      </c>
      <c r="R60" s="230">
        <f t="shared" si="24"/>
        <v>10581476.994582439</v>
      </c>
      <c r="S60" s="230">
        <f t="shared" si="25"/>
        <v>1800000</v>
      </c>
      <c r="T60" s="230">
        <f t="shared" si="26"/>
        <v>1800000</v>
      </c>
      <c r="U60" s="230">
        <f>MIN(T60,'Tax Assumptions'!$B$19)</f>
        <v>24500</v>
      </c>
      <c r="V60" s="230">
        <f>MAX(T60-U60-'Tax Assumptions'!$B$8,0)</f>
        <v>1759400</v>
      </c>
      <c r="W60" s="230">
        <f>MAX(T60-U60-'Tax Assumptions'!$B$9,0)</f>
        <v>1767500</v>
      </c>
      <c r="X60" s="230">
        <f>IF(V60=0,0,LOOKUP(V60,'Tax Assumptions'!$F$9:$F$15,'Tax Assumptions'!$I$9:$I$15)+(V60-LOOKUP(V60,'Tax Assumptions'!$F$9:$F$15,'Tax Assumptions'!$F$9:$F$15))*LOOKUP(V60,'Tax Assumptions'!$F$9:$F$15,'Tax Assumptions'!$H$9:$H$15))+MIN(MAX(T60,0),'Tax Assumptions'!$B$11)*'Tax Assumptions'!$B$10+MAX(T60,0)*'Tax Assumptions'!$B$12+MAX(MAX(T60,0)-'Tax Assumptions'!$B$14,0)*'Tax Assumptions'!$B$13+MIN(T60*'Tax Assumptions'!$B$15,'Tax Assumptions'!$B$16)+MIN(T60*'Tax Assumptions'!$B$17,'Tax Assumptions'!$B$18)+IF(W60=0,0,LOOKUP(W60,'Tax Assumptions'!$K$9:$K$17,'Tax Assumptions'!$N$9:$N$17)+(W60-LOOKUP(W60,'Tax Assumptions'!$K$9:$K$17,'Tax Assumptions'!$K$9:$K$17))*LOOKUP(W60,'Tax Assumptions'!$K$9:$K$17,'Tax Assumptions'!$M$9:$M$17))+IF(W60=0,0,LOOKUP(W60,'Tax Assumptions'!$P$9:$P$12,'Tax Assumptions'!$S$9:$S$12)+(W60-LOOKUP(W60,'Tax Assumptions'!$P$9:$P$12,'Tax Assumptions'!$P$9:$P$12))*LOOKUP(W60,'Tax Assumptions'!$P$9:$P$12,'Tax Assumptions'!$R$9:$R$12))</f>
        <v>865478.63500000001</v>
      </c>
      <c r="Y60" s="230">
        <f t="shared" si="27"/>
        <v>910021.36499999999</v>
      </c>
      <c r="Z60" s="230">
        <f>IF(J60&lt;=10,INDEX('Savings Projection'!$BL$19:$BL$28,J60),LOOKUP(2,1/('Savings Projection'!$BL$19:$BL$28&lt;&gt;""),'Savings Projection'!$BL$19:$BL$28))*(1+'Model Inputs'!$B$35)^(J60-1)+IF(J60&lt;=10,INDEX('Savings Projection'!$BM$19:$BM$28,J60),LOOKUP(2,1/('Savings Projection'!$BM$19:$BM$28&lt;&gt;""),'Savings Projection'!$BM$19:$BM$28))*(1+'Model Inputs'!$B$36)^(J60-1)</f>
        <v>174709.12931473582</v>
      </c>
      <c r="AA60" s="230">
        <f t="shared" si="28"/>
        <v>735312.23568526423</v>
      </c>
      <c r="AB60" s="230">
        <f>MIN(MAX(AA60,0),'Tax Assumptions'!$B$20)</f>
        <v>7500</v>
      </c>
      <c r="AC60" s="230">
        <f t="shared" si="29"/>
        <v>727812.23568526423</v>
      </c>
      <c r="AD60" s="230">
        <f>MAX(AD59*(1+'Model Inputs'!$B$13)+AC60,0)</f>
        <v>10532723.732322816</v>
      </c>
      <c r="AE60" s="230">
        <f>MAX(AE59*(1+'Model Inputs'!$B$13)+U60+AB60,0)</f>
        <v>479092.56444555998</v>
      </c>
      <c r="AF60" s="230">
        <f t="shared" si="30"/>
        <v>11011816.296768377</v>
      </c>
      <c r="AG60" s="226" t="str">
        <f t="shared" si="31"/>
        <v/>
      </c>
      <c r="AH60" s="226" t="str">
        <f t="shared" si="32"/>
        <v/>
      </c>
      <c r="AI60" s="226" t="str">
        <f t="shared" si="33"/>
        <v/>
      </c>
      <c r="AJ60" s="226" t="str">
        <f t="shared" si="34"/>
        <v/>
      </c>
    </row>
    <row r="61" spans="1:36" ht="18" customHeight="1" x14ac:dyDescent="0.2">
      <c r="A61" s="226" t="str">
        <f t="shared" si="13"/>
        <v>3Y -&gt; PM Y7 Starter</v>
      </c>
      <c r="B61" s="226">
        <f t="shared" si="14"/>
        <v>3</v>
      </c>
      <c r="C61" s="235">
        <f t="shared" si="15"/>
        <v>3</v>
      </c>
      <c r="D61" s="226">
        <f t="shared" si="16"/>
        <v>7</v>
      </c>
      <c r="E61" s="226" t="str">
        <f t="shared" si="17"/>
        <v>Starter</v>
      </c>
      <c r="F61" s="230">
        <f t="shared" si="18"/>
        <v>10000000</v>
      </c>
      <c r="G61" s="236">
        <f t="shared" si="19"/>
        <v>0.15</v>
      </c>
      <c r="H61" s="230">
        <f t="shared" si="20"/>
        <v>300000</v>
      </c>
      <c r="I61" s="236">
        <f t="shared" si="21"/>
        <v>0</v>
      </c>
      <c r="J61" s="234">
        <v>12</v>
      </c>
      <c r="K61" s="234">
        <f t="shared" si="22"/>
        <v>2037</v>
      </c>
      <c r="L61" s="230">
        <f>IF(J61=1,'Model Inputs'!$B$25*(13-'Model Inputs'!$B$23)/12,'Model Inputs'!$B$25)</f>
        <v>300000</v>
      </c>
      <c r="M61" s="230">
        <f>IF(J61=1,'Model Inputs'!$B$27*(13-'Model Inputs'!$B$23)/12,IF(J61=2,'Model Inputs'!$B$27,IF(J61&lt;=MAX(3,'Model Inputs'!$B$30+1),'Model Inputs'!$B$27*(1+'Model Inputs'!$B$28)^(J61-3),'Model Inputs'!$B$27*(1+'Model Inputs'!$B$28)^(MAX(3,'Model Inputs'!$B$30+1)-3)*(1+'Model Inputs'!$B$29)^(J61-MAX(3,'Model Inputs'!$B$30+1)))))</f>
        <v>5086854.15450761</v>
      </c>
      <c r="N61" s="236">
        <f>IF(J61&lt;=2,0,'Model Inputs'!$B$32*SIN(2*PI()*(J61-3+'Model Inputs'!$B$34)/MAX(1,'Model Inputs'!$B$33)))</f>
        <v>-8.8174569538609421E-17</v>
      </c>
      <c r="O61" s="230">
        <f t="shared" si="23"/>
        <v>5086854.1545076091</v>
      </c>
      <c r="P61" s="230">
        <f t="shared" si="35"/>
        <v>3559201.5104371794</v>
      </c>
      <c r="Q61" s="230">
        <f>L61+P61+IF(J61=1,'Model Inputs'!$B$26,0)</f>
        <v>3859201.5104371794</v>
      </c>
      <c r="R61" s="230">
        <f t="shared" si="24"/>
        <v>11577604.531311538</v>
      </c>
      <c r="S61" s="230">
        <f t="shared" si="25"/>
        <v>1800000</v>
      </c>
      <c r="T61" s="230">
        <f t="shared" si="26"/>
        <v>1800000</v>
      </c>
      <c r="U61" s="230">
        <f>MIN(T61,'Tax Assumptions'!$B$19)</f>
        <v>24500</v>
      </c>
      <c r="V61" s="230">
        <f>MAX(T61-U61-'Tax Assumptions'!$B$8,0)</f>
        <v>1759400</v>
      </c>
      <c r="W61" s="230">
        <f>MAX(T61-U61-'Tax Assumptions'!$B$9,0)</f>
        <v>1767500</v>
      </c>
      <c r="X61" s="230">
        <f>IF(V61=0,0,LOOKUP(V61,'Tax Assumptions'!$F$9:$F$15,'Tax Assumptions'!$I$9:$I$15)+(V61-LOOKUP(V61,'Tax Assumptions'!$F$9:$F$15,'Tax Assumptions'!$F$9:$F$15))*LOOKUP(V61,'Tax Assumptions'!$F$9:$F$15,'Tax Assumptions'!$H$9:$H$15))+MIN(MAX(T61,0),'Tax Assumptions'!$B$11)*'Tax Assumptions'!$B$10+MAX(T61,0)*'Tax Assumptions'!$B$12+MAX(MAX(T61,0)-'Tax Assumptions'!$B$14,0)*'Tax Assumptions'!$B$13+MIN(T61*'Tax Assumptions'!$B$15,'Tax Assumptions'!$B$16)+MIN(T61*'Tax Assumptions'!$B$17,'Tax Assumptions'!$B$18)+IF(W61=0,0,LOOKUP(W61,'Tax Assumptions'!$K$9:$K$17,'Tax Assumptions'!$N$9:$N$17)+(W61-LOOKUP(W61,'Tax Assumptions'!$K$9:$K$17,'Tax Assumptions'!$K$9:$K$17))*LOOKUP(W61,'Tax Assumptions'!$K$9:$K$17,'Tax Assumptions'!$M$9:$M$17))+IF(W61=0,0,LOOKUP(W61,'Tax Assumptions'!$P$9:$P$12,'Tax Assumptions'!$S$9:$S$12)+(W61-LOOKUP(W61,'Tax Assumptions'!$P$9:$P$12,'Tax Assumptions'!$P$9:$P$12))*LOOKUP(W61,'Tax Assumptions'!$P$9:$P$12,'Tax Assumptions'!$R$9:$R$12))</f>
        <v>865478.63500000001</v>
      </c>
      <c r="Y61" s="230">
        <f t="shared" si="27"/>
        <v>910021.36499999999</v>
      </c>
      <c r="Z61" s="230">
        <f>IF(J61&lt;=10,INDEX('Savings Projection'!$BL$19:$BL$28,J61),LOOKUP(2,1/('Savings Projection'!$BL$19:$BL$28&lt;&gt;""),'Savings Projection'!$BL$19:$BL$28))*(1+'Model Inputs'!$B$35)^(J61-1)+IF(J61&lt;=10,INDEX('Savings Projection'!$BM$19:$BM$28,J61),LOOKUP(2,1/('Savings Projection'!$BM$19:$BM$28&lt;&gt;""),'Savings Projection'!$BM$19:$BM$28))*(1+'Model Inputs'!$B$36)^(J61-1)</f>
        <v>179950.4031941779</v>
      </c>
      <c r="AA61" s="230">
        <f t="shared" si="28"/>
        <v>730070.96180582209</v>
      </c>
      <c r="AB61" s="230">
        <f>MIN(MAX(AA61,0),'Tax Assumptions'!$B$20)</f>
        <v>7500</v>
      </c>
      <c r="AC61" s="230">
        <f t="shared" si="29"/>
        <v>722570.96180582209</v>
      </c>
      <c r="AD61" s="230">
        <f>MAX(AD60*(1+'Model Inputs'!$B$13)+AC61,0)</f>
        <v>11887258.118068008</v>
      </c>
      <c r="AE61" s="230">
        <f>MAX(AE60*(1+'Model Inputs'!$B$13)+U61+AB61,0)</f>
        <v>539838.11831229366</v>
      </c>
      <c r="AF61" s="230">
        <f t="shared" si="30"/>
        <v>12427096.236380301</v>
      </c>
      <c r="AG61" s="226" t="str">
        <f t="shared" si="31"/>
        <v/>
      </c>
      <c r="AH61" s="226" t="str">
        <f t="shared" si="32"/>
        <v/>
      </c>
      <c r="AI61" s="226" t="str">
        <f t="shared" si="33"/>
        <v/>
      </c>
      <c r="AJ61" s="226" t="str">
        <f t="shared" si="34"/>
        <v/>
      </c>
    </row>
    <row r="62" spans="1:36" ht="18" customHeight="1" x14ac:dyDescent="0.2">
      <c r="A62" s="226" t="str">
        <f t="shared" si="13"/>
        <v>3Y -&gt; PM Y7 Starter</v>
      </c>
      <c r="B62" s="226">
        <f t="shared" si="14"/>
        <v>3</v>
      </c>
      <c r="C62" s="235">
        <f t="shared" si="15"/>
        <v>3</v>
      </c>
      <c r="D62" s="226">
        <f t="shared" si="16"/>
        <v>7</v>
      </c>
      <c r="E62" s="226" t="str">
        <f t="shared" si="17"/>
        <v>Starter</v>
      </c>
      <c r="F62" s="230">
        <f t="shared" si="18"/>
        <v>10000000</v>
      </c>
      <c r="G62" s="236">
        <f t="shared" si="19"/>
        <v>0.15</v>
      </c>
      <c r="H62" s="230">
        <f t="shared" si="20"/>
        <v>300000</v>
      </c>
      <c r="I62" s="236">
        <f t="shared" si="21"/>
        <v>0</v>
      </c>
      <c r="J62" s="234">
        <v>13</v>
      </c>
      <c r="K62" s="234">
        <f t="shared" si="22"/>
        <v>2038</v>
      </c>
      <c r="L62" s="230">
        <f>IF(J62=1,'Model Inputs'!$B$25*(13-'Model Inputs'!$B$23)/12,'Model Inputs'!$B$25)</f>
        <v>300000</v>
      </c>
      <c r="M62" s="230">
        <f>IF(J62=1,'Model Inputs'!$B$27*(13-'Model Inputs'!$B$23)/12,IF(J62=2,'Model Inputs'!$B$27,IF(J62&lt;=MAX(3,'Model Inputs'!$B$30+1),'Model Inputs'!$B$27*(1+'Model Inputs'!$B$28)^(J62-3),'Model Inputs'!$B$27*(1+'Model Inputs'!$B$28)^(MAX(3,'Model Inputs'!$B$30+1)-3)*(1+'Model Inputs'!$B$29)^(J62-MAX(3,'Model Inputs'!$B$30+1)))))</f>
        <v>6464768.1603602255</v>
      </c>
      <c r="N62" s="236">
        <f>IF(J62&lt;=2,0,'Model Inputs'!$B$32*SIN(2*PI()*(J62-3+'Model Inputs'!$B$34)/MAX(1,'Model Inputs'!$B$33)))</f>
        <v>0.10392304845413261</v>
      </c>
      <c r="O62" s="230">
        <f t="shared" si="23"/>
        <v>7136606.5751340752</v>
      </c>
      <c r="P62" s="230">
        <f t="shared" si="35"/>
        <v>4711807.0917368019</v>
      </c>
      <c r="Q62" s="230">
        <f>L62+P62+IF(J62=1,'Model Inputs'!$B$26,0)</f>
        <v>5011807.0917368019</v>
      </c>
      <c r="R62" s="230">
        <f t="shared" si="24"/>
        <v>15035421.275210407</v>
      </c>
      <c r="S62" s="230">
        <f t="shared" si="25"/>
        <v>1800000</v>
      </c>
      <c r="T62" s="230">
        <f t="shared" si="26"/>
        <v>1800000</v>
      </c>
      <c r="U62" s="230">
        <f>MIN(T62,'Tax Assumptions'!$B$19)</f>
        <v>24500</v>
      </c>
      <c r="V62" s="230">
        <f>MAX(T62-U62-'Tax Assumptions'!$B$8,0)</f>
        <v>1759400</v>
      </c>
      <c r="W62" s="230">
        <f>MAX(T62-U62-'Tax Assumptions'!$B$9,0)</f>
        <v>1767500</v>
      </c>
      <c r="X62" s="230">
        <f>IF(V62=0,0,LOOKUP(V62,'Tax Assumptions'!$F$9:$F$15,'Tax Assumptions'!$I$9:$I$15)+(V62-LOOKUP(V62,'Tax Assumptions'!$F$9:$F$15,'Tax Assumptions'!$F$9:$F$15))*LOOKUP(V62,'Tax Assumptions'!$F$9:$F$15,'Tax Assumptions'!$H$9:$H$15))+MIN(MAX(T62,0),'Tax Assumptions'!$B$11)*'Tax Assumptions'!$B$10+MAX(T62,0)*'Tax Assumptions'!$B$12+MAX(MAX(T62,0)-'Tax Assumptions'!$B$14,0)*'Tax Assumptions'!$B$13+MIN(T62*'Tax Assumptions'!$B$15,'Tax Assumptions'!$B$16)+MIN(T62*'Tax Assumptions'!$B$17,'Tax Assumptions'!$B$18)+IF(W62=0,0,LOOKUP(W62,'Tax Assumptions'!$K$9:$K$17,'Tax Assumptions'!$N$9:$N$17)+(W62-LOOKUP(W62,'Tax Assumptions'!$K$9:$K$17,'Tax Assumptions'!$K$9:$K$17))*LOOKUP(W62,'Tax Assumptions'!$K$9:$K$17,'Tax Assumptions'!$M$9:$M$17))+IF(W62=0,0,LOOKUP(W62,'Tax Assumptions'!$P$9:$P$12,'Tax Assumptions'!$S$9:$S$12)+(W62-LOOKUP(W62,'Tax Assumptions'!$P$9:$P$12,'Tax Assumptions'!$P$9:$P$12))*LOOKUP(W62,'Tax Assumptions'!$P$9:$P$12,'Tax Assumptions'!$R$9:$R$12))</f>
        <v>865478.63500000001</v>
      </c>
      <c r="Y62" s="230">
        <f t="shared" si="27"/>
        <v>910021.36499999999</v>
      </c>
      <c r="Z62" s="230">
        <f>IF(J62&lt;=10,INDEX('Savings Projection'!$BL$19:$BL$28,J62),LOOKUP(2,1/('Savings Projection'!$BL$19:$BL$28&lt;&gt;""),'Savings Projection'!$BL$19:$BL$28))*(1+'Model Inputs'!$B$35)^(J62-1)+IF(J62&lt;=10,INDEX('Savings Projection'!$BM$19:$BM$28,J62),LOOKUP(2,1/('Savings Projection'!$BM$19:$BM$28&lt;&gt;""),'Savings Projection'!$BM$19:$BM$28))*(1+'Model Inputs'!$B$36)^(J62-1)</f>
        <v>185348.91529000323</v>
      </c>
      <c r="AA62" s="230">
        <f t="shared" si="28"/>
        <v>724672.44970999681</v>
      </c>
      <c r="AB62" s="230">
        <f>MIN(MAX(AA62,0),'Tax Assumptions'!$B$20)</f>
        <v>7500</v>
      </c>
      <c r="AC62" s="230">
        <f t="shared" si="29"/>
        <v>717172.44970999681</v>
      </c>
      <c r="AD62" s="230">
        <f>MAX(AD61*(1+'Model Inputs'!$B$13)+AC62,0)</f>
        <v>13317666.054862086</v>
      </c>
      <c r="AE62" s="230">
        <f>MAX(AE61*(1+'Model Inputs'!$B$13)+U62+AB62,0)</f>
        <v>604228.40541103133</v>
      </c>
      <c r="AF62" s="230">
        <f t="shared" si="30"/>
        <v>13921894.460273117</v>
      </c>
      <c r="AG62" s="226" t="str">
        <f t="shared" si="31"/>
        <v/>
      </c>
      <c r="AH62" s="226" t="str">
        <f t="shared" si="32"/>
        <v/>
      </c>
      <c r="AI62" s="226" t="str">
        <f t="shared" si="33"/>
        <v/>
      </c>
      <c r="AJ62" s="226" t="str">
        <f t="shared" si="34"/>
        <v/>
      </c>
    </row>
    <row r="63" spans="1:36" ht="18" customHeight="1" x14ac:dyDescent="0.2">
      <c r="A63" s="226" t="str">
        <f t="shared" si="13"/>
        <v>3Y -&gt; PM Y7 Starter</v>
      </c>
      <c r="B63" s="226">
        <f t="shared" si="14"/>
        <v>3</v>
      </c>
      <c r="C63" s="235">
        <f t="shared" si="15"/>
        <v>3</v>
      </c>
      <c r="D63" s="226">
        <f t="shared" si="16"/>
        <v>7</v>
      </c>
      <c r="E63" s="226" t="str">
        <f t="shared" si="17"/>
        <v>Starter</v>
      </c>
      <c r="F63" s="230">
        <f t="shared" si="18"/>
        <v>10000000</v>
      </c>
      <c r="G63" s="236">
        <f t="shared" si="19"/>
        <v>0.15</v>
      </c>
      <c r="H63" s="230">
        <f t="shared" si="20"/>
        <v>300000</v>
      </c>
      <c r="I63" s="236">
        <f t="shared" si="21"/>
        <v>0</v>
      </c>
      <c r="J63" s="234">
        <v>14</v>
      </c>
      <c r="K63" s="234">
        <f t="shared" si="22"/>
        <v>2039</v>
      </c>
      <c r="L63" s="230">
        <f>IF(J63=1,'Model Inputs'!$B$25*(13-'Model Inputs'!$B$23)/12,'Model Inputs'!$B$25)</f>
        <v>300000</v>
      </c>
      <c r="M63" s="230">
        <f>IF(J63=1,'Model Inputs'!$B$27*(13-'Model Inputs'!$B$23)/12,IF(J63=2,'Model Inputs'!$B$27,IF(J63&lt;=MAX(3,'Model Inputs'!$B$30+1),'Model Inputs'!$B$27*(1+'Model Inputs'!$B$28)^(J63-3),'Model Inputs'!$B$27*(1+'Model Inputs'!$B$28)^(MAX(3,'Model Inputs'!$B$30+1)-3)*(1+'Model Inputs'!$B$29)^(J63-MAX(3,'Model Inputs'!$B$30+1)))))</f>
        <v>8215927.9778393377</v>
      </c>
      <c r="N63" s="236">
        <f>IF(J63&lt;=2,0,'Model Inputs'!$B$32*SIN(2*PI()*(J63-3+'Model Inputs'!$B$34)/MAX(1,'Model Inputs'!$B$33)))</f>
        <v>-0.10392304845413251</v>
      </c>
      <c r="O63" s="230">
        <f t="shared" si="23"/>
        <v>7362103.6965026772</v>
      </c>
      <c r="P63" s="230">
        <f t="shared" si="35"/>
        <v>6624168.4699774589</v>
      </c>
      <c r="Q63" s="230">
        <f>L63+P63+IF(J63=1,'Model Inputs'!$B$26,0)</f>
        <v>6924168.4699774589</v>
      </c>
      <c r="R63" s="230">
        <f t="shared" si="24"/>
        <v>20772505.409932375</v>
      </c>
      <c r="S63" s="230">
        <f t="shared" si="25"/>
        <v>1800000</v>
      </c>
      <c r="T63" s="230">
        <f t="shared" si="26"/>
        <v>1800000</v>
      </c>
      <c r="U63" s="230">
        <f>MIN(T63,'Tax Assumptions'!$B$19)</f>
        <v>24500</v>
      </c>
      <c r="V63" s="230">
        <f>MAX(T63-U63-'Tax Assumptions'!$B$8,0)</f>
        <v>1759400</v>
      </c>
      <c r="W63" s="230">
        <f>MAX(T63-U63-'Tax Assumptions'!$B$9,0)</f>
        <v>1767500</v>
      </c>
      <c r="X63" s="230">
        <f>IF(V63=0,0,LOOKUP(V63,'Tax Assumptions'!$F$9:$F$15,'Tax Assumptions'!$I$9:$I$15)+(V63-LOOKUP(V63,'Tax Assumptions'!$F$9:$F$15,'Tax Assumptions'!$F$9:$F$15))*LOOKUP(V63,'Tax Assumptions'!$F$9:$F$15,'Tax Assumptions'!$H$9:$H$15))+MIN(MAX(T63,0),'Tax Assumptions'!$B$11)*'Tax Assumptions'!$B$10+MAX(T63,0)*'Tax Assumptions'!$B$12+MAX(MAX(T63,0)-'Tax Assumptions'!$B$14,0)*'Tax Assumptions'!$B$13+MIN(T63*'Tax Assumptions'!$B$15,'Tax Assumptions'!$B$16)+MIN(T63*'Tax Assumptions'!$B$17,'Tax Assumptions'!$B$18)+IF(W63=0,0,LOOKUP(W63,'Tax Assumptions'!$K$9:$K$17,'Tax Assumptions'!$N$9:$N$17)+(W63-LOOKUP(W63,'Tax Assumptions'!$K$9:$K$17,'Tax Assumptions'!$K$9:$K$17))*LOOKUP(W63,'Tax Assumptions'!$K$9:$K$17,'Tax Assumptions'!$M$9:$M$17))+IF(W63=0,0,LOOKUP(W63,'Tax Assumptions'!$P$9:$P$12,'Tax Assumptions'!$S$9:$S$12)+(W63-LOOKUP(W63,'Tax Assumptions'!$P$9:$P$12,'Tax Assumptions'!$P$9:$P$12))*LOOKUP(W63,'Tax Assumptions'!$P$9:$P$12,'Tax Assumptions'!$R$9:$R$12))</f>
        <v>865478.63500000001</v>
      </c>
      <c r="Y63" s="230">
        <f t="shared" si="27"/>
        <v>910021.36499999999</v>
      </c>
      <c r="Z63" s="230">
        <f>IF(J63&lt;=10,INDEX('Savings Projection'!$BL$19:$BL$28,J63),LOOKUP(2,1/('Savings Projection'!$BL$19:$BL$28&lt;&gt;""),'Savings Projection'!$BL$19:$BL$28))*(1+'Model Inputs'!$B$35)^(J63-1)+IF(J63&lt;=10,INDEX('Savings Projection'!$BM$19:$BM$28,J63),LOOKUP(2,1/('Savings Projection'!$BM$19:$BM$28&lt;&gt;""),'Savings Projection'!$BM$19:$BM$28))*(1+'Model Inputs'!$B$36)^(J63-1)</f>
        <v>190909.3827487033</v>
      </c>
      <c r="AA63" s="230">
        <f t="shared" si="28"/>
        <v>719111.98225129675</v>
      </c>
      <c r="AB63" s="230">
        <f>MIN(MAX(AA63,0),'Tax Assumptions'!$B$20)</f>
        <v>7500</v>
      </c>
      <c r="AC63" s="230">
        <f t="shared" si="29"/>
        <v>711611.98225129675</v>
      </c>
      <c r="AD63" s="230">
        <f>MAX(AD62*(1+'Model Inputs'!$B$13)+AC63,0)</f>
        <v>14828338.000405107</v>
      </c>
      <c r="AE63" s="230">
        <f>MAX(AE62*(1+'Model Inputs'!$B$13)+U63+AB63,0)</f>
        <v>672482.1097356932</v>
      </c>
      <c r="AF63" s="230">
        <f t="shared" si="30"/>
        <v>15500820.1101408</v>
      </c>
      <c r="AG63" s="226">
        <f t="shared" si="31"/>
        <v>14</v>
      </c>
      <c r="AH63" s="226" t="str">
        <f t="shared" si="32"/>
        <v/>
      </c>
      <c r="AI63" s="226" t="str">
        <f t="shared" si="33"/>
        <v/>
      </c>
      <c r="AJ63" s="226" t="str">
        <f t="shared" si="34"/>
        <v/>
      </c>
    </row>
    <row r="64" spans="1:36" ht="18" customHeight="1" x14ac:dyDescent="0.2">
      <c r="A64" s="226" t="str">
        <f t="shared" si="13"/>
        <v>3Y -&gt; PM Y7 Starter</v>
      </c>
      <c r="B64" s="226">
        <f t="shared" si="14"/>
        <v>3</v>
      </c>
      <c r="C64" s="235">
        <f t="shared" si="15"/>
        <v>3</v>
      </c>
      <c r="D64" s="226">
        <f t="shared" si="16"/>
        <v>7</v>
      </c>
      <c r="E64" s="226" t="str">
        <f t="shared" si="17"/>
        <v>Starter</v>
      </c>
      <c r="F64" s="230">
        <f t="shared" si="18"/>
        <v>10000000</v>
      </c>
      <c r="G64" s="236">
        <f t="shared" si="19"/>
        <v>0.15</v>
      </c>
      <c r="H64" s="230">
        <f t="shared" si="20"/>
        <v>300000</v>
      </c>
      <c r="I64" s="236">
        <f t="shared" si="21"/>
        <v>0</v>
      </c>
      <c r="J64" s="234">
        <v>15</v>
      </c>
      <c r="K64" s="234">
        <f t="shared" si="22"/>
        <v>2040</v>
      </c>
      <c r="L64" s="230">
        <f>IF(J64=1,'Model Inputs'!$B$25*(13-'Model Inputs'!$B$23)/12,'Model Inputs'!$B$25)</f>
        <v>300000</v>
      </c>
      <c r="M64" s="230">
        <f>IF(J64=1,'Model Inputs'!$B$27*(13-'Model Inputs'!$B$23)/12,IF(J64=2,'Model Inputs'!$B$27,IF(J64&lt;=MAX(3,'Model Inputs'!$B$30+1),'Model Inputs'!$B$27*(1+'Model Inputs'!$B$28)^(J64-3),'Model Inputs'!$B$27*(1+'Model Inputs'!$B$28)^(MAX(3,'Model Inputs'!$B$30+1)-3)*(1+'Model Inputs'!$B$29)^(J64-MAX(3,'Model Inputs'!$B$30+1)))))</f>
        <v>10441437.475041937</v>
      </c>
      <c r="N64" s="236">
        <f>IF(J64&lt;=2,0,'Model Inputs'!$B$32*SIN(2*PI()*(J64-3+'Model Inputs'!$B$34)/MAX(1,'Model Inputs'!$B$33)))</f>
        <v>-1.1756609271814589E-16</v>
      </c>
      <c r="O64" s="230">
        <f t="shared" si="23"/>
        <v>10441437.475041935</v>
      </c>
      <c r="P64" s="230">
        <f t="shared" si="35"/>
        <v>7305729.4161605267</v>
      </c>
      <c r="Q64" s="230">
        <f>L64+P64+IF(J64=1,'Model Inputs'!$B$26,0)</f>
        <v>7605729.4161605267</v>
      </c>
      <c r="R64" s="230">
        <f t="shared" si="24"/>
        <v>22817188.248481579</v>
      </c>
      <c r="S64" s="230">
        <f t="shared" si="25"/>
        <v>1800000</v>
      </c>
      <c r="T64" s="230">
        <f t="shared" si="26"/>
        <v>1800000</v>
      </c>
      <c r="U64" s="230">
        <f>MIN(T64,'Tax Assumptions'!$B$19)</f>
        <v>24500</v>
      </c>
      <c r="V64" s="230">
        <f>MAX(T64-U64-'Tax Assumptions'!$B$8,0)</f>
        <v>1759400</v>
      </c>
      <c r="W64" s="230">
        <f>MAX(T64-U64-'Tax Assumptions'!$B$9,0)</f>
        <v>1767500</v>
      </c>
      <c r="X64" s="230">
        <f>IF(V64=0,0,LOOKUP(V64,'Tax Assumptions'!$F$9:$F$15,'Tax Assumptions'!$I$9:$I$15)+(V64-LOOKUP(V64,'Tax Assumptions'!$F$9:$F$15,'Tax Assumptions'!$F$9:$F$15))*LOOKUP(V64,'Tax Assumptions'!$F$9:$F$15,'Tax Assumptions'!$H$9:$H$15))+MIN(MAX(T64,0),'Tax Assumptions'!$B$11)*'Tax Assumptions'!$B$10+MAX(T64,0)*'Tax Assumptions'!$B$12+MAX(MAX(T64,0)-'Tax Assumptions'!$B$14,0)*'Tax Assumptions'!$B$13+MIN(T64*'Tax Assumptions'!$B$15,'Tax Assumptions'!$B$16)+MIN(T64*'Tax Assumptions'!$B$17,'Tax Assumptions'!$B$18)+IF(W64=0,0,LOOKUP(W64,'Tax Assumptions'!$K$9:$K$17,'Tax Assumptions'!$N$9:$N$17)+(W64-LOOKUP(W64,'Tax Assumptions'!$K$9:$K$17,'Tax Assumptions'!$K$9:$K$17))*LOOKUP(W64,'Tax Assumptions'!$K$9:$K$17,'Tax Assumptions'!$M$9:$M$17))+IF(W64=0,0,LOOKUP(W64,'Tax Assumptions'!$P$9:$P$12,'Tax Assumptions'!$S$9:$S$12)+(W64-LOOKUP(W64,'Tax Assumptions'!$P$9:$P$12,'Tax Assumptions'!$P$9:$P$12))*LOOKUP(W64,'Tax Assumptions'!$P$9:$P$12,'Tax Assumptions'!$R$9:$R$12))</f>
        <v>865478.63500000001</v>
      </c>
      <c r="Y64" s="230">
        <f t="shared" si="27"/>
        <v>910021.36499999999</v>
      </c>
      <c r="Z64" s="230">
        <f>IF(J64&lt;=10,INDEX('Savings Projection'!$BL$19:$BL$28,J64),LOOKUP(2,1/('Savings Projection'!$BL$19:$BL$28&lt;&gt;""),'Savings Projection'!$BL$19:$BL$28))*(1+'Model Inputs'!$B$35)^(J64-1)+IF(J64&lt;=10,INDEX('Savings Projection'!$BM$19:$BM$28,J64),LOOKUP(2,1/('Savings Projection'!$BM$19:$BM$28&lt;&gt;""),'Savings Projection'!$BM$19:$BM$28))*(1+'Model Inputs'!$B$36)^(J64-1)</f>
        <v>196636.66423116444</v>
      </c>
      <c r="AA64" s="230">
        <f t="shared" si="28"/>
        <v>713384.70076883561</v>
      </c>
      <c r="AB64" s="230">
        <f>MIN(MAX(AA64,0),'Tax Assumptions'!$B$20)</f>
        <v>7500</v>
      </c>
      <c r="AC64" s="230">
        <f t="shared" si="29"/>
        <v>705884.70076883561</v>
      </c>
      <c r="AD64" s="230">
        <f>MAX(AD63*(1+'Model Inputs'!$B$13)+AC64,0)</f>
        <v>16423922.981198249</v>
      </c>
      <c r="AE64" s="230">
        <f>MAX(AE63*(1+'Model Inputs'!$B$13)+U64+AB64,0)</f>
        <v>744831.03631983488</v>
      </c>
      <c r="AF64" s="230">
        <f t="shared" si="30"/>
        <v>17168754.017518084</v>
      </c>
      <c r="AG64" s="226" t="str">
        <f t="shared" si="31"/>
        <v/>
      </c>
      <c r="AH64" s="226">
        <f t="shared" si="32"/>
        <v>15</v>
      </c>
      <c r="AI64" s="226" t="str">
        <f t="shared" si="33"/>
        <v/>
      </c>
      <c r="AJ64" s="226" t="str">
        <f t="shared" si="34"/>
        <v/>
      </c>
    </row>
    <row r="65" spans="1:36" ht="18" customHeight="1" x14ac:dyDescent="0.2">
      <c r="A65" s="226" t="str">
        <f t="shared" si="13"/>
        <v>3Y -&gt; PM Y7 Starter</v>
      </c>
      <c r="B65" s="226">
        <f t="shared" si="14"/>
        <v>3</v>
      </c>
      <c r="C65" s="235">
        <f t="shared" si="15"/>
        <v>3</v>
      </c>
      <c r="D65" s="226">
        <f t="shared" si="16"/>
        <v>7</v>
      </c>
      <c r="E65" s="226" t="str">
        <f t="shared" si="17"/>
        <v>Starter</v>
      </c>
      <c r="F65" s="230">
        <f t="shared" si="18"/>
        <v>10000000</v>
      </c>
      <c r="G65" s="236">
        <f t="shared" si="19"/>
        <v>0.15</v>
      </c>
      <c r="H65" s="230">
        <f t="shared" si="20"/>
        <v>300000</v>
      </c>
      <c r="I65" s="236">
        <f t="shared" si="21"/>
        <v>0</v>
      </c>
      <c r="J65" s="234">
        <v>16</v>
      </c>
      <c r="K65" s="234">
        <f t="shared" si="22"/>
        <v>2041</v>
      </c>
      <c r="L65" s="230">
        <f>IF(J65=1,'Model Inputs'!$B$25*(13-'Model Inputs'!$B$23)/12,'Model Inputs'!$B$25)</f>
        <v>300000</v>
      </c>
      <c r="M65" s="230">
        <f>IF(J65=1,'Model Inputs'!$B$27*(13-'Model Inputs'!$B$23)/12,IF(J65=2,'Model Inputs'!$B$27,IF(J65&lt;=MAX(3,'Model Inputs'!$B$30+1),'Model Inputs'!$B$27*(1+'Model Inputs'!$B$28)^(J65-3),'Model Inputs'!$B$27*(1+'Model Inputs'!$B$28)^(MAX(3,'Model Inputs'!$B$30+1)-3)*(1+'Model Inputs'!$B$29)^(J65-MAX(3,'Model Inputs'!$B$30+1)))))</f>
        <v>13269787.276528884</v>
      </c>
      <c r="N65" s="236">
        <f>IF(J65&lt;=2,0,'Model Inputs'!$B$32*SIN(2*PI()*(J65-3+'Model Inputs'!$B$34)/MAX(1,'Model Inputs'!$B$33)))</f>
        <v>0.10392304845413262</v>
      </c>
      <c r="O65" s="230">
        <f t="shared" si="23"/>
        <v>14648824.022643628</v>
      </c>
      <c r="P65" s="230">
        <f t="shared" si="35"/>
        <v>9671604.0304071214</v>
      </c>
      <c r="Q65" s="230">
        <f>L65+P65+IF(J65=1,'Model Inputs'!$B$26,0)</f>
        <v>9971604.0304071214</v>
      </c>
      <c r="R65" s="230">
        <f t="shared" si="24"/>
        <v>29914812.091221362</v>
      </c>
      <c r="S65" s="230">
        <f t="shared" si="25"/>
        <v>1800000</v>
      </c>
      <c r="T65" s="230">
        <f t="shared" si="26"/>
        <v>1800000</v>
      </c>
      <c r="U65" s="230">
        <f>MIN(T65,'Tax Assumptions'!$B$19)</f>
        <v>24500</v>
      </c>
      <c r="V65" s="230">
        <f>MAX(T65-U65-'Tax Assumptions'!$B$8,0)</f>
        <v>1759400</v>
      </c>
      <c r="W65" s="230">
        <f>MAX(T65-U65-'Tax Assumptions'!$B$9,0)</f>
        <v>1767500</v>
      </c>
      <c r="X65" s="230">
        <f>IF(V65=0,0,LOOKUP(V65,'Tax Assumptions'!$F$9:$F$15,'Tax Assumptions'!$I$9:$I$15)+(V65-LOOKUP(V65,'Tax Assumptions'!$F$9:$F$15,'Tax Assumptions'!$F$9:$F$15))*LOOKUP(V65,'Tax Assumptions'!$F$9:$F$15,'Tax Assumptions'!$H$9:$H$15))+MIN(MAX(T65,0),'Tax Assumptions'!$B$11)*'Tax Assumptions'!$B$10+MAX(T65,0)*'Tax Assumptions'!$B$12+MAX(MAX(T65,0)-'Tax Assumptions'!$B$14,0)*'Tax Assumptions'!$B$13+MIN(T65*'Tax Assumptions'!$B$15,'Tax Assumptions'!$B$16)+MIN(T65*'Tax Assumptions'!$B$17,'Tax Assumptions'!$B$18)+IF(W65=0,0,LOOKUP(W65,'Tax Assumptions'!$K$9:$K$17,'Tax Assumptions'!$N$9:$N$17)+(W65-LOOKUP(W65,'Tax Assumptions'!$K$9:$K$17,'Tax Assumptions'!$K$9:$K$17))*LOOKUP(W65,'Tax Assumptions'!$K$9:$K$17,'Tax Assumptions'!$M$9:$M$17))+IF(W65=0,0,LOOKUP(W65,'Tax Assumptions'!$P$9:$P$12,'Tax Assumptions'!$S$9:$S$12)+(W65-LOOKUP(W65,'Tax Assumptions'!$P$9:$P$12,'Tax Assumptions'!$P$9:$P$12))*LOOKUP(W65,'Tax Assumptions'!$P$9:$P$12,'Tax Assumptions'!$R$9:$R$12))</f>
        <v>865478.63500000001</v>
      </c>
      <c r="Y65" s="230">
        <f t="shared" si="27"/>
        <v>910021.36499999999</v>
      </c>
      <c r="Z65" s="230">
        <f>IF(J65&lt;=10,INDEX('Savings Projection'!$BL$19:$BL$28,J65),LOOKUP(2,1/('Savings Projection'!$BL$19:$BL$28&lt;&gt;""),'Savings Projection'!$BL$19:$BL$28))*(1+'Model Inputs'!$B$35)^(J65-1)+IF(J65&lt;=10,INDEX('Savings Projection'!$BM$19:$BM$28,J65),LOOKUP(2,1/('Savings Projection'!$BM$19:$BM$28&lt;&gt;""),'Savings Projection'!$BM$19:$BM$28))*(1+'Model Inputs'!$B$36)^(J65-1)</f>
        <v>202535.76415809937</v>
      </c>
      <c r="AA65" s="230">
        <f t="shared" si="28"/>
        <v>707485.60084190057</v>
      </c>
      <c r="AB65" s="230">
        <f>MIN(MAX(AA65,0),'Tax Assumptions'!$B$20)</f>
        <v>7500</v>
      </c>
      <c r="AC65" s="230">
        <f t="shared" si="29"/>
        <v>699985.60084190057</v>
      </c>
      <c r="AD65" s="230">
        <f>MAX(AD64*(1+'Model Inputs'!$B$13)+AC65,0)</f>
        <v>18109343.960912049</v>
      </c>
      <c r="AE65" s="230">
        <f>MAX(AE64*(1+'Model Inputs'!$B$13)+U65+AB65,0)</f>
        <v>821520.89849902503</v>
      </c>
      <c r="AF65" s="230">
        <f t="shared" si="30"/>
        <v>18930864.859411076</v>
      </c>
      <c r="AG65" s="226" t="str">
        <f t="shared" si="31"/>
        <v/>
      </c>
      <c r="AH65" s="226" t="str">
        <f t="shared" si="32"/>
        <v/>
      </c>
      <c r="AI65" s="226">
        <f t="shared" si="33"/>
        <v>16</v>
      </c>
      <c r="AJ65" s="226" t="str">
        <f t="shared" si="34"/>
        <v/>
      </c>
    </row>
    <row r="66" spans="1:36" ht="18" customHeight="1" x14ac:dyDescent="0.2">
      <c r="A66" s="226" t="str">
        <f t="shared" si="13"/>
        <v>3Y -&gt; PM Y7 Starter</v>
      </c>
      <c r="B66" s="226">
        <f t="shared" si="14"/>
        <v>3</v>
      </c>
      <c r="C66" s="235">
        <f t="shared" si="15"/>
        <v>3</v>
      </c>
      <c r="D66" s="226">
        <f t="shared" si="16"/>
        <v>7</v>
      </c>
      <c r="E66" s="226" t="str">
        <f t="shared" si="17"/>
        <v>Starter</v>
      </c>
      <c r="F66" s="230">
        <f t="shared" si="18"/>
        <v>10000000</v>
      </c>
      <c r="G66" s="236">
        <f t="shared" si="19"/>
        <v>0.15</v>
      </c>
      <c r="H66" s="230">
        <f t="shared" si="20"/>
        <v>300000</v>
      </c>
      <c r="I66" s="236">
        <f t="shared" si="21"/>
        <v>0</v>
      </c>
      <c r="J66" s="234">
        <v>17</v>
      </c>
      <c r="K66" s="234">
        <f t="shared" si="22"/>
        <v>2042</v>
      </c>
      <c r="L66" s="230">
        <f>IF(J66=1,'Model Inputs'!$B$25*(13-'Model Inputs'!$B$23)/12,'Model Inputs'!$B$25)</f>
        <v>300000</v>
      </c>
      <c r="M66" s="230">
        <f>IF(J66=1,'Model Inputs'!$B$27*(13-'Model Inputs'!$B$23)/12,IF(J66=2,'Model Inputs'!$B$27,IF(J66&lt;=MAX(3,'Model Inputs'!$B$30+1),'Model Inputs'!$B$27*(1+'Model Inputs'!$B$28)^(J66-3),'Model Inputs'!$B$27*(1+'Model Inputs'!$B$28)^(MAX(3,'Model Inputs'!$B$30+1)-3)*(1+'Model Inputs'!$B$29)^(J66-MAX(3,'Model Inputs'!$B$30+1)))))</f>
        <v>16864273.217670217</v>
      </c>
      <c r="N66" s="236">
        <f>IF(J66&lt;=2,0,'Model Inputs'!$B$32*SIN(2*PI()*(J66-3+'Model Inputs'!$B$34)/MAX(1,'Model Inputs'!$B$33)))</f>
        <v>-0.1039230484541325</v>
      </c>
      <c r="O66" s="230">
        <f t="shared" si="23"/>
        <v>15111686.534926547</v>
      </c>
      <c r="P66" s="230">
        <f t="shared" si="35"/>
        <v>13596977.385743205</v>
      </c>
      <c r="Q66" s="230">
        <f>L66+P66+IF(J66=1,'Model Inputs'!$B$26,0)</f>
        <v>13896977.385743205</v>
      </c>
      <c r="R66" s="230">
        <f t="shared" si="24"/>
        <v>41690932.157229617</v>
      </c>
      <c r="S66" s="230">
        <f t="shared" si="25"/>
        <v>1800000</v>
      </c>
      <c r="T66" s="230">
        <f t="shared" si="26"/>
        <v>1800000</v>
      </c>
      <c r="U66" s="230">
        <f>MIN(T66,'Tax Assumptions'!$B$19)</f>
        <v>24500</v>
      </c>
      <c r="V66" s="230">
        <f>MAX(T66-U66-'Tax Assumptions'!$B$8,0)</f>
        <v>1759400</v>
      </c>
      <c r="W66" s="230">
        <f>MAX(T66-U66-'Tax Assumptions'!$B$9,0)</f>
        <v>1767500</v>
      </c>
      <c r="X66" s="230">
        <f>IF(V66=0,0,LOOKUP(V66,'Tax Assumptions'!$F$9:$F$15,'Tax Assumptions'!$I$9:$I$15)+(V66-LOOKUP(V66,'Tax Assumptions'!$F$9:$F$15,'Tax Assumptions'!$F$9:$F$15))*LOOKUP(V66,'Tax Assumptions'!$F$9:$F$15,'Tax Assumptions'!$H$9:$H$15))+MIN(MAX(T66,0),'Tax Assumptions'!$B$11)*'Tax Assumptions'!$B$10+MAX(T66,0)*'Tax Assumptions'!$B$12+MAX(MAX(T66,0)-'Tax Assumptions'!$B$14,0)*'Tax Assumptions'!$B$13+MIN(T66*'Tax Assumptions'!$B$15,'Tax Assumptions'!$B$16)+MIN(T66*'Tax Assumptions'!$B$17,'Tax Assumptions'!$B$18)+IF(W66=0,0,LOOKUP(W66,'Tax Assumptions'!$K$9:$K$17,'Tax Assumptions'!$N$9:$N$17)+(W66-LOOKUP(W66,'Tax Assumptions'!$K$9:$K$17,'Tax Assumptions'!$K$9:$K$17))*LOOKUP(W66,'Tax Assumptions'!$K$9:$K$17,'Tax Assumptions'!$M$9:$M$17))+IF(W66=0,0,LOOKUP(W66,'Tax Assumptions'!$P$9:$P$12,'Tax Assumptions'!$S$9:$S$12)+(W66-LOOKUP(W66,'Tax Assumptions'!$P$9:$P$12,'Tax Assumptions'!$P$9:$P$12))*LOOKUP(W66,'Tax Assumptions'!$P$9:$P$12,'Tax Assumptions'!$R$9:$R$12))</f>
        <v>865478.63500000001</v>
      </c>
      <c r="Y66" s="230">
        <f t="shared" si="27"/>
        <v>910021.36499999999</v>
      </c>
      <c r="Z66" s="230">
        <f>IF(J66&lt;=10,INDEX('Savings Projection'!$BL$19:$BL$28,J66),LOOKUP(2,1/('Savings Projection'!$BL$19:$BL$28&lt;&gt;""),'Savings Projection'!$BL$19:$BL$28))*(1+'Model Inputs'!$B$35)^(J66-1)+IF(J66&lt;=10,INDEX('Savings Projection'!$BM$19:$BM$28,J66),LOOKUP(2,1/('Savings Projection'!$BM$19:$BM$28&lt;&gt;""),'Savings Projection'!$BM$19:$BM$28))*(1+'Model Inputs'!$B$36)^(J66-1)</f>
        <v>208611.83708284231</v>
      </c>
      <c r="AA66" s="230">
        <f t="shared" si="28"/>
        <v>701409.52791715763</v>
      </c>
      <c r="AB66" s="230">
        <f>MIN(MAX(AA66,0),'Tax Assumptions'!$B$20)</f>
        <v>7500</v>
      </c>
      <c r="AC66" s="230">
        <f t="shared" si="29"/>
        <v>693909.52791715763</v>
      </c>
      <c r="AD66" s="230">
        <f>MAX(AD65*(1+'Model Inputs'!$B$13)+AC66,0)</f>
        <v>19889814.126483932</v>
      </c>
      <c r="AE66" s="230">
        <f>MAX(AE65*(1+'Model Inputs'!$B$13)+U66+AB66,0)</f>
        <v>902812.15240896656</v>
      </c>
      <c r="AF66" s="230">
        <f t="shared" si="30"/>
        <v>20792626.278892897</v>
      </c>
      <c r="AG66" s="226" t="str">
        <f t="shared" si="31"/>
        <v/>
      </c>
      <c r="AH66" s="226" t="str">
        <f t="shared" si="32"/>
        <v/>
      </c>
      <c r="AI66" s="226" t="str">
        <f t="shared" si="33"/>
        <v/>
      </c>
      <c r="AJ66" s="226" t="str">
        <f t="shared" si="34"/>
        <v/>
      </c>
    </row>
    <row r="67" spans="1:36" ht="18" customHeight="1" x14ac:dyDescent="0.2">
      <c r="A67" s="226" t="str">
        <f t="shared" si="13"/>
        <v>3Y -&gt; PM Y7 Starter</v>
      </c>
      <c r="B67" s="226">
        <f t="shared" si="14"/>
        <v>3</v>
      </c>
      <c r="C67" s="235">
        <f t="shared" si="15"/>
        <v>3</v>
      </c>
      <c r="D67" s="226">
        <f t="shared" si="16"/>
        <v>7</v>
      </c>
      <c r="E67" s="226" t="str">
        <f t="shared" si="17"/>
        <v>Starter</v>
      </c>
      <c r="F67" s="230">
        <f t="shared" si="18"/>
        <v>10000000</v>
      </c>
      <c r="G67" s="236">
        <f t="shared" si="19"/>
        <v>0.15</v>
      </c>
      <c r="H67" s="230">
        <f t="shared" si="20"/>
        <v>300000</v>
      </c>
      <c r="I67" s="236">
        <f t="shared" si="21"/>
        <v>0</v>
      </c>
      <c r="J67" s="234">
        <v>18</v>
      </c>
      <c r="K67" s="234">
        <f t="shared" si="22"/>
        <v>2043</v>
      </c>
      <c r="L67" s="230">
        <f>IF(J67=1,'Model Inputs'!$B$25*(13-'Model Inputs'!$B$23)/12,'Model Inputs'!$B$25)</f>
        <v>300000</v>
      </c>
      <c r="M67" s="230">
        <f>IF(J67=1,'Model Inputs'!$B$27*(13-'Model Inputs'!$B$23)/12,IF(J67=2,'Model Inputs'!$B$27,IF(J67&lt;=MAX(3,'Model Inputs'!$B$30+1),'Model Inputs'!$B$27*(1+'Model Inputs'!$B$28)^(J67-3),'Model Inputs'!$B$27*(1+'Model Inputs'!$B$28)^(MAX(3,'Model Inputs'!$B$30+1)-3)*(1+'Model Inputs'!$B$29)^(J67-MAX(3,'Model Inputs'!$B$30+1)))))</f>
        <v>21432424.290875554</v>
      </c>
      <c r="N67" s="236">
        <f>IF(J67&lt;=2,0,'Model Inputs'!$B$32*SIN(2*PI()*(J67-3+'Model Inputs'!$B$34)/MAX(1,'Model Inputs'!$B$33)))</f>
        <v>-5.7328325735374245E-16</v>
      </c>
      <c r="O67" s="230">
        <f t="shared" si="23"/>
        <v>21432424.290875543</v>
      </c>
      <c r="P67" s="230">
        <f t="shared" si="35"/>
        <v>14995970.906855816</v>
      </c>
      <c r="Q67" s="230">
        <f>L67+P67+IF(J67=1,'Model Inputs'!$B$26,0)</f>
        <v>15295970.906855816</v>
      </c>
      <c r="R67" s="230">
        <f t="shared" si="24"/>
        <v>45887912.72056745</v>
      </c>
      <c r="S67" s="230">
        <f t="shared" si="25"/>
        <v>1800000</v>
      </c>
      <c r="T67" s="230">
        <f t="shared" si="26"/>
        <v>1800000</v>
      </c>
      <c r="U67" s="230">
        <f>MIN(T67,'Tax Assumptions'!$B$19)</f>
        <v>24500</v>
      </c>
      <c r="V67" s="230">
        <f>MAX(T67-U67-'Tax Assumptions'!$B$8,0)</f>
        <v>1759400</v>
      </c>
      <c r="W67" s="230">
        <f>MAX(T67-U67-'Tax Assumptions'!$B$9,0)</f>
        <v>1767500</v>
      </c>
      <c r="X67" s="230">
        <f>IF(V67=0,0,LOOKUP(V67,'Tax Assumptions'!$F$9:$F$15,'Tax Assumptions'!$I$9:$I$15)+(V67-LOOKUP(V67,'Tax Assumptions'!$F$9:$F$15,'Tax Assumptions'!$F$9:$F$15))*LOOKUP(V67,'Tax Assumptions'!$F$9:$F$15,'Tax Assumptions'!$H$9:$H$15))+MIN(MAX(T67,0),'Tax Assumptions'!$B$11)*'Tax Assumptions'!$B$10+MAX(T67,0)*'Tax Assumptions'!$B$12+MAX(MAX(T67,0)-'Tax Assumptions'!$B$14,0)*'Tax Assumptions'!$B$13+MIN(T67*'Tax Assumptions'!$B$15,'Tax Assumptions'!$B$16)+MIN(T67*'Tax Assumptions'!$B$17,'Tax Assumptions'!$B$18)+IF(W67=0,0,LOOKUP(W67,'Tax Assumptions'!$K$9:$K$17,'Tax Assumptions'!$N$9:$N$17)+(W67-LOOKUP(W67,'Tax Assumptions'!$K$9:$K$17,'Tax Assumptions'!$K$9:$K$17))*LOOKUP(W67,'Tax Assumptions'!$K$9:$K$17,'Tax Assumptions'!$M$9:$M$17))+IF(W67=0,0,LOOKUP(W67,'Tax Assumptions'!$P$9:$P$12,'Tax Assumptions'!$S$9:$S$12)+(W67-LOOKUP(W67,'Tax Assumptions'!$P$9:$P$12,'Tax Assumptions'!$P$9:$P$12))*LOOKUP(W67,'Tax Assumptions'!$P$9:$P$12,'Tax Assumptions'!$R$9:$R$12))</f>
        <v>865478.63500000001</v>
      </c>
      <c r="Y67" s="230">
        <f t="shared" si="27"/>
        <v>910021.36499999999</v>
      </c>
      <c r="Z67" s="230">
        <f>IF(J67&lt;=10,INDEX('Savings Projection'!$BL$19:$BL$28,J67),LOOKUP(2,1/('Savings Projection'!$BL$19:$BL$28&lt;&gt;""),'Savings Projection'!$BL$19:$BL$28))*(1+'Model Inputs'!$B$35)^(J67-1)+IF(J67&lt;=10,INDEX('Savings Projection'!$BM$19:$BM$28,J67),LOOKUP(2,1/('Savings Projection'!$BM$19:$BM$28&lt;&gt;""),'Savings Projection'!$BM$19:$BM$28))*(1+'Model Inputs'!$B$36)^(J67-1)</f>
        <v>214870.1921953276</v>
      </c>
      <c r="AA67" s="230">
        <f t="shared" si="28"/>
        <v>695151.17280467239</v>
      </c>
      <c r="AB67" s="230">
        <f>MIN(MAX(AA67,0),'Tax Assumptions'!$B$20)</f>
        <v>7500</v>
      </c>
      <c r="AC67" s="230">
        <f t="shared" si="29"/>
        <v>687651.17280467239</v>
      </c>
      <c r="AD67" s="230">
        <f>MAX(AD66*(1+'Model Inputs'!$B$13)+AC67,0)</f>
        <v>21770854.146877643</v>
      </c>
      <c r="AE67" s="230">
        <f>MAX(AE66*(1+'Model Inputs'!$B$13)+U67+AB67,0)</f>
        <v>988980.88155350462</v>
      </c>
      <c r="AF67" s="230">
        <f t="shared" si="30"/>
        <v>22759835.028431147</v>
      </c>
      <c r="AG67" s="226" t="str">
        <f t="shared" si="31"/>
        <v/>
      </c>
      <c r="AH67" s="226" t="str">
        <f t="shared" si="32"/>
        <v/>
      </c>
      <c r="AI67" s="226" t="str">
        <f t="shared" si="33"/>
        <v/>
      </c>
      <c r="AJ67" s="226">
        <f t="shared" si="34"/>
        <v>18</v>
      </c>
    </row>
    <row r="68" spans="1:36" ht="18" customHeight="1" x14ac:dyDescent="0.2">
      <c r="A68" s="226" t="str">
        <f t="shared" si="13"/>
        <v>3Y -&gt; PM Y7 Starter</v>
      </c>
      <c r="B68" s="226">
        <f t="shared" si="14"/>
        <v>3</v>
      </c>
      <c r="C68" s="235">
        <f t="shared" si="15"/>
        <v>3</v>
      </c>
      <c r="D68" s="226">
        <f t="shared" si="16"/>
        <v>7</v>
      </c>
      <c r="E68" s="226" t="str">
        <f t="shared" si="17"/>
        <v>Starter</v>
      </c>
      <c r="F68" s="230">
        <f t="shared" si="18"/>
        <v>10000000</v>
      </c>
      <c r="G68" s="236">
        <f t="shared" si="19"/>
        <v>0.15</v>
      </c>
      <c r="H68" s="230">
        <f t="shared" si="20"/>
        <v>300000</v>
      </c>
      <c r="I68" s="236">
        <f t="shared" si="21"/>
        <v>0</v>
      </c>
      <c r="J68" s="234">
        <v>19</v>
      </c>
      <c r="K68" s="234">
        <f t="shared" si="22"/>
        <v>2044</v>
      </c>
      <c r="L68" s="230">
        <f>IF(J68=1,'Model Inputs'!$B$25*(13-'Model Inputs'!$B$23)/12,'Model Inputs'!$B$25)</f>
        <v>300000</v>
      </c>
      <c r="M68" s="230">
        <f>IF(J68=1,'Model Inputs'!$B$27*(13-'Model Inputs'!$B$23)/12,IF(J68=2,'Model Inputs'!$B$27,IF(J68&lt;=MAX(3,'Model Inputs'!$B$30+1),'Model Inputs'!$B$27*(1+'Model Inputs'!$B$28)^(J68-3),'Model Inputs'!$B$27*(1+'Model Inputs'!$B$28)^(MAX(3,'Model Inputs'!$B$30+1)-3)*(1+'Model Inputs'!$B$29)^(J68-MAX(3,'Model Inputs'!$B$30+1)))))</f>
        <v>27237984.409717187</v>
      </c>
      <c r="N68" s="236">
        <f>IF(J68&lt;=2,0,'Model Inputs'!$B$32*SIN(2*PI()*(J68-3+'Model Inputs'!$B$34)/MAX(1,'Model Inputs'!$B$33)))</f>
        <v>0.10392304845413286</v>
      </c>
      <c r="O68" s="230">
        <f t="shared" si="23"/>
        <v>30068638.783321142</v>
      </c>
      <c r="P68" s="230">
        <f t="shared" si="35"/>
        <v>19852239.851888295</v>
      </c>
      <c r="Q68" s="230">
        <f>L68+P68+IF(J68=1,'Model Inputs'!$B$26,0)</f>
        <v>20152239.851888295</v>
      </c>
      <c r="R68" s="230">
        <f t="shared" si="24"/>
        <v>60456719.555664882</v>
      </c>
      <c r="S68" s="230">
        <f t="shared" si="25"/>
        <v>1800000</v>
      </c>
      <c r="T68" s="230">
        <f t="shared" si="26"/>
        <v>1800000</v>
      </c>
      <c r="U68" s="230">
        <f>MIN(T68,'Tax Assumptions'!$B$19)</f>
        <v>24500</v>
      </c>
      <c r="V68" s="230">
        <f>MAX(T68-U68-'Tax Assumptions'!$B$8,0)</f>
        <v>1759400</v>
      </c>
      <c r="W68" s="230">
        <f>MAX(T68-U68-'Tax Assumptions'!$B$9,0)</f>
        <v>1767500</v>
      </c>
      <c r="X68" s="230">
        <f>IF(V68=0,0,LOOKUP(V68,'Tax Assumptions'!$F$9:$F$15,'Tax Assumptions'!$I$9:$I$15)+(V68-LOOKUP(V68,'Tax Assumptions'!$F$9:$F$15,'Tax Assumptions'!$F$9:$F$15))*LOOKUP(V68,'Tax Assumptions'!$F$9:$F$15,'Tax Assumptions'!$H$9:$H$15))+MIN(MAX(T68,0),'Tax Assumptions'!$B$11)*'Tax Assumptions'!$B$10+MAX(T68,0)*'Tax Assumptions'!$B$12+MAX(MAX(T68,0)-'Tax Assumptions'!$B$14,0)*'Tax Assumptions'!$B$13+MIN(T68*'Tax Assumptions'!$B$15,'Tax Assumptions'!$B$16)+MIN(T68*'Tax Assumptions'!$B$17,'Tax Assumptions'!$B$18)+IF(W68=0,0,LOOKUP(W68,'Tax Assumptions'!$K$9:$K$17,'Tax Assumptions'!$N$9:$N$17)+(W68-LOOKUP(W68,'Tax Assumptions'!$K$9:$K$17,'Tax Assumptions'!$K$9:$K$17))*LOOKUP(W68,'Tax Assumptions'!$K$9:$K$17,'Tax Assumptions'!$M$9:$M$17))+IF(W68=0,0,LOOKUP(W68,'Tax Assumptions'!$P$9:$P$12,'Tax Assumptions'!$S$9:$S$12)+(W68-LOOKUP(W68,'Tax Assumptions'!$P$9:$P$12,'Tax Assumptions'!$P$9:$P$12))*LOOKUP(W68,'Tax Assumptions'!$P$9:$P$12,'Tax Assumptions'!$R$9:$R$12))</f>
        <v>865478.63500000001</v>
      </c>
      <c r="Y68" s="230">
        <f t="shared" si="27"/>
        <v>910021.36499999999</v>
      </c>
      <c r="Z68" s="230">
        <f>IF(J68&lt;=10,INDEX('Savings Projection'!$BL$19:$BL$28,J68),LOOKUP(2,1/('Savings Projection'!$BL$19:$BL$28&lt;&gt;""),'Savings Projection'!$BL$19:$BL$28))*(1+'Model Inputs'!$B$35)^(J68-1)+IF(J68&lt;=10,INDEX('Savings Projection'!$BM$19:$BM$28,J68),LOOKUP(2,1/('Savings Projection'!$BM$19:$BM$28&lt;&gt;""),'Savings Projection'!$BM$19:$BM$28))*(1+'Model Inputs'!$B$36)^(J68-1)</f>
        <v>221316.29796118743</v>
      </c>
      <c r="AA68" s="230">
        <f t="shared" si="28"/>
        <v>688705.06703881256</v>
      </c>
      <c r="AB68" s="230">
        <f>MIN(MAX(AA68,0),'Tax Assumptions'!$B$20)</f>
        <v>7500</v>
      </c>
      <c r="AC68" s="230">
        <f t="shared" si="29"/>
        <v>681205.06703881256</v>
      </c>
      <c r="AD68" s="230">
        <f>MAX(AD67*(1+'Model Inputs'!$B$13)+AC68,0)</f>
        <v>23758310.462729115</v>
      </c>
      <c r="AE68" s="230">
        <f>MAX(AE67*(1+'Model Inputs'!$B$13)+U68+AB68,0)</f>
        <v>1080319.7344467151</v>
      </c>
      <c r="AF68" s="230">
        <f t="shared" si="30"/>
        <v>24838630.197175831</v>
      </c>
      <c r="AG68" s="226" t="str">
        <f t="shared" si="31"/>
        <v/>
      </c>
      <c r="AH68" s="226" t="str">
        <f t="shared" si="32"/>
        <v/>
      </c>
      <c r="AI68" s="226" t="str">
        <f t="shared" si="33"/>
        <v/>
      </c>
      <c r="AJ68" s="226" t="str">
        <f t="shared" si="34"/>
        <v/>
      </c>
    </row>
    <row r="69" spans="1:36" ht="18" customHeight="1" x14ac:dyDescent="0.2">
      <c r="A69" s="226" t="str">
        <f t="shared" si="13"/>
        <v>3Y -&gt; PM Y7 Starter</v>
      </c>
      <c r="B69" s="226">
        <f t="shared" si="14"/>
        <v>3</v>
      </c>
      <c r="C69" s="235">
        <f t="shared" si="15"/>
        <v>3</v>
      </c>
      <c r="D69" s="226">
        <f t="shared" si="16"/>
        <v>7</v>
      </c>
      <c r="E69" s="226" t="str">
        <f t="shared" si="17"/>
        <v>Starter</v>
      </c>
      <c r="F69" s="230">
        <f t="shared" si="18"/>
        <v>10000000</v>
      </c>
      <c r="G69" s="236">
        <f t="shared" si="19"/>
        <v>0.15</v>
      </c>
      <c r="H69" s="230">
        <f t="shared" si="20"/>
        <v>300000</v>
      </c>
      <c r="I69" s="236">
        <f t="shared" si="21"/>
        <v>0</v>
      </c>
      <c r="J69" s="234">
        <v>20</v>
      </c>
      <c r="K69" s="234">
        <f t="shared" si="22"/>
        <v>2045</v>
      </c>
      <c r="L69" s="230">
        <f>IF(J69=1,'Model Inputs'!$B$25*(13-'Model Inputs'!$B$23)/12,'Model Inputs'!$B$25)</f>
        <v>300000</v>
      </c>
      <c r="M69" s="230">
        <f>IF(J69=1,'Model Inputs'!$B$27*(13-'Model Inputs'!$B$23)/12,IF(J69=2,'Model Inputs'!$B$27,IF(J69&lt;=MAX(3,'Model Inputs'!$B$30+1),'Model Inputs'!$B$27*(1+'Model Inputs'!$B$28)^(J69-3),'Model Inputs'!$B$27*(1+'Model Inputs'!$B$28)^(MAX(3,'Model Inputs'!$B$30+1)-3)*(1+'Model Inputs'!$B$29)^(J69-MAX(3,'Model Inputs'!$B$30+1)))))</f>
        <v>34616139.762586243</v>
      </c>
      <c r="N69" s="236">
        <f>IF(J69&lt;=2,0,'Model Inputs'!$B$32*SIN(2*PI()*(J69-3+'Model Inputs'!$B$34)/MAX(1,'Model Inputs'!$B$33)))</f>
        <v>-0.10392304845413269</v>
      </c>
      <c r="O69" s="230">
        <f t="shared" si="23"/>
        <v>31018724.992743965</v>
      </c>
      <c r="P69" s="230">
        <f t="shared" si="35"/>
        <v>27909585.160209741</v>
      </c>
      <c r="Q69" s="230">
        <f>L69+P69+IF(J69=1,'Model Inputs'!$B$26,0)</f>
        <v>28209585.160209741</v>
      </c>
      <c r="R69" s="230">
        <f t="shared" si="24"/>
        <v>84628755.480629221</v>
      </c>
      <c r="S69" s="230">
        <f t="shared" si="25"/>
        <v>1800000</v>
      </c>
      <c r="T69" s="230">
        <f t="shared" si="26"/>
        <v>1800000</v>
      </c>
      <c r="U69" s="230">
        <f>MIN(T69,'Tax Assumptions'!$B$19)</f>
        <v>24500</v>
      </c>
      <c r="V69" s="230">
        <f>MAX(T69-U69-'Tax Assumptions'!$B$8,0)</f>
        <v>1759400</v>
      </c>
      <c r="W69" s="230">
        <f>MAX(T69-U69-'Tax Assumptions'!$B$9,0)</f>
        <v>1767500</v>
      </c>
      <c r="X69" s="230">
        <f>IF(V69=0,0,LOOKUP(V69,'Tax Assumptions'!$F$9:$F$15,'Tax Assumptions'!$I$9:$I$15)+(V69-LOOKUP(V69,'Tax Assumptions'!$F$9:$F$15,'Tax Assumptions'!$F$9:$F$15))*LOOKUP(V69,'Tax Assumptions'!$F$9:$F$15,'Tax Assumptions'!$H$9:$H$15))+MIN(MAX(T69,0),'Tax Assumptions'!$B$11)*'Tax Assumptions'!$B$10+MAX(T69,0)*'Tax Assumptions'!$B$12+MAX(MAX(T69,0)-'Tax Assumptions'!$B$14,0)*'Tax Assumptions'!$B$13+MIN(T69*'Tax Assumptions'!$B$15,'Tax Assumptions'!$B$16)+MIN(T69*'Tax Assumptions'!$B$17,'Tax Assumptions'!$B$18)+IF(W69=0,0,LOOKUP(W69,'Tax Assumptions'!$K$9:$K$17,'Tax Assumptions'!$N$9:$N$17)+(W69-LOOKUP(W69,'Tax Assumptions'!$K$9:$K$17,'Tax Assumptions'!$K$9:$K$17))*LOOKUP(W69,'Tax Assumptions'!$K$9:$K$17,'Tax Assumptions'!$M$9:$M$17))+IF(W69=0,0,LOOKUP(W69,'Tax Assumptions'!$P$9:$P$12,'Tax Assumptions'!$S$9:$S$12)+(W69-LOOKUP(W69,'Tax Assumptions'!$P$9:$P$12,'Tax Assumptions'!$P$9:$P$12))*LOOKUP(W69,'Tax Assumptions'!$P$9:$P$12,'Tax Assumptions'!$R$9:$R$12))</f>
        <v>865478.63500000001</v>
      </c>
      <c r="Y69" s="230">
        <f t="shared" si="27"/>
        <v>910021.36499999999</v>
      </c>
      <c r="Z69" s="230">
        <f>IF(J69&lt;=10,INDEX('Savings Projection'!$BL$19:$BL$28,J69),LOOKUP(2,1/('Savings Projection'!$BL$19:$BL$28&lt;&gt;""),'Savings Projection'!$BL$19:$BL$28))*(1+'Model Inputs'!$B$35)^(J69-1)+IF(J69&lt;=10,INDEX('Savings Projection'!$BM$19:$BM$28,J69),LOOKUP(2,1/('Savings Projection'!$BM$19:$BM$28&lt;&gt;""),'Savings Projection'!$BM$19:$BM$28))*(1+'Model Inputs'!$B$36)^(J69-1)</f>
        <v>227955.78690002306</v>
      </c>
      <c r="AA69" s="230">
        <f t="shared" si="28"/>
        <v>682065.57809997699</v>
      </c>
      <c r="AB69" s="230">
        <f>MIN(MAX(AA69,0),'Tax Assumptions'!$B$20)</f>
        <v>7500</v>
      </c>
      <c r="AC69" s="230">
        <f t="shared" si="29"/>
        <v>674565.57809997699</v>
      </c>
      <c r="AD69" s="230">
        <f>MAX(AD68*(1+'Model Inputs'!$B$13)+AC69,0)</f>
        <v>25858374.66859284</v>
      </c>
      <c r="AE69" s="230">
        <f>MAX(AE68*(1+'Model Inputs'!$B$13)+U69+AB69,0)</f>
        <v>1177138.9185135181</v>
      </c>
      <c r="AF69" s="230">
        <f t="shared" si="30"/>
        <v>27035513.587106358</v>
      </c>
      <c r="AG69" s="226" t="str">
        <f t="shared" si="31"/>
        <v/>
      </c>
      <c r="AH69" s="226" t="str">
        <f t="shared" si="32"/>
        <v/>
      </c>
      <c r="AI69" s="226" t="str">
        <f t="shared" si="33"/>
        <v/>
      </c>
      <c r="AJ69" s="226" t="str">
        <f t="shared" si="34"/>
        <v/>
      </c>
    </row>
    <row r="70" spans="1:36" ht="18" customHeight="1" x14ac:dyDescent="0.2">
      <c r="A70" s="226" t="str">
        <f t="shared" si="13"/>
        <v>3Y -&gt; PM Y7 Starter</v>
      </c>
      <c r="B70" s="226">
        <f t="shared" si="14"/>
        <v>3</v>
      </c>
      <c r="C70" s="235">
        <f t="shared" si="15"/>
        <v>3</v>
      </c>
      <c r="D70" s="226">
        <f t="shared" si="16"/>
        <v>7</v>
      </c>
      <c r="E70" s="226" t="str">
        <f t="shared" si="17"/>
        <v>Starter</v>
      </c>
      <c r="F70" s="230">
        <f t="shared" si="18"/>
        <v>10000000</v>
      </c>
      <c r="G70" s="236">
        <f t="shared" si="19"/>
        <v>0.15</v>
      </c>
      <c r="H70" s="230">
        <f t="shared" si="20"/>
        <v>300000</v>
      </c>
      <c r="I70" s="236">
        <f t="shared" si="21"/>
        <v>0</v>
      </c>
      <c r="J70" s="234">
        <v>21</v>
      </c>
      <c r="K70" s="234">
        <f t="shared" si="22"/>
        <v>2046</v>
      </c>
      <c r="L70" s="230">
        <f>IF(J70=1,'Model Inputs'!$B$25*(13-'Model Inputs'!$B$23)/12,'Model Inputs'!$B$25)</f>
        <v>300000</v>
      </c>
      <c r="M70" s="230">
        <f>IF(J70=1,'Model Inputs'!$B$27*(13-'Model Inputs'!$B$23)/12,IF(J70=2,'Model Inputs'!$B$27,IF(J70&lt;=MAX(3,'Model Inputs'!$B$30+1),'Model Inputs'!$B$27*(1+'Model Inputs'!$B$28)^(J70-3),'Model Inputs'!$B$27*(1+'Model Inputs'!$B$28)^(MAX(3,'Model Inputs'!$B$30+1)-3)*(1+'Model Inputs'!$B$29)^(J70-MAX(3,'Model Inputs'!$B$30+1)))))</f>
        <v>43992870.912849829</v>
      </c>
      <c r="N70" s="236">
        <f>IF(J70&lt;=2,0,'Model Inputs'!$B$32*SIN(2*PI()*(J70-3+'Model Inputs'!$B$34)/MAX(1,'Model Inputs'!$B$33)))</f>
        <v>-1.7634913907721884E-16</v>
      </c>
      <c r="O70" s="230">
        <f t="shared" si="23"/>
        <v>43992870.912849821</v>
      </c>
      <c r="P70" s="230">
        <f t="shared" si="35"/>
        <v>30781203.440388259</v>
      </c>
      <c r="Q70" s="230">
        <f>L70+P70+IF(J70=1,'Model Inputs'!$B$26,0)</f>
        <v>31081203.440388259</v>
      </c>
      <c r="R70" s="230">
        <f t="shared" si="24"/>
        <v>93243610.321164772</v>
      </c>
      <c r="S70" s="230">
        <f t="shared" si="25"/>
        <v>1800000</v>
      </c>
      <c r="T70" s="230">
        <f t="shared" si="26"/>
        <v>1800000</v>
      </c>
      <c r="U70" s="230">
        <f>MIN(T70,'Tax Assumptions'!$B$19)</f>
        <v>24500</v>
      </c>
      <c r="V70" s="230">
        <f>MAX(T70-U70-'Tax Assumptions'!$B$8,0)</f>
        <v>1759400</v>
      </c>
      <c r="W70" s="230">
        <f>MAX(T70-U70-'Tax Assumptions'!$B$9,0)</f>
        <v>1767500</v>
      </c>
      <c r="X70" s="230">
        <f>IF(V70=0,0,LOOKUP(V70,'Tax Assumptions'!$F$9:$F$15,'Tax Assumptions'!$I$9:$I$15)+(V70-LOOKUP(V70,'Tax Assumptions'!$F$9:$F$15,'Tax Assumptions'!$F$9:$F$15))*LOOKUP(V70,'Tax Assumptions'!$F$9:$F$15,'Tax Assumptions'!$H$9:$H$15))+MIN(MAX(T70,0),'Tax Assumptions'!$B$11)*'Tax Assumptions'!$B$10+MAX(T70,0)*'Tax Assumptions'!$B$12+MAX(MAX(T70,0)-'Tax Assumptions'!$B$14,0)*'Tax Assumptions'!$B$13+MIN(T70*'Tax Assumptions'!$B$15,'Tax Assumptions'!$B$16)+MIN(T70*'Tax Assumptions'!$B$17,'Tax Assumptions'!$B$18)+IF(W70=0,0,LOOKUP(W70,'Tax Assumptions'!$K$9:$K$17,'Tax Assumptions'!$N$9:$N$17)+(W70-LOOKUP(W70,'Tax Assumptions'!$K$9:$K$17,'Tax Assumptions'!$K$9:$K$17))*LOOKUP(W70,'Tax Assumptions'!$K$9:$K$17,'Tax Assumptions'!$M$9:$M$17))+IF(W70=0,0,LOOKUP(W70,'Tax Assumptions'!$P$9:$P$12,'Tax Assumptions'!$S$9:$S$12)+(W70-LOOKUP(W70,'Tax Assumptions'!$P$9:$P$12,'Tax Assumptions'!$P$9:$P$12))*LOOKUP(W70,'Tax Assumptions'!$P$9:$P$12,'Tax Assumptions'!$R$9:$R$12))</f>
        <v>865478.63500000001</v>
      </c>
      <c r="Y70" s="230">
        <f t="shared" si="27"/>
        <v>910021.36499999999</v>
      </c>
      <c r="Z70" s="230">
        <f>IF(J70&lt;=10,INDEX('Savings Projection'!$BL$19:$BL$28,J70),LOOKUP(2,1/('Savings Projection'!$BL$19:$BL$28&lt;&gt;""),'Savings Projection'!$BL$19:$BL$28))*(1+'Model Inputs'!$B$35)^(J70-1)+IF(J70&lt;=10,INDEX('Savings Projection'!$BM$19:$BM$28,J70),LOOKUP(2,1/('Savings Projection'!$BM$19:$BM$28&lt;&gt;""),'Savings Projection'!$BM$19:$BM$28))*(1+'Model Inputs'!$B$36)^(J70-1)</f>
        <v>234794.46050702373</v>
      </c>
      <c r="AA70" s="230">
        <f t="shared" si="28"/>
        <v>675226.90449297626</v>
      </c>
      <c r="AB70" s="230">
        <f>MIN(MAX(AA70,0),'Tax Assumptions'!$B$20)</f>
        <v>7500</v>
      </c>
      <c r="AC70" s="230">
        <f t="shared" si="29"/>
        <v>667726.90449297626</v>
      </c>
      <c r="AD70" s="230">
        <f>MAX(AD69*(1+'Model Inputs'!$B$13)+AC70,0)</f>
        <v>28077604.053201389</v>
      </c>
      <c r="AE70" s="230">
        <f>MAX(AE69*(1+'Model Inputs'!$B$13)+U70+AB70,0)</f>
        <v>1279767.2536243291</v>
      </c>
      <c r="AF70" s="230">
        <f t="shared" si="30"/>
        <v>29357371.306825716</v>
      </c>
      <c r="AG70" s="226" t="str">
        <f t="shared" si="31"/>
        <v/>
      </c>
      <c r="AH70" s="226" t="str">
        <f t="shared" si="32"/>
        <v/>
      </c>
      <c r="AI70" s="226" t="str">
        <f t="shared" si="33"/>
        <v/>
      </c>
      <c r="AJ70" s="226" t="str">
        <f t="shared" si="34"/>
        <v/>
      </c>
    </row>
    <row r="71" spans="1:36" ht="18" customHeight="1" x14ac:dyDescent="0.2">
      <c r="A71" s="226" t="str">
        <f t="shared" si="13"/>
        <v>3Y -&gt; PM Y7 Starter</v>
      </c>
      <c r="B71" s="226">
        <f t="shared" si="14"/>
        <v>3</v>
      </c>
      <c r="C71" s="235">
        <f t="shared" si="15"/>
        <v>3</v>
      </c>
      <c r="D71" s="226">
        <f t="shared" si="16"/>
        <v>7</v>
      </c>
      <c r="E71" s="226" t="str">
        <f t="shared" si="17"/>
        <v>Starter</v>
      </c>
      <c r="F71" s="230">
        <f t="shared" si="18"/>
        <v>10000000</v>
      </c>
      <c r="G71" s="236">
        <f t="shared" si="19"/>
        <v>0.15</v>
      </c>
      <c r="H71" s="230">
        <f t="shared" si="20"/>
        <v>300000</v>
      </c>
      <c r="I71" s="236">
        <f t="shared" si="21"/>
        <v>0</v>
      </c>
      <c r="J71" s="234">
        <v>22</v>
      </c>
      <c r="K71" s="234">
        <f t="shared" si="22"/>
        <v>2047</v>
      </c>
      <c r="L71" s="230">
        <f>IF(J71=1,'Model Inputs'!$B$25*(13-'Model Inputs'!$B$23)/12,'Model Inputs'!$B$25)</f>
        <v>300000</v>
      </c>
      <c r="M71" s="230">
        <f>IF(J71=1,'Model Inputs'!$B$27*(13-'Model Inputs'!$B$23)/12,IF(J71=2,'Model Inputs'!$B$27,IF(J71&lt;=MAX(3,'Model Inputs'!$B$30+1),'Model Inputs'!$B$27*(1+'Model Inputs'!$B$28)^(J71-3),'Model Inputs'!$B$27*(1+'Model Inputs'!$B$28)^(MAX(3,'Model Inputs'!$B$30+1)-3)*(1+'Model Inputs'!$B$29)^(J71-MAX(3,'Model Inputs'!$B$30+1)))))</f>
        <v>55909546.9462616</v>
      </c>
      <c r="N71" s="236">
        <f>IF(J71&lt;=2,0,'Model Inputs'!$B$32*SIN(2*PI()*(J71-3+'Model Inputs'!$B$34)/MAX(1,'Model Inputs'!$B$33)))</f>
        <v>0.10392304845413287</v>
      </c>
      <c r="O71" s="230">
        <f t="shared" si="23"/>
        <v>61719837.502606563</v>
      </c>
      <c r="P71" s="230">
        <f t="shared" si="35"/>
        <v>40749334.43282336</v>
      </c>
      <c r="Q71" s="230">
        <f>L71+P71+IF(J71=1,'Model Inputs'!$B$26,0)</f>
        <v>41049334.43282336</v>
      </c>
      <c r="R71" s="230">
        <f t="shared" si="24"/>
        <v>123148003.29847008</v>
      </c>
      <c r="S71" s="230">
        <f t="shared" si="25"/>
        <v>1800000</v>
      </c>
      <c r="T71" s="230">
        <f t="shared" si="26"/>
        <v>1800000</v>
      </c>
      <c r="U71" s="230">
        <f>MIN(T71,'Tax Assumptions'!$B$19)</f>
        <v>24500</v>
      </c>
      <c r="V71" s="230">
        <f>MAX(T71-U71-'Tax Assumptions'!$B$8,0)</f>
        <v>1759400</v>
      </c>
      <c r="W71" s="230">
        <f>MAX(T71-U71-'Tax Assumptions'!$B$9,0)</f>
        <v>1767500</v>
      </c>
      <c r="X71" s="230">
        <f>IF(V71=0,0,LOOKUP(V71,'Tax Assumptions'!$F$9:$F$15,'Tax Assumptions'!$I$9:$I$15)+(V71-LOOKUP(V71,'Tax Assumptions'!$F$9:$F$15,'Tax Assumptions'!$F$9:$F$15))*LOOKUP(V71,'Tax Assumptions'!$F$9:$F$15,'Tax Assumptions'!$H$9:$H$15))+MIN(MAX(T71,0),'Tax Assumptions'!$B$11)*'Tax Assumptions'!$B$10+MAX(T71,0)*'Tax Assumptions'!$B$12+MAX(MAX(T71,0)-'Tax Assumptions'!$B$14,0)*'Tax Assumptions'!$B$13+MIN(T71*'Tax Assumptions'!$B$15,'Tax Assumptions'!$B$16)+MIN(T71*'Tax Assumptions'!$B$17,'Tax Assumptions'!$B$18)+IF(W71=0,0,LOOKUP(W71,'Tax Assumptions'!$K$9:$K$17,'Tax Assumptions'!$N$9:$N$17)+(W71-LOOKUP(W71,'Tax Assumptions'!$K$9:$K$17,'Tax Assumptions'!$K$9:$K$17))*LOOKUP(W71,'Tax Assumptions'!$K$9:$K$17,'Tax Assumptions'!$M$9:$M$17))+IF(W71=0,0,LOOKUP(W71,'Tax Assumptions'!$P$9:$P$12,'Tax Assumptions'!$S$9:$S$12)+(W71-LOOKUP(W71,'Tax Assumptions'!$P$9:$P$12,'Tax Assumptions'!$P$9:$P$12))*LOOKUP(W71,'Tax Assumptions'!$P$9:$P$12,'Tax Assumptions'!$R$9:$R$12))</f>
        <v>865478.63500000001</v>
      </c>
      <c r="Y71" s="230">
        <f t="shared" si="27"/>
        <v>910021.36499999999</v>
      </c>
      <c r="Z71" s="230">
        <f>IF(J71&lt;=10,INDEX('Savings Projection'!$BL$19:$BL$28,J71),LOOKUP(2,1/('Savings Projection'!$BL$19:$BL$28&lt;&gt;""),'Savings Projection'!$BL$19:$BL$28))*(1+'Model Inputs'!$B$35)^(J71-1)+IF(J71&lt;=10,INDEX('Savings Projection'!$BM$19:$BM$28,J71),LOOKUP(2,1/('Savings Projection'!$BM$19:$BM$28&lt;&gt;""),'Savings Projection'!$BM$19:$BM$28))*(1+'Model Inputs'!$B$36)^(J71-1)</f>
        <v>241838.2943222344</v>
      </c>
      <c r="AA71" s="230">
        <f t="shared" si="28"/>
        <v>668183.07067776565</v>
      </c>
      <c r="AB71" s="230">
        <f>MIN(MAX(AA71,0),'Tax Assumptions'!$B$20)</f>
        <v>7500</v>
      </c>
      <c r="AC71" s="230">
        <f t="shared" si="29"/>
        <v>660683.07067776565</v>
      </c>
      <c r="AD71" s="230">
        <f>MAX(AD70*(1+'Model Inputs'!$B$13)+AC71,0)</f>
        <v>30422943.367071237</v>
      </c>
      <c r="AE71" s="230">
        <f>MAX(AE70*(1+'Model Inputs'!$B$13)+U71+AB71,0)</f>
        <v>1388553.2888417889</v>
      </c>
      <c r="AF71" s="230">
        <f t="shared" si="30"/>
        <v>31811496.655913025</v>
      </c>
      <c r="AG71" s="226" t="str">
        <f t="shared" si="31"/>
        <v/>
      </c>
      <c r="AH71" s="226" t="str">
        <f t="shared" si="32"/>
        <v/>
      </c>
      <c r="AI71" s="226" t="str">
        <f t="shared" si="33"/>
        <v/>
      </c>
      <c r="AJ71" s="226" t="str">
        <f t="shared" si="34"/>
        <v/>
      </c>
    </row>
    <row r="72" spans="1:36" ht="18" customHeight="1" x14ac:dyDescent="0.2">
      <c r="A72" s="226" t="str">
        <f t="shared" si="13"/>
        <v>3Y -&gt; PM Y7 Starter</v>
      </c>
      <c r="B72" s="226">
        <f t="shared" si="14"/>
        <v>3</v>
      </c>
      <c r="C72" s="235">
        <f t="shared" si="15"/>
        <v>3</v>
      </c>
      <c r="D72" s="226">
        <f t="shared" si="16"/>
        <v>7</v>
      </c>
      <c r="E72" s="226" t="str">
        <f t="shared" si="17"/>
        <v>Starter</v>
      </c>
      <c r="F72" s="230">
        <f t="shared" si="18"/>
        <v>10000000</v>
      </c>
      <c r="G72" s="236">
        <f t="shared" si="19"/>
        <v>0.15</v>
      </c>
      <c r="H72" s="230">
        <f t="shared" si="20"/>
        <v>300000</v>
      </c>
      <c r="I72" s="236">
        <f t="shared" si="21"/>
        <v>0</v>
      </c>
      <c r="J72" s="234">
        <v>23</v>
      </c>
      <c r="K72" s="234">
        <f t="shared" si="22"/>
        <v>2048</v>
      </c>
      <c r="L72" s="230">
        <f>IF(J72=1,'Model Inputs'!$B$25*(13-'Model Inputs'!$B$23)/12,'Model Inputs'!$B$25)</f>
        <v>300000</v>
      </c>
      <c r="M72" s="230">
        <f>IF(J72=1,'Model Inputs'!$B$27*(13-'Model Inputs'!$B$23)/12,IF(J72=2,'Model Inputs'!$B$27,IF(J72&lt;=MAX(3,'Model Inputs'!$B$30+1),'Model Inputs'!$B$27*(1+'Model Inputs'!$B$28)^(J72-3),'Model Inputs'!$B$27*(1+'Model Inputs'!$B$28)^(MAX(3,'Model Inputs'!$B$30+1)-3)*(1+'Model Inputs'!$B$29)^(J72-MAX(3,'Model Inputs'!$B$30+1)))))</f>
        <v>71054181.617940187</v>
      </c>
      <c r="N72" s="236">
        <f>IF(J72&lt;=2,0,'Model Inputs'!$B$32*SIN(2*PI()*(J72-3+'Model Inputs'!$B$34)/MAX(1,'Model Inputs'!$B$33)))</f>
        <v>-0.10392304845413268</v>
      </c>
      <c r="O72" s="230">
        <f t="shared" si="23"/>
        <v>63670014.458790243</v>
      </c>
      <c r="P72" s="230">
        <f t="shared" si="35"/>
        <v>57288095.855167374</v>
      </c>
      <c r="Q72" s="230">
        <f>L72+P72+IF(J72=1,'Model Inputs'!$B$26,0)</f>
        <v>57588095.855167374</v>
      </c>
      <c r="R72" s="230">
        <f t="shared" si="24"/>
        <v>172764287.56550211</v>
      </c>
      <c r="S72" s="230">
        <f t="shared" si="25"/>
        <v>1800000</v>
      </c>
      <c r="T72" s="230">
        <f t="shared" si="26"/>
        <v>1800000</v>
      </c>
      <c r="U72" s="230">
        <f>MIN(T72,'Tax Assumptions'!$B$19)</f>
        <v>24500</v>
      </c>
      <c r="V72" s="230">
        <f>MAX(T72-U72-'Tax Assumptions'!$B$8,0)</f>
        <v>1759400</v>
      </c>
      <c r="W72" s="230">
        <f>MAX(T72-U72-'Tax Assumptions'!$B$9,0)</f>
        <v>1767500</v>
      </c>
      <c r="X72" s="230">
        <f>IF(V72=0,0,LOOKUP(V72,'Tax Assumptions'!$F$9:$F$15,'Tax Assumptions'!$I$9:$I$15)+(V72-LOOKUP(V72,'Tax Assumptions'!$F$9:$F$15,'Tax Assumptions'!$F$9:$F$15))*LOOKUP(V72,'Tax Assumptions'!$F$9:$F$15,'Tax Assumptions'!$H$9:$H$15))+MIN(MAX(T72,0),'Tax Assumptions'!$B$11)*'Tax Assumptions'!$B$10+MAX(T72,0)*'Tax Assumptions'!$B$12+MAX(MAX(T72,0)-'Tax Assumptions'!$B$14,0)*'Tax Assumptions'!$B$13+MIN(T72*'Tax Assumptions'!$B$15,'Tax Assumptions'!$B$16)+MIN(T72*'Tax Assumptions'!$B$17,'Tax Assumptions'!$B$18)+IF(W72=0,0,LOOKUP(W72,'Tax Assumptions'!$K$9:$K$17,'Tax Assumptions'!$N$9:$N$17)+(W72-LOOKUP(W72,'Tax Assumptions'!$K$9:$K$17,'Tax Assumptions'!$K$9:$K$17))*LOOKUP(W72,'Tax Assumptions'!$K$9:$K$17,'Tax Assumptions'!$M$9:$M$17))+IF(W72=0,0,LOOKUP(W72,'Tax Assumptions'!$P$9:$P$12,'Tax Assumptions'!$S$9:$S$12)+(W72-LOOKUP(W72,'Tax Assumptions'!$P$9:$P$12,'Tax Assumptions'!$P$9:$P$12))*LOOKUP(W72,'Tax Assumptions'!$P$9:$P$12,'Tax Assumptions'!$R$9:$R$12))</f>
        <v>865478.63500000001</v>
      </c>
      <c r="Y72" s="230">
        <f t="shared" si="27"/>
        <v>910021.36499999999</v>
      </c>
      <c r="Z72" s="230">
        <f>IF(J72&lt;=10,INDEX('Savings Projection'!$BL$19:$BL$28,J72),LOOKUP(2,1/('Savings Projection'!$BL$19:$BL$28&lt;&gt;""),'Savings Projection'!$BL$19:$BL$28))*(1+'Model Inputs'!$B$35)^(J72-1)+IF(J72&lt;=10,INDEX('Savings Projection'!$BM$19:$BM$28,J72),LOOKUP(2,1/('Savings Projection'!$BM$19:$BM$28&lt;&gt;""),'Savings Projection'!$BM$19:$BM$28))*(1+'Model Inputs'!$B$36)^(J72-1)</f>
        <v>249093.44315190148</v>
      </c>
      <c r="AA72" s="230">
        <f t="shared" si="28"/>
        <v>660927.92184809851</v>
      </c>
      <c r="AB72" s="230">
        <f>MIN(MAX(AA72,0),'Tax Assumptions'!$B$20)</f>
        <v>7500</v>
      </c>
      <c r="AC72" s="230">
        <f t="shared" si="29"/>
        <v>653427.92184809851</v>
      </c>
      <c r="AD72" s="230">
        <f>MAX(AD71*(1+'Model Inputs'!$B$13)+AC72,0)</f>
        <v>32901747.890943613</v>
      </c>
      <c r="AE72" s="230">
        <f>MAX(AE71*(1+'Model Inputs'!$B$13)+U72+AB72,0)</f>
        <v>1503866.4861722963</v>
      </c>
      <c r="AF72" s="230">
        <f t="shared" si="30"/>
        <v>34405614.377115913</v>
      </c>
      <c r="AG72" s="226" t="str">
        <f t="shared" si="31"/>
        <v/>
      </c>
      <c r="AH72" s="226" t="str">
        <f t="shared" si="32"/>
        <v/>
      </c>
      <c r="AI72" s="226" t="str">
        <f t="shared" si="33"/>
        <v/>
      </c>
      <c r="AJ72" s="226" t="str">
        <f t="shared" si="34"/>
        <v/>
      </c>
    </row>
    <row r="73" spans="1:36" ht="18" customHeight="1" x14ac:dyDescent="0.2">
      <c r="A73" s="226" t="str">
        <f t="shared" si="13"/>
        <v>3Y -&gt; PM Y7 Starter</v>
      </c>
      <c r="B73" s="226">
        <f t="shared" si="14"/>
        <v>3</v>
      </c>
      <c r="C73" s="235">
        <f t="shared" si="15"/>
        <v>3</v>
      </c>
      <c r="D73" s="226">
        <f t="shared" si="16"/>
        <v>7</v>
      </c>
      <c r="E73" s="226" t="str">
        <f t="shared" si="17"/>
        <v>Starter</v>
      </c>
      <c r="F73" s="230">
        <f t="shared" si="18"/>
        <v>10000000</v>
      </c>
      <c r="G73" s="236">
        <f t="shared" si="19"/>
        <v>0.15</v>
      </c>
      <c r="H73" s="230">
        <f t="shared" si="20"/>
        <v>300000</v>
      </c>
      <c r="I73" s="236">
        <f t="shared" si="21"/>
        <v>0</v>
      </c>
      <c r="J73" s="234">
        <v>24</v>
      </c>
      <c r="K73" s="234">
        <f t="shared" si="22"/>
        <v>2049</v>
      </c>
      <c r="L73" s="230">
        <f>IF(J73=1,'Model Inputs'!$B$25*(13-'Model Inputs'!$B$23)/12,'Model Inputs'!$B$25)</f>
        <v>300000</v>
      </c>
      <c r="M73" s="230">
        <f>IF(J73=1,'Model Inputs'!$B$27*(13-'Model Inputs'!$B$23)/12,IF(J73=2,'Model Inputs'!$B$27,IF(J73&lt;=MAX(3,'Model Inputs'!$B$30+1),'Model Inputs'!$B$27*(1+'Model Inputs'!$B$28)^(J73-3),'Model Inputs'!$B$27*(1+'Model Inputs'!$B$28)^(MAX(3,'Model Inputs'!$B$30+1)-3)*(1+'Model Inputs'!$B$29)^(J73-MAX(3,'Model Inputs'!$B$30+1)))))</f>
        <v>90301156.084270701</v>
      </c>
      <c r="N73" s="236">
        <f>IF(J73&lt;=2,0,'Model Inputs'!$B$32*SIN(2*PI()*(J73-3+'Model Inputs'!$B$34)/MAX(1,'Model Inputs'!$B$33)))</f>
        <v>-2.0574066225675533E-16</v>
      </c>
      <c r="O73" s="230">
        <f t="shared" si="23"/>
        <v>90301156.084270686</v>
      </c>
      <c r="P73" s="230">
        <f t="shared" si="35"/>
        <v>63182470.219744325</v>
      </c>
      <c r="Q73" s="230">
        <f>L73+P73+IF(J73=1,'Model Inputs'!$B$26,0)</f>
        <v>63482470.219744325</v>
      </c>
      <c r="R73" s="230">
        <f t="shared" si="24"/>
        <v>190447410.65923297</v>
      </c>
      <c r="S73" s="230">
        <f t="shared" si="25"/>
        <v>1800000</v>
      </c>
      <c r="T73" s="230">
        <f t="shared" si="26"/>
        <v>1800000</v>
      </c>
      <c r="U73" s="230">
        <f>MIN(T73,'Tax Assumptions'!$B$19)</f>
        <v>24500</v>
      </c>
      <c r="V73" s="230">
        <f>MAX(T73-U73-'Tax Assumptions'!$B$8,0)</f>
        <v>1759400</v>
      </c>
      <c r="W73" s="230">
        <f>MAX(T73-U73-'Tax Assumptions'!$B$9,0)</f>
        <v>1767500</v>
      </c>
      <c r="X73" s="230">
        <f>IF(V73=0,0,LOOKUP(V73,'Tax Assumptions'!$F$9:$F$15,'Tax Assumptions'!$I$9:$I$15)+(V73-LOOKUP(V73,'Tax Assumptions'!$F$9:$F$15,'Tax Assumptions'!$F$9:$F$15))*LOOKUP(V73,'Tax Assumptions'!$F$9:$F$15,'Tax Assumptions'!$H$9:$H$15))+MIN(MAX(T73,0),'Tax Assumptions'!$B$11)*'Tax Assumptions'!$B$10+MAX(T73,0)*'Tax Assumptions'!$B$12+MAX(MAX(T73,0)-'Tax Assumptions'!$B$14,0)*'Tax Assumptions'!$B$13+MIN(T73*'Tax Assumptions'!$B$15,'Tax Assumptions'!$B$16)+MIN(T73*'Tax Assumptions'!$B$17,'Tax Assumptions'!$B$18)+IF(W73=0,0,LOOKUP(W73,'Tax Assumptions'!$K$9:$K$17,'Tax Assumptions'!$N$9:$N$17)+(W73-LOOKUP(W73,'Tax Assumptions'!$K$9:$K$17,'Tax Assumptions'!$K$9:$K$17))*LOOKUP(W73,'Tax Assumptions'!$K$9:$K$17,'Tax Assumptions'!$M$9:$M$17))+IF(W73=0,0,LOOKUP(W73,'Tax Assumptions'!$P$9:$P$12,'Tax Assumptions'!$S$9:$S$12)+(W73-LOOKUP(W73,'Tax Assumptions'!$P$9:$P$12,'Tax Assumptions'!$P$9:$P$12))*LOOKUP(W73,'Tax Assumptions'!$P$9:$P$12,'Tax Assumptions'!$R$9:$R$12))</f>
        <v>865478.63500000001</v>
      </c>
      <c r="Y73" s="230">
        <f t="shared" si="27"/>
        <v>910021.36499999999</v>
      </c>
      <c r="Z73" s="230">
        <f>IF(J73&lt;=10,INDEX('Savings Projection'!$BL$19:$BL$28,J73),LOOKUP(2,1/('Savings Projection'!$BL$19:$BL$28&lt;&gt;""),'Savings Projection'!$BL$19:$BL$28))*(1+'Model Inputs'!$B$35)^(J73-1)+IF(J73&lt;=10,INDEX('Savings Projection'!$BM$19:$BM$28,J73),LOOKUP(2,1/('Savings Projection'!$BM$19:$BM$28&lt;&gt;""),'Savings Projection'!$BM$19:$BM$28))*(1+'Model Inputs'!$B$36)^(J73-1)</f>
        <v>256566.24644645851</v>
      </c>
      <c r="AA73" s="230">
        <f t="shared" si="28"/>
        <v>653455.11855354148</v>
      </c>
      <c r="AB73" s="230">
        <f>MIN(MAX(AA73,0),'Tax Assumptions'!$B$20)</f>
        <v>7500</v>
      </c>
      <c r="AC73" s="230">
        <f t="shared" si="29"/>
        <v>645955.11855354148</v>
      </c>
      <c r="AD73" s="230">
        <f>MAX(AD72*(1+'Model Inputs'!$B$13)+AC73,0)</f>
        <v>35521807.88295377</v>
      </c>
      <c r="AE73" s="230">
        <f>MAX(AE72*(1+'Model Inputs'!$B$13)+U73+AB73,0)</f>
        <v>1626098.4753426341</v>
      </c>
      <c r="AF73" s="230">
        <f t="shared" si="30"/>
        <v>37147906.358296402</v>
      </c>
      <c r="AG73" s="226" t="str">
        <f t="shared" si="31"/>
        <v/>
      </c>
      <c r="AH73" s="226" t="str">
        <f t="shared" si="32"/>
        <v/>
      </c>
      <c r="AI73" s="226" t="str">
        <f t="shared" si="33"/>
        <v/>
      </c>
      <c r="AJ73" s="226" t="str">
        <f t="shared" si="34"/>
        <v/>
      </c>
    </row>
    <row r="74" spans="1:36" ht="18" customHeight="1" x14ac:dyDescent="0.2">
      <c r="A74" s="226" t="str">
        <f t="shared" si="13"/>
        <v>3Y -&gt; PM Y7 Starter</v>
      </c>
      <c r="B74" s="226">
        <f t="shared" si="14"/>
        <v>3</v>
      </c>
      <c r="C74" s="235">
        <f t="shared" si="15"/>
        <v>3</v>
      </c>
      <c r="D74" s="226">
        <f t="shared" si="16"/>
        <v>7</v>
      </c>
      <c r="E74" s="226" t="str">
        <f t="shared" si="17"/>
        <v>Starter</v>
      </c>
      <c r="F74" s="230">
        <f t="shared" si="18"/>
        <v>10000000</v>
      </c>
      <c r="G74" s="236">
        <f t="shared" si="19"/>
        <v>0.15</v>
      </c>
      <c r="H74" s="230">
        <f t="shared" si="20"/>
        <v>300000</v>
      </c>
      <c r="I74" s="236">
        <f t="shared" si="21"/>
        <v>0</v>
      </c>
      <c r="J74" s="234">
        <v>25</v>
      </c>
      <c r="K74" s="234">
        <f t="shared" si="22"/>
        <v>2050</v>
      </c>
      <c r="L74" s="230">
        <f>IF(J74=1,'Model Inputs'!$B$25*(13-'Model Inputs'!$B$23)/12,'Model Inputs'!$B$25)</f>
        <v>300000</v>
      </c>
      <c r="M74" s="230">
        <f>IF(J74=1,'Model Inputs'!$B$27*(13-'Model Inputs'!$B$23)/12,IF(J74=2,'Model Inputs'!$B$27,IF(J74&lt;=MAX(3,'Model Inputs'!$B$30+1),'Model Inputs'!$B$27*(1+'Model Inputs'!$B$28)^(J74-3),'Model Inputs'!$B$27*(1+'Model Inputs'!$B$28)^(MAX(3,'Model Inputs'!$B$30+1)-3)*(1+'Model Inputs'!$B$29)^(J74-MAX(3,'Model Inputs'!$B$30+1)))))</f>
        <v>114761701.62653697</v>
      </c>
      <c r="N74" s="236">
        <f>IF(J74&lt;=2,0,'Model Inputs'!$B$32*SIN(2*PI()*(J74-3+'Model Inputs'!$B$34)/MAX(1,'Model Inputs'!$B$33)))</f>
        <v>0.10392304845413287</v>
      </c>
      <c r="O74" s="230">
        <f t="shared" si="23"/>
        <v>126688087.50535031</v>
      </c>
      <c r="P74" s="230">
        <f t="shared" si="35"/>
        <v>83643370.677900568</v>
      </c>
      <c r="Q74" s="230">
        <f>L74+P74+IF(J74=1,'Model Inputs'!$B$26,0)</f>
        <v>83943370.677900568</v>
      </c>
      <c r="R74" s="230">
        <f t="shared" si="24"/>
        <v>251830112.03370172</v>
      </c>
      <c r="S74" s="230">
        <f t="shared" si="25"/>
        <v>1800000</v>
      </c>
      <c r="T74" s="230">
        <f t="shared" si="26"/>
        <v>1800000</v>
      </c>
      <c r="U74" s="230">
        <f>MIN(T74,'Tax Assumptions'!$B$19)</f>
        <v>24500</v>
      </c>
      <c r="V74" s="230">
        <f>MAX(T74-U74-'Tax Assumptions'!$B$8,0)</f>
        <v>1759400</v>
      </c>
      <c r="W74" s="230">
        <f>MAX(T74-U74-'Tax Assumptions'!$B$9,0)</f>
        <v>1767500</v>
      </c>
      <c r="X74" s="230">
        <f>IF(V74=0,0,LOOKUP(V74,'Tax Assumptions'!$F$9:$F$15,'Tax Assumptions'!$I$9:$I$15)+(V74-LOOKUP(V74,'Tax Assumptions'!$F$9:$F$15,'Tax Assumptions'!$F$9:$F$15))*LOOKUP(V74,'Tax Assumptions'!$F$9:$F$15,'Tax Assumptions'!$H$9:$H$15))+MIN(MAX(T74,0),'Tax Assumptions'!$B$11)*'Tax Assumptions'!$B$10+MAX(T74,0)*'Tax Assumptions'!$B$12+MAX(MAX(T74,0)-'Tax Assumptions'!$B$14,0)*'Tax Assumptions'!$B$13+MIN(T74*'Tax Assumptions'!$B$15,'Tax Assumptions'!$B$16)+MIN(T74*'Tax Assumptions'!$B$17,'Tax Assumptions'!$B$18)+IF(W74=0,0,LOOKUP(W74,'Tax Assumptions'!$K$9:$K$17,'Tax Assumptions'!$N$9:$N$17)+(W74-LOOKUP(W74,'Tax Assumptions'!$K$9:$K$17,'Tax Assumptions'!$K$9:$K$17))*LOOKUP(W74,'Tax Assumptions'!$K$9:$K$17,'Tax Assumptions'!$M$9:$M$17))+IF(W74=0,0,LOOKUP(W74,'Tax Assumptions'!$P$9:$P$12,'Tax Assumptions'!$S$9:$S$12)+(W74-LOOKUP(W74,'Tax Assumptions'!$P$9:$P$12,'Tax Assumptions'!$P$9:$P$12))*LOOKUP(W74,'Tax Assumptions'!$P$9:$P$12,'Tax Assumptions'!$R$9:$R$12))</f>
        <v>865478.63500000001</v>
      </c>
      <c r="Y74" s="230">
        <f t="shared" si="27"/>
        <v>910021.36499999999</v>
      </c>
      <c r="Z74" s="230">
        <f>IF(J74&lt;=10,INDEX('Savings Projection'!$BL$19:$BL$28,J74),LOOKUP(2,1/('Savings Projection'!$BL$19:$BL$28&lt;&gt;""),'Savings Projection'!$BL$19:$BL$28))*(1+'Model Inputs'!$B$35)^(J74-1)+IF(J74&lt;=10,INDEX('Savings Projection'!$BM$19:$BM$28,J74),LOOKUP(2,1/('Savings Projection'!$BM$19:$BM$28&lt;&gt;""),'Savings Projection'!$BM$19:$BM$28))*(1+'Model Inputs'!$B$36)^(J74-1)</f>
        <v>264263.23383985227</v>
      </c>
      <c r="AA74" s="230">
        <f t="shared" si="28"/>
        <v>645758.13116014772</v>
      </c>
      <c r="AB74" s="230">
        <f>MIN(MAX(AA74,0),'Tax Assumptions'!$B$20)</f>
        <v>7500</v>
      </c>
      <c r="AC74" s="230">
        <f t="shared" si="29"/>
        <v>638258.13116014772</v>
      </c>
      <c r="AD74" s="230">
        <f>MAX(AD73*(1+'Model Inputs'!$B$13)+AC74,0)</f>
        <v>38291374.487091146</v>
      </c>
      <c r="AE74" s="230">
        <f>MAX(AE73*(1+'Model Inputs'!$B$13)+U74+AB74,0)</f>
        <v>1755664.3838631923</v>
      </c>
      <c r="AF74" s="230">
        <f t="shared" si="30"/>
        <v>40047038.870954342</v>
      </c>
      <c r="AG74" s="226" t="str">
        <f t="shared" si="31"/>
        <v/>
      </c>
      <c r="AH74" s="226" t="str">
        <f t="shared" si="32"/>
        <v/>
      </c>
      <c r="AI74" s="226" t="str">
        <f t="shared" si="33"/>
        <v/>
      </c>
      <c r="AJ74" s="226" t="str">
        <f t="shared" si="34"/>
        <v/>
      </c>
    </row>
    <row r="75" spans="1:36" ht="18" customHeight="1" x14ac:dyDescent="0.2">
      <c r="A75" s="226" t="str">
        <f t="shared" si="13"/>
        <v>3Y -&gt; PM Y7 Starter</v>
      </c>
      <c r="B75" s="226">
        <f t="shared" si="14"/>
        <v>3</v>
      </c>
      <c r="C75" s="235">
        <f t="shared" si="15"/>
        <v>3</v>
      </c>
      <c r="D75" s="226">
        <f t="shared" si="16"/>
        <v>7</v>
      </c>
      <c r="E75" s="226" t="str">
        <f t="shared" si="17"/>
        <v>Starter</v>
      </c>
      <c r="F75" s="230">
        <f t="shared" si="18"/>
        <v>10000000</v>
      </c>
      <c r="G75" s="236">
        <f t="shared" si="19"/>
        <v>0.15</v>
      </c>
      <c r="H75" s="230">
        <f t="shared" si="20"/>
        <v>300000</v>
      </c>
      <c r="I75" s="236">
        <f t="shared" si="21"/>
        <v>0</v>
      </c>
      <c r="J75" s="234">
        <v>26</v>
      </c>
      <c r="K75" s="234">
        <f t="shared" si="22"/>
        <v>2051</v>
      </c>
      <c r="L75" s="230">
        <f>IF(J75=1,'Model Inputs'!$B$25*(13-'Model Inputs'!$B$23)/12,'Model Inputs'!$B$25)</f>
        <v>300000</v>
      </c>
      <c r="M75" s="230">
        <f>IF(J75=1,'Model Inputs'!$B$27*(13-'Model Inputs'!$B$23)/12,IF(J75=2,'Model Inputs'!$B$27,IF(J75&lt;=MAX(3,'Model Inputs'!$B$30+1),'Model Inputs'!$B$27*(1+'Model Inputs'!$B$28)^(J75-3),'Model Inputs'!$B$27*(1+'Model Inputs'!$B$28)^(MAX(3,'Model Inputs'!$B$30+1)-3)*(1+'Model Inputs'!$B$29)^(J75-MAX(3,'Model Inputs'!$B$30+1)))))</f>
        <v>145848057.00524563</v>
      </c>
      <c r="N75" s="236">
        <f>IF(J75&lt;=2,0,'Model Inputs'!$B$32*SIN(2*PI()*(J75-3+'Model Inputs'!$B$34)/MAX(1,'Model Inputs'!$B$33)))</f>
        <v>-0.10392304845413224</v>
      </c>
      <c r="O75" s="230">
        <f t="shared" si="23"/>
        <v>130691082.31014845</v>
      </c>
      <c r="P75" s="230">
        <f t="shared" si="35"/>
        <v>117591354.65008041</v>
      </c>
      <c r="Q75" s="230">
        <f>L75+P75+IF(J75=1,'Model Inputs'!$B$26,0)</f>
        <v>117891354.65008041</v>
      </c>
      <c r="R75" s="230">
        <f t="shared" si="24"/>
        <v>353674063.95024121</v>
      </c>
      <c r="S75" s="230">
        <f t="shared" si="25"/>
        <v>1800000</v>
      </c>
      <c r="T75" s="230">
        <f t="shared" si="26"/>
        <v>1800000</v>
      </c>
      <c r="U75" s="230">
        <f>MIN(T75,'Tax Assumptions'!$B$19)</f>
        <v>24500</v>
      </c>
      <c r="V75" s="230">
        <f>MAX(T75-U75-'Tax Assumptions'!$B$8,0)</f>
        <v>1759400</v>
      </c>
      <c r="W75" s="230">
        <f>MAX(T75-U75-'Tax Assumptions'!$B$9,0)</f>
        <v>1767500</v>
      </c>
      <c r="X75" s="230">
        <f>IF(V75=0,0,LOOKUP(V75,'Tax Assumptions'!$F$9:$F$15,'Tax Assumptions'!$I$9:$I$15)+(V75-LOOKUP(V75,'Tax Assumptions'!$F$9:$F$15,'Tax Assumptions'!$F$9:$F$15))*LOOKUP(V75,'Tax Assumptions'!$F$9:$F$15,'Tax Assumptions'!$H$9:$H$15))+MIN(MAX(T75,0),'Tax Assumptions'!$B$11)*'Tax Assumptions'!$B$10+MAX(T75,0)*'Tax Assumptions'!$B$12+MAX(MAX(T75,0)-'Tax Assumptions'!$B$14,0)*'Tax Assumptions'!$B$13+MIN(T75*'Tax Assumptions'!$B$15,'Tax Assumptions'!$B$16)+MIN(T75*'Tax Assumptions'!$B$17,'Tax Assumptions'!$B$18)+IF(W75=0,0,LOOKUP(W75,'Tax Assumptions'!$K$9:$K$17,'Tax Assumptions'!$N$9:$N$17)+(W75-LOOKUP(W75,'Tax Assumptions'!$K$9:$K$17,'Tax Assumptions'!$K$9:$K$17))*LOOKUP(W75,'Tax Assumptions'!$K$9:$K$17,'Tax Assumptions'!$M$9:$M$17))+IF(W75=0,0,LOOKUP(W75,'Tax Assumptions'!$P$9:$P$12,'Tax Assumptions'!$S$9:$S$12)+(W75-LOOKUP(W75,'Tax Assumptions'!$P$9:$P$12,'Tax Assumptions'!$P$9:$P$12))*LOOKUP(W75,'Tax Assumptions'!$P$9:$P$12,'Tax Assumptions'!$R$9:$R$12))</f>
        <v>865478.63500000001</v>
      </c>
      <c r="Y75" s="230">
        <f t="shared" si="27"/>
        <v>910021.36499999999</v>
      </c>
      <c r="Z75" s="230">
        <f>IF(J75&lt;=10,INDEX('Savings Projection'!$BL$19:$BL$28,J75),LOOKUP(2,1/('Savings Projection'!$BL$19:$BL$28&lt;&gt;""),'Savings Projection'!$BL$19:$BL$28))*(1+'Model Inputs'!$B$35)^(J75-1)+IF(J75&lt;=10,INDEX('Savings Projection'!$BM$19:$BM$28,J75),LOOKUP(2,1/('Savings Projection'!$BM$19:$BM$28&lt;&gt;""),'Savings Projection'!$BM$19:$BM$28))*(1+'Model Inputs'!$B$36)^(J75-1)</f>
        <v>272191.13085504784</v>
      </c>
      <c r="AA75" s="230">
        <f t="shared" si="28"/>
        <v>637830.23414495215</v>
      </c>
      <c r="AB75" s="230">
        <f>MIN(MAX(AA75,0),'Tax Assumptions'!$B$20)</f>
        <v>7500</v>
      </c>
      <c r="AC75" s="230">
        <f t="shared" si="29"/>
        <v>630330.23414495215</v>
      </c>
      <c r="AD75" s="230">
        <f>MAX(AD74*(1+'Model Inputs'!$B$13)+AC75,0)</f>
        <v>41219187.190461576</v>
      </c>
      <c r="AE75" s="230">
        <f>MAX(AE74*(1+'Model Inputs'!$B$13)+U75+AB75,0)</f>
        <v>1893004.2468949838</v>
      </c>
      <c r="AF75" s="230">
        <f t="shared" si="30"/>
        <v>43112191.437356561</v>
      </c>
      <c r="AG75" s="226" t="str">
        <f t="shared" si="31"/>
        <v/>
      </c>
      <c r="AH75" s="226" t="str">
        <f t="shared" si="32"/>
        <v/>
      </c>
      <c r="AI75" s="226" t="str">
        <f t="shared" si="33"/>
        <v/>
      </c>
      <c r="AJ75" s="226" t="str">
        <f t="shared" si="34"/>
        <v/>
      </c>
    </row>
    <row r="76" spans="1:36" ht="18" customHeight="1" x14ac:dyDescent="0.2">
      <c r="A76" s="226" t="str">
        <f t="shared" si="13"/>
        <v>3Y -&gt; PM Y7 Starter</v>
      </c>
      <c r="B76" s="226">
        <f t="shared" si="14"/>
        <v>3</v>
      </c>
      <c r="C76" s="235">
        <f t="shared" si="15"/>
        <v>3</v>
      </c>
      <c r="D76" s="226">
        <f t="shared" si="16"/>
        <v>7</v>
      </c>
      <c r="E76" s="226" t="str">
        <f t="shared" si="17"/>
        <v>Starter</v>
      </c>
      <c r="F76" s="230">
        <f t="shared" si="18"/>
        <v>10000000</v>
      </c>
      <c r="G76" s="236">
        <f t="shared" si="19"/>
        <v>0.15</v>
      </c>
      <c r="H76" s="230">
        <f t="shared" si="20"/>
        <v>300000</v>
      </c>
      <c r="I76" s="236">
        <f t="shared" si="21"/>
        <v>0</v>
      </c>
      <c r="J76" s="234">
        <v>27</v>
      </c>
      <c r="K76" s="234">
        <f t="shared" si="22"/>
        <v>2052</v>
      </c>
      <c r="L76" s="230">
        <f>IF(J76=1,'Model Inputs'!$B$25*(13-'Model Inputs'!$B$23)/12,'Model Inputs'!$B$25)</f>
        <v>300000</v>
      </c>
      <c r="M76" s="230">
        <f>IF(J76=1,'Model Inputs'!$B$27*(13-'Model Inputs'!$B$23)/12,IF(J76=2,'Model Inputs'!$B$27,IF(J76&lt;=MAX(3,'Model Inputs'!$B$30+1),'Model Inputs'!$B$27*(1+'Model Inputs'!$B$28)^(J76-3),'Model Inputs'!$B$27*(1+'Model Inputs'!$B$28)^(MAX(3,'Model Inputs'!$B$30+1)-3)*(1+'Model Inputs'!$B$29)^(J76-MAX(3,'Model Inputs'!$B$30+1)))))</f>
        <v>185355004.59402937</v>
      </c>
      <c r="N76" s="236">
        <f>IF(J76&lt;=2,0,'Model Inputs'!$B$32*SIN(2*PI()*(J76-3+'Model Inputs'!$B$34)/MAX(1,'Model Inputs'!$B$33)))</f>
        <v>-2.3513218543629179E-16</v>
      </c>
      <c r="O76" s="230">
        <f t="shared" si="23"/>
        <v>185355004.59402934</v>
      </c>
      <c r="P76" s="230">
        <f t="shared" si="35"/>
        <v>129690333.6089489</v>
      </c>
      <c r="Q76" s="230">
        <f>L76+P76+IF(J76=1,'Model Inputs'!$B$26,0)</f>
        <v>129990333.6089489</v>
      </c>
      <c r="R76" s="230">
        <f t="shared" si="24"/>
        <v>389971000.82684672</v>
      </c>
      <c r="S76" s="230">
        <f t="shared" si="25"/>
        <v>1800000</v>
      </c>
      <c r="T76" s="230">
        <f t="shared" si="26"/>
        <v>1800000</v>
      </c>
      <c r="U76" s="230">
        <f>MIN(T76,'Tax Assumptions'!$B$19)</f>
        <v>24500</v>
      </c>
      <c r="V76" s="230">
        <f>MAX(T76-U76-'Tax Assumptions'!$B$8,0)</f>
        <v>1759400</v>
      </c>
      <c r="W76" s="230">
        <f>MAX(T76-U76-'Tax Assumptions'!$B$9,0)</f>
        <v>1767500</v>
      </c>
      <c r="X76" s="230">
        <f>IF(V76=0,0,LOOKUP(V76,'Tax Assumptions'!$F$9:$F$15,'Tax Assumptions'!$I$9:$I$15)+(V76-LOOKUP(V76,'Tax Assumptions'!$F$9:$F$15,'Tax Assumptions'!$F$9:$F$15))*LOOKUP(V76,'Tax Assumptions'!$F$9:$F$15,'Tax Assumptions'!$H$9:$H$15))+MIN(MAX(T76,0),'Tax Assumptions'!$B$11)*'Tax Assumptions'!$B$10+MAX(T76,0)*'Tax Assumptions'!$B$12+MAX(MAX(T76,0)-'Tax Assumptions'!$B$14,0)*'Tax Assumptions'!$B$13+MIN(T76*'Tax Assumptions'!$B$15,'Tax Assumptions'!$B$16)+MIN(T76*'Tax Assumptions'!$B$17,'Tax Assumptions'!$B$18)+IF(W76=0,0,LOOKUP(W76,'Tax Assumptions'!$K$9:$K$17,'Tax Assumptions'!$N$9:$N$17)+(W76-LOOKUP(W76,'Tax Assumptions'!$K$9:$K$17,'Tax Assumptions'!$K$9:$K$17))*LOOKUP(W76,'Tax Assumptions'!$K$9:$K$17,'Tax Assumptions'!$M$9:$M$17))+IF(W76=0,0,LOOKUP(W76,'Tax Assumptions'!$P$9:$P$12,'Tax Assumptions'!$S$9:$S$12)+(W76-LOOKUP(W76,'Tax Assumptions'!$P$9:$P$12,'Tax Assumptions'!$P$9:$P$12))*LOOKUP(W76,'Tax Assumptions'!$P$9:$P$12,'Tax Assumptions'!$R$9:$R$12))</f>
        <v>865478.63500000001</v>
      </c>
      <c r="Y76" s="230">
        <f t="shared" si="27"/>
        <v>910021.36499999999</v>
      </c>
      <c r="Z76" s="230">
        <f>IF(J76&lt;=10,INDEX('Savings Projection'!$BL$19:$BL$28,J76),LOOKUP(2,1/('Savings Projection'!$BL$19:$BL$28&lt;&gt;""),'Savings Projection'!$BL$19:$BL$28))*(1+'Model Inputs'!$B$35)^(J76-1)+IF(J76&lt;=10,INDEX('Savings Projection'!$BM$19:$BM$28,J76),LOOKUP(2,1/('Savings Projection'!$BM$19:$BM$28&lt;&gt;""),'Savings Projection'!$BM$19:$BM$28))*(1+'Model Inputs'!$B$36)^(J76-1)</f>
        <v>280356.86478069925</v>
      </c>
      <c r="AA76" s="230">
        <f t="shared" si="28"/>
        <v>629664.50021930074</v>
      </c>
      <c r="AB76" s="230">
        <f>MIN(MAX(AA76,0),'Tax Assumptions'!$B$20)</f>
        <v>7500</v>
      </c>
      <c r="AC76" s="230">
        <f t="shared" si="29"/>
        <v>622164.50021930074</v>
      </c>
      <c r="AD76" s="230">
        <f>MAX(AD75*(1+'Model Inputs'!$B$13)+AC76,0)</f>
        <v>44314502.922108576</v>
      </c>
      <c r="AE76" s="230">
        <f>MAX(AE75*(1+'Model Inputs'!$B$13)+U76+AB76,0)</f>
        <v>2038584.5017086829</v>
      </c>
      <c r="AF76" s="230">
        <f t="shared" si="30"/>
        <v>46353087.423817262</v>
      </c>
      <c r="AG76" s="226" t="str">
        <f t="shared" si="31"/>
        <v/>
      </c>
      <c r="AH76" s="226" t="str">
        <f t="shared" si="32"/>
        <v/>
      </c>
      <c r="AI76" s="226" t="str">
        <f t="shared" si="33"/>
        <v/>
      </c>
      <c r="AJ76" s="226" t="str">
        <f t="shared" si="34"/>
        <v/>
      </c>
    </row>
    <row r="77" spans="1:36" ht="18" customHeight="1" x14ac:dyDescent="0.2">
      <c r="A77" s="226" t="str">
        <f t="shared" si="13"/>
        <v>3Y -&gt; PM Y7 Starter</v>
      </c>
      <c r="B77" s="226">
        <f t="shared" si="14"/>
        <v>3</v>
      </c>
      <c r="C77" s="235">
        <f t="shared" si="15"/>
        <v>3</v>
      </c>
      <c r="D77" s="226">
        <f t="shared" si="16"/>
        <v>7</v>
      </c>
      <c r="E77" s="226" t="str">
        <f t="shared" si="17"/>
        <v>Starter</v>
      </c>
      <c r="F77" s="230">
        <f t="shared" si="18"/>
        <v>10000000</v>
      </c>
      <c r="G77" s="236">
        <f t="shared" si="19"/>
        <v>0.15</v>
      </c>
      <c r="H77" s="230">
        <f t="shared" si="20"/>
        <v>300000</v>
      </c>
      <c r="I77" s="236">
        <f t="shared" si="21"/>
        <v>0</v>
      </c>
      <c r="J77" s="234">
        <v>28</v>
      </c>
      <c r="K77" s="234">
        <f t="shared" si="22"/>
        <v>2053</v>
      </c>
      <c r="L77" s="230">
        <f>IF(J77=1,'Model Inputs'!$B$25*(13-'Model Inputs'!$B$23)/12,'Model Inputs'!$B$25)</f>
        <v>300000</v>
      </c>
      <c r="M77" s="230">
        <f>IF(J77=1,'Model Inputs'!$B$27*(13-'Model Inputs'!$B$23)/12,IF(J77=2,'Model Inputs'!$B$27,IF(J77&lt;=MAX(3,'Model Inputs'!$B$30+1),'Model Inputs'!$B$27*(1+'Model Inputs'!$B$28)^(J77-3),'Model Inputs'!$B$27*(1+'Model Inputs'!$B$28)^(MAX(3,'Model Inputs'!$B$30+1)-3)*(1+'Model Inputs'!$B$29)^(J77-MAX(3,'Model Inputs'!$B$30+1)))))</f>
        <v>235563492.81236541</v>
      </c>
      <c r="N77" s="236">
        <f>IF(J77&lt;=2,0,'Model Inputs'!$B$32*SIN(2*PI()*(J77-3+'Model Inputs'!$B$34)/MAX(1,'Model Inputs'!$B$33)))</f>
        <v>0.10392304845413247</v>
      </c>
      <c r="O77" s="230">
        <f t="shared" si="23"/>
        <v>260043969.08992955</v>
      </c>
      <c r="P77" s="230">
        <f t="shared" si="35"/>
        <v>171689024.02305913</v>
      </c>
      <c r="Q77" s="230">
        <f>L77+P77+IF(J77=1,'Model Inputs'!$B$26,0)</f>
        <v>171989024.02305913</v>
      </c>
      <c r="R77" s="230">
        <f t="shared" si="24"/>
        <v>515967072.06917739</v>
      </c>
      <c r="S77" s="230">
        <f t="shared" si="25"/>
        <v>1800000</v>
      </c>
      <c r="T77" s="230">
        <f t="shared" si="26"/>
        <v>1800000</v>
      </c>
      <c r="U77" s="230">
        <f>MIN(T77,'Tax Assumptions'!$B$19)</f>
        <v>24500</v>
      </c>
      <c r="V77" s="230">
        <f>MAX(T77-U77-'Tax Assumptions'!$B$8,0)</f>
        <v>1759400</v>
      </c>
      <c r="W77" s="230">
        <f>MAX(T77-U77-'Tax Assumptions'!$B$9,0)</f>
        <v>1767500</v>
      </c>
      <c r="X77" s="230">
        <f>IF(V77=0,0,LOOKUP(V77,'Tax Assumptions'!$F$9:$F$15,'Tax Assumptions'!$I$9:$I$15)+(V77-LOOKUP(V77,'Tax Assumptions'!$F$9:$F$15,'Tax Assumptions'!$F$9:$F$15))*LOOKUP(V77,'Tax Assumptions'!$F$9:$F$15,'Tax Assumptions'!$H$9:$H$15))+MIN(MAX(T77,0),'Tax Assumptions'!$B$11)*'Tax Assumptions'!$B$10+MAX(T77,0)*'Tax Assumptions'!$B$12+MAX(MAX(T77,0)-'Tax Assumptions'!$B$14,0)*'Tax Assumptions'!$B$13+MIN(T77*'Tax Assumptions'!$B$15,'Tax Assumptions'!$B$16)+MIN(T77*'Tax Assumptions'!$B$17,'Tax Assumptions'!$B$18)+IF(W77=0,0,LOOKUP(W77,'Tax Assumptions'!$K$9:$K$17,'Tax Assumptions'!$N$9:$N$17)+(W77-LOOKUP(W77,'Tax Assumptions'!$K$9:$K$17,'Tax Assumptions'!$K$9:$K$17))*LOOKUP(W77,'Tax Assumptions'!$K$9:$K$17,'Tax Assumptions'!$M$9:$M$17))+IF(W77=0,0,LOOKUP(W77,'Tax Assumptions'!$P$9:$P$12,'Tax Assumptions'!$S$9:$S$12)+(W77-LOOKUP(W77,'Tax Assumptions'!$P$9:$P$12,'Tax Assumptions'!$P$9:$P$12))*LOOKUP(W77,'Tax Assumptions'!$P$9:$P$12,'Tax Assumptions'!$R$9:$R$12))</f>
        <v>865478.63500000001</v>
      </c>
      <c r="Y77" s="230">
        <f t="shared" si="27"/>
        <v>910021.36499999999</v>
      </c>
      <c r="Z77" s="230">
        <f>IF(J77&lt;=10,INDEX('Savings Projection'!$BL$19:$BL$28,J77),LOOKUP(2,1/('Savings Projection'!$BL$19:$BL$28&lt;&gt;""),'Savings Projection'!$BL$19:$BL$28))*(1+'Model Inputs'!$B$35)^(J77-1)+IF(J77&lt;=10,INDEX('Savings Projection'!$BM$19:$BM$28,J77),LOOKUP(2,1/('Savings Projection'!$BM$19:$BM$28&lt;&gt;""),'Savings Projection'!$BM$19:$BM$28))*(1+'Model Inputs'!$B$36)^(J77-1)</f>
        <v>288767.57072412025</v>
      </c>
      <c r="AA77" s="230">
        <f t="shared" si="28"/>
        <v>621253.79427587974</v>
      </c>
      <c r="AB77" s="230">
        <f>MIN(MAX(AA77,0),'Tax Assumptions'!$B$20)</f>
        <v>7500</v>
      </c>
      <c r="AC77" s="230">
        <f t="shared" si="29"/>
        <v>613753.79427587974</v>
      </c>
      <c r="AD77" s="230">
        <f>MAX(AD76*(1+'Model Inputs'!$B$13)+AC77,0)</f>
        <v>47587126.891710974</v>
      </c>
      <c r="AE77" s="230">
        <f>MAX(AE76*(1+'Model Inputs'!$B$13)+U77+AB77,0)</f>
        <v>2192899.5718112038</v>
      </c>
      <c r="AF77" s="230">
        <f t="shared" si="30"/>
        <v>49780026.463522181</v>
      </c>
      <c r="AG77" s="226" t="str">
        <f t="shared" si="31"/>
        <v/>
      </c>
      <c r="AH77" s="226" t="str">
        <f t="shared" si="32"/>
        <v/>
      </c>
      <c r="AI77" s="226" t="str">
        <f t="shared" si="33"/>
        <v/>
      </c>
      <c r="AJ77" s="226" t="str">
        <f t="shared" si="34"/>
        <v/>
      </c>
    </row>
    <row r="78" spans="1:36" ht="18" customHeight="1" x14ac:dyDescent="0.2">
      <c r="A78" s="226" t="str">
        <f t="shared" si="13"/>
        <v>3Y -&gt; PM Y7 Starter</v>
      </c>
      <c r="B78" s="226">
        <f t="shared" si="14"/>
        <v>3</v>
      </c>
      <c r="C78" s="235">
        <f t="shared" si="15"/>
        <v>3</v>
      </c>
      <c r="D78" s="226">
        <f t="shared" si="16"/>
        <v>7</v>
      </c>
      <c r="E78" s="226" t="str">
        <f t="shared" si="17"/>
        <v>Starter</v>
      </c>
      <c r="F78" s="230">
        <f t="shared" si="18"/>
        <v>10000000</v>
      </c>
      <c r="G78" s="236">
        <f t="shared" si="19"/>
        <v>0.15</v>
      </c>
      <c r="H78" s="230">
        <f t="shared" si="20"/>
        <v>300000</v>
      </c>
      <c r="I78" s="236">
        <f t="shared" si="21"/>
        <v>0</v>
      </c>
      <c r="J78" s="234">
        <v>29</v>
      </c>
      <c r="K78" s="234">
        <f t="shared" si="22"/>
        <v>2054</v>
      </c>
      <c r="L78" s="230">
        <f>IF(J78=1,'Model Inputs'!$B$25*(13-'Model Inputs'!$B$23)/12,'Model Inputs'!$B$25)</f>
        <v>300000</v>
      </c>
      <c r="M78" s="230">
        <f>IF(J78=1,'Model Inputs'!$B$27*(13-'Model Inputs'!$B$23)/12,IF(J78=2,'Model Inputs'!$B$27,IF(J78&lt;=MAX(3,'Model Inputs'!$B$30+1),'Model Inputs'!$B$27*(1+'Model Inputs'!$B$28)^(J78-3),'Model Inputs'!$B$27*(1+'Model Inputs'!$B$28)^(MAX(3,'Model Inputs'!$B$30+1)-3)*(1+'Model Inputs'!$B$29)^(J78-MAX(3,'Model Inputs'!$B$30+1)))))</f>
        <v>299372327.53708321</v>
      </c>
      <c r="N78" s="236">
        <f>IF(J78&lt;=2,0,'Model Inputs'!$B$32*SIN(2*PI()*(J78-3+'Model Inputs'!$B$34)/MAX(1,'Model Inputs'!$B$33)))</f>
        <v>-0.10392304845413265</v>
      </c>
      <c r="O78" s="230">
        <f t="shared" si="23"/>
        <v>268260642.63662043</v>
      </c>
      <c r="P78" s="230">
        <f t="shared" si="35"/>
        <v>241371727.96595448</v>
      </c>
      <c r="Q78" s="230">
        <f>L78+P78+IF(J78=1,'Model Inputs'!$B$26,0)</f>
        <v>241671727.96595448</v>
      </c>
      <c r="R78" s="230">
        <f t="shared" si="24"/>
        <v>725015183.89786339</v>
      </c>
      <c r="S78" s="230">
        <f t="shared" si="25"/>
        <v>1800000</v>
      </c>
      <c r="T78" s="230">
        <f t="shared" si="26"/>
        <v>1800000</v>
      </c>
      <c r="U78" s="230">
        <f>MIN(T78,'Tax Assumptions'!$B$19)</f>
        <v>24500</v>
      </c>
      <c r="V78" s="230">
        <f>MAX(T78-U78-'Tax Assumptions'!$B$8,0)</f>
        <v>1759400</v>
      </c>
      <c r="W78" s="230">
        <f>MAX(T78-U78-'Tax Assumptions'!$B$9,0)</f>
        <v>1767500</v>
      </c>
      <c r="X78" s="230">
        <f>IF(V78=0,0,LOOKUP(V78,'Tax Assumptions'!$F$9:$F$15,'Tax Assumptions'!$I$9:$I$15)+(V78-LOOKUP(V78,'Tax Assumptions'!$F$9:$F$15,'Tax Assumptions'!$F$9:$F$15))*LOOKUP(V78,'Tax Assumptions'!$F$9:$F$15,'Tax Assumptions'!$H$9:$H$15))+MIN(MAX(T78,0),'Tax Assumptions'!$B$11)*'Tax Assumptions'!$B$10+MAX(T78,0)*'Tax Assumptions'!$B$12+MAX(MAX(T78,0)-'Tax Assumptions'!$B$14,0)*'Tax Assumptions'!$B$13+MIN(T78*'Tax Assumptions'!$B$15,'Tax Assumptions'!$B$16)+MIN(T78*'Tax Assumptions'!$B$17,'Tax Assumptions'!$B$18)+IF(W78=0,0,LOOKUP(W78,'Tax Assumptions'!$K$9:$K$17,'Tax Assumptions'!$N$9:$N$17)+(W78-LOOKUP(W78,'Tax Assumptions'!$K$9:$K$17,'Tax Assumptions'!$K$9:$K$17))*LOOKUP(W78,'Tax Assumptions'!$K$9:$K$17,'Tax Assumptions'!$M$9:$M$17))+IF(W78=0,0,LOOKUP(W78,'Tax Assumptions'!$P$9:$P$12,'Tax Assumptions'!$S$9:$S$12)+(W78-LOOKUP(W78,'Tax Assumptions'!$P$9:$P$12,'Tax Assumptions'!$P$9:$P$12))*LOOKUP(W78,'Tax Assumptions'!$P$9:$P$12,'Tax Assumptions'!$R$9:$R$12))</f>
        <v>865478.63500000001</v>
      </c>
      <c r="Y78" s="230">
        <f t="shared" si="27"/>
        <v>910021.36499999999</v>
      </c>
      <c r="Z78" s="230">
        <f>IF(J78&lt;=10,INDEX('Savings Projection'!$BL$19:$BL$28,J78),LOOKUP(2,1/('Savings Projection'!$BL$19:$BL$28&lt;&gt;""),'Savings Projection'!$BL$19:$BL$28))*(1+'Model Inputs'!$B$35)^(J78-1)+IF(J78&lt;=10,INDEX('Savings Projection'!$BM$19:$BM$28,J78),LOOKUP(2,1/('Savings Projection'!$BM$19:$BM$28&lt;&gt;""),'Savings Projection'!$BM$19:$BM$28))*(1+'Model Inputs'!$B$36)^(J78-1)</f>
        <v>297430.59784584382</v>
      </c>
      <c r="AA78" s="230">
        <f t="shared" si="28"/>
        <v>612590.76715415623</v>
      </c>
      <c r="AB78" s="230">
        <f>MIN(MAX(AA78,0),'Tax Assumptions'!$B$20)</f>
        <v>7500</v>
      </c>
      <c r="AC78" s="230">
        <f t="shared" si="29"/>
        <v>605090.76715415623</v>
      </c>
      <c r="AD78" s="230">
        <f>MAX(AD77*(1+'Model Inputs'!$B$13)+AC78,0)</f>
        <v>51047445.27236779</v>
      </c>
      <c r="AE78" s="230">
        <f>MAX(AE77*(1+'Model Inputs'!$B$13)+U78+AB78,0)</f>
        <v>2356473.5461198762</v>
      </c>
      <c r="AF78" s="230">
        <f t="shared" si="30"/>
        <v>53403918.818487667</v>
      </c>
      <c r="AG78" s="226" t="str">
        <f t="shared" si="31"/>
        <v/>
      </c>
      <c r="AH78" s="226" t="str">
        <f t="shared" si="32"/>
        <v/>
      </c>
      <c r="AI78" s="226" t="str">
        <f t="shared" si="33"/>
        <v/>
      </c>
      <c r="AJ78" s="226" t="str">
        <f t="shared" si="34"/>
        <v/>
      </c>
    </row>
    <row r="79" spans="1:36" ht="18" customHeight="1" x14ac:dyDescent="0.2">
      <c r="A79" s="226" t="str">
        <f t="shared" si="13"/>
        <v>3Y -&gt; PM Y7 Starter</v>
      </c>
      <c r="B79" s="226">
        <f t="shared" si="14"/>
        <v>3</v>
      </c>
      <c r="C79" s="235">
        <f t="shared" si="15"/>
        <v>3</v>
      </c>
      <c r="D79" s="226">
        <f t="shared" si="16"/>
        <v>7</v>
      </c>
      <c r="E79" s="226" t="str">
        <f t="shared" si="17"/>
        <v>Starter</v>
      </c>
      <c r="F79" s="230">
        <f t="shared" si="18"/>
        <v>10000000</v>
      </c>
      <c r="G79" s="236">
        <f t="shared" si="19"/>
        <v>0.15</v>
      </c>
      <c r="H79" s="230">
        <f t="shared" si="20"/>
        <v>300000</v>
      </c>
      <c r="I79" s="236">
        <f t="shared" si="21"/>
        <v>0</v>
      </c>
      <c r="J79" s="234">
        <v>30</v>
      </c>
      <c r="K79" s="234">
        <f t="shared" si="22"/>
        <v>2055</v>
      </c>
      <c r="L79" s="230">
        <f>IF(J79=1,'Model Inputs'!$B$25*(13-'Model Inputs'!$B$23)/12,'Model Inputs'!$B$25)</f>
        <v>300000</v>
      </c>
      <c r="M79" s="230">
        <f>IF(J79=1,'Model Inputs'!$B$27*(13-'Model Inputs'!$B$23)/12,IF(J79=2,'Model Inputs'!$B$27,IF(J79&lt;=MAX(3,'Model Inputs'!$B$30+1),'Model Inputs'!$B$27*(1+'Model Inputs'!$B$28)^(J79-3),'Model Inputs'!$B$27*(1+'Model Inputs'!$B$28)^(MAX(3,'Model Inputs'!$B$30+1)-3)*(1+'Model Inputs'!$B$29)^(J79-MAX(3,'Model Inputs'!$B$30+1)))))</f>
        <v>380465535.74563926</v>
      </c>
      <c r="N79" s="236">
        <f>IF(J79&lt;=2,0,'Model Inputs'!$B$32*SIN(2*PI()*(J79-3+'Model Inputs'!$B$34)/MAX(1,'Model Inputs'!$B$33)))</f>
        <v>-2.645237086158283E-16</v>
      </c>
      <c r="O79" s="230">
        <f t="shared" si="23"/>
        <v>380465535.7456392</v>
      </c>
      <c r="P79" s="230">
        <f t="shared" si="35"/>
        <v>266206474.24994773</v>
      </c>
      <c r="Q79" s="230">
        <f>L79+P79+IF(J79=1,'Model Inputs'!$B$26,0)</f>
        <v>266506474.24994773</v>
      </c>
      <c r="R79" s="230">
        <f t="shared" si="24"/>
        <v>799519422.74984312</v>
      </c>
      <c r="S79" s="230">
        <f t="shared" si="25"/>
        <v>1800000</v>
      </c>
      <c r="T79" s="230">
        <f t="shared" si="26"/>
        <v>1800000</v>
      </c>
      <c r="U79" s="230">
        <f>MIN(T79,'Tax Assumptions'!$B$19)</f>
        <v>24500</v>
      </c>
      <c r="V79" s="230">
        <f>MAX(T79-U79-'Tax Assumptions'!$B$8,0)</f>
        <v>1759400</v>
      </c>
      <c r="W79" s="230">
        <f>MAX(T79-U79-'Tax Assumptions'!$B$9,0)</f>
        <v>1767500</v>
      </c>
      <c r="X79" s="230">
        <f>IF(V79=0,0,LOOKUP(V79,'Tax Assumptions'!$F$9:$F$15,'Tax Assumptions'!$I$9:$I$15)+(V79-LOOKUP(V79,'Tax Assumptions'!$F$9:$F$15,'Tax Assumptions'!$F$9:$F$15))*LOOKUP(V79,'Tax Assumptions'!$F$9:$F$15,'Tax Assumptions'!$H$9:$H$15))+MIN(MAX(T79,0),'Tax Assumptions'!$B$11)*'Tax Assumptions'!$B$10+MAX(T79,0)*'Tax Assumptions'!$B$12+MAX(MAX(T79,0)-'Tax Assumptions'!$B$14,0)*'Tax Assumptions'!$B$13+MIN(T79*'Tax Assumptions'!$B$15,'Tax Assumptions'!$B$16)+MIN(T79*'Tax Assumptions'!$B$17,'Tax Assumptions'!$B$18)+IF(W79=0,0,LOOKUP(W79,'Tax Assumptions'!$K$9:$K$17,'Tax Assumptions'!$N$9:$N$17)+(W79-LOOKUP(W79,'Tax Assumptions'!$K$9:$K$17,'Tax Assumptions'!$K$9:$K$17))*LOOKUP(W79,'Tax Assumptions'!$K$9:$K$17,'Tax Assumptions'!$M$9:$M$17))+IF(W79=0,0,LOOKUP(W79,'Tax Assumptions'!$P$9:$P$12,'Tax Assumptions'!$S$9:$S$12)+(W79-LOOKUP(W79,'Tax Assumptions'!$P$9:$P$12,'Tax Assumptions'!$P$9:$P$12))*LOOKUP(W79,'Tax Assumptions'!$P$9:$P$12,'Tax Assumptions'!$R$9:$R$12))</f>
        <v>865478.63500000001</v>
      </c>
      <c r="Y79" s="230">
        <f t="shared" si="27"/>
        <v>910021.36499999999</v>
      </c>
      <c r="Z79" s="230">
        <f>IF(J79&lt;=10,INDEX('Savings Projection'!$BL$19:$BL$28,J79),LOOKUP(2,1/('Savings Projection'!$BL$19:$BL$28&lt;&gt;""),'Savings Projection'!$BL$19:$BL$28))*(1+'Model Inputs'!$B$35)^(J79-1)+IF(J79&lt;=10,INDEX('Savings Projection'!$BM$19:$BM$28,J79),LOOKUP(2,1/('Savings Projection'!$BM$19:$BM$28&lt;&gt;""),'Savings Projection'!$BM$19:$BM$28))*(1+'Model Inputs'!$B$36)^(J79-1)</f>
        <v>306353.51578121912</v>
      </c>
      <c r="AA79" s="230">
        <f t="shared" si="28"/>
        <v>603667.84921878087</v>
      </c>
      <c r="AB79" s="230">
        <f>MIN(MAX(AA79,0),'Tax Assumptions'!$B$20)</f>
        <v>7500</v>
      </c>
      <c r="AC79" s="230">
        <f t="shared" si="29"/>
        <v>596167.84921878087</v>
      </c>
      <c r="AD79" s="230">
        <f>MAX(AD78*(1+'Model Inputs'!$B$13)+AC79,0)</f>
        <v>54706459.837928638</v>
      </c>
      <c r="AE79" s="230">
        <f>MAX(AE78*(1+'Model Inputs'!$B$13)+U79+AB79,0)</f>
        <v>2529861.958887069</v>
      </c>
      <c r="AF79" s="230">
        <f t="shared" si="30"/>
        <v>57236321.796815708</v>
      </c>
      <c r="AG79" s="226" t="str">
        <f t="shared" si="31"/>
        <v/>
      </c>
      <c r="AH79" s="226" t="str">
        <f t="shared" si="32"/>
        <v/>
      </c>
      <c r="AI79" s="226" t="str">
        <f t="shared" si="33"/>
        <v/>
      </c>
      <c r="AJ79" s="226" t="str">
        <f t="shared" si="34"/>
        <v/>
      </c>
    </row>
    <row r="80" spans="1:36" ht="18" customHeight="1" x14ac:dyDescent="0.2">
      <c r="A80" s="226" t="str">
        <f t="shared" ref="A80:A109" si="36">$A$23</f>
        <v>3Y -&gt; PM Y7 Base</v>
      </c>
      <c r="B80" s="226">
        <f t="shared" ref="B80:B109" si="37">$B$23</f>
        <v>3</v>
      </c>
      <c r="C80" s="235">
        <f t="shared" ref="C80:C109" si="38">$C$23</f>
        <v>3</v>
      </c>
      <c r="D80" s="226">
        <f t="shared" ref="D80:D109" si="39">$D$23</f>
        <v>7</v>
      </c>
      <c r="E80" s="226" t="str">
        <f t="shared" ref="E80:E109" si="40">$E$23</f>
        <v>Base</v>
      </c>
      <c r="F80" s="230">
        <f t="shared" ref="F80:F109" si="41">$F$23</f>
        <v>25000000</v>
      </c>
      <c r="G80" s="236">
        <f t="shared" ref="G80:G109" si="42">$G$23</f>
        <v>0.15</v>
      </c>
      <c r="H80" s="230">
        <f t="shared" ref="H80:H109" si="43">$H$23</f>
        <v>300000</v>
      </c>
      <c r="I80" s="236">
        <f t="shared" si="21"/>
        <v>0</v>
      </c>
      <c r="J80" s="234">
        <v>1</v>
      </c>
      <c r="K80" s="234">
        <f t="shared" si="22"/>
        <v>2026</v>
      </c>
      <c r="L80" s="230">
        <f>IF(J80=1,'Model Inputs'!$B$25*(13-'Model Inputs'!$B$23)/12,'Model Inputs'!$B$25)</f>
        <v>100000</v>
      </c>
      <c r="M80" s="230">
        <f>IF(J80=1,'Model Inputs'!$B$27*(13-'Model Inputs'!$B$23)/12,IF(J80=2,'Model Inputs'!$B$27,IF(J80&lt;=MAX(3,'Model Inputs'!$B$30+1),'Model Inputs'!$B$27*(1+'Model Inputs'!$B$28)^(J80-3),'Model Inputs'!$B$27*(1+'Model Inputs'!$B$28)^(MAX(3,'Model Inputs'!$B$30+1)-3)*(1+'Model Inputs'!$B$29)^(J80-MAX(3,'Model Inputs'!$B$30+1)))))</f>
        <v>150000</v>
      </c>
      <c r="N80" s="236">
        <f>IF(J80&lt;=2,0,'Model Inputs'!$B$32*SIN(2*PI()*(J80-3+'Model Inputs'!$B$34)/MAX(1,'Model Inputs'!$B$33)))</f>
        <v>0</v>
      </c>
      <c r="O80" s="230">
        <f t="shared" si="23"/>
        <v>150000</v>
      </c>
      <c r="P80" s="230">
        <f>0</f>
        <v>0</v>
      </c>
      <c r="Q80" s="230">
        <f>L80+P80+IF(J80=1,'Model Inputs'!$B$26,0)</f>
        <v>550000</v>
      </c>
      <c r="R80" s="230">
        <f t="shared" si="24"/>
        <v>550000</v>
      </c>
      <c r="S80" s="230">
        <f t="shared" si="25"/>
        <v>4050000</v>
      </c>
      <c r="T80" s="230">
        <f t="shared" si="26"/>
        <v>550000</v>
      </c>
      <c r="U80" s="230">
        <f>MIN(T80,'Tax Assumptions'!$B$19)</f>
        <v>24500</v>
      </c>
      <c r="V80" s="230">
        <f>MAX(T80-U80-'Tax Assumptions'!$B$8,0)</f>
        <v>509400</v>
      </c>
      <c r="W80" s="230">
        <f>MAX(T80-U80-'Tax Assumptions'!$B$9,0)</f>
        <v>517500</v>
      </c>
      <c r="X80" s="230">
        <f>IF(V80=0,0,LOOKUP(V80,'Tax Assumptions'!$F$9:$F$15,'Tax Assumptions'!$I$9:$I$15)+(V80-LOOKUP(V80,'Tax Assumptions'!$F$9:$F$15,'Tax Assumptions'!$F$9:$F$15))*LOOKUP(V80,'Tax Assumptions'!$F$9:$F$15,'Tax Assumptions'!$H$9:$H$15))+MIN(MAX(T80,0),'Tax Assumptions'!$B$11)*'Tax Assumptions'!$B$10+MAX(T80,0)*'Tax Assumptions'!$B$12+MAX(MAX(T80,0)-'Tax Assumptions'!$B$14,0)*'Tax Assumptions'!$B$13+MIN(T80*'Tax Assumptions'!$B$15,'Tax Assumptions'!$B$16)+MIN(T80*'Tax Assumptions'!$B$17,'Tax Assumptions'!$B$18)+IF(W80=0,0,LOOKUP(W80,'Tax Assumptions'!$K$9:$K$17,'Tax Assumptions'!$N$9:$N$17)+(W80-LOOKUP(W80,'Tax Assumptions'!$K$9:$K$17,'Tax Assumptions'!$K$9:$K$17))*LOOKUP(W80,'Tax Assumptions'!$K$9:$K$17,'Tax Assumptions'!$M$9:$M$17))+IF(W80=0,0,LOOKUP(W80,'Tax Assumptions'!$P$9:$P$12,'Tax Assumptions'!$S$9:$S$12)+(W80-LOOKUP(W80,'Tax Assumptions'!$P$9:$P$12,'Tax Assumptions'!$P$9:$P$12))*LOOKUP(W80,'Tax Assumptions'!$P$9:$P$12,'Tax Assumptions'!$R$9:$R$12))</f>
        <v>222834.53000000003</v>
      </c>
      <c r="Y80" s="230">
        <f t="shared" si="27"/>
        <v>302665.46999999997</v>
      </c>
      <c r="Z80" s="230">
        <f>IF(J80&lt;=10,INDEX('Savings Projection'!$BL$19:$BL$28,J80),LOOKUP(2,1/('Savings Projection'!$BL$19:$BL$28&lt;&gt;""),'Savings Projection'!$BL$19:$BL$28))*(1+'Model Inputs'!$B$35)^(J80-1)+IF(J80&lt;=10,INDEX('Savings Projection'!$BM$19:$BM$28,J80),LOOKUP(2,1/('Savings Projection'!$BM$19:$BM$28&lt;&gt;""),'Savings Projection'!$BM$19:$BM$28))*(1+'Model Inputs'!$B$36)^(J80-1)</f>
        <v>118000</v>
      </c>
      <c r="AA80" s="230">
        <f t="shared" si="28"/>
        <v>184665.46999999997</v>
      </c>
      <c r="AB80" s="230">
        <f>MIN(MAX(AA80,0),'Tax Assumptions'!$B$20)</f>
        <v>7500</v>
      </c>
      <c r="AC80" s="230">
        <f t="shared" si="29"/>
        <v>177165.46999999997</v>
      </c>
      <c r="AD80" s="230">
        <f>MAX('Model Inputs'!$B$7*(1+'Model Inputs'!$B$13)+AC80,0)</f>
        <v>336165.47</v>
      </c>
      <c r="AE80" s="230">
        <f>MAX(('Model Inputs'!$B$8+'Model Inputs'!$B$9+'Model Inputs'!$B$10)*(1+'Model Inputs'!$B$13)+U80+AB80,0)</f>
        <v>32000</v>
      </c>
      <c r="AF80" s="230">
        <f t="shared" si="30"/>
        <v>368165.47</v>
      </c>
      <c r="AG80" s="226" t="str">
        <f>IF(AND(AF80&gt;=$F$14,0&lt;$F$14),J80,"")</f>
        <v/>
      </c>
      <c r="AH80" s="226" t="str">
        <f>IF(AND(AF80&gt;=$F$15,0&lt;$F$15),J80,"")</f>
        <v/>
      </c>
      <c r="AI80" s="226" t="str">
        <f>IF(AND(AF80&gt;=$F$16,0&lt;$F$16),J80,"")</f>
        <v/>
      </c>
      <c r="AJ80" s="226" t="str">
        <f>IF(AND(AF80&gt;=$F$17,0&lt;$F$17),J80,"")</f>
        <v/>
      </c>
    </row>
    <row r="81" spans="1:36" ht="18" customHeight="1" x14ac:dyDescent="0.2">
      <c r="A81" s="226" t="str">
        <f t="shared" si="36"/>
        <v>3Y -&gt; PM Y7 Base</v>
      </c>
      <c r="B81" s="226">
        <f t="shared" si="37"/>
        <v>3</v>
      </c>
      <c r="C81" s="235">
        <f t="shared" si="38"/>
        <v>3</v>
      </c>
      <c r="D81" s="226">
        <f t="shared" si="39"/>
        <v>7</v>
      </c>
      <c r="E81" s="226" t="str">
        <f t="shared" si="40"/>
        <v>Base</v>
      </c>
      <c r="F81" s="230">
        <f t="shared" si="41"/>
        <v>25000000</v>
      </c>
      <c r="G81" s="236">
        <f t="shared" si="42"/>
        <v>0.15</v>
      </c>
      <c r="H81" s="230">
        <f t="shared" si="43"/>
        <v>300000</v>
      </c>
      <c r="I81" s="236">
        <f t="shared" si="21"/>
        <v>0</v>
      </c>
      <c r="J81" s="234">
        <v>2</v>
      </c>
      <c r="K81" s="234">
        <f t="shared" si="22"/>
        <v>2027</v>
      </c>
      <c r="L81" s="230">
        <f>IF(J81=1,'Model Inputs'!$B$25*(13-'Model Inputs'!$B$23)/12,'Model Inputs'!$B$25)</f>
        <v>300000</v>
      </c>
      <c r="M81" s="230">
        <f>IF(J81=1,'Model Inputs'!$B$27*(13-'Model Inputs'!$B$23)/12,IF(J81=2,'Model Inputs'!$B$27,IF(J81&lt;=MAX(3,'Model Inputs'!$B$30+1),'Model Inputs'!$B$27*(1+'Model Inputs'!$B$28)^(J81-3),'Model Inputs'!$B$27*(1+'Model Inputs'!$B$28)^(MAX(3,'Model Inputs'!$B$30+1)-3)*(1+'Model Inputs'!$B$29)^(J81-MAX(3,'Model Inputs'!$B$30+1)))))</f>
        <v>450000</v>
      </c>
      <c r="N81" s="236">
        <f>IF(J81&lt;=2,0,'Model Inputs'!$B$32*SIN(2*PI()*(J81-3+'Model Inputs'!$B$34)/MAX(1,'Model Inputs'!$B$33)))</f>
        <v>0</v>
      </c>
      <c r="O81" s="230">
        <f t="shared" si="23"/>
        <v>450000</v>
      </c>
      <c r="P81" s="230">
        <f>0.75*O80</f>
        <v>112500</v>
      </c>
      <c r="Q81" s="230">
        <f>L81+P81+IF(J81=1,'Model Inputs'!$B$26,0)</f>
        <v>412500</v>
      </c>
      <c r="R81" s="230">
        <f t="shared" si="24"/>
        <v>412500</v>
      </c>
      <c r="S81" s="230">
        <f t="shared" si="25"/>
        <v>4050000</v>
      </c>
      <c r="T81" s="230">
        <f t="shared" si="26"/>
        <v>412500</v>
      </c>
      <c r="U81" s="230">
        <f>MIN(T81,'Tax Assumptions'!$B$19)</f>
        <v>24500</v>
      </c>
      <c r="V81" s="230">
        <f>MAX(T81-U81-'Tax Assumptions'!$B$8,0)</f>
        <v>371900</v>
      </c>
      <c r="W81" s="230">
        <f>MAX(T81-U81-'Tax Assumptions'!$B$9,0)</f>
        <v>380000</v>
      </c>
      <c r="X81" s="230">
        <f>IF(V81=0,0,LOOKUP(V81,'Tax Assumptions'!$F$9:$F$15,'Tax Assumptions'!$I$9:$I$15)+(V81-LOOKUP(V81,'Tax Assumptions'!$F$9:$F$15,'Tax Assumptions'!$F$9:$F$15))*LOOKUP(V81,'Tax Assumptions'!$F$9:$F$15,'Tax Assumptions'!$H$9:$H$15))+MIN(MAX(T81,0),'Tax Assumptions'!$B$11)*'Tax Assumptions'!$B$10+MAX(T81,0)*'Tax Assumptions'!$B$12+MAX(MAX(T81,0)-'Tax Assumptions'!$B$14,0)*'Tax Assumptions'!$B$13+MIN(T81*'Tax Assumptions'!$B$15,'Tax Assumptions'!$B$16)+MIN(T81*'Tax Assumptions'!$B$17,'Tax Assumptions'!$B$18)+IF(W81=0,0,LOOKUP(W81,'Tax Assumptions'!$K$9:$K$17,'Tax Assumptions'!$N$9:$N$17)+(W81-LOOKUP(W81,'Tax Assumptions'!$K$9:$K$17,'Tax Assumptions'!$K$9:$K$17))*LOOKUP(W81,'Tax Assumptions'!$K$9:$K$17,'Tax Assumptions'!$M$9:$M$17))+IF(W81=0,0,LOOKUP(W81,'Tax Assumptions'!$P$9:$P$12,'Tax Assumptions'!$S$9:$S$12)+(W81-LOOKUP(W81,'Tax Assumptions'!$P$9:$P$12,'Tax Assumptions'!$P$9:$P$12))*LOOKUP(W81,'Tax Assumptions'!$P$9:$P$12,'Tax Assumptions'!$R$9:$R$12))</f>
        <v>156730.03</v>
      </c>
      <c r="Y81" s="230">
        <f t="shared" si="27"/>
        <v>231269.97</v>
      </c>
      <c r="Z81" s="230">
        <f>IF(J81&lt;=10,INDEX('Savings Projection'!$BL$19:$BL$28,J81),LOOKUP(2,1/('Savings Projection'!$BL$19:$BL$28&lt;&gt;""),'Savings Projection'!$BL$19:$BL$28))*(1+'Model Inputs'!$B$35)^(J81-1)+IF(J81&lt;=10,INDEX('Savings Projection'!$BM$19:$BM$28,J81),LOOKUP(2,1/('Savings Projection'!$BM$19:$BM$28&lt;&gt;""),'Savings Projection'!$BM$19:$BM$28))*(1+'Model Inputs'!$B$36)^(J81-1)</f>
        <v>121540</v>
      </c>
      <c r="AA81" s="230">
        <f t="shared" si="28"/>
        <v>109729.97</v>
      </c>
      <c r="AB81" s="230">
        <f>MIN(MAX(AA81,0),'Tax Assumptions'!$B$20)</f>
        <v>7500</v>
      </c>
      <c r="AC81" s="230">
        <f t="shared" si="29"/>
        <v>102229.97</v>
      </c>
      <c r="AD81" s="230">
        <f>MAX(AD80*(1+'Model Inputs'!$B$13)+AC81,0)</f>
        <v>458565.36820000003</v>
      </c>
      <c r="AE81" s="230">
        <f>MAX(AE80*(1+'Model Inputs'!$B$13)+U81+AB81,0)</f>
        <v>65920</v>
      </c>
      <c r="AF81" s="230">
        <f t="shared" si="30"/>
        <v>524485.36820000003</v>
      </c>
      <c r="AG81" s="226" t="str">
        <f t="shared" ref="AG81:AG109" si="44">IF(AND(AF81&gt;=$F$14,AF80&lt;$F$14),J81,"")</f>
        <v/>
      </c>
      <c r="AH81" s="226" t="str">
        <f t="shared" ref="AH81:AH109" si="45">IF(AND(AF81&gt;=$F$15,AF80&lt;$F$15),J81,"")</f>
        <v/>
      </c>
      <c r="AI81" s="226" t="str">
        <f t="shared" ref="AI81:AI109" si="46">IF(AND(AF81&gt;=$F$16,AF80&lt;$F$16),J81,"")</f>
        <v/>
      </c>
      <c r="AJ81" s="226" t="str">
        <f t="shared" ref="AJ81:AJ109" si="47">IF(AND(AF81&gt;=$F$17,AF80&lt;$F$17),J81,"")</f>
        <v/>
      </c>
    </row>
    <row r="82" spans="1:36" ht="18" customHeight="1" x14ac:dyDescent="0.2">
      <c r="A82" s="226" t="str">
        <f t="shared" si="36"/>
        <v>3Y -&gt; PM Y7 Base</v>
      </c>
      <c r="B82" s="226">
        <f t="shared" si="37"/>
        <v>3</v>
      </c>
      <c r="C82" s="235">
        <f t="shared" si="38"/>
        <v>3</v>
      </c>
      <c r="D82" s="226">
        <f t="shared" si="39"/>
        <v>7</v>
      </c>
      <c r="E82" s="226" t="str">
        <f t="shared" si="40"/>
        <v>Base</v>
      </c>
      <c r="F82" s="230">
        <f t="shared" si="41"/>
        <v>25000000</v>
      </c>
      <c r="G82" s="236">
        <f t="shared" si="42"/>
        <v>0.15</v>
      </c>
      <c r="H82" s="230">
        <f t="shared" si="43"/>
        <v>300000</v>
      </c>
      <c r="I82" s="236">
        <f t="shared" si="21"/>
        <v>0</v>
      </c>
      <c r="J82" s="234">
        <v>3</v>
      </c>
      <c r="K82" s="234">
        <f t="shared" si="22"/>
        <v>2028</v>
      </c>
      <c r="L82" s="230">
        <f>IF(J82=1,'Model Inputs'!$B$25*(13-'Model Inputs'!$B$23)/12,'Model Inputs'!$B$25)</f>
        <v>300000</v>
      </c>
      <c r="M82" s="230">
        <f>IF(J82=1,'Model Inputs'!$B$27*(13-'Model Inputs'!$B$23)/12,IF(J82=2,'Model Inputs'!$B$27,IF(J82&lt;=MAX(3,'Model Inputs'!$B$30+1),'Model Inputs'!$B$27*(1+'Model Inputs'!$B$28)^(J82-3),'Model Inputs'!$B$27*(1+'Model Inputs'!$B$28)^(MAX(3,'Model Inputs'!$B$30+1)-3)*(1+'Model Inputs'!$B$29)^(J82-MAX(3,'Model Inputs'!$B$30+1)))))</f>
        <v>450000</v>
      </c>
      <c r="N82" s="236">
        <f>IF(J82&lt;=2,0,'Model Inputs'!$B$32*SIN(2*PI()*(J82-3+'Model Inputs'!$B$34)/MAX(1,'Model Inputs'!$B$33)))</f>
        <v>0</v>
      </c>
      <c r="O82" s="230">
        <f t="shared" si="23"/>
        <v>450000</v>
      </c>
      <c r="P82" s="230">
        <f t="shared" ref="P82:P109" si="48">0.75*O81+0.25*O80</f>
        <v>375000</v>
      </c>
      <c r="Q82" s="230">
        <f>L82+P82+IF(J82=1,'Model Inputs'!$B$26,0)</f>
        <v>675000</v>
      </c>
      <c r="R82" s="230">
        <f t="shared" si="24"/>
        <v>675000</v>
      </c>
      <c r="S82" s="230">
        <f t="shared" si="25"/>
        <v>4050000</v>
      </c>
      <c r="T82" s="230">
        <f t="shared" si="26"/>
        <v>675000</v>
      </c>
      <c r="U82" s="230">
        <f>MIN(T82,'Tax Assumptions'!$B$19)</f>
        <v>24500</v>
      </c>
      <c r="V82" s="230">
        <f>MAX(T82-U82-'Tax Assumptions'!$B$8,0)</f>
        <v>634400</v>
      </c>
      <c r="W82" s="230">
        <f>MAX(T82-U82-'Tax Assumptions'!$B$9,0)</f>
        <v>642500</v>
      </c>
      <c r="X82" s="230">
        <f>IF(V82=0,0,LOOKUP(V82,'Tax Assumptions'!$F$9:$F$15,'Tax Assumptions'!$I$9:$I$15)+(V82-LOOKUP(V82,'Tax Assumptions'!$F$9:$F$15,'Tax Assumptions'!$F$9:$F$15))*LOOKUP(V82,'Tax Assumptions'!$F$9:$F$15,'Tax Assumptions'!$H$9:$H$15))+MIN(MAX(T82,0),'Tax Assumptions'!$B$11)*'Tax Assumptions'!$B$10+MAX(T82,0)*'Tax Assumptions'!$B$12+MAX(MAX(T82,0)-'Tax Assumptions'!$B$14,0)*'Tax Assumptions'!$B$13+MIN(T82*'Tax Assumptions'!$B$15,'Tax Assumptions'!$B$16)+MIN(T82*'Tax Assumptions'!$B$17,'Tax Assumptions'!$B$18)+IF(W82=0,0,LOOKUP(W82,'Tax Assumptions'!$K$9:$K$17,'Tax Assumptions'!$N$9:$N$17)+(W82-LOOKUP(W82,'Tax Assumptions'!$K$9:$K$17,'Tax Assumptions'!$K$9:$K$17))*LOOKUP(W82,'Tax Assumptions'!$K$9:$K$17,'Tax Assumptions'!$M$9:$M$17))+IF(W82=0,0,LOOKUP(W82,'Tax Assumptions'!$P$9:$P$12,'Tax Assumptions'!$S$9:$S$12)+(W82-LOOKUP(W82,'Tax Assumptions'!$P$9:$P$12,'Tax Assumptions'!$P$9:$P$12))*LOOKUP(W82,'Tax Assumptions'!$P$9:$P$12,'Tax Assumptions'!$R$9:$R$12))</f>
        <v>282929.53000000003</v>
      </c>
      <c r="Y82" s="230">
        <f t="shared" si="27"/>
        <v>367570.47</v>
      </c>
      <c r="Z82" s="230">
        <f>IF(J82&lt;=10,INDEX('Savings Projection'!$BL$19:$BL$28,J82),LOOKUP(2,1/('Savings Projection'!$BL$19:$BL$28&lt;&gt;""),'Savings Projection'!$BL$19:$BL$28))*(1+'Model Inputs'!$B$35)^(J82-1)+IF(J82&lt;=10,INDEX('Savings Projection'!$BM$19:$BM$28,J82),LOOKUP(2,1/('Savings Projection'!$BM$19:$BM$28&lt;&gt;""),'Savings Projection'!$BM$19:$BM$28))*(1+'Model Inputs'!$B$36)^(J82-1)</f>
        <v>135795.20000000001</v>
      </c>
      <c r="AA82" s="230">
        <f t="shared" si="28"/>
        <v>231775.26999999996</v>
      </c>
      <c r="AB82" s="230">
        <f>MIN(MAX(AA82,0),'Tax Assumptions'!$B$20)</f>
        <v>7500</v>
      </c>
      <c r="AC82" s="230">
        <f t="shared" si="29"/>
        <v>224275.26999999996</v>
      </c>
      <c r="AD82" s="230">
        <f>MAX(AD81*(1+'Model Inputs'!$B$13)+AC82,0)</f>
        <v>710354.56029199995</v>
      </c>
      <c r="AE82" s="230">
        <f>MAX(AE81*(1+'Model Inputs'!$B$13)+U82+AB82,0)</f>
        <v>101875.2</v>
      </c>
      <c r="AF82" s="230">
        <f t="shared" si="30"/>
        <v>812229.7602919999</v>
      </c>
      <c r="AG82" s="226" t="str">
        <f t="shared" si="44"/>
        <v/>
      </c>
      <c r="AH82" s="226" t="str">
        <f t="shared" si="45"/>
        <v/>
      </c>
      <c r="AI82" s="226" t="str">
        <f t="shared" si="46"/>
        <v/>
      </c>
      <c r="AJ82" s="226" t="str">
        <f t="shared" si="47"/>
        <v/>
      </c>
    </row>
    <row r="83" spans="1:36" ht="18" customHeight="1" x14ac:dyDescent="0.2">
      <c r="A83" s="226" t="str">
        <f t="shared" si="36"/>
        <v>3Y -&gt; PM Y7 Base</v>
      </c>
      <c r="B83" s="226">
        <f t="shared" si="37"/>
        <v>3</v>
      </c>
      <c r="C83" s="235">
        <f t="shared" si="38"/>
        <v>3</v>
      </c>
      <c r="D83" s="226">
        <f t="shared" si="39"/>
        <v>7</v>
      </c>
      <c r="E83" s="226" t="str">
        <f t="shared" si="40"/>
        <v>Base</v>
      </c>
      <c r="F83" s="230">
        <f t="shared" si="41"/>
        <v>25000000</v>
      </c>
      <c r="G83" s="236">
        <f t="shared" si="42"/>
        <v>0.15</v>
      </c>
      <c r="H83" s="230">
        <f t="shared" si="43"/>
        <v>300000</v>
      </c>
      <c r="I83" s="236">
        <f t="shared" si="21"/>
        <v>0</v>
      </c>
      <c r="J83" s="234">
        <v>4</v>
      </c>
      <c r="K83" s="234">
        <f t="shared" si="22"/>
        <v>2029</v>
      </c>
      <c r="L83" s="230">
        <f>IF(J83=1,'Model Inputs'!$B$25*(13-'Model Inputs'!$B$23)/12,'Model Inputs'!$B$25)</f>
        <v>300000</v>
      </c>
      <c r="M83" s="230">
        <f>IF(J83=1,'Model Inputs'!$B$27*(13-'Model Inputs'!$B$23)/12,IF(J83=2,'Model Inputs'!$B$27,IF(J83&lt;=MAX(3,'Model Inputs'!$B$30+1),'Model Inputs'!$B$27*(1+'Model Inputs'!$B$28)^(J83-3),'Model Inputs'!$B$27*(1+'Model Inputs'!$B$28)^(MAX(3,'Model Inputs'!$B$30+1)-3)*(1+'Model Inputs'!$B$29)^(J83-MAX(3,'Model Inputs'!$B$30+1)))))</f>
        <v>653834.84153110103</v>
      </c>
      <c r="N83" s="236">
        <f>IF(J83&lt;=2,0,'Model Inputs'!$B$32*SIN(2*PI()*(J83-3+'Model Inputs'!$B$34)/MAX(1,'Model Inputs'!$B$33)))</f>
        <v>0.10392304845413264</v>
      </c>
      <c r="O83" s="230">
        <f t="shared" si="23"/>
        <v>721783.35144853778</v>
      </c>
      <c r="P83" s="230">
        <f t="shared" si="48"/>
        <v>450000</v>
      </c>
      <c r="Q83" s="230">
        <f>L83+P83+IF(J83=1,'Model Inputs'!$B$26,0)</f>
        <v>750000</v>
      </c>
      <c r="R83" s="230">
        <f t="shared" si="24"/>
        <v>2250000</v>
      </c>
      <c r="S83" s="230">
        <f t="shared" si="25"/>
        <v>4050000</v>
      </c>
      <c r="T83" s="230">
        <f t="shared" si="26"/>
        <v>2250000</v>
      </c>
      <c r="U83" s="230">
        <f>MIN(T83,'Tax Assumptions'!$B$19)</f>
        <v>24500</v>
      </c>
      <c r="V83" s="230">
        <f>MAX(T83-U83-'Tax Assumptions'!$B$8,0)</f>
        <v>2209400</v>
      </c>
      <c r="W83" s="230">
        <f>MAX(T83-U83-'Tax Assumptions'!$B$9,0)</f>
        <v>2217500</v>
      </c>
      <c r="X83" s="230">
        <f>IF(V83=0,0,LOOKUP(V83,'Tax Assumptions'!$F$9:$F$15,'Tax Assumptions'!$I$9:$I$15)+(V83-LOOKUP(V83,'Tax Assumptions'!$F$9:$F$15,'Tax Assumptions'!$F$9:$F$15))*LOOKUP(V83,'Tax Assumptions'!$F$9:$F$15,'Tax Assumptions'!$H$9:$H$15))+MIN(MAX(T83,0),'Tax Assumptions'!$B$11)*'Tax Assumptions'!$B$10+MAX(T83,0)*'Tax Assumptions'!$B$12+MAX(MAX(T83,0)-'Tax Assumptions'!$B$14,0)*'Tax Assumptions'!$B$13+MIN(T83*'Tax Assumptions'!$B$15,'Tax Assumptions'!$B$16)+MIN(T83*'Tax Assumptions'!$B$17,'Tax Assumptions'!$B$18)+IF(W83=0,0,LOOKUP(W83,'Tax Assumptions'!$K$9:$K$17,'Tax Assumptions'!$N$9:$N$17)+(W83-LOOKUP(W83,'Tax Assumptions'!$K$9:$K$17,'Tax Assumptions'!$K$9:$K$17))*LOOKUP(W83,'Tax Assumptions'!$K$9:$K$17,'Tax Assumptions'!$M$9:$M$17))+IF(W83=0,0,LOOKUP(W83,'Tax Assumptions'!$P$9:$P$12,'Tax Assumptions'!$S$9:$S$12)+(W83-LOOKUP(W83,'Tax Assumptions'!$P$9:$P$12,'Tax Assumptions'!$P$9:$P$12))*LOOKUP(W83,'Tax Assumptions'!$P$9:$P$12,'Tax Assumptions'!$R$9:$R$12))</f>
        <v>1103420.635</v>
      </c>
      <c r="Y83" s="230">
        <f t="shared" si="27"/>
        <v>1122079.365</v>
      </c>
      <c r="Z83" s="230">
        <f>IF(J83&lt;=10,INDEX('Savings Projection'!$BL$19:$BL$28,J83),LOOKUP(2,1/('Savings Projection'!$BL$19:$BL$28&lt;&gt;""),'Savings Projection'!$BL$19:$BL$28))*(1+'Model Inputs'!$B$35)^(J83-1)+IF(J83&lt;=10,INDEX('Savings Projection'!$BM$19:$BM$28,J83),LOOKUP(2,1/('Savings Projection'!$BM$19:$BM$28&lt;&gt;""),'Savings Projection'!$BM$19:$BM$28))*(1+'Model Inputs'!$B$36)^(J83-1)</f>
        <v>139869.05600000001</v>
      </c>
      <c r="AA83" s="230">
        <f t="shared" si="28"/>
        <v>982210.30900000001</v>
      </c>
      <c r="AB83" s="230">
        <f>MIN(MAX(AA83,0),'Tax Assumptions'!$B$20)</f>
        <v>7500</v>
      </c>
      <c r="AC83" s="230">
        <f t="shared" si="29"/>
        <v>974710.30900000001</v>
      </c>
      <c r="AD83" s="230">
        <f>MAX(AD82*(1+'Model Inputs'!$B$13)+AC83,0)</f>
        <v>1727686.1429095198</v>
      </c>
      <c r="AE83" s="230">
        <f>MAX(AE82*(1+'Model Inputs'!$B$13)+U83+AB83,0)</f>
        <v>139987.712</v>
      </c>
      <c r="AF83" s="230">
        <f t="shared" si="30"/>
        <v>1867673.8549095199</v>
      </c>
      <c r="AG83" s="226" t="str">
        <f t="shared" si="44"/>
        <v/>
      </c>
      <c r="AH83" s="226" t="str">
        <f t="shared" si="45"/>
        <v/>
      </c>
      <c r="AI83" s="226" t="str">
        <f t="shared" si="46"/>
        <v/>
      </c>
      <c r="AJ83" s="226" t="str">
        <f t="shared" si="47"/>
        <v/>
      </c>
    </row>
    <row r="84" spans="1:36" ht="18" customHeight="1" x14ac:dyDescent="0.2">
      <c r="A84" s="226" t="str">
        <f t="shared" si="36"/>
        <v>3Y -&gt; PM Y7 Base</v>
      </c>
      <c r="B84" s="226">
        <f t="shared" si="37"/>
        <v>3</v>
      </c>
      <c r="C84" s="235">
        <f t="shared" si="38"/>
        <v>3</v>
      </c>
      <c r="D84" s="226">
        <f t="shared" si="39"/>
        <v>7</v>
      </c>
      <c r="E84" s="226" t="str">
        <f t="shared" si="40"/>
        <v>Base</v>
      </c>
      <c r="F84" s="230">
        <f t="shared" si="41"/>
        <v>25000000</v>
      </c>
      <c r="G84" s="236">
        <f t="shared" si="42"/>
        <v>0.15</v>
      </c>
      <c r="H84" s="230">
        <f t="shared" si="43"/>
        <v>300000</v>
      </c>
      <c r="I84" s="236">
        <f t="shared" si="21"/>
        <v>0</v>
      </c>
      <c r="J84" s="234">
        <v>5</v>
      </c>
      <c r="K84" s="234">
        <f t="shared" si="22"/>
        <v>2030</v>
      </c>
      <c r="L84" s="230">
        <f>IF(J84=1,'Model Inputs'!$B$25*(13-'Model Inputs'!$B$23)/12,'Model Inputs'!$B$25)</f>
        <v>300000</v>
      </c>
      <c r="M84" s="230">
        <f>IF(J84=1,'Model Inputs'!$B$27*(13-'Model Inputs'!$B$23)/12,IF(J84=2,'Model Inputs'!$B$27,IF(J84&lt;=MAX(3,'Model Inputs'!$B$30+1),'Model Inputs'!$B$27*(1+'Model Inputs'!$B$28)^(J84-3),'Model Inputs'!$B$27*(1+'Model Inputs'!$B$28)^(MAX(3,'Model Inputs'!$B$30+1)-3)*(1+'Model Inputs'!$B$29)^(J84-MAX(3,'Model Inputs'!$B$30+1)))))</f>
        <v>950000</v>
      </c>
      <c r="N84" s="236">
        <f>IF(J84&lt;=2,0,'Model Inputs'!$B$32*SIN(2*PI()*(J84-3+'Model Inputs'!$B$34)/MAX(1,'Model Inputs'!$B$33)))</f>
        <v>-0.1039230484541326</v>
      </c>
      <c r="O84" s="230">
        <f t="shared" si="23"/>
        <v>851273.10396857408</v>
      </c>
      <c r="P84" s="230">
        <f t="shared" si="48"/>
        <v>653837.51358640334</v>
      </c>
      <c r="Q84" s="230">
        <f>L84+P84+IF(J84=1,'Model Inputs'!$B$26,0)</f>
        <v>953837.51358640334</v>
      </c>
      <c r="R84" s="230">
        <f t="shared" si="24"/>
        <v>2861512.54075921</v>
      </c>
      <c r="S84" s="230">
        <f t="shared" si="25"/>
        <v>4050000</v>
      </c>
      <c r="T84" s="230">
        <f t="shared" si="26"/>
        <v>2861512.54075921</v>
      </c>
      <c r="U84" s="230">
        <f>MIN(T84,'Tax Assumptions'!$B$19)</f>
        <v>24500</v>
      </c>
      <c r="V84" s="230">
        <f>MAX(T84-U84-'Tax Assumptions'!$B$8,0)</f>
        <v>2820912.54075921</v>
      </c>
      <c r="W84" s="230">
        <f>MAX(T84-U84-'Tax Assumptions'!$B$9,0)</f>
        <v>2829012.54075921</v>
      </c>
      <c r="X84" s="230">
        <f>IF(V84=0,0,LOOKUP(V84,'Tax Assumptions'!$F$9:$F$15,'Tax Assumptions'!$I$9:$I$15)+(V84-LOOKUP(V84,'Tax Assumptions'!$F$9:$F$15,'Tax Assumptions'!$F$9:$F$15))*LOOKUP(V84,'Tax Assumptions'!$F$9:$F$15,'Tax Assumptions'!$H$9:$H$15))+MIN(MAX(T84,0),'Tax Assumptions'!$B$11)*'Tax Assumptions'!$B$10+MAX(T84,0)*'Tax Assumptions'!$B$12+MAX(MAX(T84,0)-'Tax Assumptions'!$B$14,0)*'Tax Assumptions'!$B$13+MIN(T84*'Tax Assumptions'!$B$15,'Tax Assumptions'!$B$16)+MIN(T84*'Tax Assumptions'!$B$17,'Tax Assumptions'!$B$18)+IF(W84=0,0,LOOKUP(W84,'Tax Assumptions'!$K$9:$K$17,'Tax Assumptions'!$N$9:$N$17)+(W84-LOOKUP(W84,'Tax Assumptions'!$K$9:$K$17,'Tax Assumptions'!$K$9:$K$17))*LOOKUP(W84,'Tax Assumptions'!$K$9:$K$17,'Tax Assumptions'!$M$9:$M$17))+IF(W84=0,0,LOOKUP(W84,'Tax Assumptions'!$P$9:$P$12,'Tax Assumptions'!$S$9:$S$12)+(W84-LOOKUP(W84,'Tax Assumptions'!$P$9:$P$12,'Tax Assumptions'!$P$9:$P$12))*LOOKUP(W84,'Tax Assumptions'!$P$9:$P$12,'Tax Assumptions'!$R$9:$R$12))</f>
        <v>1426764.0060518396</v>
      </c>
      <c r="Y84" s="230">
        <f t="shared" si="27"/>
        <v>1410248.5347073704</v>
      </c>
      <c r="Z84" s="230">
        <f>IF(J84&lt;=10,INDEX('Savings Projection'!$BL$19:$BL$28,J84),LOOKUP(2,1/('Savings Projection'!$BL$19:$BL$28&lt;&gt;""),'Savings Projection'!$BL$19:$BL$28))*(1+'Model Inputs'!$B$35)^(J84-1)+IF(J84&lt;=10,INDEX('Savings Projection'!$BM$19:$BM$28,J84),LOOKUP(2,1/('Savings Projection'!$BM$19:$BM$28&lt;&gt;""),'Savings Projection'!$BM$19:$BM$28))*(1+'Model Inputs'!$B$36)^(J84-1)</f>
        <v>144065.12767999998</v>
      </c>
      <c r="AA84" s="230">
        <f t="shared" si="28"/>
        <v>1266183.4070273705</v>
      </c>
      <c r="AB84" s="230">
        <f>MIN(MAX(AA84,0),'Tax Assumptions'!$B$20)</f>
        <v>7500</v>
      </c>
      <c r="AC84" s="230">
        <f t="shared" si="29"/>
        <v>1258683.4070273705</v>
      </c>
      <c r="AD84" s="230">
        <f>MAX(AD83*(1+'Model Inputs'!$B$13)+AC84,0)</f>
        <v>3090030.7185114617</v>
      </c>
      <c r="AE84" s="230">
        <f>MAX(AE83*(1+'Model Inputs'!$B$13)+U84+AB84,0)</f>
        <v>180386.97472</v>
      </c>
      <c r="AF84" s="230">
        <f t="shared" si="30"/>
        <v>3270417.6932314616</v>
      </c>
      <c r="AG84" s="226" t="str">
        <f t="shared" si="44"/>
        <v/>
      </c>
      <c r="AH84" s="226" t="str">
        <f t="shared" si="45"/>
        <v/>
      </c>
      <c r="AI84" s="226" t="str">
        <f t="shared" si="46"/>
        <v/>
      </c>
      <c r="AJ84" s="226" t="str">
        <f t="shared" si="47"/>
        <v/>
      </c>
    </row>
    <row r="85" spans="1:36" ht="18" customHeight="1" x14ac:dyDescent="0.2">
      <c r="A85" s="226" t="str">
        <f t="shared" si="36"/>
        <v>3Y -&gt; PM Y7 Base</v>
      </c>
      <c r="B85" s="226">
        <f t="shared" si="37"/>
        <v>3</v>
      </c>
      <c r="C85" s="235">
        <f t="shared" si="38"/>
        <v>3</v>
      </c>
      <c r="D85" s="226">
        <f t="shared" si="39"/>
        <v>7</v>
      </c>
      <c r="E85" s="226" t="str">
        <f t="shared" si="40"/>
        <v>Base</v>
      </c>
      <c r="F85" s="230">
        <f t="shared" si="41"/>
        <v>25000000</v>
      </c>
      <c r="G85" s="236">
        <f t="shared" si="42"/>
        <v>0.15</v>
      </c>
      <c r="H85" s="230">
        <f t="shared" si="43"/>
        <v>300000</v>
      </c>
      <c r="I85" s="236">
        <f t="shared" si="21"/>
        <v>0</v>
      </c>
      <c r="J85" s="234">
        <v>6</v>
      </c>
      <c r="K85" s="234">
        <f t="shared" si="22"/>
        <v>2031</v>
      </c>
      <c r="L85" s="230">
        <f>IF(J85=1,'Model Inputs'!$B$25*(13-'Model Inputs'!$B$23)/12,'Model Inputs'!$B$25)</f>
        <v>300000</v>
      </c>
      <c r="M85" s="230">
        <f>IF(J85=1,'Model Inputs'!$B$27*(13-'Model Inputs'!$B$23)/12,IF(J85=2,'Model Inputs'!$B$27,IF(J85&lt;=MAX(3,'Model Inputs'!$B$30+1),'Model Inputs'!$B$27*(1+'Model Inputs'!$B$28)^(J85-3),'Model Inputs'!$B$27*(1+'Model Inputs'!$B$28)^(MAX(3,'Model Inputs'!$B$30+1)-3)*(1+'Model Inputs'!$B$29)^(J85-MAX(3,'Model Inputs'!$B$30+1)))))</f>
        <v>1207333.5632986501</v>
      </c>
      <c r="N85" s="236">
        <f>IF(J85&lt;=2,0,'Model Inputs'!$B$32*SIN(2*PI()*(J85-3+'Model Inputs'!$B$34)/MAX(1,'Model Inputs'!$B$33)))</f>
        <v>-2.9391523179536474E-17</v>
      </c>
      <c r="O85" s="230">
        <f t="shared" si="23"/>
        <v>1207333.5632986501</v>
      </c>
      <c r="P85" s="230">
        <f t="shared" si="48"/>
        <v>818900.66583856498</v>
      </c>
      <c r="Q85" s="230">
        <f>L85+P85+IF(J85=1,'Model Inputs'!$B$26,0)</f>
        <v>1118900.665838565</v>
      </c>
      <c r="R85" s="230">
        <f t="shared" si="24"/>
        <v>3356701.9975156952</v>
      </c>
      <c r="S85" s="230">
        <f t="shared" si="25"/>
        <v>4050000</v>
      </c>
      <c r="T85" s="230">
        <f t="shared" si="26"/>
        <v>3356701.9975156952</v>
      </c>
      <c r="U85" s="230">
        <f>MIN(T85,'Tax Assumptions'!$B$19)</f>
        <v>24500</v>
      </c>
      <c r="V85" s="230">
        <f>MAX(T85-U85-'Tax Assumptions'!$B$8,0)</f>
        <v>3316101.9975156952</v>
      </c>
      <c r="W85" s="230">
        <f>MAX(T85-U85-'Tax Assumptions'!$B$9,0)</f>
        <v>3324201.9975156952</v>
      </c>
      <c r="X85" s="230">
        <f>IF(V85=0,0,LOOKUP(V85,'Tax Assumptions'!$F$9:$F$15,'Tax Assumptions'!$I$9:$I$15)+(V85-LOOKUP(V85,'Tax Assumptions'!$F$9:$F$15,'Tax Assumptions'!$F$9:$F$15))*LOOKUP(V85,'Tax Assumptions'!$F$9:$F$15,'Tax Assumptions'!$H$9:$H$15))+MIN(MAX(T85,0),'Tax Assumptions'!$B$11)*'Tax Assumptions'!$B$10+MAX(T85,0)*'Tax Assumptions'!$B$12+MAX(MAX(T85,0)-'Tax Assumptions'!$B$14,0)*'Tax Assumptions'!$B$13+MIN(T85*'Tax Assumptions'!$B$15,'Tax Assumptions'!$B$16)+MIN(T85*'Tax Assumptions'!$B$17,'Tax Assumptions'!$B$18)+IF(W85=0,0,LOOKUP(W85,'Tax Assumptions'!$K$9:$K$17,'Tax Assumptions'!$N$9:$N$17)+(W85-LOOKUP(W85,'Tax Assumptions'!$K$9:$K$17,'Tax Assumptions'!$K$9:$K$17))*LOOKUP(W85,'Tax Assumptions'!$K$9:$K$17,'Tax Assumptions'!$M$9:$M$17))+IF(W85=0,0,LOOKUP(W85,'Tax Assumptions'!$P$9:$P$12,'Tax Assumptions'!$S$9:$S$12)+(W85-LOOKUP(W85,'Tax Assumptions'!$P$9:$P$12,'Tax Assumptions'!$P$9:$P$12))*LOOKUP(W85,'Tax Assumptions'!$P$9:$P$12,'Tax Assumptions'!$R$9:$R$12))</f>
        <v>1688600.3832063989</v>
      </c>
      <c r="Y85" s="230">
        <f t="shared" si="27"/>
        <v>1643601.6143092962</v>
      </c>
      <c r="Z85" s="230">
        <f>IF(J85&lt;=10,INDEX('Savings Projection'!$BL$19:$BL$28,J85),LOOKUP(2,1/('Savings Projection'!$BL$19:$BL$28&lt;&gt;""),'Savings Projection'!$BL$19:$BL$28))*(1+'Model Inputs'!$B$35)^(J85-1)+IF(J85&lt;=10,INDEX('Savings Projection'!$BM$19:$BM$28,J85),LOOKUP(2,1/('Savings Projection'!$BM$19:$BM$28&lt;&gt;""),'Savings Projection'!$BM$19:$BM$28))*(1+'Model Inputs'!$B$36)^(J85-1)</f>
        <v>150705.62965899997</v>
      </c>
      <c r="AA85" s="230">
        <f t="shared" si="28"/>
        <v>1492895.9846502962</v>
      </c>
      <c r="AB85" s="230">
        <f>MIN(MAX(AA85,0),'Tax Assumptions'!$B$20)</f>
        <v>7500</v>
      </c>
      <c r="AC85" s="230">
        <f t="shared" si="29"/>
        <v>1485395.9846502962</v>
      </c>
      <c r="AD85" s="230">
        <f>MAX(AD84*(1+'Model Inputs'!$B$13)+AC85,0)</f>
        <v>4760828.5462724455</v>
      </c>
      <c r="AE85" s="230">
        <f>MAX(AE84*(1+'Model Inputs'!$B$13)+U85+AB85,0)</f>
        <v>223210.1932032</v>
      </c>
      <c r="AF85" s="230">
        <f t="shared" si="30"/>
        <v>4984038.7394756451</v>
      </c>
      <c r="AG85" s="226" t="str">
        <f t="shared" si="44"/>
        <v/>
      </c>
      <c r="AH85" s="226" t="str">
        <f t="shared" si="45"/>
        <v/>
      </c>
      <c r="AI85" s="226" t="str">
        <f t="shared" si="46"/>
        <v/>
      </c>
      <c r="AJ85" s="226" t="str">
        <f t="shared" si="47"/>
        <v/>
      </c>
    </row>
    <row r="86" spans="1:36" ht="18" customHeight="1" x14ac:dyDescent="0.2">
      <c r="A86" s="226" t="str">
        <f t="shared" si="36"/>
        <v>3Y -&gt; PM Y7 Base</v>
      </c>
      <c r="B86" s="226">
        <f t="shared" si="37"/>
        <v>3</v>
      </c>
      <c r="C86" s="235">
        <f t="shared" si="38"/>
        <v>3</v>
      </c>
      <c r="D86" s="226">
        <f t="shared" si="39"/>
        <v>7</v>
      </c>
      <c r="E86" s="226" t="str">
        <f t="shared" si="40"/>
        <v>Base</v>
      </c>
      <c r="F86" s="230">
        <f t="shared" si="41"/>
        <v>25000000</v>
      </c>
      <c r="G86" s="236">
        <f t="shared" si="42"/>
        <v>0.15</v>
      </c>
      <c r="H86" s="230">
        <f t="shared" si="43"/>
        <v>300000</v>
      </c>
      <c r="I86" s="236">
        <f t="shared" si="21"/>
        <v>0</v>
      </c>
      <c r="J86" s="234">
        <v>7</v>
      </c>
      <c r="K86" s="234">
        <f t="shared" si="22"/>
        <v>2032</v>
      </c>
      <c r="L86" s="230">
        <f>IF(J86=1,'Model Inputs'!$B$25*(13-'Model Inputs'!$B$23)/12,'Model Inputs'!$B$25)</f>
        <v>300000</v>
      </c>
      <c r="M86" s="230">
        <f>IF(J86=1,'Model Inputs'!$B$27*(13-'Model Inputs'!$B$23)/12,IF(J86=2,'Model Inputs'!$B$27,IF(J86&lt;=MAX(3,'Model Inputs'!$B$30+1),'Model Inputs'!$B$27*(1+'Model Inputs'!$B$28)^(J86-3),'Model Inputs'!$B$27*(1+'Model Inputs'!$B$28)^(MAX(3,'Model Inputs'!$B$30+1)-3)*(1+'Model Inputs'!$B$29)^(J86-MAX(3,'Model Inputs'!$B$30+1)))))</f>
        <v>1534372.9821762268</v>
      </c>
      <c r="N86" s="236">
        <f>IF(J86&lt;=2,0,'Model Inputs'!$B$32*SIN(2*PI()*(J86-3+'Model Inputs'!$B$34)/MAX(1,'Model Inputs'!$B$33)))</f>
        <v>0.10392304845413269</v>
      </c>
      <c r="O86" s="230">
        <f t="shared" si="23"/>
        <v>1693829.6999496389</v>
      </c>
      <c r="P86" s="230">
        <f t="shared" si="48"/>
        <v>1118318.448466131</v>
      </c>
      <c r="Q86" s="230">
        <f>L86+P86+IF(J86=1,'Model Inputs'!$B$26,0)</f>
        <v>1418318.448466131</v>
      </c>
      <c r="R86" s="230">
        <f t="shared" si="24"/>
        <v>4254955.3453983925</v>
      </c>
      <c r="S86" s="230">
        <f t="shared" si="25"/>
        <v>4050000</v>
      </c>
      <c r="T86" s="230">
        <f t="shared" si="26"/>
        <v>4050000</v>
      </c>
      <c r="U86" s="230">
        <f>MIN(T86,'Tax Assumptions'!$B$19)</f>
        <v>24500</v>
      </c>
      <c r="V86" s="230">
        <f>MAX(T86-U86-'Tax Assumptions'!$B$8,0)</f>
        <v>4009400</v>
      </c>
      <c r="W86" s="230">
        <f>MAX(T86-U86-'Tax Assumptions'!$B$9,0)</f>
        <v>4017500</v>
      </c>
      <c r="X86" s="230">
        <f>IF(V86=0,0,LOOKUP(V86,'Tax Assumptions'!$F$9:$F$15,'Tax Assumptions'!$I$9:$I$15)+(V86-LOOKUP(V86,'Tax Assumptions'!$F$9:$F$15,'Tax Assumptions'!$F$9:$F$15))*LOOKUP(V86,'Tax Assumptions'!$F$9:$F$15,'Tax Assumptions'!$H$9:$H$15))+MIN(MAX(T86,0),'Tax Assumptions'!$B$11)*'Tax Assumptions'!$B$10+MAX(T86,0)*'Tax Assumptions'!$B$12+MAX(MAX(T86,0)-'Tax Assumptions'!$B$14,0)*'Tax Assumptions'!$B$13+MIN(T86*'Tax Assumptions'!$B$15,'Tax Assumptions'!$B$16)+MIN(T86*'Tax Assumptions'!$B$17,'Tax Assumptions'!$B$18)+IF(W86=0,0,LOOKUP(W86,'Tax Assumptions'!$K$9:$K$17,'Tax Assumptions'!$N$9:$N$17)+(W86-LOOKUP(W86,'Tax Assumptions'!$K$9:$K$17,'Tax Assumptions'!$K$9:$K$17))*LOOKUP(W86,'Tax Assumptions'!$K$9:$K$17,'Tax Assumptions'!$M$9:$M$17))+IF(W86=0,0,LOOKUP(W86,'Tax Assumptions'!$P$9:$P$12,'Tax Assumptions'!$S$9:$S$12)+(W86-LOOKUP(W86,'Tax Assumptions'!$P$9:$P$12,'Tax Assumptions'!$P$9:$P$12))*LOOKUP(W86,'Tax Assumptions'!$P$9:$P$12,'Tax Assumptions'!$R$9:$R$12))</f>
        <v>2055188.6349999998</v>
      </c>
      <c r="Y86" s="230">
        <f t="shared" si="27"/>
        <v>1970311.3650000002</v>
      </c>
      <c r="Z86" s="230">
        <f>IF(J86&lt;=10,INDEX('Savings Projection'!$BL$19:$BL$28,J86),LOOKUP(2,1/('Savings Projection'!$BL$19:$BL$28&lt;&gt;""),'Savings Projection'!$BL$19:$BL$28))*(1+'Model Inputs'!$B$35)^(J86-1)+IF(J86&lt;=10,INDEX('Savings Projection'!$BM$19:$BM$28,J86),LOOKUP(2,1/('Savings Projection'!$BM$19:$BM$28&lt;&gt;""),'Savings Projection'!$BM$19:$BM$28))*(1+'Model Inputs'!$B$36)^(J86-1)</f>
        <v>155226.79854876999</v>
      </c>
      <c r="AA86" s="230">
        <f t="shared" si="28"/>
        <v>1815084.5664512303</v>
      </c>
      <c r="AB86" s="230">
        <f>MIN(MAX(AA86,0),'Tax Assumptions'!$B$20)</f>
        <v>7500</v>
      </c>
      <c r="AC86" s="230">
        <f t="shared" si="29"/>
        <v>1807584.5664512303</v>
      </c>
      <c r="AD86" s="230">
        <f>MAX(AD85*(1+'Model Inputs'!$B$13)+AC86,0)</f>
        <v>6854062.8255000226</v>
      </c>
      <c r="AE86" s="230">
        <f>MAX(AE85*(1+'Model Inputs'!$B$13)+U86+AB86,0)</f>
        <v>268602.80479539197</v>
      </c>
      <c r="AF86" s="230">
        <f t="shared" si="30"/>
        <v>7122665.6302954145</v>
      </c>
      <c r="AG86" s="226" t="str">
        <f t="shared" si="44"/>
        <v/>
      </c>
      <c r="AH86" s="226" t="str">
        <f t="shared" si="45"/>
        <v/>
      </c>
      <c r="AI86" s="226" t="str">
        <f t="shared" si="46"/>
        <v/>
      </c>
      <c r="AJ86" s="226" t="str">
        <f t="shared" si="47"/>
        <v/>
      </c>
    </row>
    <row r="87" spans="1:36" ht="18" customHeight="1" x14ac:dyDescent="0.2">
      <c r="A87" s="226" t="str">
        <f t="shared" si="36"/>
        <v>3Y -&gt; PM Y7 Base</v>
      </c>
      <c r="B87" s="226">
        <f t="shared" si="37"/>
        <v>3</v>
      </c>
      <c r="C87" s="235">
        <f t="shared" si="38"/>
        <v>3</v>
      </c>
      <c r="D87" s="226">
        <f t="shared" si="39"/>
        <v>7</v>
      </c>
      <c r="E87" s="226" t="str">
        <f t="shared" si="40"/>
        <v>Base</v>
      </c>
      <c r="F87" s="230">
        <f t="shared" si="41"/>
        <v>25000000</v>
      </c>
      <c r="G87" s="236">
        <f t="shared" si="42"/>
        <v>0.15</v>
      </c>
      <c r="H87" s="230">
        <f t="shared" si="43"/>
        <v>300000</v>
      </c>
      <c r="I87" s="236">
        <f t="shared" si="21"/>
        <v>0</v>
      </c>
      <c r="J87" s="234">
        <v>8</v>
      </c>
      <c r="K87" s="234">
        <f t="shared" si="22"/>
        <v>2033</v>
      </c>
      <c r="L87" s="230">
        <f>IF(J87=1,'Model Inputs'!$B$25*(13-'Model Inputs'!$B$23)/12,'Model Inputs'!$B$25)</f>
        <v>300000</v>
      </c>
      <c r="M87" s="230">
        <f>IF(J87=1,'Model Inputs'!$B$27*(13-'Model Inputs'!$B$23)/12,IF(J87=2,'Model Inputs'!$B$27,IF(J87&lt;=MAX(3,'Model Inputs'!$B$30+1),'Model Inputs'!$B$27*(1+'Model Inputs'!$B$28)^(J87-3),'Model Inputs'!$B$27*(1+'Model Inputs'!$B$28)^(MAX(3,'Model Inputs'!$B$30+1)-3)*(1+'Model Inputs'!$B$29)^(J87-MAX(3,'Model Inputs'!$B$30+1)))))</f>
        <v>1950000.0000000002</v>
      </c>
      <c r="N87" s="236">
        <f>IF(J87&lt;=2,0,'Model Inputs'!$B$32*SIN(2*PI()*(J87-3+'Model Inputs'!$B$34)/MAX(1,'Model Inputs'!$B$33)))</f>
        <v>-0.10392304845413264</v>
      </c>
      <c r="O87" s="230">
        <f t="shared" si="23"/>
        <v>1747350.0555144416</v>
      </c>
      <c r="P87" s="230">
        <f t="shared" si="48"/>
        <v>1572205.6657868917</v>
      </c>
      <c r="Q87" s="230">
        <f>L87+P87+IF(J87=1,'Model Inputs'!$B$26,0)</f>
        <v>1872205.6657868917</v>
      </c>
      <c r="R87" s="230">
        <f t="shared" si="24"/>
        <v>5616616.9973606747</v>
      </c>
      <c r="S87" s="230">
        <f t="shared" si="25"/>
        <v>4050000</v>
      </c>
      <c r="T87" s="230">
        <f t="shared" si="26"/>
        <v>4050000</v>
      </c>
      <c r="U87" s="230">
        <f>MIN(T87,'Tax Assumptions'!$B$19)</f>
        <v>24500</v>
      </c>
      <c r="V87" s="230">
        <f>MAX(T87-U87-'Tax Assumptions'!$B$8,0)</f>
        <v>4009400</v>
      </c>
      <c r="W87" s="230">
        <f>MAX(T87-U87-'Tax Assumptions'!$B$9,0)</f>
        <v>4017500</v>
      </c>
      <c r="X87" s="230">
        <f>IF(V87=0,0,LOOKUP(V87,'Tax Assumptions'!$F$9:$F$15,'Tax Assumptions'!$I$9:$I$15)+(V87-LOOKUP(V87,'Tax Assumptions'!$F$9:$F$15,'Tax Assumptions'!$F$9:$F$15))*LOOKUP(V87,'Tax Assumptions'!$F$9:$F$15,'Tax Assumptions'!$H$9:$H$15))+MIN(MAX(T87,0),'Tax Assumptions'!$B$11)*'Tax Assumptions'!$B$10+MAX(T87,0)*'Tax Assumptions'!$B$12+MAX(MAX(T87,0)-'Tax Assumptions'!$B$14,0)*'Tax Assumptions'!$B$13+MIN(T87*'Tax Assumptions'!$B$15,'Tax Assumptions'!$B$16)+MIN(T87*'Tax Assumptions'!$B$17,'Tax Assumptions'!$B$18)+IF(W87=0,0,LOOKUP(W87,'Tax Assumptions'!$K$9:$K$17,'Tax Assumptions'!$N$9:$N$17)+(W87-LOOKUP(W87,'Tax Assumptions'!$K$9:$K$17,'Tax Assumptions'!$K$9:$K$17))*LOOKUP(W87,'Tax Assumptions'!$K$9:$K$17,'Tax Assumptions'!$M$9:$M$17))+IF(W87=0,0,LOOKUP(W87,'Tax Assumptions'!$P$9:$P$12,'Tax Assumptions'!$S$9:$S$12)+(W87-LOOKUP(W87,'Tax Assumptions'!$P$9:$P$12,'Tax Assumptions'!$P$9:$P$12))*LOOKUP(W87,'Tax Assumptions'!$P$9:$P$12,'Tax Assumptions'!$R$9:$R$12))</f>
        <v>2055188.6349999998</v>
      </c>
      <c r="Y87" s="230">
        <f t="shared" si="27"/>
        <v>1970311.3650000002</v>
      </c>
      <c r="Z87" s="230">
        <f>IF(J87&lt;=10,INDEX('Savings Projection'!$BL$19:$BL$28,J87),LOOKUP(2,1/('Savings Projection'!$BL$19:$BL$28&lt;&gt;""),'Savings Projection'!$BL$19:$BL$28))*(1+'Model Inputs'!$B$35)^(J87-1)+IF(J87&lt;=10,INDEX('Savings Projection'!$BM$19:$BM$28,J87),LOOKUP(2,1/('Savings Projection'!$BM$19:$BM$28&lt;&gt;""),'Savings Projection'!$BM$19:$BM$28))*(1+'Model Inputs'!$B$36)^(J87-1)</f>
        <v>159883.60250523311</v>
      </c>
      <c r="AA87" s="230">
        <f t="shared" si="28"/>
        <v>1810427.7624947671</v>
      </c>
      <c r="AB87" s="230">
        <f>MIN(MAX(AA87,0),'Tax Assumptions'!$B$20)</f>
        <v>7500</v>
      </c>
      <c r="AC87" s="230">
        <f t="shared" si="29"/>
        <v>1802927.7624947671</v>
      </c>
      <c r="AD87" s="230">
        <f>MAX(AD86*(1+'Model Inputs'!$B$13)+AC87,0)</f>
        <v>9068234.3575247917</v>
      </c>
      <c r="AE87" s="230">
        <f>MAX(AE86*(1+'Model Inputs'!$B$13)+U87+AB87,0)</f>
        <v>316718.97308311553</v>
      </c>
      <c r="AF87" s="230">
        <f t="shared" si="30"/>
        <v>9384953.3306079078</v>
      </c>
      <c r="AG87" s="226" t="str">
        <f t="shared" si="44"/>
        <v/>
      </c>
      <c r="AH87" s="226" t="str">
        <f t="shared" si="45"/>
        <v/>
      </c>
      <c r="AI87" s="226" t="str">
        <f t="shared" si="46"/>
        <v/>
      </c>
      <c r="AJ87" s="226" t="str">
        <f t="shared" si="47"/>
        <v/>
      </c>
    </row>
    <row r="88" spans="1:36" ht="18" customHeight="1" x14ac:dyDescent="0.2">
      <c r="A88" s="226" t="str">
        <f t="shared" si="36"/>
        <v>3Y -&gt; PM Y7 Base</v>
      </c>
      <c r="B88" s="226">
        <f t="shared" si="37"/>
        <v>3</v>
      </c>
      <c r="C88" s="235">
        <f t="shared" si="38"/>
        <v>3</v>
      </c>
      <c r="D88" s="226">
        <f t="shared" si="39"/>
        <v>7</v>
      </c>
      <c r="E88" s="226" t="str">
        <f t="shared" si="40"/>
        <v>Base</v>
      </c>
      <c r="F88" s="230">
        <f t="shared" si="41"/>
        <v>25000000</v>
      </c>
      <c r="G88" s="236">
        <f t="shared" si="42"/>
        <v>0.15</v>
      </c>
      <c r="H88" s="230">
        <f t="shared" si="43"/>
        <v>300000</v>
      </c>
      <c r="I88" s="236">
        <f t="shared" si="21"/>
        <v>0</v>
      </c>
      <c r="J88" s="234">
        <v>9</v>
      </c>
      <c r="K88" s="234">
        <f t="shared" si="22"/>
        <v>2034</v>
      </c>
      <c r="L88" s="230">
        <f>IF(J88=1,'Model Inputs'!$B$25*(13-'Model Inputs'!$B$23)/12,'Model Inputs'!$B$25)</f>
        <v>300000</v>
      </c>
      <c r="M88" s="230">
        <f>IF(J88=1,'Model Inputs'!$B$27*(13-'Model Inputs'!$B$23)/12,IF(J88=2,'Model Inputs'!$B$27,IF(J88&lt;=MAX(3,'Model Inputs'!$B$30+1),'Model Inputs'!$B$27*(1+'Model Inputs'!$B$28)^(J88-3),'Model Inputs'!$B$27*(1+'Model Inputs'!$B$28)^(MAX(3,'Model Inputs'!$B$30+1)-3)*(1+'Model Inputs'!$B$29)^(J88-MAX(3,'Model Inputs'!$B$30+1)))))</f>
        <v>2478210.9983498608</v>
      </c>
      <c r="N88" s="236">
        <f>IF(J88&lt;=2,0,'Model Inputs'!$B$32*SIN(2*PI()*(J88-3+'Model Inputs'!$B$34)/MAX(1,'Model Inputs'!$B$33)))</f>
        <v>-5.8783046359072947E-17</v>
      </c>
      <c r="O88" s="230">
        <f t="shared" si="23"/>
        <v>2478210.9983498603</v>
      </c>
      <c r="P88" s="230">
        <f t="shared" si="48"/>
        <v>1733969.9666232408</v>
      </c>
      <c r="Q88" s="230">
        <f>L88+P88+IF(J88=1,'Model Inputs'!$B$26,0)</f>
        <v>2033969.9666232408</v>
      </c>
      <c r="R88" s="230">
        <f t="shared" si="24"/>
        <v>6101909.8998697223</v>
      </c>
      <c r="S88" s="230">
        <f t="shared" si="25"/>
        <v>4050000</v>
      </c>
      <c r="T88" s="230">
        <f t="shared" si="26"/>
        <v>4050000</v>
      </c>
      <c r="U88" s="230">
        <f>MIN(T88,'Tax Assumptions'!$B$19)</f>
        <v>24500</v>
      </c>
      <c r="V88" s="230">
        <f>MAX(T88-U88-'Tax Assumptions'!$B$8,0)</f>
        <v>4009400</v>
      </c>
      <c r="W88" s="230">
        <f>MAX(T88-U88-'Tax Assumptions'!$B$9,0)</f>
        <v>4017500</v>
      </c>
      <c r="X88" s="230">
        <f>IF(V88=0,0,LOOKUP(V88,'Tax Assumptions'!$F$9:$F$15,'Tax Assumptions'!$I$9:$I$15)+(V88-LOOKUP(V88,'Tax Assumptions'!$F$9:$F$15,'Tax Assumptions'!$F$9:$F$15))*LOOKUP(V88,'Tax Assumptions'!$F$9:$F$15,'Tax Assumptions'!$H$9:$H$15))+MIN(MAX(T88,0),'Tax Assumptions'!$B$11)*'Tax Assumptions'!$B$10+MAX(T88,0)*'Tax Assumptions'!$B$12+MAX(MAX(T88,0)-'Tax Assumptions'!$B$14,0)*'Tax Assumptions'!$B$13+MIN(T88*'Tax Assumptions'!$B$15,'Tax Assumptions'!$B$16)+MIN(T88*'Tax Assumptions'!$B$17,'Tax Assumptions'!$B$18)+IF(W88=0,0,LOOKUP(W88,'Tax Assumptions'!$K$9:$K$17,'Tax Assumptions'!$N$9:$N$17)+(W88-LOOKUP(W88,'Tax Assumptions'!$K$9:$K$17,'Tax Assumptions'!$K$9:$K$17))*LOOKUP(W88,'Tax Assumptions'!$K$9:$K$17,'Tax Assumptions'!$M$9:$M$17))+IF(W88=0,0,LOOKUP(W88,'Tax Assumptions'!$P$9:$P$12,'Tax Assumptions'!$S$9:$S$12)+(W88-LOOKUP(W88,'Tax Assumptions'!$P$9:$P$12,'Tax Assumptions'!$P$9:$P$12))*LOOKUP(W88,'Tax Assumptions'!$P$9:$P$12,'Tax Assumptions'!$R$9:$R$12))</f>
        <v>2055188.6349999998</v>
      </c>
      <c r="Y88" s="230">
        <f t="shared" si="27"/>
        <v>1970311.3650000002</v>
      </c>
      <c r="Z88" s="230">
        <f>IF(J88&lt;=10,INDEX('Savings Projection'!$BL$19:$BL$28,J88),LOOKUP(2,1/('Savings Projection'!$BL$19:$BL$28&lt;&gt;""),'Savings Projection'!$BL$19:$BL$28))*(1+'Model Inputs'!$B$35)^(J88-1)+IF(J88&lt;=10,INDEX('Savings Projection'!$BM$19:$BM$28,J88),LOOKUP(2,1/('Savings Projection'!$BM$19:$BM$28&lt;&gt;""),'Savings Projection'!$BM$19:$BM$28))*(1+'Model Inputs'!$B$36)^(J88-1)</f>
        <v>164680.11058039009</v>
      </c>
      <c r="AA88" s="230">
        <f t="shared" si="28"/>
        <v>1805631.2544196101</v>
      </c>
      <c r="AB88" s="230">
        <f>MIN(MAX(AA88,0),'Tax Assumptions'!$B$20)</f>
        <v>7500</v>
      </c>
      <c r="AC88" s="230">
        <f t="shared" si="29"/>
        <v>1798131.2544196101</v>
      </c>
      <c r="AD88" s="230">
        <f>MAX(AD87*(1+'Model Inputs'!$B$13)+AC88,0)</f>
        <v>11410459.673395889</v>
      </c>
      <c r="AE88" s="230">
        <f>MAX(AE87*(1+'Model Inputs'!$B$13)+U88+AB88,0)</f>
        <v>367722.11146810249</v>
      </c>
      <c r="AF88" s="230">
        <f t="shared" si="30"/>
        <v>11778181.784863992</v>
      </c>
      <c r="AG88" s="226" t="str">
        <f t="shared" si="44"/>
        <v/>
      </c>
      <c r="AH88" s="226" t="str">
        <f t="shared" si="45"/>
        <v/>
      </c>
      <c r="AI88" s="226" t="str">
        <f t="shared" si="46"/>
        <v/>
      </c>
      <c r="AJ88" s="226" t="str">
        <f t="shared" si="47"/>
        <v/>
      </c>
    </row>
    <row r="89" spans="1:36" ht="18" customHeight="1" x14ac:dyDescent="0.2">
      <c r="A89" s="226" t="str">
        <f t="shared" si="36"/>
        <v>3Y -&gt; PM Y7 Base</v>
      </c>
      <c r="B89" s="226">
        <f t="shared" si="37"/>
        <v>3</v>
      </c>
      <c r="C89" s="235">
        <f t="shared" si="38"/>
        <v>3</v>
      </c>
      <c r="D89" s="226">
        <f t="shared" si="39"/>
        <v>7</v>
      </c>
      <c r="E89" s="226" t="str">
        <f t="shared" si="40"/>
        <v>Base</v>
      </c>
      <c r="F89" s="230">
        <f t="shared" si="41"/>
        <v>25000000</v>
      </c>
      <c r="G89" s="236">
        <f t="shared" si="42"/>
        <v>0.15</v>
      </c>
      <c r="H89" s="230">
        <f t="shared" si="43"/>
        <v>300000</v>
      </c>
      <c r="I89" s="236">
        <f t="shared" si="21"/>
        <v>0</v>
      </c>
      <c r="J89" s="234">
        <v>10</v>
      </c>
      <c r="K89" s="234">
        <f t="shared" si="22"/>
        <v>2035</v>
      </c>
      <c r="L89" s="230">
        <f>IF(J89=1,'Model Inputs'!$B$25*(13-'Model Inputs'!$B$23)/12,'Model Inputs'!$B$25)</f>
        <v>300000</v>
      </c>
      <c r="M89" s="230">
        <f>IF(J89=1,'Model Inputs'!$B$27*(13-'Model Inputs'!$B$23)/12,IF(J89=2,'Model Inputs'!$B$27,IF(J89&lt;=MAX(3,'Model Inputs'!$B$30+1),'Model Inputs'!$B$27*(1+'Model Inputs'!$B$28)^(J89-3),'Model Inputs'!$B$27*(1+'Model Inputs'!$B$28)^(MAX(3,'Model Inputs'!$B$30+1)-3)*(1+'Model Inputs'!$B$29)^(J89-MAX(3,'Model Inputs'!$B$30+1)))))</f>
        <v>3149502.4370985711</v>
      </c>
      <c r="N89" s="236">
        <f>IF(J89&lt;=2,0,'Model Inputs'!$B$32*SIN(2*PI()*(J89-3+'Model Inputs'!$B$34)/MAX(1,'Model Inputs'!$B$33)))</f>
        <v>0.10392304845413271</v>
      </c>
      <c r="O89" s="230">
        <f t="shared" si="23"/>
        <v>3476808.331475575</v>
      </c>
      <c r="P89" s="230">
        <f t="shared" si="48"/>
        <v>2295495.7626410057</v>
      </c>
      <c r="Q89" s="230">
        <f>L89+P89+IF(J89=1,'Model Inputs'!$B$26,0)</f>
        <v>2595495.7626410057</v>
      </c>
      <c r="R89" s="230">
        <f t="shared" si="24"/>
        <v>7786487.2879230175</v>
      </c>
      <c r="S89" s="230">
        <f t="shared" si="25"/>
        <v>4050000</v>
      </c>
      <c r="T89" s="230">
        <f t="shared" si="26"/>
        <v>4050000</v>
      </c>
      <c r="U89" s="230">
        <f>MIN(T89,'Tax Assumptions'!$B$19)</f>
        <v>24500</v>
      </c>
      <c r="V89" s="230">
        <f>MAX(T89-U89-'Tax Assumptions'!$B$8,0)</f>
        <v>4009400</v>
      </c>
      <c r="W89" s="230">
        <f>MAX(T89-U89-'Tax Assumptions'!$B$9,0)</f>
        <v>4017500</v>
      </c>
      <c r="X89" s="230">
        <f>IF(V89=0,0,LOOKUP(V89,'Tax Assumptions'!$F$9:$F$15,'Tax Assumptions'!$I$9:$I$15)+(V89-LOOKUP(V89,'Tax Assumptions'!$F$9:$F$15,'Tax Assumptions'!$F$9:$F$15))*LOOKUP(V89,'Tax Assumptions'!$F$9:$F$15,'Tax Assumptions'!$H$9:$H$15))+MIN(MAX(T89,0),'Tax Assumptions'!$B$11)*'Tax Assumptions'!$B$10+MAX(T89,0)*'Tax Assumptions'!$B$12+MAX(MAX(T89,0)-'Tax Assumptions'!$B$14,0)*'Tax Assumptions'!$B$13+MIN(T89*'Tax Assumptions'!$B$15,'Tax Assumptions'!$B$16)+MIN(T89*'Tax Assumptions'!$B$17,'Tax Assumptions'!$B$18)+IF(W89=0,0,LOOKUP(W89,'Tax Assumptions'!$K$9:$K$17,'Tax Assumptions'!$N$9:$N$17)+(W89-LOOKUP(W89,'Tax Assumptions'!$K$9:$K$17,'Tax Assumptions'!$K$9:$K$17))*LOOKUP(W89,'Tax Assumptions'!$K$9:$K$17,'Tax Assumptions'!$M$9:$M$17))+IF(W89=0,0,LOOKUP(W89,'Tax Assumptions'!$P$9:$P$12,'Tax Assumptions'!$S$9:$S$12)+(W89-LOOKUP(W89,'Tax Assumptions'!$P$9:$P$12,'Tax Assumptions'!$P$9:$P$12))*LOOKUP(W89,'Tax Assumptions'!$P$9:$P$12,'Tax Assumptions'!$R$9:$R$12))</f>
        <v>2055188.6349999998</v>
      </c>
      <c r="Y89" s="230">
        <f t="shared" si="27"/>
        <v>1970311.3650000002</v>
      </c>
      <c r="Z89" s="230">
        <f>IF(J89&lt;=10,INDEX('Savings Projection'!$BL$19:$BL$28,J89),LOOKUP(2,1/('Savings Projection'!$BL$19:$BL$28&lt;&gt;""),'Savings Projection'!$BL$19:$BL$28))*(1+'Model Inputs'!$B$35)^(J89-1)+IF(J89&lt;=10,INDEX('Savings Projection'!$BM$19:$BM$28,J89),LOOKUP(2,1/('Savings Projection'!$BM$19:$BM$28&lt;&gt;""),'Savings Projection'!$BM$19:$BM$28))*(1+'Model Inputs'!$B$36)^(J89-1)</f>
        <v>169620.51389780178</v>
      </c>
      <c r="AA89" s="230">
        <f t="shared" si="28"/>
        <v>1800690.8511021985</v>
      </c>
      <c r="AB89" s="230">
        <f>MIN(MAX(AA89,0),'Tax Assumptions'!$B$20)</f>
        <v>7500</v>
      </c>
      <c r="AC89" s="230">
        <f t="shared" si="29"/>
        <v>1793190.8511021985</v>
      </c>
      <c r="AD89" s="230">
        <f>MAX(AD88*(1+'Model Inputs'!$B$13)+AC89,0)</f>
        <v>13888278.104901843</v>
      </c>
      <c r="AE89" s="230">
        <f>MAX(AE88*(1+'Model Inputs'!$B$13)+U89+AB89,0)</f>
        <v>421785.43815618864</v>
      </c>
      <c r="AF89" s="230">
        <f t="shared" si="30"/>
        <v>14310063.543058032</v>
      </c>
      <c r="AG89" s="226">
        <f t="shared" si="44"/>
        <v>10</v>
      </c>
      <c r="AH89" s="226" t="str">
        <f t="shared" si="45"/>
        <v/>
      </c>
      <c r="AI89" s="226" t="str">
        <f t="shared" si="46"/>
        <v/>
      </c>
      <c r="AJ89" s="226" t="str">
        <f t="shared" si="47"/>
        <v/>
      </c>
    </row>
    <row r="90" spans="1:36" ht="18" customHeight="1" x14ac:dyDescent="0.2">
      <c r="A90" s="226" t="str">
        <f t="shared" si="36"/>
        <v>3Y -&gt; PM Y7 Base</v>
      </c>
      <c r="B90" s="226">
        <f t="shared" si="37"/>
        <v>3</v>
      </c>
      <c r="C90" s="235">
        <f t="shared" si="38"/>
        <v>3</v>
      </c>
      <c r="D90" s="226">
        <f t="shared" si="39"/>
        <v>7</v>
      </c>
      <c r="E90" s="226" t="str">
        <f t="shared" si="40"/>
        <v>Base</v>
      </c>
      <c r="F90" s="230">
        <f t="shared" si="41"/>
        <v>25000000</v>
      </c>
      <c r="G90" s="236">
        <f t="shared" si="42"/>
        <v>0.15</v>
      </c>
      <c r="H90" s="230">
        <f t="shared" si="43"/>
        <v>300000</v>
      </c>
      <c r="I90" s="236">
        <f t="shared" si="21"/>
        <v>0</v>
      </c>
      <c r="J90" s="234">
        <v>11</v>
      </c>
      <c r="K90" s="234">
        <f t="shared" si="22"/>
        <v>2036</v>
      </c>
      <c r="L90" s="230">
        <f>IF(J90=1,'Model Inputs'!$B$25*(13-'Model Inputs'!$B$23)/12,'Model Inputs'!$B$25)</f>
        <v>300000</v>
      </c>
      <c r="M90" s="230">
        <f>IF(J90=1,'Model Inputs'!$B$27*(13-'Model Inputs'!$B$23)/12,IF(J90=2,'Model Inputs'!$B$27,IF(J90&lt;=MAX(3,'Model Inputs'!$B$30+1),'Model Inputs'!$B$27*(1+'Model Inputs'!$B$28)^(J90-3),'Model Inputs'!$B$27*(1+'Model Inputs'!$B$28)^(MAX(3,'Model Inputs'!$B$30+1)-3)*(1+'Model Inputs'!$B$29)^(J90-MAX(3,'Model Inputs'!$B$30+1)))))</f>
        <v>4002631.578947369</v>
      </c>
      <c r="N90" s="236">
        <f>IF(J90&lt;=2,0,'Model Inputs'!$B$32*SIN(2*PI()*(J90-3+'Model Inputs'!$B$34)/MAX(1,'Model Inputs'!$B$33)))</f>
        <v>-0.10392304845413253</v>
      </c>
      <c r="O90" s="230">
        <f t="shared" si="23"/>
        <v>3586665.9034243808</v>
      </c>
      <c r="P90" s="230">
        <f t="shared" si="48"/>
        <v>3227158.9981941464</v>
      </c>
      <c r="Q90" s="230">
        <f>L90+P90+IF(J90=1,'Model Inputs'!$B$26,0)</f>
        <v>3527158.9981941464</v>
      </c>
      <c r="R90" s="230">
        <f t="shared" si="24"/>
        <v>10581476.994582439</v>
      </c>
      <c r="S90" s="230">
        <f t="shared" si="25"/>
        <v>4050000</v>
      </c>
      <c r="T90" s="230">
        <f t="shared" si="26"/>
        <v>4050000</v>
      </c>
      <c r="U90" s="230">
        <f>MIN(T90,'Tax Assumptions'!$B$19)</f>
        <v>24500</v>
      </c>
      <c r="V90" s="230">
        <f>MAX(T90-U90-'Tax Assumptions'!$B$8,0)</f>
        <v>4009400</v>
      </c>
      <c r="W90" s="230">
        <f>MAX(T90-U90-'Tax Assumptions'!$B$9,0)</f>
        <v>4017500</v>
      </c>
      <c r="X90" s="230">
        <f>IF(V90=0,0,LOOKUP(V90,'Tax Assumptions'!$F$9:$F$15,'Tax Assumptions'!$I$9:$I$15)+(V90-LOOKUP(V90,'Tax Assumptions'!$F$9:$F$15,'Tax Assumptions'!$F$9:$F$15))*LOOKUP(V90,'Tax Assumptions'!$F$9:$F$15,'Tax Assumptions'!$H$9:$H$15))+MIN(MAX(T90,0),'Tax Assumptions'!$B$11)*'Tax Assumptions'!$B$10+MAX(T90,0)*'Tax Assumptions'!$B$12+MAX(MAX(T90,0)-'Tax Assumptions'!$B$14,0)*'Tax Assumptions'!$B$13+MIN(T90*'Tax Assumptions'!$B$15,'Tax Assumptions'!$B$16)+MIN(T90*'Tax Assumptions'!$B$17,'Tax Assumptions'!$B$18)+IF(W90=0,0,LOOKUP(W90,'Tax Assumptions'!$K$9:$K$17,'Tax Assumptions'!$N$9:$N$17)+(W90-LOOKUP(W90,'Tax Assumptions'!$K$9:$K$17,'Tax Assumptions'!$K$9:$K$17))*LOOKUP(W90,'Tax Assumptions'!$K$9:$K$17,'Tax Assumptions'!$M$9:$M$17))+IF(W90=0,0,LOOKUP(W90,'Tax Assumptions'!$P$9:$P$12,'Tax Assumptions'!$S$9:$S$12)+(W90-LOOKUP(W90,'Tax Assumptions'!$P$9:$P$12,'Tax Assumptions'!$P$9:$P$12))*LOOKUP(W90,'Tax Assumptions'!$P$9:$P$12,'Tax Assumptions'!$R$9:$R$12))</f>
        <v>2055188.6349999998</v>
      </c>
      <c r="Y90" s="230">
        <f t="shared" si="27"/>
        <v>1970311.3650000002</v>
      </c>
      <c r="Z90" s="230">
        <f>IF(J90&lt;=10,INDEX('Savings Projection'!$BL$19:$BL$28,J90),LOOKUP(2,1/('Savings Projection'!$BL$19:$BL$28&lt;&gt;""),'Savings Projection'!$BL$19:$BL$28))*(1+'Model Inputs'!$B$35)^(J90-1)+IF(J90&lt;=10,INDEX('Savings Projection'!$BM$19:$BM$28,J90),LOOKUP(2,1/('Savings Projection'!$BM$19:$BM$28&lt;&gt;""),'Savings Projection'!$BM$19:$BM$28))*(1+'Model Inputs'!$B$36)^(J90-1)</f>
        <v>174709.12931473582</v>
      </c>
      <c r="AA90" s="230">
        <f t="shared" si="28"/>
        <v>1795602.2356852645</v>
      </c>
      <c r="AB90" s="230">
        <f>MIN(MAX(AA90,0),'Tax Assumptions'!$B$20)</f>
        <v>7500</v>
      </c>
      <c r="AC90" s="230">
        <f t="shared" si="29"/>
        <v>1788102.2356852645</v>
      </c>
      <c r="AD90" s="230">
        <f>MAX(AD89*(1+'Model Inputs'!$B$13)+AC90,0)</f>
        <v>16509677.026881218</v>
      </c>
      <c r="AE90" s="230">
        <f>MAX(AE89*(1+'Model Inputs'!$B$13)+U90+AB90,0)</f>
        <v>479092.56444555998</v>
      </c>
      <c r="AF90" s="230">
        <f t="shared" si="30"/>
        <v>16988769.591326777</v>
      </c>
      <c r="AG90" s="226" t="str">
        <f t="shared" si="44"/>
        <v/>
      </c>
      <c r="AH90" s="226">
        <f t="shared" si="45"/>
        <v>11</v>
      </c>
      <c r="AI90" s="226" t="str">
        <f t="shared" si="46"/>
        <v/>
      </c>
      <c r="AJ90" s="226" t="str">
        <f t="shared" si="47"/>
        <v/>
      </c>
    </row>
    <row r="91" spans="1:36" ht="18" customHeight="1" x14ac:dyDescent="0.2">
      <c r="A91" s="226" t="str">
        <f t="shared" si="36"/>
        <v>3Y -&gt; PM Y7 Base</v>
      </c>
      <c r="B91" s="226">
        <f t="shared" si="37"/>
        <v>3</v>
      </c>
      <c r="C91" s="235">
        <f t="shared" si="38"/>
        <v>3</v>
      </c>
      <c r="D91" s="226">
        <f t="shared" si="39"/>
        <v>7</v>
      </c>
      <c r="E91" s="226" t="str">
        <f t="shared" si="40"/>
        <v>Base</v>
      </c>
      <c r="F91" s="230">
        <f t="shared" si="41"/>
        <v>25000000</v>
      </c>
      <c r="G91" s="236">
        <f t="shared" si="42"/>
        <v>0.15</v>
      </c>
      <c r="H91" s="230">
        <f t="shared" si="43"/>
        <v>300000</v>
      </c>
      <c r="I91" s="236">
        <f t="shared" si="21"/>
        <v>0</v>
      </c>
      <c r="J91" s="234">
        <v>12</v>
      </c>
      <c r="K91" s="234">
        <f t="shared" si="22"/>
        <v>2037</v>
      </c>
      <c r="L91" s="230">
        <f>IF(J91=1,'Model Inputs'!$B$25*(13-'Model Inputs'!$B$23)/12,'Model Inputs'!$B$25)</f>
        <v>300000</v>
      </c>
      <c r="M91" s="230">
        <f>IF(J91=1,'Model Inputs'!$B$27*(13-'Model Inputs'!$B$23)/12,IF(J91=2,'Model Inputs'!$B$27,IF(J91&lt;=MAX(3,'Model Inputs'!$B$30+1),'Model Inputs'!$B$27*(1+'Model Inputs'!$B$28)^(J91-3),'Model Inputs'!$B$27*(1+'Model Inputs'!$B$28)^(MAX(3,'Model Inputs'!$B$30+1)-3)*(1+'Model Inputs'!$B$29)^(J91-MAX(3,'Model Inputs'!$B$30+1)))))</f>
        <v>5086854.15450761</v>
      </c>
      <c r="N91" s="236">
        <f>IF(J91&lt;=2,0,'Model Inputs'!$B$32*SIN(2*PI()*(J91-3+'Model Inputs'!$B$34)/MAX(1,'Model Inputs'!$B$33)))</f>
        <v>-8.8174569538609421E-17</v>
      </c>
      <c r="O91" s="230">
        <f t="shared" si="23"/>
        <v>5086854.1545076091</v>
      </c>
      <c r="P91" s="230">
        <f t="shared" si="48"/>
        <v>3559201.5104371794</v>
      </c>
      <c r="Q91" s="230">
        <f>L91+P91+IF(J91=1,'Model Inputs'!$B$26,0)</f>
        <v>3859201.5104371794</v>
      </c>
      <c r="R91" s="230">
        <f t="shared" si="24"/>
        <v>11577604.531311538</v>
      </c>
      <c r="S91" s="230">
        <f t="shared" si="25"/>
        <v>4050000</v>
      </c>
      <c r="T91" s="230">
        <f t="shared" si="26"/>
        <v>4050000</v>
      </c>
      <c r="U91" s="230">
        <f>MIN(T91,'Tax Assumptions'!$B$19)</f>
        <v>24500</v>
      </c>
      <c r="V91" s="230">
        <f>MAX(T91-U91-'Tax Assumptions'!$B$8,0)</f>
        <v>4009400</v>
      </c>
      <c r="W91" s="230">
        <f>MAX(T91-U91-'Tax Assumptions'!$B$9,0)</f>
        <v>4017500</v>
      </c>
      <c r="X91" s="230">
        <f>IF(V91=0,0,LOOKUP(V91,'Tax Assumptions'!$F$9:$F$15,'Tax Assumptions'!$I$9:$I$15)+(V91-LOOKUP(V91,'Tax Assumptions'!$F$9:$F$15,'Tax Assumptions'!$F$9:$F$15))*LOOKUP(V91,'Tax Assumptions'!$F$9:$F$15,'Tax Assumptions'!$H$9:$H$15))+MIN(MAX(T91,0),'Tax Assumptions'!$B$11)*'Tax Assumptions'!$B$10+MAX(T91,0)*'Tax Assumptions'!$B$12+MAX(MAX(T91,0)-'Tax Assumptions'!$B$14,0)*'Tax Assumptions'!$B$13+MIN(T91*'Tax Assumptions'!$B$15,'Tax Assumptions'!$B$16)+MIN(T91*'Tax Assumptions'!$B$17,'Tax Assumptions'!$B$18)+IF(W91=0,0,LOOKUP(W91,'Tax Assumptions'!$K$9:$K$17,'Tax Assumptions'!$N$9:$N$17)+(W91-LOOKUP(W91,'Tax Assumptions'!$K$9:$K$17,'Tax Assumptions'!$K$9:$K$17))*LOOKUP(W91,'Tax Assumptions'!$K$9:$K$17,'Tax Assumptions'!$M$9:$M$17))+IF(W91=0,0,LOOKUP(W91,'Tax Assumptions'!$P$9:$P$12,'Tax Assumptions'!$S$9:$S$12)+(W91-LOOKUP(W91,'Tax Assumptions'!$P$9:$P$12,'Tax Assumptions'!$P$9:$P$12))*LOOKUP(W91,'Tax Assumptions'!$P$9:$P$12,'Tax Assumptions'!$R$9:$R$12))</f>
        <v>2055188.6349999998</v>
      </c>
      <c r="Y91" s="230">
        <f t="shared" si="27"/>
        <v>1970311.3650000002</v>
      </c>
      <c r="Z91" s="230">
        <f>IF(J91&lt;=10,INDEX('Savings Projection'!$BL$19:$BL$28,J91),LOOKUP(2,1/('Savings Projection'!$BL$19:$BL$28&lt;&gt;""),'Savings Projection'!$BL$19:$BL$28))*(1+'Model Inputs'!$B$35)^(J91-1)+IF(J91&lt;=10,INDEX('Savings Projection'!$BM$19:$BM$28,J91),LOOKUP(2,1/('Savings Projection'!$BM$19:$BM$28&lt;&gt;""),'Savings Projection'!$BM$19:$BM$28))*(1+'Model Inputs'!$B$36)^(J91-1)</f>
        <v>179950.4031941779</v>
      </c>
      <c r="AA91" s="230">
        <f t="shared" si="28"/>
        <v>1790360.9618058223</v>
      </c>
      <c r="AB91" s="230">
        <f>MIN(MAX(AA91,0),'Tax Assumptions'!$B$20)</f>
        <v>7500</v>
      </c>
      <c r="AC91" s="230">
        <f t="shared" si="29"/>
        <v>1782860.9618058223</v>
      </c>
      <c r="AD91" s="230">
        <f>MAX(AD90*(1+'Model Inputs'!$B$13)+AC91,0)</f>
        <v>19283118.610299915</v>
      </c>
      <c r="AE91" s="230">
        <f>MAX(AE90*(1+'Model Inputs'!$B$13)+U91+AB91,0)</f>
        <v>539838.11831229366</v>
      </c>
      <c r="AF91" s="230">
        <f t="shared" si="30"/>
        <v>19822956.728612207</v>
      </c>
      <c r="AG91" s="226" t="str">
        <f t="shared" si="44"/>
        <v/>
      </c>
      <c r="AH91" s="226" t="str">
        <f t="shared" si="45"/>
        <v/>
      </c>
      <c r="AI91" s="226">
        <f t="shared" si="46"/>
        <v>12</v>
      </c>
      <c r="AJ91" s="226" t="str">
        <f t="shared" si="47"/>
        <v/>
      </c>
    </row>
    <row r="92" spans="1:36" ht="18" customHeight="1" x14ac:dyDescent="0.2">
      <c r="A92" s="226" t="str">
        <f t="shared" si="36"/>
        <v>3Y -&gt; PM Y7 Base</v>
      </c>
      <c r="B92" s="226">
        <f t="shared" si="37"/>
        <v>3</v>
      </c>
      <c r="C92" s="235">
        <f t="shared" si="38"/>
        <v>3</v>
      </c>
      <c r="D92" s="226">
        <f t="shared" si="39"/>
        <v>7</v>
      </c>
      <c r="E92" s="226" t="str">
        <f t="shared" si="40"/>
        <v>Base</v>
      </c>
      <c r="F92" s="230">
        <f t="shared" si="41"/>
        <v>25000000</v>
      </c>
      <c r="G92" s="236">
        <f t="shared" si="42"/>
        <v>0.15</v>
      </c>
      <c r="H92" s="230">
        <f t="shared" si="43"/>
        <v>300000</v>
      </c>
      <c r="I92" s="236">
        <f t="shared" si="21"/>
        <v>0</v>
      </c>
      <c r="J92" s="234">
        <v>13</v>
      </c>
      <c r="K92" s="234">
        <f t="shared" si="22"/>
        <v>2038</v>
      </c>
      <c r="L92" s="230">
        <f>IF(J92=1,'Model Inputs'!$B$25*(13-'Model Inputs'!$B$23)/12,'Model Inputs'!$B$25)</f>
        <v>300000</v>
      </c>
      <c r="M92" s="230">
        <f>IF(J92=1,'Model Inputs'!$B$27*(13-'Model Inputs'!$B$23)/12,IF(J92=2,'Model Inputs'!$B$27,IF(J92&lt;=MAX(3,'Model Inputs'!$B$30+1),'Model Inputs'!$B$27*(1+'Model Inputs'!$B$28)^(J92-3),'Model Inputs'!$B$27*(1+'Model Inputs'!$B$28)^(MAX(3,'Model Inputs'!$B$30+1)-3)*(1+'Model Inputs'!$B$29)^(J92-MAX(3,'Model Inputs'!$B$30+1)))))</f>
        <v>6464768.1603602255</v>
      </c>
      <c r="N92" s="236">
        <f>IF(J92&lt;=2,0,'Model Inputs'!$B$32*SIN(2*PI()*(J92-3+'Model Inputs'!$B$34)/MAX(1,'Model Inputs'!$B$33)))</f>
        <v>0.10392304845413261</v>
      </c>
      <c r="O92" s="230">
        <f t="shared" si="23"/>
        <v>7136606.5751340752</v>
      </c>
      <c r="P92" s="230">
        <f t="shared" si="48"/>
        <v>4711807.0917368019</v>
      </c>
      <c r="Q92" s="230">
        <f>L92+P92+IF(J92=1,'Model Inputs'!$B$26,0)</f>
        <v>5011807.0917368019</v>
      </c>
      <c r="R92" s="230">
        <f t="shared" si="24"/>
        <v>15035421.275210407</v>
      </c>
      <c r="S92" s="230">
        <f t="shared" si="25"/>
        <v>4050000</v>
      </c>
      <c r="T92" s="230">
        <f t="shared" si="26"/>
        <v>4050000</v>
      </c>
      <c r="U92" s="230">
        <f>MIN(T92,'Tax Assumptions'!$B$19)</f>
        <v>24500</v>
      </c>
      <c r="V92" s="230">
        <f>MAX(T92-U92-'Tax Assumptions'!$B$8,0)</f>
        <v>4009400</v>
      </c>
      <c r="W92" s="230">
        <f>MAX(T92-U92-'Tax Assumptions'!$B$9,0)</f>
        <v>4017500</v>
      </c>
      <c r="X92" s="230">
        <f>IF(V92=0,0,LOOKUP(V92,'Tax Assumptions'!$F$9:$F$15,'Tax Assumptions'!$I$9:$I$15)+(V92-LOOKUP(V92,'Tax Assumptions'!$F$9:$F$15,'Tax Assumptions'!$F$9:$F$15))*LOOKUP(V92,'Tax Assumptions'!$F$9:$F$15,'Tax Assumptions'!$H$9:$H$15))+MIN(MAX(T92,0),'Tax Assumptions'!$B$11)*'Tax Assumptions'!$B$10+MAX(T92,0)*'Tax Assumptions'!$B$12+MAX(MAX(T92,0)-'Tax Assumptions'!$B$14,0)*'Tax Assumptions'!$B$13+MIN(T92*'Tax Assumptions'!$B$15,'Tax Assumptions'!$B$16)+MIN(T92*'Tax Assumptions'!$B$17,'Tax Assumptions'!$B$18)+IF(W92=0,0,LOOKUP(W92,'Tax Assumptions'!$K$9:$K$17,'Tax Assumptions'!$N$9:$N$17)+(W92-LOOKUP(W92,'Tax Assumptions'!$K$9:$K$17,'Tax Assumptions'!$K$9:$K$17))*LOOKUP(W92,'Tax Assumptions'!$K$9:$K$17,'Tax Assumptions'!$M$9:$M$17))+IF(W92=0,0,LOOKUP(W92,'Tax Assumptions'!$P$9:$P$12,'Tax Assumptions'!$S$9:$S$12)+(W92-LOOKUP(W92,'Tax Assumptions'!$P$9:$P$12,'Tax Assumptions'!$P$9:$P$12))*LOOKUP(W92,'Tax Assumptions'!$P$9:$P$12,'Tax Assumptions'!$R$9:$R$12))</f>
        <v>2055188.6349999998</v>
      </c>
      <c r="Y92" s="230">
        <f t="shared" si="27"/>
        <v>1970311.3650000002</v>
      </c>
      <c r="Z92" s="230">
        <f>IF(J92&lt;=10,INDEX('Savings Projection'!$BL$19:$BL$28,J92),LOOKUP(2,1/('Savings Projection'!$BL$19:$BL$28&lt;&gt;""),'Savings Projection'!$BL$19:$BL$28))*(1+'Model Inputs'!$B$35)^(J92-1)+IF(J92&lt;=10,INDEX('Savings Projection'!$BM$19:$BM$28,J92),LOOKUP(2,1/('Savings Projection'!$BM$19:$BM$28&lt;&gt;""),'Savings Projection'!$BM$19:$BM$28))*(1+'Model Inputs'!$B$36)^(J92-1)</f>
        <v>185348.91529000323</v>
      </c>
      <c r="AA92" s="230">
        <f t="shared" si="28"/>
        <v>1784962.449709997</v>
      </c>
      <c r="AB92" s="230">
        <f>MIN(MAX(AA92,0),'Tax Assumptions'!$B$20)</f>
        <v>7500</v>
      </c>
      <c r="AC92" s="230">
        <f t="shared" si="29"/>
        <v>1777462.449709997</v>
      </c>
      <c r="AD92" s="230">
        <f>MAX(AD91*(1+'Model Inputs'!$B$13)+AC92,0)</f>
        <v>22217568.176627908</v>
      </c>
      <c r="AE92" s="230">
        <f>MAX(AE91*(1+'Model Inputs'!$B$13)+U92+AB92,0)</f>
        <v>604228.40541103133</v>
      </c>
      <c r="AF92" s="230">
        <f t="shared" si="30"/>
        <v>22821796.582038939</v>
      </c>
      <c r="AG92" s="226" t="str">
        <f t="shared" si="44"/>
        <v/>
      </c>
      <c r="AH92" s="226" t="str">
        <f t="shared" si="45"/>
        <v/>
      </c>
      <c r="AI92" s="226" t="str">
        <f t="shared" si="46"/>
        <v/>
      </c>
      <c r="AJ92" s="226">
        <f t="shared" si="47"/>
        <v>13</v>
      </c>
    </row>
    <row r="93" spans="1:36" ht="18" customHeight="1" x14ac:dyDescent="0.2">
      <c r="A93" s="226" t="str">
        <f t="shared" si="36"/>
        <v>3Y -&gt; PM Y7 Base</v>
      </c>
      <c r="B93" s="226">
        <f t="shared" si="37"/>
        <v>3</v>
      </c>
      <c r="C93" s="235">
        <f t="shared" si="38"/>
        <v>3</v>
      </c>
      <c r="D93" s="226">
        <f t="shared" si="39"/>
        <v>7</v>
      </c>
      <c r="E93" s="226" t="str">
        <f t="shared" si="40"/>
        <v>Base</v>
      </c>
      <c r="F93" s="230">
        <f t="shared" si="41"/>
        <v>25000000</v>
      </c>
      <c r="G93" s="236">
        <f t="shared" si="42"/>
        <v>0.15</v>
      </c>
      <c r="H93" s="230">
        <f t="shared" si="43"/>
        <v>300000</v>
      </c>
      <c r="I93" s="236">
        <f t="shared" si="21"/>
        <v>0</v>
      </c>
      <c r="J93" s="234">
        <v>14</v>
      </c>
      <c r="K93" s="234">
        <f t="shared" si="22"/>
        <v>2039</v>
      </c>
      <c r="L93" s="230">
        <f>IF(J93=1,'Model Inputs'!$B$25*(13-'Model Inputs'!$B$23)/12,'Model Inputs'!$B$25)</f>
        <v>300000</v>
      </c>
      <c r="M93" s="230">
        <f>IF(J93=1,'Model Inputs'!$B$27*(13-'Model Inputs'!$B$23)/12,IF(J93=2,'Model Inputs'!$B$27,IF(J93&lt;=MAX(3,'Model Inputs'!$B$30+1),'Model Inputs'!$B$27*(1+'Model Inputs'!$B$28)^(J93-3),'Model Inputs'!$B$27*(1+'Model Inputs'!$B$28)^(MAX(3,'Model Inputs'!$B$30+1)-3)*(1+'Model Inputs'!$B$29)^(J93-MAX(3,'Model Inputs'!$B$30+1)))))</f>
        <v>8215927.9778393377</v>
      </c>
      <c r="N93" s="236">
        <f>IF(J93&lt;=2,0,'Model Inputs'!$B$32*SIN(2*PI()*(J93-3+'Model Inputs'!$B$34)/MAX(1,'Model Inputs'!$B$33)))</f>
        <v>-0.10392304845413251</v>
      </c>
      <c r="O93" s="230">
        <f t="shared" si="23"/>
        <v>7362103.6965026772</v>
      </c>
      <c r="P93" s="230">
        <f t="shared" si="48"/>
        <v>6624168.4699774589</v>
      </c>
      <c r="Q93" s="230">
        <f>L93+P93+IF(J93=1,'Model Inputs'!$B$26,0)</f>
        <v>6924168.4699774589</v>
      </c>
      <c r="R93" s="230">
        <f t="shared" si="24"/>
        <v>20772505.409932375</v>
      </c>
      <c r="S93" s="230">
        <f t="shared" si="25"/>
        <v>4050000</v>
      </c>
      <c r="T93" s="230">
        <f t="shared" si="26"/>
        <v>4050000</v>
      </c>
      <c r="U93" s="230">
        <f>MIN(T93,'Tax Assumptions'!$B$19)</f>
        <v>24500</v>
      </c>
      <c r="V93" s="230">
        <f>MAX(T93-U93-'Tax Assumptions'!$B$8,0)</f>
        <v>4009400</v>
      </c>
      <c r="W93" s="230">
        <f>MAX(T93-U93-'Tax Assumptions'!$B$9,0)</f>
        <v>4017500</v>
      </c>
      <c r="X93" s="230">
        <f>IF(V93=0,0,LOOKUP(V93,'Tax Assumptions'!$F$9:$F$15,'Tax Assumptions'!$I$9:$I$15)+(V93-LOOKUP(V93,'Tax Assumptions'!$F$9:$F$15,'Tax Assumptions'!$F$9:$F$15))*LOOKUP(V93,'Tax Assumptions'!$F$9:$F$15,'Tax Assumptions'!$H$9:$H$15))+MIN(MAX(T93,0),'Tax Assumptions'!$B$11)*'Tax Assumptions'!$B$10+MAX(T93,0)*'Tax Assumptions'!$B$12+MAX(MAX(T93,0)-'Tax Assumptions'!$B$14,0)*'Tax Assumptions'!$B$13+MIN(T93*'Tax Assumptions'!$B$15,'Tax Assumptions'!$B$16)+MIN(T93*'Tax Assumptions'!$B$17,'Tax Assumptions'!$B$18)+IF(W93=0,0,LOOKUP(W93,'Tax Assumptions'!$K$9:$K$17,'Tax Assumptions'!$N$9:$N$17)+(W93-LOOKUP(W93,'Tax Assumptions'!$K$9:$K$17,'Tax Assumptions'!$K$9:$K$17))*LOOKUP(W93,'Tax Assumptions'!$K$9:$K$17,'Tax Assumptions'!$M$9:$M$17))+IF(W93=0,0,LOOKUP(W93,'Tax Assumptions'!$P$9:$P$12,'Tax Assumptions'!$S$9:$S$12)+(W93-LOOKUP(W93,'Tax Assumptions'!$P$9:$P$12,'Tax Assumptions'!$P$9:$P$12))*LOOKUP(W93,'Tax Assumptions'!$P$9:$P$12,'Tax Assumptions'!$R$9:$R$12))</f>
        <v>2055188.6349999998</v>
      </c>
      <c r="Y93" s="230">
        <f t="shared" si="27"/>
        <v>1970311.3650000002</v>
      </c>
      <c r="Z93" s="230">
        <f>IF(J93&lt;=10,INDEX('Savings Projection'!$BL$19:$BL$28,J93),LOOKUP(2,1/('Savings Projection'!$BL$19:$BL$28&lt;&gt;""),'Savings Projection'!$BL$19:$BL$28))*(1+'Model Inputs'!$B$35)^(J93-1)+IF(J93&lt;=10,INDEX('Savings Projection'!$BM$19:$BM$28,J93),LOOKUP(2,1/('Savings Projection'!$BM$19:$BM$28&lt;&gt;""),'Savings Projection'!$BM$19:$BM$28))*(1+'Model Inputs'!$B$36)^(J93-1)</f>
        <v>190909.3827487033</v>
      </c>
      <c r="AA93" s="230">
        <f t="shared" si="28"/>
        <v>1779401.982251297</v>
      </c>
      <c r="AB93" s="230">
        <f>MIN(MAX(AA93,0),'Tax Assumptions'!$B$20)</f>
        <v>7500</v>
      </c>
      <c r="AC93" s="230">
        <f t="shared" si="29"/>
        <v>1771901.982251297</v>
      </c>
      <c r="AD93" s="230">
        <f>MAX(AD92*(1+'Model Inputs'!$B$13)+AC93,0)</f>
        <v>25322524.24947688</v>
      </c>
      <c r="AE93" s="230">
        <f>MAX(AE92*(1+'Model Inputs'!$B$13)+U93+AB93,0)</f>
        <v>672482.1097356932</v>
      </c>
      <c r="AF93" s="230">
        <f t="shared" si="30"/>
        <v>25995006.359212574</v>
      </c>
      <c r="AG93" s="226" t="str">
        <f t="shared" si="44"/>
        <v/>
      </c>
      <c r="AH93" s="226" t="str">
        <f t="shared" si="45"/>
        <v/>
      </c>
      <c r="AI93" s="226" t="str">
        <f t="shared" si="46"/>
        <v/>
      </c>
      <c r="AJ93" s="226" t="str">
        <f t="shared" si="47"/>
        <v/>
      </c>
    </row>
    <row r="94" spans="1:36" ht="18" customHeight="1" x14ac:dyDescent="0.2">
      <c r="A94" s="226" t="str">
        <f t="shared" si="36"/>
        <v>3Y -&gt; PM Y7 Base</v>
      </c>
      <c r="B94" s="226">
        <f t="shared" si="37"/>
        <v>3</v>
      </c>
      <c r="C94" s="235">
        <f t="shared" si="38"/>
        <v>3</v>
      </c>
      <c r="D94" s="226">
        <f t="shared" si="39"/>
        <v>7</v>
      </c>
      <c r="E94" s="226" t="str">
        <f t="shared" si="40"/>
        <v>Base</v>
      </c>
      <c r="F94" s="230">
        <f t="shared" si="41"/>
        <v>25000000</v>
      </c>
      <c r="G94" s="236">
        <f t="shared" si="42"/>
        <v>0.15</v>
      </c>
      <c r="H94" s="230">
        <f t="shared" si="43"/>
        <v>300000</v>
      </c>
      <c r="I94" s="236">
        <f t="shared" si="21"/>
        <v>0</v>
      </c>
      <c r="J94" s="234">
        <v>15</v>
      </c>
      <c r="K94" s="234">
        <f t="shared" si="22"/>
        <v>2040</v>
      </c>
      <c r="L94" s="230">
        <f>IF(J94=1,'Model Inputs'!$B$25*(13-'Model Inputs'!$B$23)/12,'Model Inputs'!$B$25)</f>
        <v>300000</v>
      </c>
      <c r="M94" s="230">
        <f>IF(J94=1,'Model Inputs'!$B$27*(13-'Model Inputs'!$B$23)/12,IF(J94=2,'Model Inputs'!$B$27,IF(J94&lt;=MAX(3,'Model Inputs'!$B$30+1),'Model Inputs'!$B$27*(1+'Model Inputs'!$B$28)^(J94-3),'Model Inputs'!$B$27*(1+'Model Inputs'!$B$28)^(MAX(3,'Model Inputs'!$B$30+1)-3)*(1+'Model Inputs'!$B$29)^(J94-MAX(3,'Model Inputs'!$B$30+1)))))</f>
        <v>10441437.475041937</v>
      </c>
      <c r="N94" s="236">
        <f>IF(J94&lt;=2,0,'Model Inputs'!$B$32*SIN(2*PI()*(J94-3+'Model Inputs'!$B$34)/MAX(1,'Model Inputs'!$B$33)))</f>
        <v>-1.1756609271814589E-16</v>
      </c>
      <c r="O94" s="230">
        <f t="shared" si="23"/>
        <v>10441437.475041935</v>
      </c>
      <c r="P94" s="230">
        <f t="shared" si="48"/>
        <v>7305729.4161605267</v>
      </c>
      <c r="Q94" s="230">
        <f>L94+P94+IF(J94=1,'Model Inputs'!$B$26,0)</f>
        <v>7605729.4161605267</v>
      </c>
      <c r="R94" s="230">
        <f t="shared" si="24"/>
        <v>22817188.248481579</v>
      </c>
      <c r="S94" s="230">
        <f t="shared" si="25"/>
        <v>4050000</v>
      </c>
      <c r="T94" s="230">
        <f t="shared" si="26"/>
        <v>4050000</v>
      </c>
      <c r="U94" s="230">
        <f>MIN(T94,'Tax Assumptions'!$B$19)</f>
        <v>24500</v>
      </c>
      <c r="V94" s="230">
        <f>MAX(T94-U94-'Tax Assumptions'!$B$8,0)</f>
        <v>4009400</v>
      </c>
      <c r="W94" s="230">
        <f>MAX(T94-U94-'Tax Assumptions'!$B$9,0)</f>
        <v>4017500</v>
      </c>
      <c r="X94" s="230">
        <f>IF(V94=0,0,LOOKUP(V94,'Tax Assumptions'!$F$9:$F$15,'Tax Assumptions'!$I$9:$I$15)+(V94-LOOKUP(V94,'Tax Assumptions'!$F$9:$F$15,'Tax Assumptions'!$F$9:$F$15))*LOOKUP(V94,'Tax Assumptions'!$F$9:$F$15,'Tax Assumptions'!$H$9:$H$15))+MIN(MAX(T94,0),'Tax Assumptions'!$B$11)*'Tax Assumptions'!$B$10+MAX(T94,0)*'Tax Assumptions'!$B$12+MAX(MAX(T94,0)-'Tax Assumptions'!$B$14,0)*'Tax Assumptions'!$B$13+MIN(T94*'Tax Assumptions'!$B$15,'Tax Assumptions'!$B$16)+MIN(T94*'Tax Assumptions'!$B$17,'Tax Assumptions'!$B$18)+IF(W94=0,0,LOOKUP(W94,'Tax Assumptions'!$K$9:$K$17,'Tax Assumptions'!$N$9:$N$17)+(W94-LOOKUP(W94,'Tax Assumptions'!$K$9:$K$17,'Tax Assumptions'!$K$9:$K$17))*LOOKUP(W94,'Tax Assumptions'!$K$9:$K$17,'Tax Assumptions'!$M$9:$M$17))+IF(W94=0,0,LOOKUP(W94,'Tax Assumptions'!$P$9:$P$12,'Tax Assumptions'!$S$9:$S$12)+(W94-LOOKUP(W94,'Tax Assumptions'!$P$9:$P$12,'Tax Assumptions'!$P$9:$P$12))*LOOKUP(W94,'Tax Assumptions'!$P$9:$P$12,'Tax Assumptions'!$R$9:$R$12))</f>
        <v>2055188.6349999998</v>
      </c>
      <c r="Y94" s="230">
        <f t="shared" si="27"/>
        <v>1970311.3650000002</v>
      </c>
      <c r="Z94" s="230">
        <f>IF(J94&lt;=10,INDEX('Savings Projection'!$BL$19:$BL$28,J94),LOOKUP(2,1/('Savings Projection'!$BL$19:$BL$28&lt;&gt;""),'Savings Projection'!$BL$19:$BL$28))*(1+'Model Inputs'!$B$35)^(J94-1)+IF(J94&lt;=10,INDEX('Savings Projection'!$BM$19:$BM$28,J94),LOOKUP(2,1/('Savings Projection'!$BM$19:$BM$28&lt;&gt;""),'Savings Projection'!$BM$19:$BM$28))*(1+'Model Inputs'!$B$36)^(J94-1)</f>
        <v>196636.66423116444</v>
      </c>
      <c r="AA94" s="230">
        <f t="shared" si="28"/>
        <v>1773674.7007688358</v>
      </c>
      <c r="AB94" s="230">
        <f>MIN(MAX(AA94,0),'Tax Assumptions'!$B$20)</f>
        <v>7500</v>
      </c>
      <c r="AC94" s="230">
        <f t="shared" si="29"/>
        <v>1766174.7007688358</v>
      </c>
      <c r="AD94" s="230">
        <f>MAX(AD93*(1+'Model Inputs'!$B$13)+AC94,0)</f>
        <v>28608050.405214328</v>
      </c>
      <c r="AE94" s="230">
        <f>MAX(AE93*(1+'Model Inputs'!$B$13)+U94+AB94,0)</f>
        <v>744831.03631983488</v>
      </c>
      <c r="AF94" s="230">
        <f t="shared" si="30"/>
        <v>29352881.441534162</v>
      </c>
      <c r="AG94" s="226" t="str">
        <f t="shared" si="44"/>
        <v/>
      </c>
      <c r="AH94" s="226" t="str">
        <f t="shared" si="45"/>
        <v/>
      </c>
      <c r="AI94" s="226" t="str">
        <f t="shared" si="46"/>
        <v/>
      </c>
      <c r="AJ94" s="226" t="str">
        <f t="shared" si="47"/>
        <v/>
      </c>
    </row>
    <row r="95" spans="1:36" ht="18" customHeight="1" x14ac:dyDescent="0.2">
      <c r="A95" s="226" t="str">
        <f t="shared" si="36"/>
        <v>3Y -&gt; PM Y7 Base</v>
      </c>
      <c r="B95" s="226">
        <f t="shared" si="37"/>
        <v>3</v>
      </c>
      <c r="C95" s="235">
        <f t="shared" si="38"/>
        <v>3</v>
      </c>
      <c r="D95" s="226">
        <f t="shared" si="39"/>
        <v>7</v>
      </c>
      <c r="E95" s="226" t="str">
        <f t="shared" si="40"/>
        <v>Base</v>
      </c>
      <c r="F95" s="230">
        <f t="shared" si="41"/>
        <v>25000000</v>
      </c>
      <c r="G95" s="236">
        <f t="shared" si="42"/>
        <v>0.15</v>
      </c>
      <c r="H95" s="230">
        <f t="shared" si="43"/>
        <v>300000</v>
      </c>
      <c r="I95" s="236">
        <f t="shared" si="21"/>
        <v>0</v>
      </c>
      <c r="J95" s="234">
        <v>16</v>
      </c>
      <c r="K95" s="234">
        <f t="shared" si="22"/>
        <v>2041</v>
      </c>
      <c r="L95" s="230">
        <f>IF(J95=1,'Model Inputs'!$B$25*(13-'Model Inputs'!$B$23)/12,'Model Inputs'!$B$25)</f>
        <v>300000</v>
      </c>
      <c r="M95" s="230">
        <f>IF(J95=1,'Model Inputs'!$B$27*(13-'Model Inputs'!$B$23)/12,IF(J95=2,'Model Inputs'!$B$27,IF(J95&lt;=MAX(3,'Model Inputs'!$B$30+1),'Model Inputs'!$B$27*(1+'Model Inputs'!$B$28)^(J95-3),'Model Inputs'!$B$27*(1+'Model Inputs'!$B$28)^(MAX(3,'Model Inputs'!$B$30+1)-3)*(1+'Model Inputs'!$B$29)^(J95-MAX(3,'Model Inputs'!$B$30+1)))))</f>
        <v>13269787.276528884</v>
      </c>
      <c r="N95" s="236">
        <f>IF(J95&lt;=2,0,'Model Inputs'!$B$32*SIN(2*PI()*(J95-3+'Model Inputs'!$B$34)/MAX(1,'Model Inputs'!$B$33)))</f>
        <v>0.10392304845413262</v>
      </c>
      <c r="O95" s="230">
        <f t="shared" si="23"/>
        <v>14648824.022643628</v>
      </c>
      <c r="P95" s="230">
        <f t="shared" si="48"/>
        <v>9671604.0304071214</v>
      </c>
      <c r="Q95" s="230">
        <f>L95+P95+IF(J95=1,'Model Inputs'!$B$26,0)</f>
        <v>9971604.0304071214</v>
      </c>
      <c r="R95" s="230">
        <f t="shared" si="24"/>
        <v>29914812.091221362</v>
      </c>
      <c r="S95" s="230">
        <f t="shared" si="25"/>
        <v>4050000</v>
      </c>
      <c r="T95" s="230">
        <f t="shared" si="26"/>
        <v>4050000</v>
      </c>
      <c r="U95" s="230">
        <f>MIN(T95,'Tax Assumptions'!$B$19)</f>
        <v>24500</v>
      </c>
      <c r="V95" s="230">
        <f>MAX(T95-U95-'Tax Assumptions'!$B$8,0)</f>
        <v>4009400</v>
      </c>
      <c r="W95" s="230">
        <f>MAX(T95-U95-'Tax Assumptions'!$B$9,0)</f>
        <v>4017500</v>
      </c>
      <c r="X95" s="230">
        <f>IF(V95=0,0,LOOKUP(V95,'Tax Assumptions'!$F$9:$F$15,'Tax Assumptions'!$I$9:$I$15)+(V95-LOOKUP(V95,'Tax Assumptions'!$F$9:$F$15,'Tax Assumptions'!$F$9:$F$15))*LOOKUP(V95,'Tax Assumptions'!$F$9:$F$15,'Tax Assumptions'!$H$9:$H$15))+MIN(MAX(T95,0),'Tax Assumptions'!$B$11)*'Tax Assumptions'!$B$10+MAX(T95,0)*'Tax Assumptions'!$B$12+MAX(MAX(T95,0)-'Tax Assumptions'!$B$14,0)*'Tax Assumptions'!$B$13+MIN(T95*'Tax Assumptions'!$B$15,'Tax Assumptions'!$B$16)+MIN(T95*'Tax Assumptions'!$B$17,'Tax Assumptions'!$B$18)+IF(W95=0,0,LOOKUP(W95,'Tax Assumptions'!$K$9:$K$17,'Tax Assumptions'!$N$9:$N$17)+(W95-LOOKUP(W95,'Tax Assumptions'!$K$9:$K$17,'Tax Assumptions'!$K$9:$K$17))*LOOKUP(W95,'Tax Assumptions'!$K$9:$K$17,'Tax Assumptions'!$M$9:$M$17))+IF(W95=0,0,LOOKUP(W95,'Tax Assumptions'!$P$9:$P$12,'Tax Assumptions'!$S$9:$S$12)+(W95-LOOKUP(W95,'Tax Assumptions'!$P$9:$P$12,'Tax Assumptions'!$P$9:$P$12))*LOOKUP(W95,'Tax Assumptions'!$P$9:$P$12,'Tax Assumptions'!$R$9:$R$12))</f>
        <v>2055188.6349999998</v>
      </c>
      <c r="Y95" s="230">
        <f t="shared" si="27"/>
        <v>1970311.3650000002</v>
      </c>
      <c r="Z95" s="230">
        <f>IF(J95&lt;=10,INDEX('Savings Projection'!$BL$19:$BL$28,J95),LOOKUP(2,1/('Savings Projection'!$BL$19:$BL$28&lt;&gt;""),'Savings Projection'!$BL$19:$BL$28))*(1+'Model Inputs'!$B$35)^(J95-1)+IF(J95&lt;=10,INDEX('Savings Projection'!$BM$19:$BM$28,J95),LOOKUP(2,1/('Savings Projection'!$BM$19:$BM$28&lt;&gt;""),'Savings Projection'!$BM$19:$BM$28))*(1+'Model Inputs'!$B$36)^(J95-1)</f>
        <v>202535.76415809937</v>
      </c>
      <c r="AA95" s="230">
        <f t="shared" si="28"/>
        <v>1767775.6008419008</v>
      </c>
      <c r="AB95" s="230">
        <f>MIN(MAX(AA95,0),'Tax Assumptions'!$B$20)</f>
        <v>7500</v>
      </c>
      <c r="AC95" s="230">
        <f t="shared" si="29"/>
        <v>1760275.6008419008</v>
      </c>
      <c r="AD95" s="230">
        <f>MAX(AD94*(1+'Model Inputs'!$B$13)+AC95,0)</f>
        <v>32084809.030369092</v>
      </c>
      <c r="AE95" s="230">
        <f>MAX(AE94*(1+'Model Inputs'!$B$13)+U95+AB95,0)</f>
        <v>821520.89849902503</v>
      </c>
      <c r="AF95" s="230">
        <f t="shared" si="30"/>
        <v>32906329.928868115</v>
      </c>
      <c r="AG95" s="226" t="str">
        <f t="shared" si="44"/>
        <v/>
      </c>
      <c r="AH95" s="226" t="str">
        <f t="shared" si="45"/>
        <v/>
      </c>
      <c r="AI95" s="226" t="str">
        <f t="shared" si="46"/>
        <v/>
      </c>
      <c r="AJ95" s="226" t="str">
        <f t="shared" si="47"/>
        <v/>
      </c>
    </row>
    <row r="96" spans="1:36" ht="18" customHeight="1" x14ac:dyDescent="0.2">
      <c r="A96" s="226" t="str">
        <f t="shared" si="36"/>
        <v>3Y -&gt; PM Y7 Base</v>
      </c>
      <c r="B96" s="226">
        <f t="shared" si="37"/>
        <v>3</v>
      </c>
      <c r="C96" s="235">
        <f t="shared" si="38"/>
        <v>3</v>
      </c>
      <c r="D96" s="226">
        <f t="shared" si="39"/>
        <v>7</v>
      </c>
      <c r="E96" s="226" t="str">
        <f t="shared" si="40"/>
        <v>Base</v>
      </c>
      <c r="F96" s="230">
        <f t="shared" si="41"/>
        <v>25000000</v>
      </c>
      <c r="G96" s="236">
        <f t="shared" si="42"/>
        <v>0.15</v>
      </c>
      <c r="H96" s="230">
        <f t="shared" si="43"/>
        <v>300000</v>
      </c>
      <c r="I96" s="236">
        <f t="shared" si="21"/>
        <v>0</v>
      </c>
      <c r="J96" s="234">
        <v>17</v>
      </c>
      <c r="K96" s="234">
        <f t="shared" si="22"/>
        <v>2042</v>
      </c>
      <c r="L96" s="230">
        <f>IF(J96=1,'Model Inputs'!$B$25*(13-'Model Inputs'!$B$23)/12,'Model Inputs'!$B$25)</f>
        <v>300000</v>
      </c>
      <c r="M96" s="230">
        <f>IF(J96=1,'Model Inputs'!$B$27*(13-'Model Inputs'!$B$23)/12,IF(J96=2,'Model Inputs'!$B$27,IF(J96&lt;=MAX(3,'Model Inputs'!$B$30+1),'Model Inputs'!$B$27*(1+'Model Inputs'!$B$28)^(J96-3),'Model Inputs'!$B$27*(1+'Model Inputs'!$B$28)^(MAX(3,'Model Inputs'!$B$30+1)-3)*(1+'Model Inputs'!$B$29)^(J96-MAX(3,'Model Inputs'!$B$30+1)))))</f>
        <v>16864273.217670217</v>
      </c>
      <c r="N96" s="236">
        <f>IF(J96&lt;=2,0,'Model Inputs'!$B$32*SIN(2*PI()*(J96-3+'Model Inputs'!$B$34)/MAX(1,'Model Inputs'!$B$33)))</f>
        <v>-0.1039230484541325</v>
      </c>
      <c r="O96" s="230">
        <f t="shared" si="23"/>
        <v>15111686.534926547</v>
      </c>
      <c r="P96" s="230">
        <f t="shared" si="48"/>
        <v>13596977.385743205</v>
      </c>
      <c r="Q96" s="230">
        <f>L96+P96+IF(J96=1,'Model Inputs'!$B$26,0)</f>
        <v>13896977.385743205</v>
      </c>
      <c r="R96" s="230">
        <f t="shared" si="24"/>
        <v>41690932.157229617</v>
      </c>
      <c r="S96" s="230">
        <f t="shared" si="25"/>
        <v>4050000</v>
      </c>
      <c r="T96" s="230">
        <f t="shared" si="26"/>
        <v>4050000</v>
      </c>
      <c r="U96" s="230">
        <f>MIN(T96,'Tax Assumptions'!$B$19)</f>
        <v>24500</v>
      </c>
      <c r="V96" s="230">
        <f>MAX(T96-U96-'Tax Assumptions'!$B$8,0)</f>
        <v>4009400</v>
      </c>
      <c r="W96" s="230">
        <f>MAX(T96-U96-'Tax Assumptions'!$B$9,0)</f>
        <v>4017500</v>
      </c>
      <c r="X96" s="230">
        <f>IF(V96=0,0,LOOKUP(V96,'Tax Assumptions'!$F$9:$F$15,'Tax Assumptions'!$I$9:$I$15)+(V96-LOOKUP(V96,'Tax Assumptions'!$F$9:$F$15,'Tax Assumptions'!$F$9:$F$15))*LOOKUP(V96,'Tax Assumptions'!$F$9:$F$15,'Tax Assumptions'!$H$9:$H$15))+MIN(MAX(T96,0),'Tax Assumptions'!$B$11)*'Tax Assumptions'!$B$10+MAX(T96,0)*'Tax Assumptions'!$B$12+MAX(MAX(T96,0)-'Tax Assumptions'!$B$14,0)*'Tax Assumptions'!$B$13+MIN(T96*'Tax Assumptions'!$B$15,'Tax Assumptions'!$B$16)+MIN(T96*'Tax Assumptions'!$B$17,'Tax Assumptions'!$B$18)+IF(W96=0,0,LOOKUP(W96,'Tax Assumptions'!$K$9:$K$17,'Tax Assumptions'!$N$9:$N$17)+(W96-LOOKUP(W96,'Tax Assumptions'!$K$9:$K$17,'Tax Assumptions'!$K$9:$K$17))*LOOKUP(W96,'Tax Assumptions'!$K$9:$K$17,'Tax Assumptions'!$M$9:$M$17))+IF(W96=0,0,LOOKUP(W96,'Tax Assumptions'!$P$9:$P$12,'Tax Assumptions'!$S$9:$S$12)+(W96-LOOKUP(W96,'Tax Assumptions'!$P$9:$P$12,'Tax Assumptions'!$P$9:$P$12))*LOOKUP(W96,'Tax Assumptions'!$P$9:$P$12,'Tax Assumptions'!$R$9:$R$12))</f>
        <v>2055188.6349999998</v>
      </c>
      <c r="Y96" s="230">
        <f t="shared" si="27"/>
        <v>1970311.3650000002</v>
      </c>
      <c r="Z96" s="230">
        <f>IF(J96&lt;=10,INDEX('Savings Projection'!$BL$19:$BL$28,J96),LOOKUP(2,1/('Savings Projection'!$BL$19:$BL$28&lt;&gt;""),'Savings Projection'!$BL$19:$BL$28))*(1+'Model Inputs'!$B$35)^(J96-1)+IF(J96&lt;=10,INDEX('Savings Projection'!$BM$19:$BM$28,J96),LOOKUP(2,1/('Savings Projection'!$BM$19:$BM$28&lt;&gt;""),'Savings Projection'!$BM$19:$BM$28))*(1+'Model Inputs'!$B$36)^(J96-1)</f>
        <v>208611.83708284231</v>
      </c>
      <c r="AA96" s="230">
        <f t="shared" si="28"/>
        <v>1761699.5279171579</v>
      </c>
      <c r="AB96" s="230">
        <f>MIN(MAX(AA96,0),'Tax Assumptions'!$B$20)</f>
        <v>7500</v>
      </c>
      <c r="AC96" s="230">
        <f t="shared" si="29"/>
        <v>1754199.5279171579</v>
      </c>
      <c r="AD96" s="230">
        <f>MAX(AD95*(1+'Model Inputs'!$B$13)+AC96,0)</f>
        <v>35764097.1001084</v>
      </c>
      <c r="AE96" s="230">
        <f>MAX(AE95*(1+'Model Inputs'!$B$13)+U96+AB96,0)</f>
        <v>902812.15240896656</v>
      </c>
      <c r="AF96" s="230">
        <f t="shared" si="30"/>
        <v>36666909.252517365</v>
      </c>
      <c r="AG96" s="226" t="str">
        <f t="shared" si="44"/>
        <v/>
      </c>
      <c r="AH96" s="226" t="str">
        <f t="shared" si="45"/>
        <v/>
      </c>
      <c r="AI96" s="226" t="str">
        <f t="shared" si="46"/>
        <v/>
      </c>
      <c r="AJ96" s="226" t="str">
        <f t="shared" si="47"/>
        <v/>
      </c>
    </row>
    <row r="97" spans="1:36" ht="18" customHeight="1" x14ac:dyDescent="0.2">
      <c r="A97" s="226" t="str">
        <f t="shared" si="36"/>
        <v>3Y -&gt; PM Y7 Base</v>
      </c>
      <c r="B97" s="226">
        <f t="shared" si="37"/>
        <v>3</v>
      </c>
      <c r="C97" s="235">
        <f t="shared" si="38"/>
        <v>3</v>
      </c>
      <c r="D97" s="226">
        <f t="shared" si="39"/>
        <v>7</v>
      </c>
      <c r="E97" s="226" t="str">
        <f t="shared" si="40"/>
        <v>Base</v>
      </c>
      <c r="F97" s="230">
        <f t="shared" si="41"/>
        <v>25000000</v>
      </c>
      <c r="G97" s="236">
        <f t="shared" si="42"/>
        <v>0.15</v>
      </c>
      <c r="H97" s="230">
        <f t="shared" si="43"/>
        <v>300000</v>
      </c>
      <c r="I97" s="236">
        <f t="shared" si="21"/>
        <v>0</v>
      </c>
      <c r="J97" s="234">
        <v>18</v>
      </c>
      <c r="K97" s="234">
        <f t="shared" si="22"/>
        <v>2043</v>
      </c>
      <c r="L97" s="230">
        <f>IF(J97=1,'Model Inputs'!$B$25*(13-'Model Inputs'!$B$23)/12,'Model Inputs'!$B$25)</f>
        <v>300000</v>
      </c>
      <c r="M97" s="230">
        <f>IF(J97=1,'Model Inputs'!$B$27*(13-'Model Inputs'!$B$23)/12,IF(J97=2,'Model Inputs'!$B$27,IF(J97&lt;=MAX(3,'Model Inputs'!$B$30+1),'Model Inputs'!$B$27*(1+'Model Inputs'!$B$28)^(J97-3),'Model Inputs'!$B$27*(1+'Model Inputs'!$B$28)^(MAX(3,'Model Inputs'!$B$30+1)-3)*(1+'Model Inputs'!$B$29)^(J97-MAX(3,'Model Inputs'!$B$30+1)))))</f>
        <v>21432424.290875554</v>
      </c>
      <c r="N97" s="236">
        <f>IF(J97&lt;=2,0,'Model Inputs'!$B$32*SIN(2*PI()*(J97-3+'Model Inputs'!$B$34)/MAX(1,'Model Inputs'!$B$33)))</f>
        <v>-5.7328325735374245E-16</v>
      </c>
      <c r="O97" s="230">
        <f t="shared" si="23"/>
        <v>21432424.290875543</v>
      </c>
      <c r="P97" s="230">
        <f t="shared" si="48"/>
        <v>14995970.906855816</v>
      </c>
      <c r="Q97" s="230">
        <f>L97+P97+IF(J97=1,'Model Inputs'!$B$26,0)</f>
        <v>15295970.906855816</v>
      </c>
      <c r="R97" s="230">
        <f t="shared" si="24"/>
        <v>45887912.72056745</v>
      </c>
      <c r="S97" s="230">
        <f t="shared" si="25"/>
        <v>4050000</v>
      </c>
      <c r="T97" s="230">
        <f t="shared" si="26"/>
        <v>4050000</v>
      </c>
      <c r="U97" s="230">
        <f>MIN(T97,'Tax Assumptions'!$B$19)</f>
        <v>24500</v>
      </c>
      <c r="V97" s="230">
        <f>MAX(T97-U97-'Tax Assumptions'!$B$8,0)</f>
        <v>4009400</v>
      </c>
      <c r="W97" s="230">
        <f>MAX(T97-U97-'Tax Assumptions'!$B$9,0)</f>
        <v>4017500</v>
      </c>
      <c r="X97" s="230">
        <f>IF(V97=0,0,LOOKUP(V97,'Tax Assumptions'!$F$9:$F$15,'Tax Assumptions'!$I$9:$I$15)+(V97-LOOKUP(V97,'Tax Assumptions'!$F$9:$F$15,'Tax Assumptions'!$F$9:$F$15))*LOOKUP(V97,'Tax Assumptions'!$F$9:$F$15,'Tax Assumptions'!$H$9:$H$15))+MIN(MAX(T97,0),'Tax Assumptions'!$B$11)*'Tax Assumptions'!$B$10+MAX(T97,0)*'Tax Assumptions'!$B$12+MAX(MAX(T97,0)-'Tax Assumptions'!$B$14,0)*'Tax Assumptions'!$B$13+MIN(T97*'Tax Assumptions'!$B$15,'Tax Assumptions'!$B$16)+MIN(T97*'Tax Assumptions'!$B$17,'Tax Assumptions'!$B$18)+IF(W97=0,0,LOOKUP(W97,'Tax Assumptions'!$K$9:$K$17,'Tax Assumptions'!$N$9:$N$17)+(W97-LOOKUP(W97,'Tax Assumptions'!$K$9:$K$17,'Tax Assumptions'!$K$9:$K$17))*LOOKUP(W97,'Tax Assumptions'!$K$9:$K$17,'Tax Assumptions'!$M$9:$M$17))+IF(W97=0,0,LOOKUP(W97,'Tax Assumptions'!$P$9:$P$12,'Tax Assumptions'!$S$9:$S$12)+(W97-LOOKUP(W97,'Tax Assumptions'!$P$9:$P$12,'Tax Assumptions'!$P$9:$P$12))*LOOKUP(W97,'Tax Assumptions'!$P$9:$P$12,'Tax Assumptions'!$R$9:$R$12))</f>
        <v>2055188.6349999998</v>
      </c>
      <c r="Y97" s="230">
        <f t="shared" si="27"/>
        <v>1970311.3650000002</v>
      </c>
      <c r="Z97" s="230">
        <f>IF(J97&lt;=10,INDEX('Savings Projection'!$BL$19:$BL$28,J97),LOOKUP(2,1/('Savings Projection'!$BL$19:$BL$28&lt;&gt;""),'Savings Projection'!$BL$19:$BL$28))*(1+'Model Inputs'!$B$35)^(J97-1)+IF(J97&lt;=10,INDEX('Savings Projection'!$BM$19:$BM$28,J97),LOOKUP(2,1/('Savings Projection'!$BM$19:$BM$28&lt;&gt;""),'Savings Projection'!$BM$19:$BM$28))*(1+'Model Inputs'!$B$36)^(J97-1)</f>
        <v>214870.1921953276</v>
      </c>
      <c r="AA97" s="230">
        <f t="shared" si="28"/>
        <v>1755441.1728046727</v>
      </c>
      <c r="AB97" s="230">
        <f>MIN(MAX(AA97,0),'Tax Assumptions'!$B$20)</f>
        <v>7500</v>
      </c>
      <c r="AC97" s="230">
        <f t="shared" si="29"/>
        <v>1747941.1728046727</v>
      </c>
      <c r="AD97" s="230">
        <f>MAX(AD96*(1+'Model Inputs'!$B$13)+AC97,0)</f>
        <v>39657884.098919585</v>
      </c>
      <c r="AE97" s="230">
        <f>MAX(AE96*(1+'Model Inputs'!$B$13)+U97+AB97,0)</f>
        <v>988980.88155350462</v>
      </c>
      <c r="AF97" s="230">
        <f t="shared" si="30"/>
        <v>40646864.980473086</v>
      </c>
      <c r="AG97" s="226" t="str">
        <f t="shared" si="44"/>
        <v/>
      </c>
      <c r="AH97" s="226" t="str">
        <f t="shared" si="45"/>
        <v/>
      </c>
      <c r="AI97" s="226" t="str">
        <f t="shared" si="46"/>
        <v/>
      </c>
      <c r="AJ97" s="226" t="str">
        <f t="shared" si="47"/>
        <v/>
      </c>
    </row>
    <row r="98" spans="1:36" ht="18" customHeight="1" x14ac:dyDescent="0.2">
      <c r="A98" s="226" t="str">
        <f t="shared" si="36"/>
        <v>3Y -&gt; PM Y7 Base</v>
      </c>
      <c r="B98" s="226">
        <f t="shared" si="37"/>
        <v>3</v>
      </c>
      <c r="C98" s="235">
        <f t="shared" si="38"/>
        <v>3</v>
      </c>
      <c r="D98" s="226">
        <f t="shared" si="39"/>
        <v>7</v>
      </c>
      <c r="E98" s="226" t="str">
        <f t="shared" si="40"/>
        <v>Base</v>
      </c>
      <c r="F98" s="230">
        <f t="shared" si="41"/>
        <v>25000000</v>
      </c>
      <c r="G98" s="236">
        <f t="shared" si="42"/>
        <v>0.15</v>
      </c>
      <c r="H98" s="230">
        <f t="shared" si="43"/>
        <v>300000</v>
      </c>
      <c r="I98" s="236">
        <f t="shared" si="21"/>
        <v>0</v>
      </c>
      <c r="J98" s="234">
        <v>19</v>
      </c>
      <c r="K98" s="234">
        <f t="shared" si="22"/>
        <v>2044</v>
      </c>
      <c r="L98" s="230">
        <f>IF(J98=1,'Model Inputs'!$B$25*(13-'Model Inputs'!$B$23)/12,'Model Inputs'!$B$25)</f>
        <v>300000</v>
      </c>
      <c r="M98" s="230">
        <f>IF(J98=1,'Model Inputs'!$B$27*(13-'Model Inputs'!$B$23)/12,IF(J98=2,'Model Inputs'!$B$27,IF(J98&lt;=MAX(3,'Model Inputs'!$B$30+1),'Model Inputs'!$B$27*(1+'Model Inputs'!$B$28)^(J98-3),'Model Inputs'!$B$27*(1+'Model Inputs'!$B$28)^(MAX(3,'Model Inputs'!$B$30+1)-3)*(1+'Model Inputs'!$B$29)^(J98-MAX(3,'Model Inputs'!$B$30+1)))))</f>
        <v>27237984.409717187</v>
      </c>
      <c r="N98" s="236">
        <f>IF(J98&lt;=2,0,'Model Inputs'!$B$32*SIN(2*PI()*(J98-3+'Model Inputs'!$B$34)/MAX(1,'Model Inputs'!$B$33)))</f>
        <v>0.10392304845413286</v>
      </c>
      <c r="O98" s="230">
        <f t="shared" si="23"/>
        <v>30068638.783321142</v>
      </c>
      <c r="P98" s="230">
        <f t="shared" si="48"/>
        <v>19852239.851888295</v>
      </c>
      <c r="Q98" s="230">
        <f>L98+P98+IF(J98=1,'Model Inputs'!$B$26,0)</f>
        <v>20152239.851888295</v>
      </c>
      <c r="R98" s="230">
        <f t="shared" si="24"/>
        <v>60456719.555664882</v>
      </c>
      <c r="S98" s="230">
        <f t="shared" si="25"/>
        <v>4050000</v>
      </c>
      <c r="T98" s="230">
        <f t="shared" si="26"/>
        <v>4050000</v>
      </c>
      <c r="U98" s="230">
        <f>MIN(T98,'Tax Assumptions'!$B$19)</f>
        <v>24500</v>
      </c>
      <c r="V98" s="230">
        <f>MAX(T98-U98-'Tax Assumptions'!$B$8,0)</f>
        <v>4009400</v>
      </c>
      <c r="W98" s="230">
        <f>MAX(T98-U98-'Tax Assumptions'!$B$9,0)</f>
        <v>4017500</v>
      </c>
      <c r="X98" s="230">
        <f>IF(V98=0,0,LOOKUP(V98,'Tax Assumptions'!$F$9:$F$15,'Tax Assumptions'!$I$9:$I$15)+(V98-LOOKUP(V98,'Tax Assumptions'!$F$9:$F$15,'Tax Assumptions'!$F$9:$F$15))*LOOKUP(V98,'Tax Assumptions'!$F$9:$F$15,'Tax Assumptions'!$H$9:$H$15))+MIN(MAX(T98,0),'Tax Assumptions'!$B$11)*'Tax Assumptions'!$B$10+MAX(T98,0)*'Tax Assumptions'!$B$12+MAX(MAX(T98,0)-'Tax Assumptions'!$B$14,0)*'Tax Assumptions'!$B$13+MIN(T98*'Tax Assumptions'!$B$15,'Tax Assumptions'!$B$16)+MIN(T98*'Tax Assumptions'!$B$17,'Tax Assumptions'!$B$18)+IF(W98=0,0,LOOKUP(W98,'Tax Assumptions'!$K$9:$K$17,'Tax Assumptions'!$N$9:$N$17)+(W98-LOOKUP(W98,'Tax Assumptions'!$K$9:$K$17,'Tax Assumptions'!$K$9:$K$17))*LOOKUP(W98,'Tax Assumptions'!$K$9:$K$17,'Tax Assumptions'!$M$9:$M$17))+IF(W98=0,0,LOOKUP(W98,'Tax Assumptions'!$P$9:$P$12,'Tax Assumptions'!$S$9:$S$12)+(W98-LOOKUP(W98,'Tax Assumptions'!$P$9:$P$12,'Tax Assumptions'!$P$9:$P$12))*LOOKUP(W98,'Tax Assumptions'!$P$9:$P$12,'Tax Assumptions'!$R$9:$R$12))</f>
        <v>2055188.6349999998</v>
      </c>
      <c r="Y98" s="230">
        <f t="shared" si="27"/>
        <v>1970311.3650000002</v>
      </c>
      <c r="Z98" s="230">
        <f>IF(J98&lt;=10,INDEX('Savings Projection'!$BL$19:$BL$28,J98),LOOKUP(2,1/('Savings Projection'!$BL$19:$BL$28&lt;&gt;""),'Savings Projection'!$BL$19:$BL$28))*(1+'Model Inputs'!$B$35)^(J98-1)+IF(J98&lt;=10,INDEX('Savings Projection'!$BM$19:$BM$28,J98),LOOKUP(2,1/('Savings Projection'!$BM$19:$BM$28&lt;&gt;""),'Savings Projection'!$BM$19:$BM$28))*(1+'Model Inputs'!$B$36)^(J98-1)</f>
        <v>221316.29796118743</v>
      </c>
      <c r="AA98" s="230">
        <f t="shared" si="28"/>
        <v>1748995.0670388127</v>
      </c>
      <c r="AB98" s="230">
        <f>MIN(MAX(AA98,0),'Tax Assumptions'!$B$20)</f>
        <v>7500</v>
      </c>
      <c r="AC98" s="230">
        <f t="shared" si="29"/>
        <v>1741495.0670388127</v>
      </c>
      <c r="AD98" s="230">
        <f>MAX(AD97*(1+'Model Inputs'!$B$13)+AC98,0)</f>
        <v>43778852.211893573</v>
      </c>
      <c r="AE98" s="230">
        <f>MAX(AE97*(1+'Model Inputs'!$B$13)+U98+AB98,0)</f>
        <v>1080319.7344467151</v>
      </c>
      <c r="AF98" s="230">
        <f t="shared" si="30"/>
        <v>44859171.946340285</v>
      </c>
      <c r="AG98" s="226" t="str">
        <f t="shared" si="44"/>
        <v/>
      </c>
      <c r="AH98" s="226" t="str">
        <f t="shared" si="45"/>
        <v/>
      </c>
      <c r="AI98" s="226" t="str">
        <f t="shared" si="46"/>
        <v/>
      </c>
      <c r="AJ98" s="226" t="str">
        <f t="shared" si="47"/>
        <v/>
      </c>
    </row>
    <row r="99" spans="1:36" ht="18" customHeight="1" x14ac:dyDescent="0.2">
      <c r="A99" s="226" t="str">
        <f t="shared" si="36"/>
        <v>3Y -&gt; PM Y7 Base</v>
      </c>
      <c r="B99" s="226">
        <f t="shared" si="37"/>
        <v>3</v>
      </c>
      <c r="C99" s="235">
        <f t="shared" si="38"/>
        <v>3</v>
      </c>
      <c r="D99" s="226">
        <f t="shared" si="39"/>
        <v>7</v>
      </c>
      <c r="E99" s="226" t="str">
        <f t="shared" si="40"/>
        <v>Base</v>
      </c>
      <c r="F99" s="230">
        <f t="shared" si="41"/>
        <v>25000000</v>
      </c>
      <c r="G99" s="236">
        <f t="shared" si="42"/>
        <v>0.15</v>
      </c>
      <c r="H99" s="230">
        <f t="shared" si="43"/>
        <v>300000</v>
      </c>
      <c r="I99" s="236">
        <f t="shared" si="21"/>
        <v>0</v>
      </c>
      <c r="J99" s="234">
        <v>20</v>
      </c>
      <c r="K99" s="234">
        <f t="shared" si="22"/>
        <v>2045</v>
      </c>
      <c r="L99" s="230">
        <f>IF(J99=1,'Model Inputs'!$B$25*(13-'Model Inputs'!$B$23)/12,'Model Inputs'!$B$25)</f>
        <v>300000</v>
      </c>
      <c r="M99" s="230">
        <f>IF(J99=1,'Model Inputs'!$B$27*(13-'Model Inputs'!$B$23)/12,IF(J99=2,'Model Inputs'!$B$27,IF(J99&lt;=MAX(3,'Model Inputs'!$B$30+1),'Model Inputs'!$B$27*(1+'Model Inputs'!$B$28)^(J99-3),'Model Inputs'!$B$27*(1+'Model Inputs'!$B$28)^(MAX(3,'Model Inputs'!$B$30+1)-3)*(1+'Model Inputs'!$B$29)^(J99-MAX(3,'Model Inputs'!$B$30+1)))))</f>
        <v>34616139.762586243</v>
      </c>
      <c r="N99" s="236">
        <f>IF(J99&lt;=2,0,'Model Inputs'!$B$32*SIN(2*PI()*(J99-3+'Model Inputs'!$B$34)/MAX(1,'Model Inputs'!$B$33)))</f>
        <v>-0.10392304845413269</v>
      </c>
      <c r="O99" s="230">
        <f t="shared" si="23"/>
        <v>31018724.992743965</v>
      </c>
      <c r="P99" s="230">
        <f t="shared" si="48"/>
        <v>27909585.160209741</v>
      </c>
      <c r="Q99" s="230">
        <f>L99+P99+IF(J99=1,'Model Inputs'!$B$26,0)</f>
        <v>28209585.160209741</v>
      </c>
      <c r="R99" s="230">
        <f t="shared" si="24"/>
        <v>84628755.480629221</v>
      </c>
      <c r="S99" s="230">
        <f t="shared" si="25"/>
        <v>4050000</v>
      </c>
      <c r="T99" s="230">
        <f t="shared" si="26"/>
        <v>4050000</v>
      </c>
      <c r="U99" s="230">
        <f>MIN(T99,'Tax Assumptions'!$B$19)</f>
        <v>24500</v>
      </c>
      <c r="V99" s="230">
        <f>MAX(T99-U99-'Tax Assumptions'!$B$8,0)</f>
        <v>4009400</v>
      </c>
      <c r="W99" s="230">
        <f>MAX(T99-U99-'Tax Assumptions'!$B$9,0)</f>
        <v>4017500</v>
      </c>
      <c r="X99" s="230">
        <f>IF(V99=0,0,LOOKUP(V99,'Tax Assumptions'!$F$9:$F$15,'Tax Assumptions'!$I$9:$I$15)+(V99-LOOKUP(V99,'Tax Assumptions'!$F$9:$F$15,'Tax Assumptions'!$F$9:$F$15))*LOOKUP(V99,'Tax Assumptions'!$F$9:$F$15,'Tax Assumptions'!$H$9:$H$15))+MIN(MAX(T99,0),'Tax Assumptions'!$B$11)*'Tax Assumptions'!$B$10+MAX(T99,0)*'Tax Assumptions'!$B$12+MAX(MAX(T99,0)-'Tax Assumptions'!$B$14,0)*'Tax Assumptions'!$B$13+MIN(T99*'Tax Assumptions'!$B$15,'Tax Assumptions'!$B$16)+MIN(T99*'Tax Assumptions'!$B$17,'Tax Assumptions'!$B$18)+IF(W99=0,0,LOOKUP(W99,'Tax Assumptions'!$K$9:$K$17,'Tax Assumptions'!$N$9:$N$17)+(W99-LOOKUP(W99,'Tax Assumptions'!$K$9:$K$17,'Tax Assumptions'!$K$9:$K$17))*LOOKUP(W99,'Tax Assumptions'!$K$9:$K$17,'Tax Assumptions'!$M$9:$M$17))+IF(W99=0,0,LOOKUP(W99,'Tax Assumptions'!$P$9:$P$12,'Tax Assumptions'!$S$9:$S$12)+(W99-LOOKUP(W99,'Tax Assumptions'!$P$9:$P$12,'Tax Assumptions'!$P$9:$P$12))*LOOKUP(W99,'Tax Assumptions'!$P$9:$P$12,'Tax Assumptions'!$R$9:$R$12))</f>
        <v>2055188.6349999998</v>
      </c>
      <c r="Y99" s="230">
        <f t="shared" si="27"/>
        <v>1970311.3650000002</v>
      </c>
      <c r="Z99" s="230">
        <f>IF(J99&lt;=10,INDEX('Savings Projection'!$BL$19:$BL$28,J99),LOOKUP(2,1/('Savings Projection'!$BL$19:$BL$28&lt;&gt;""),'Savings Projection'!$BL$19:$BL$28))*(1+'Model Inputs'!$B$35)^(J99-1)+IF(J99&lt;=10,INDEX('Savings Projection'!$BM$19:$BM$28,J99),LOOKUP(2,1/('Savings Projection'!$BM$19:$BM$28&lt;&gt;""),'Savings Projection'!$BM$19:$BM$28))*(1+'Model Inputs'!$B$36)^(J99-1)</f>
        <v>227955.78690002306</v>
      </c>
      <c r="AA99" s="230">
        <f t="shared" si="28"/>
        <v>1742355.5780999772</v>
      </c>
      <c r="AB99" s="230">
        <f>MIN(MAX(AA99,0),'Tax Assumptions'!$B$20)</f>
        <v>7500</v>
      </c>
      <c r="AC99" s="230">
        <f t="shared" si="29"/>
        <v>1734855.5780999772</v>
      </c>
      <c r="AD99" s="230">
        <f>MAX(AD98*(1+'Model Inputs'!$B$13)+AC99,0)</f>
        <v>48140438.92270717</v>
      </c>
      <c r="AE99" s="230">
        <f>MAX(AE98*(1+'Model Inputs'!$B$13)+U99+AB99,0)</f>
        <v>1177138.9185135181</v>
      </c>
      <c r="AF99" s="230">
        <f t="shared" si="30"/>
        <v>49317577.841220692</v>
      </c>
      <c r="AG99" s="226" t="str">
        <f t="shared" si="44"/>
        <v/>
      </c>
      <c r="AH99" s="226" t="str">
        <f t="shared" si="45"/>
        <v/>
      </c>
      <c r="AI99" s="226" t="str">
        <f t="shared" si="46"/>
        <v/>
      </c>
      <c r="AJ99" s="226" t="str">
        <f t="shared" si="47"/>
        <v/>
      </c>
    </row>
    <row r="100" spans="1:36" ht="18" customHeight="1" x14ac:dyDescent="0.2">
      <c r="A100" s="226" t="str">
        <f t="shared" si="36"/>
        <v>3Y -&gt; PM Y7 Base</v>
      </c>
      <c r="B100" s="226">
        <f t="shared" si="37"/>
        <v>3</v>
      </c>
      <c r="C100" s="235">
        <f t="shared" si="38"/>
        <v>3</v>
      </c>
      <c r="D100" s="226">
        <f t="shared" si="39"/>
        <v>7</v>
      </c>
      <c r="E100" s="226" t="str">
        <f t="shared" si="40"/>
        <v>Base</v>
      </c>
      <c r="F100" s="230">
        <f t="shared" si="41"/>
        <v>25000000</v>
      </c>
      <c r="G100" s="236">
        <f t="shared" si="42"/>
        <v>0.15</v>
      </c>
      <c r="H100" s="230">
        <f t="shared" si="43"/>
        <v>300000</v>
      </c>
      <c r="I100" s="236">
        <f t="shared" si="21"/>
        <v>0</v>
      </c>
      <c r="J100" s="234">
        <v>21</v>
      </c>
      <c r="K100" s="234">
        <f t="shared" si="22"/>
        <v>2046</v>
      </c>
      <c r="L100" s="230">
        <f>IF(J100=1,'Model Inputs'!$B$25*(13-'Model Inputs'!$B$23)/12,'Model Inputs'!$B$25)</f>
        <v>300000</v>
      </c>
      <c r="M100" s="230">
        <f>IF(J100=1,'Model Inputs'!$B$27*(13-'Model Inputs'!$B$23)/12,IF(J100=2,'Model Inputs'!$B$27,IF(J100&lt;=MAX(3,'Model Inputs'!$B$30+1),'Model Inputs'!$B$27*(1+'Model Inputs'!$B$28)^(J100-3),'Model Inputs'!$B$27*(1+'Model Inputs'!$B$28)^(MAX(3,'Model Inputs'!$B$30+1)-3)*(1+'Model Inputs'!$B$29)^(J100-MAX(3,'Model Inputs'!$B$30+1)))))</f>
        <v>43992870.912849829</v>
      </c>
      <c r="N100" s="236">
        <f>IF(J100&lt;=2,0,'Model Inputs'!$B$32*SIN(2*PI()*(J100-3+'Model Inputs'!$B$34)/MAX(1,'Model Inputs'!$B$33)))</f>
        <v>-1.7634913907721884E-16</v>
      </c>
      <c r="O100" s="230">
        <f t="shared" si="23"/>
        <v>43992870.912849821</v>
      </c>
      <c r="P100" s="230">
        <f t="shared" si="48"/>
        <v>30781203.440388259</v>
      </c>
      <c r="Q100" s="230">
        <f>L100+P100+IF(J100=1,'Model Inputs'!$B$26,0)</f>
        <v>31081203.440388259</v>
      </c>
      <c r="R100" s="230">
        <f t="shared" si="24"/>
        <v>93243610.321164772</v>
      </c>
      <c r="S100" s="230">
        <f t="shared" si="25"/>
        <v>4050000</v>
      </c>
      <c r="T100" s="230">
        <f t="shared" si="26"/>
        <v>4050000</v>
      </c>
      <c r="U100" s="230">
        <f>MIN(T100,'Tax Assumptions'!$B$19)</f>
        <v>24500</v>
      </c>
      <c r="V100" s="230">
        <f>MAX(T100-U100-'Tax Assumptions'!$B$8,0)</f>
        <v>4009400</v>
      </c>
      <c r="W100" s="230">
        <f>MAX(T100-U100-'Tax Assumptions'!$B$9,0)</f>
        <v>4017500</v>
      </c>
      <c r="X100" s="230">
        <f>IF(V100=0,0,LOOKUP(V100,'Tax Assumptions'!$F$9:$F$15,'Tax Assumptions'!$I$9:$I$15)+(V100-LOOKUP(V100,'Tax Assumptions'!$F$9:$F$15,'Tax Assumptions'!$F$9:$F$15))*LOOKUP(V100,'Tax Assumptions'!$F$9:$F$15,'Tax Assumptions'!$H$9:$H$15))+MIN(MAX(T100,0),'Tax Assumptions'!$B$11)*'Tax Assumptions'!$B$10+MAX(T100,0)*'Tax Assumptions'!$B$12+MAX(MAX(T100,0)-'Tax Assumptions'!$B$14,0)*'Tax Assumptions'!$B$13+MIN(T100*'Tax Assumptions'!$B$15,'Tax Assumptions'!$B$16)+MIN(T100*'Tax Assumptions'!$B$17,'Tax Assumptions'!$B$18)+IF(W100=0,0,LOOKUP(W100,'Tax Assumptions'!$K$9:$K$17,'Tax Assumptions'!$N$9:$N$17)+(W100-LOOKUP(W100,'Tax Assumptions'!$K$9:$K$17,'Tax Assumptions'!$K$9:$K$17))*LOOKUP(W100,'Tax Assumptions'!$K$9:$K$17,'Tax Assumptions'!$M$9:$M$17))+IF(W100=0,0,LOOKUP(W100,'Tax Assumptions'!$P$9:$P$12,'Tax Assumptions'!$S$9:$S$12)+(W100-LOOKUP(W100,'Tax Assumptions'!$P$9:$P$12,'Tax Assumptions'!$P$9:$P$12))*LOOKUP(W100,'Tax Assumptions'!$P$9:$P$12,'Tax Assumptions'!$R$9:$R$12))</f>
        <v>2055188.6349999998</v>
      </c>
      <c r="Y100" s="230">
        <f t="shared" si="27"/>
        <v>1970311.3650000002</v>
      </c>
      <c r="Z100" s="230">
        <f>IF(J100&lt;=10,INDEX('Savings Projection'!$BL$19:$BL$28,J100),LOOKUP(2,1/('Savings Projection'!$BL$19:$BL$28&lt;&gt;""),'Savings Projection'!$BL$19:$BL$28))*(1+'Model Inputs'!$B$35)^(J100-1)+IF(J100&lt;=10,INDEX('Savings Projection'!$BM$19:$BM$28,J100),LOOKUP(2,1/('Savings Projection'!$BM$19:$BM$28&lt;&gt;""),'Savings Projection'!$BM$19:$BM$28))*(1+'Model Inputs'!$B$36)^(J100-1)</f>
        <v>234794.46050702373</v>
      </c>
      <c r="AA100" s="230">
        <f t="shared" si="28"/>
        <v>1735516.9044929766</v>
      </c>
      <c r="AB100" s="230">
        <f>MIN(MAX(AA100,0),'Tax Assumptions'!$B$20)</f>
        <v>7500</v>
      </c>
      <c r="AC100" s="230">
        <f t="shared" si="29"/>
        <v>1728016.9044929766</v>
      </c>
      <c r="AD100" s="230">
        <f>MAX(AD99*(1+'Model Inputs'!$B$13)+AC100,0)</f>
        <v>52756882.162562579</v>
      </c>
      <c r="AE100" s="230">
        <f>MAX(AE99*(1+'Model Inputs'!$B$13)+U100+AB100,0)</f>
        <v>1279767.2536243291</v>
      </c>
      <c r="AF100" s="230">
        <f t="shared" si="30"/>
        <v>54036649.416186906</v>
      </c>
      <c r="AG100" s="226" t="str">
        <f t="shared" si="44"/>
        <v/>
      </c>
      <c r="AH100" s="226" t="str">
        <f t="shared" si="45"/>
        <v/>
      </c>
      <c r="AI100" s="226" t="str">
        <f t="shared" si="46"/>
        <v/>
      </c>
      <c r="AJ100" s="226" t="str">
        <f t="shared" si="47"/>
        <v/>
      </c>
    </row>
    <row r="101" spans="1:36" ht="18" customHeight="1" x14ac:dyDescent="0.2">
      <c r="A101" s="226" t="str">
        <f t="shared" si="36"/>
        <v>3Y -&gt; PM Y7 Base</v>
      </c>
      <c r="B101" s="226">
        <f t="shared" si="37"/>
        <v>3</v>
      </c>
      <c r="C101" s="235">
        <f t="shared" si="38"/>
        <v>3</v>
      </c>
      <c r="D101" s="226">
        <f t="shared" si="39"/>
        <v>7</v>
      </c>
      <c r="E101" s="226" t="str">
        <f t="shared" si="40"/>
        <v>Base</v>
      </c>
      <c r="F101" s="230">
        <f t="shared" si="41"/>
        <v>25000000</v>
      </c>
      <c r="G101" s="236">
        <f t="shared" si="42"/>
        <v>0.15</v>
      </c>
      <c r="H101" s="230">
        <f t="shared" si="43"/>
        <v>300000</v>
      </c>
      <c r="I101" s="236">
        <f t="shared" si="21"/>
        <v>0</v>
      </c>
      <c r="J101" s="234">
        <v>22</v>
      </c>
      <c r="K101" s="234">
        <f t="shared" si="22"/>
        <v>2047</v>
      </c>
      <c r="L101" s="230">
        <f>IF(J101=1,'Model Inputs'!$B$25*(13-'Model Inputs'!$B$23)/12,'Model Inputs'!$B$25)</f>
        <v>300000</v>
      </c>
      <c r="M101" s="230">
        <f>IF(J101=1,'Model Inputs'!$B$27*(13-'Model Inputs'!$B$23)/12,IF(J101=2,'Model Inputs'!$B$27,IF(J101&lt;=MAX(3,'Model Inputs'!$B$30+1),'Model Inputs'!$B$27*(1+'Model Inputs'!$B$28)^(J101-3),'Model Inputs'!$B$27*(1+'Model Inputs'!$B$28)^(MAX(3,'Model Inputs'!$B$30+1)-3)*(1+'Model Inputs'!$B$29)^(J101-MAX(3,'Model Inputs'!$B$30+1)))))</f>
        <v>55909546.9462616</v>
      </c>
      <c r="N101" s="236">
        <f>IF(J101&lt;=2,0,'Model Inputs'!$B$32*SIN(2*PI()*(J101-3+'Model Inputs'!$B$34)/MAX(1,'Model Inputs'!$B$33)))</f>
        <v>0.10392304845413287</v>
      </c>
      <c r="O101" s="230">
        <f t="shared" si="23"/>
        <v>61719837.502606563</v>
      </c>
      <c r="P101" s="230">
        <f t="shared" si="48"/>
        <v>40749334.43282336</v>
      </c>
      <c r="Q101" s="230">
        <f>L101+P101+IF(J101=1,'Model Inputs'!$B$26,0)</f>
        <v>41049334.43282336</v>
      </c>
      <c r="R101" s="230">
        <f t="shared" si="24"/>
        <v>123148003.29847008</v>
      </c>
      <c r="S101" s="230">
        <f t="shared" si="25"/>
        <v>4050000</v>
      </c>
      <c r="T101" s="230">
        <f t="shared" si="26"/>
        <v>4050000</v>
      </c>
      <c r="U101" s="230">
        <f>MIN(T101,'Tax Assumptions'!$B$19)</f>
        <v>24500</v>
      </c>
      <c r="V101" s="230">
        <f>MAX(T101-U101-'Tax Assumptions'!$B$8,0)</f>
        <v>4009400</v>
      </c>
      <c r="W101" s="230">
        <f>MAX(T101-U101-'Tax Assumptions'!$B$9,0)</f>
        <v>4017500</v>
      </c>
      <c r="X101" s="230">
        <f>IF(V101=0,0,LOOKUP(V101,'Tax Assumptions'!$F$9:$F$15,'Tax Assumptions'!$I$9:$I$15)+(V101-LOOKUP(V101,'Tax Assumptions'!$F$9:$F$15,'Tax Assumptions'!$F$9:$F$15))*LOOKUP(V101,'Tax Assumptions'!$F$9:$F$15,'Tax Assumptions'!$H$9:$H$15))+MIN(MAX(T101,0),'Tax Assumptions'!$B$11)*'Tax Assumptions'!$B$10+MAX(T101,0)*'Tax Assumptions'!$B$12+MAX(MAX(T101,0)-'Tax Assumptions'!$B$14,0)*'Tax Assumptions'!$B$13+MIN(T101*'Tax Assumptions'!$B$15,'Tax Assumptions'!$B$16)+MIN(T101*'Tax Assumptions'!$B$17,'Tax Assumptions'!$B$18)+IF(W101=0,0,LOOKUP(W101,'Tax Assumptions'!$K$9:$K$17,'Tax Assumptions'!$N$9:$N$17)+(W101-LOOKUP(W101,'Tax Assumptions'!$K$9:$K$17,'Tax Assumptions'!$K$9:$K$17))*LOOKUP(W101,'Tax Assumptions'!$K$9:$K$17,'Tax Assumptions'!$M$9:$M$17))+IF(W101=0,0,LOOKUP(W101,'Tax Assumptions'!$P$9:$P$12,'Tax Assumptions'!$S$9:$S$12)+(W101-LOOKUP(W101,'Tax Assumptions'!$P$9:$P$12,'Tax Assumptions'!$P$9:$P$12))*LOOKUP(W101,'Tax Assumptions'!$P$9:$P$12,'Tax Assumptions'!$R$9:$R$12))</f>
        <v>2055188.6349999998</v>
      </c>
      <c r="Y101" s="230">
        <f t="shared" si="27"/>
        <v>1970311.3650000002</v>
      </c>
      <c r="Z101" s="230">
        <f>IF(J101&lt;=10,INDEX('Savings Projection'!$BL$19:$BL$28,J101),LOOKUP(2,1/('Savings Projection'!$BL$19:$BL$28&lt;&gt;""),'Savings Projection'!$BL$19:$BL$28))*(1+'Model Inputs'!$B$35)^(J101-1)+IF(J101&lt;=10,INDEX('Savings Projection'!$BM$19:$BM$28,J101),LOOKUP(2,1/('Savings Projection'!$BM$19:$BM$28&lt;&gt;""),'Savings Projection'!$BM$19:$BM$28))*(1+'Model Inputs'!$B$36)^(J101-1)</f>
        <v>241838.2943222344</v>
      </c>
      <c r="AA101" s="230">
        <f t="shared" si="28"/>
        <v>1728473.0706777659</v>
      </c>
      <c r="AB101" s="230">
        <f>MIN(MAX(AA101,0),'Tax Assumptions'!$B$20)</f>
        <v>7500</v>
      </c>
      <c r="AC101" s="230">
        <f t="shared" si="29"/>
        <v>1720973.0706777659</v>
      </c>
      <c r="AD101" s="230">
        <f>MAX(AD100*(1+'Model Inputs'!$B$13)+AC101,0)</f>
        <v>57643268.162994102</v>
      </c>
      <c r="AE101" s="230">
        <f>MAX(AE100*(1+'Model Inputs'!$B$13)+U101+AB101,0)</f>
        <v>1388553.2888417889</v>
      </c>
      <c r="AF101" s="230">
        <f t="shared" si="30"/>
        <v>59031821.451835893</v>
      </c>
      <c r="AG101" s="226" t="str">
        <f t="shared" si="44"/>
        <v/>
      </c>
      <c r="AH101" s="226" t="str">
        <f t="shared" si="45"/>
        <v/>
      </c>
      <c r="AI101" s="226" t="str">
        <f t="shared" si="46"/>
        <v/>
      </c>
      <c r="AJ101" s="226" t="str">
        <f t="shared" si="47"/>
        <v/>
      </c>
    </row>
    <row r="102" spans="1:36" ht="18" customHeight="1" x14ac:dyDescent="0.2">
      <c r="A102" s="226" t="str">
        <f t="shared" si="36"/>
        <v>3Y -&gt; PM Y7 Base</v>
      </c>
      <c r="B102" s="226">
        <f t="shared" si="37"/>
        <v>3</v>
      </c>
      <c r="C102" s="235">
        <f t="shared" si="38"/>
        <v>3</v>
      </c>
      <c r="D102" s="226">
        <f t="shared" si="39"/>
        <v>7</v>
      </c>
      <c r="E102" s="226" t="str">
        <f t="shared" si="40"/>
        <v>Base</v>
      </c>
      <c r="F102" s="230">
        <f t="shared" si="41"/>
        <v>25000000</v>
      </c>
      <c r="G102" s="236">
        <f t="shared" si="42"/>
        <v>0.15</v>
      </c>
      <c r="H102" s="230">
        <f t="shared" si="43"/>
        <v>300000</v>
      </c>
      <c r="I102" s="236">
        <f t="shared" si="21"/>
        <v>0</v>
      </c>
      <c r="J102" s="234">
        <v>23</v>
      </c>
      <c r="K102" s="234">
        <f t="shared" si="22"/>
        <v>2048</v>
      </c>
      <c r="L102" s="230">
        <f>IF(J102=1,'Model Inputs'!$B$25*(13-'Model Inputs'!$B$23)/12,'Model Inputs'!$B$25)</f>
        <v>300000</v>
      </c>
      <c r="M102" s="230">
        <f>IF(J102=1,'Model Inputs'!$B$27*(13-'Model Inputs'!$B$23)/12,IF(J102=2,'Model Inputs'!$B$27,IF(J102&lt;=MAX(3,'Model Inputs'!$B$30+1),'Model Inputs'!$B$27*(1+'Model Inputs'!$B$28)^(J102-3),'Model Inputs'!$B$27*(1+'Model Inputs'!$B$28)^(MAX(3,'Model Inputs'!$B$30+1)-3)*(1+'Model Inputs'!$B$29)^(J102-MAX(3,'Model Inputs'!$B$30+1)))))</f>
        <v>71054181.617940187</v>
      </c>
      <c r="N102" s="236">
        <f>IF(J102&lt;=2,0,'Model Inputs'!$B$32*SIN(2*PI()*(J102-3+'Model Inputs'!$B$34)/MAX(1,'Model Inputs'!$B$33)))</f>
        <v>-0.10392304845413268</v>
      </c>
      <c r="O102" s="230">
        <f t="shared" si="23"/>
        <v>63670014.458790243</v>
      </c>
      <c r="P102" s="230">
        <f t="shared" si="48"/>
        <v>57288095.855167374</v>
      </c>
      <c r="Q102" s="230">
        <f>L102+P102+IF(J102=1,'Model Inputs'!$B$26,0)</f>
        <v>57588095.855167374</v>
      </c>
      <c r="R102" s="230">
        <f t="shared" si="24"/>
        <v>172764287.56550211</v>
      </c>
      <c r="S102" s="230">
        <f t="shared" si="25"/>
        <v>4050000</v>
      </c>
      <c r="T102" s="230">
        <f t="shared" si="26"/>
        <v>4050000</v>
      </c>
      <c r="U102" s="230">
        <f>MIN(T102,'Tax Assumptions'!$B$19)</f>
        <v>24500</v>
      </c>
      <c r="V102" s="230">
        <f>MAX(T102-U102-'Tax Assumptions'!$B$8,0)</f>
        <v>4009400</v>
      </c>
      <c r="W102" s="230">
        <f>MAX(T102-U102-'Tax Assumptions'!$B$9,0)</f>
        <v>4017500</v>
      </c>
      <c r="X102" s="230">
        <f>IF(V102=0,0,LOOKUP(V102,'Tax Assumptions'!$F$9:$F$15,'Tax Assumptions'!$I$9:$I$15)+(V102-LOOKUP(V102,'Tax Assumptions'!$F$9:$F$15,'Tax Assumptions'!$F$9:$F$15))*LOOKUP(V102,'Tax Assumptions'!$F$9:$F$15,'Tax Assumptions'!$H$9:$H$15))+MIN(MAX(T102,0),'Tax Assumptions'!$B$11)*'Tax Assumptions'!$B$10+MAX(T102,0)*'Tax Assumptions'!$B$12+MAX(MAX(T102,0)-'Tax Assumptions'!$B$14,0)*'Tax Assumptions'!$B$13+MIN(T102*'Tax Assumptions'!$B$15,'Tax Assumptions'!$B$16)+MIN(T102*'Tax Assumptions'!$B$17,'Tax Assumptions'!$B$18)+IF(W102=0,0,LOOKUP(W102,'Tax Assumptions'!$K$9:$K$17,'Tax Assumptions'!$N$9:$N$17)+(W102-LOOKUP(W102,'Tax Assumptions'!$K$9:$K$17,'Tax Assumptions'!$K$9:$K$17))*LOOKUP(W102,'Tax Assumptions'!$K$9:$K$17,'Tax Assumptions'!$M$9:$M$17))+IF(W102=0,0,LOOKUP(W102,'Tax Assumptions'!$P$9:$P$12,'Tax Assumptions'!$S$9:$S$12)+(W102-LOOKUP(W102,'Tax Assumptions'!$P$9:$P$12,'Tax Assumptions'!$P$9:$P$12))*LOOKUP(W102,'Tax Assumptions'!$P$9:$P$12,'Tax Assumptions'!$R$9:$R$12))</f>
        <v>2055188.6349999998</v>
      </c>
      <c r="Y102" s="230">
        <f t="shared" si="27"/>
        <v>1970311.3650000002</v>
      </c>
      <c r="Z102" s="230">
        <f>IF(J102&lt;=10,INDEX('Savings Projection'!$BL$19:$BL$28,J102),LOOKUP(2,1/('Savings Projection'!$BL$19:$BL$28&lt;&gt;""),'Savings Projection'!$BL$19:$BL$28))*(1+'Model Inputs'!$B$35)^(J102-1)+IF(J102&lt;=10,INDEX('Savings Projection'!$BM$19:$BM$28,J102),LOOKUP(2,1/('Savings Projection'!$BM$19:$BM$28&lt;&gt;""),'Savings Projection'!$BM$19:$BM$28))*(1+'Model Inputs'!$B$36)^(J102-1)</f>
        <v>249093.44315190148</v>
      </c>
      <c r="AA102" s="230">
        <f t="shared" si="28"/>
        <v>1721217.9218480987</v>
      </c>
      <c r="AB102" s="230">
        <f>MIN(MAX(AA102,0),'Tax Assumptions'!$B$20)</f>
        <v>7500</v>
      </c>
      <c r="AC102" s="230">
        <f t="shared" si="29"/>
        <v>1713717.9218480987</v>
      </c>
      <c r="AD102" s="230">
        <f>MAX(AD101*(1+'Model Inputs'!$B$13)+AC102,0)</f>
        <v>62815582.17462185</v>
      </c>
      <c r="AE102" s="230">
        <f>MAX(AE101*(1+'Model Inputs'!$B$13)+U102+AB102,0)</f>
        <v>1503866.4861722963</v>
      </c>
      <c r="AF102" s="230">
        <f t="shared" si="30"/>
        <v>64319448.660794146</v>
      </c>
      <c r="AG102" s="226" t="str">
        <f t="shared" si="44"/>
        <v/>
      </c>
      <c r="AH102" s="226" t="str">
        <f t="shared" si="45"/>
        <v/>
      </c>
      <c r="AI102" s="226" t="str">
        <f t="shared" si="46"/>
        <v/>
      </c>
      <c r="AJ102" s="226" t="str">
        <f t="shared" si="47"/>
        <v/>
      </c>
    </row>
    <row r="103" spans="1:36" ht="18" customHeight="1" x14ac:dyDescent="0.2">
      <c r="A103" s="226" t="str">
        <f t="shared" si="36"/>
        <v>3Y -&gt; PM Y7 Base</v>
      </c>
      <c r="B103" s="226">
        <f t="shared" si="37"/>
        <v>3</v>
      </c>
      <c r="C103" s="235">
        <f t="shared" si="38"/>
        <v>3</v>
      </c>
      <c r="D103" s="226">
        <f t="shared" si="39"/>
        <v>7</v>
      </c>
      <c r="E103" s="226" t="str">
        <f t="shared" si="40"/>
        <v>Base</v>
      </c>
      <c r="F103" s="230">
        <f t="shared" si="41"/>
        <v>25000000</v>
      </c>
      <c r="G103" s="236">
        <f t="shared" si="42"/>
        <v>0.15</v>
      </c>
      <c r="H103" s="230">
        <f t="shared" si="43"/>
        <v>300000</v>
      </c>
      <c r="I103" s="236">
        <f t="shared" si="21"/>
        <v>0</v>
      </c>
      <c r="J103" s="234">
        <v>24</v>
      </c>
      <c r="K103" s="234">
        <f t="shared" si="22"/>
        <v>2049</v>
      </c>
      <c r="L103" s="230">
        <f>IF(J103=1,'Model Inputs'!$B$25*(13-'Model Inputs'!$B$23)/12,'Model Inputs'!$B$25)</f>
        <v>300000</v>
      </c>
      <c r="M103" s="230">
        <f>IF(J103=1,'Model Inputs'!$B$27*(13-'Model Inputs'!$B$23)/12,IF(J103=2,'Model Inputs'!$B$27,IF(J103&lt;=MAX(3,'Model Inputs'!$B$30+1),'Model Inputs'!$B$27*(1+'Model Inputs'!$B$28)^(J103-3),'Model Inputs'!$B$27*(1+'Model Inputs'!$B$28)^(MAX(3,'Model Inputs'!$B$30+1)-3)*(1+'Model Inputs'!$B$29)^(J103-MAX(3,'Model Inputs'!$B$30+1)))))</f>
        <v>90301156.084270701</v>
      </c>
      <c r="N103" s="236">
        <f>IF(J103&lt;=2,0,'Model Inputs'!$B$32*SIN(2*PI()*(J103-3+'Model Inputs'!$B$34)/MAX(1,'Model Inputs'!$B$33)))</f>
        <v>-2.0574066225675533E-16</v>
      </c>
      <c r="O103" s="230">
        <f t="shared" si="23"/>
        <v>90301156.084270686</v>
      </c>
      <c r="P103" s="230">
        <f t="shared" si="48"/>
        <v>63182470.219744325</v>
      </c>
      <c r="Q103" s="230">
        <f>L103+P103+IF(J103=1,'Model Inputs'!$B$26,0)</f>
        <v>63482470.219744325</v>
      </c>
      <c r="R103" s="230">
        <f t="shared" si="24"/>
        <v>190447410.65923297</v>
      </c>
      <c r="S103" s="230">
        <f t="shared" si="25"/>
        <v>4050000</v>
      </c>
      <c r="T103" s="230">
        <f t="shared" si="26"/>
        <v>4050000</v>
      </c>
      <c r="U103" s="230">
        <f>MIN(T103,'Tax Assumptions'!$B$19)</f>
        <v>24500</v>
      </c>
      <c r="V103" s="230">
        <f>MAX(T103-U103-'Tax Assumptions'!$B$8,0)</f>
        <v>4009400</v>
      </c>
      <c r="W103" s="230">
        <f>MAX(T103-U103-'Tax Assumptions'!$B$9,0)</f>
        <v>4017500</v>
      </c>
      <c r="X103" s="230">
        <f>IF(V103=0,0,LOOKUP(V103,'Tax Assumptions'!$F$9:$F$15,'Tax Assumptions'!$I$9:$I$15)+(V103-LOOKUP(V103,'Tax Assumptions'!$F$9:$F$15,'Tax Assumptions'!$F$9:$F$15))*LOOKUP(V103,'Tax Assumptions'!$F$9:$F$15,'Tax Assumptions'!$H$9:$H$15))+MIN(MAX(T103,0),'Tax Assumptions'!$B$11)*'Tax Assumptions'!$B$10+MAX(T103,0)*'Tax Assumptions'!$B$12+MAX(MAX(T103,0)-'Tax Assumptions'!$B$14,0)*'Tax Assumptions'!$B$13+MIN(T103*'Tax Assumptions'!$B$15,'Tax Assumptions'!$B$16)+MIN(T103*'Tax Assumptions'!$B$17,'Tax Assumptions'!$B$18)+IF(W103=0,0,LOOKUP(W103,'Tax Assumptions'!$K$9:$K$17,'Tax Assumptions'!$N$9:$N$17)+(W103-LOOKUP(W103,'Tax Assumptions'!$K$9:$K$17,'Tax Assumptions'!$K$9:$K$17))*LOOKUP(W103,'Tax Assumptions'!$K$9:$K$17,'Tax Assumptions'!$M$9:$M$17))+IF(W103=0,0,LOOKUP(W103,'Tax Assumptions'!$P$9:$P$12,'Tax Assumptions'!$S$9:$S$12)+(W103-LOOKUP(W103,'Tax Assumptions'!$P$9:$P$12,'Tax Assumptions'!$P$9:$P$12))*LOOKUP(W103,'Tax Assumptions'!$P$9:$P$12,'Tax Assumptions'!$R$9:$R$12))</f>
        <v>2055188.6349999998</v>
      </c>
      <c r="Y103" s="230">
        <f t="shared" si="27"/>
        <v>1970311.3650000002</v>
      </c>
      <c r="Z103" s="230">
        <f>IF(J103&lt;=10,INDEX('Savings Projection'!$BL$19:$BL$28,J103),LOOKUP(2,1/('Savings Projection'!$BL$19:$BL$28&lt;&gt;""),'Savings Projection'!$BL$19:$BL$28))*(1+'Model Inputs'!$B$35)^(J103-1)+IF(J103&lt;=10,INDEX('Savings Projection'!$BM$19:$BM$28,J103),LOOKUP(2,1/('Savings Projection'!$BM$19:$BM$28&lt;&gt;""),'Savings Projection'!$BM$19:$BM$28))*(1+'Model Inputs'!$B$36)^(J103-1)</f>
        <v>256566.24644645851</v>
      </c>
      <c r="AA103" s="230">
        <f t="shared" si="28"/>
        <v>1713745.1185535416</v>
      </c>
      <c r="AB103" s="230">
        <f>MIN(MAX(AA103,0),'Tax Assumptions'!$B$20)</f>
        <v>7500</v>
      </c>
      <c r="AC103" s="230">
        <f t="shared" si="29"/>
        <v>1706245.1185535416</v>
      </c>
      <c r="AD103" s="230">
        <f>MAX(AD102*(1+'Model Inputs'!$B$13)+AC103,0)</f>
        <v>68290762.223652706</v>
      </c>
      <c r="AE103" s="230">
        <f>MAX(AE102*(1+'Model Inputs'!$B$13)+U103+AB103,0)</f>
        <v>1626098.4753426341</v>
      </c>
      <c r="AF103" s="230">
        <f t="shared" si="30"/>
        <v>69916860.698995337</v>
      </c>
      <c r="AG103" s="226" t="str">
        <f t="shared" si="44"/>
        <v/>
      </c>
      <c r="AH103" s="226" t="str">
        <f t="shared" si="45"/>
        <v/>
      </c>
      <c r="AI103" s="226" t="str">
        <f t="shared" si="46"/>
        <v/>
      </c>
      <c r="AJ103" s="226" t="str">
        <f t="shared" si="47"/>
        <v/>
      </c>
    </row>
    <row r="104" spans="1:36" ht="18" customHeight="1" x14ac:dyDescent="0.2">
      <c r="A104" s="226" t="str">
        <f t="shared" si="36"/>
        <v>3Y -&gt; PM Y7 Base</v>
      </c>
      <c r="B104" s="226">
        <f t="shared" si="37"/>
        <v>3</v>
      </c>
      <c r="C104" s="235">
        <f t="shared" si="38"/>
        <v>3</v>
      </c>
      <c r="D104" s="226">
        <f t="shared" si="39"/>
        <v>7</v>
      </c>
      <c r="E104" s="226" t="str">
        <f t="shared" si="40"/>
        <v>Base</v>
      </c>
      <c r="F104" s="230">
        <f t="shared" si="41"/>
        <v>25000000</v>
      </c>
      <c r="G104" s="236">
        <f t="shared" si="42"/>
        <v>0.15</v>
      </c>
      <c r="H104" s="230">
        <f t="shared" si="43"/>
        <v>300000</v>
      </c>
      <c r="I104" s="236">
        <f t="shared" si="21"/>
        <v>0</v>
      </c>
      <c r="J104" s="234">
        <v>25</v>
      </c>
      <c r="K104" s="234">
        <f t="shared" si="22"/>
        <v>2050</v>
      </c>
      <c r="L104" s="230">
        <f>IF(J104=1,'Model Inputs'!$B$25*(13-'Model Inputs'!$B$23)/12,'Model Inputs'!$B$25)</f>
        <v>300000</v>
      </c>
      <c r="M104" s="230">
        <f>IF(J104=1,'Model Inputs'!$B$27*(13-'Model Inputs'!$B$23)/12,IF(J104=2,'Model Inputs'!$B$27,IF(J104&lt;=MAX(3,'Model Inputs'!$B$30+1),'Model Inputs'!$B$27*(1+'Model Inputs'!$B$28)^(J104-3),'Model Inputs'!$B$27*(1+'Model Inputs'!$B$28)^(MAX(3,'Model Inputs'!$B$30+1)-3)*(1+'Model Inputs'!$B$29)^(J104-MAX(3,'Model Inputs'!$B$30+1)))))</f>
        <v>114761701.62653697</v>
      </c>
      <c r="N104" s="236">
        <f>IF(J104&lt;=2,0,'Model Inputs'!$B$32*SIN(2*PI()*(J104-3+'Model Inputs'!$B$34)/MAX(1,'Model Inputs'!$B$33)))</f>
        <v>0.10392304845413287</v>
      </c>
      <c r="O104" s="230">
        <f t="shared" si="23"/>
        <v>126688087.50535031</v>
      </c>
      <c r="P104" s="230">
        <f t="shared" si="48"/>
        <v>83643370.677900568</v>
      </c>
      <c r="Q104" s="230">
        <f>L104+P104+IF(J104=1,'Model Inputs'!$B$26,0)</f>
        <v>83943370.677900568</v>
      </c>
      <c r="R104" s="230">
        <f t="shared" si="24"/>
        <v>251830112.03370172</v>
      </c>
      <c r="S104" s="230">
        <f t="shared" si="25"/>
        <v>4050000</v>
      </c>
      <c r="T104" s="230">
        <f t="shared" si="26"/>
        <v>4050000</v>
      </c>
      <c r="U104" s="230">
        <f>MIN(T104,'Tax Assumptions'!$B$19)</f>
        <v>24500</v>
      </c>
      <c r="V104" s="230">
        <f>MAX(T104-U104-'Tax Assumptions'!$B$8,0)</f>
        <v>4009400</v>
      </c>
      <c r="W104" s="230">
        <f>MAX(T104-U104-'Tax Assumptions'!$B$9,0)</f>
        <v>4017500</v>
      </c>
      <c r="X104" s="230">
        <f>IF(V104=0,0,LOOKUP(V104,'Tax Assumptions'!$F$9:$F$15,'Tax Assumptions'!$I$9:$I$15)+(V104-LOOKUP(V104,'Tax Assumptions'!$F$9:$F$15,'Tax Assumptions'!$F$9:$F$15))*LOOKUP(V104,'Tax Assumptions'!$F$9:$F$15,'Tax Assumptions'!$H$9:$H$15))+MIN(MAX(T104,0),'Tax Assumptions'!$B$11)*'Tax Assumptions'!$B$10+MAX(T104,0)*'Tax Assumptions'!$B$12+MAX(MAX(T104,0)-'Tax Assumptions'!$B$14,0)*'Tax Assumptions'!$B$13+MIN(T104*'Tax Assumptions'!$B$15,'Tax Assumptions'!$B$16)+MIN(T104*'Tax Assumptions'!$B$17,'Tax Assumptions'!$B$18)+IF(W104=0,0,LOOKUP(W104,'Tax Assumptions'!$K$9:$K$17,'Tax Assumptions'!$N$9:$N$17)+(W104-LOOKUP(W104,'Tax Assumptions'!$K$9:$K$17,'Tax Assumptions'!$K$9:$K$17))*LOOKUP(W104,'Tax Assumptions'!$K$9:$K$17,'Tax Assumptions'!$M$9:$M$17))+IF(W104=0,0,LOOKUP(W104,'Tax Assumptions'!$P$9:$P$12,'Tax Assumptions'!$S$9:$S$12)+(W104-LOOKUP(W104,'Tax Assumptions'!$P$9:$P$12,'Tax Assumptions'!$P$9:$P$12))*LOOKUP(W104,'Tax Assumptions'!$P$9:$P$12,'Tax Assumptions'!$R$9:$R$12))</f>
        <v>2055188.6349999998</v>
      </c>
      <c r="Y104" s="230">
        <f t="shared" si="27"/>
        <v>1970311.3650000002</v>
      </c>
      <c r="Z104" s="230">
        <f>IF(J104&lt;=10,INDEX('Savings Projection'!$BL$19:$BL$28,J104),LOOKUP(2,1/('Savings Projection'!$BL$19:$BL$28&lt;&gt;""),'Savings Projection'!$BL$19:$BL$28))*(1+'Model Inputs'!$B$35)^(J104-1)+IF(J104&lt;=10,INDEX('Savings Projection'!$BM$19:$BM$28,J104),LOOKUP(2,1/('Savings Projection'!$BM$19:$BM$28&lt;&gt;""),'Savings Projection'!$BM$19:$BM$28))*(1+'Model Inputs'!$B$36)^(J104-1)</f>
        <v>264263.23383985227</v>
      </c>
      <c r="AA104" s="230">
        <f t="shared" si="28"/>
        <v>1706048.131160148</v>
      </c>
      <c r="AB104" s="230">
        <f>MIN(MAX(AA104,0),'Tax Assumptions'!$B$20)</f>
        <v>7500</v>
      </c>
      <c r="AC104" s="230">
        <f t="shared" si="29"/>
        <v>1698548.131160148</v>
      </c>
      <c r="AD104" s="230">
        <f>MAX(AD103*(1+'Model Inputs'!$B$13)+AC104,0)</f>
        <v>74086756.088232026</v>
      </c>
      <c r="AE104" s="230">
        <f>MAX(AE103*(1+'Model Inputs'!$B$13)+U104+AB104,0)</f>
        <v>1755664.3838631923</v>
      </c>
      <c r="AF104" s="230">
        <f t="shared" si="30"/>
        <v>75842420.472095221</v>
      </c>
      <c r="AG104" s="226" t="str">
        <f t="shared" si="44"/>
        <v/>
      </c>
      <c r="AH104" s="226" t="str">
        <f t="shared" si="45"/>
        <v/>
      </c>
      <c r="AI104" s="226" t="str">
        <f t="shared" si="46"/>
        <v/>
      </c>
      <c r="AJ104" s="226" t="str">
        <f t="shared" si="47"/>
        <v/>
      </c>
    </row>
    <row r="105" spans="1:36" ht="18" customHeight="1" x14ac:dyDescent="0.2">
      <c r="A105" s="226" t="str">
        <f t="shared" si="36"/>
        <v>3Y -&gt; PM Y7 Base</v>
      </c>
      <c r="B105" s="226">
        <f t="shared" si="37"/>
        <v>3</v>
      </c>
      <c r="C105" s="235">
        <f t="shared" si="38"/>
        <v>3</v>
      </c>
      <c r="D105" s="226">
        <f t="shared" si="39"/>
        <v>7</v>
      </c>
      <c r="E105" s="226" t="str">
        <f t="shared" si="40"/>
        <v>Base</v>
      </c>
      <c r="F105" s="230">
        <f t="shared" si="41"/>
        <v>25000000</v>
      </c>
      <c r="G105" s="236">
        <f t="shared" si="42"/>
        <v>0.15</v>
      </c>
      <c r="H105" s="230">
        <f t="shared" si="43"/>
        <v>300000</v>
      </c>
      <c r="I105" s="236">
        <f t="shared" si="21"/>
        <v>0</v>
      </c>
      <c r="J105" s="234">
        <v>26</v>
      </c>
      <c r="K105" s="234">
        <f t="shared" si="22"/>
        <v>2051</v>
      </c>
      <c r="L105" s="230">
        <f>IF(J105=1,'Model Inputs'!$B$25*(13-'Model Inputs'!$B$23)/12,'Model Inputs'!$B$25)</f>
        <v>300000</v>
      </c>
      <c r="M105" s="230">
        <f>IF(J105=1,'Model Inputs'!$B$27*(13-'Model Inputs'!$B$23)/12,IF(J105=2,'Model Inputs'!$B$27,IF(J105&lt;=MAX(3,'Model Inputs'!$B$30+1),'Model Inputs'!$B$27*(1+'Model Inputs'!$B$28)^(J105-3),'Model Inputs'!$B$27*(1+'Model Inputs'!$B$28)^(MAX(3,'Model Inputs'!$B$30+1)-3)*(1+'Model Inputs'!$B$29)^(J105-MAX(3,'Model Inputs'!$B$30+1)))))</f>
        <v>145848057.00524563</v>
      </c>
      <c r="N105" s="236">
        <f>IF(J105&lt;=2,0,'Model Inputs'!$B$32*SIN(2*PI()*(J105-3+'Model Inputs'!$B$34)/MAX(1,'Model Inputs'!$B$33)))</f>
        <v>-0.10392304845413224</v>
      </c>
      <c r="O105" s="230">
        <f t="shared" si="23"/>
        <v>130691082.31014845</v>
      </c>
      <c r="P105" s="230">
        <f t="shared" si="48"/>
        <v>117591354.65008041</v>
      </c>
      <c r="Q105" s="230">
        <f>L105+P105+IF(J105=1,'Model Inputs'!$B$26,0)</f>
        <v>117891354.65008041</v>
      </c>
      <c r="R105" s="230">
        <f t="shared" si="24"/>
        <v>353674063.95024121</v>
      </c>
      <c r="S105" s="230">
        <f t="shared" si="25"/>
        <v>4050000</v>
      </c>
      <c r="T105" s="230">
        <f t="shared" si="26"/>
        <v>4050000</v>
      </c>
      <c r="U105" s="230">
        <f>MIN(T105,'Tax Assumptions'!$B$19)</f>
        <v>24500</v>
      </c>
      <c r="V105" s="230">
        <f>MAX(T105-U105-'Tax Assumptions'!$B$8,0)</f>
        <v>4009400</v>
      </c>
      <c r="W105" s="230">
        <f>MAX(T105-U105-'Tax Assumptions'!$B$9,0)</f>
        <v>4017500</v>
      </c>
      <c r="X105" s="230">
        <f>IF(V105=0,0,LOOKUP(V105,'Tax Assumptions'!$F$9:$F$15,'Tax Assumptions'!$I$9:$I$15)+(V105-LOOKUP(V105,'Tax Assumptions'!$F$9:$F$15,'Tax Assumptions'!$F$9:$F$15))*LOOKUP(V105,'Tax Assumptions'!$F$9:$F$15,'Tax Assumptions'!$H$9:$H$15))+MIN(MAX(T105,0),'Tax Assumptions'!$B$11)*'Tax Assumptions'!$B$10+MAX(T105,0)*'Tax Assumptions'!$B$12+MAX(MAX(T105,0)-'Tax Assumptions'!$B$14,0)*'Tax Assumptions'!$B$13+MIN(T105*'Tax Assumptions'!$B$15,'Tax Assumptions'!$B$16)+MIN(T105*'Tax Assumptions'!$B$17,'Tax Assumptions'!$B$18)+IF(W105=0,0,LOOKUP(W105,'Tax Assumptions'!$K$9:$K$17,'Tax Assumptions'!$N$9:$N$17)+(W105-LOOKUP(W105,'Tax Assumptions'!$K$9:$K$17,'Tax Assumptions'!$K$9:$K$17))*LOOKUP(W105,'Tax Assumptions'!$K$9:$K$17,'Tax Assumptions'!$M$9:$M$17))+IF(W105=0,0,LOOKUP(W105,'Tax Assumptions'!$P$9:$P$12,'Tax Assumptions'!$S$9:$S$12)+(W105-LOOKUP(W105,'Tax Assumptions'!$P$9:$P$12,'Tax Assumptions'!$P$9:$P$12))*LOOKUP(W105,'Tax Assumptions'!$P$9:$P$12,'Tax Assumptions'!$R$9:$R$12))</f>
        <v>2055188.6349999998</v>
      </c>
      <c r="Y105" s="230">
        <f t="shared" si="27"/>
        <v>1970311.3650000002</v>
      </c>
      <c r="Z105" s="230">
        <f>IF(J105&lt;=10,INDEX('Savings Projection'!$BL$19:$BL$28,J105),LOOKUP(2,1/('Savings Projection'!$BL$19:$BL$28&lt;&gt;""),'Savings Projection'!$BL$19:$BL$28))*(1+'Model Inputs'!$B$35)^(J105-1)+IF(J105&lt;=10,INDEX('Savings Projection'!$BM$19:$BM$28,J105),LOOKUP(2,1/('Savings Projection'!$BM$19:$BM$28&lt;&gt;""),'Savings Projection'!$BM$19:$BM$28))*(1+'Model Inputs'!$B$36)^(J105-1)</f>
        <v>272191.13085504784</v>
      </c>
      <c r="AA105" s="230">
        <f t="shared" si="28"/>
        <v>1698120.2341449524</v>
      </c>
      <c r="AB105" s="230">
        <f>MIN(MAX(AA105,0),'Tax Assumptions'!$B$20)</f>
        <v>7500</v>
      </c>
      <c r="AC105" s="230">
        <f t="shared" si="29"/>
        <v>1690620.2341449524</v>
      </c>
      <c r="AD105" s="230">
        <f>MAX(AD104*(1+'Model Inputs'!$B$13)+AC105,0)</f>
        <v>80222581.687670901</v>
      </c>
      <c r="AE105" s="230">
        <f>MAX(AE104*(1+'Model Inputs'!$B$13)+U105+AB105,0)</f>
        <v>1893004.2468949838</v>
      </c>
      <c r="AF105" s="230">
        <f t="shared" si="30"/>
        <v>82115585.934565887</v>
      </c>
      <c r="AG105" s="226" t="str">
        <f t="shared" si="44"/>
        <v/>
      </c>
      <c r="AH105" s="226" t="str">
        <f t="shared" si="45"/>
        <v/>
      </c>
      <c r="AI105" s="226" t="str">
        <f t="shared" si="46"/>
        <v/>
      </c>
      <c r="AJ105" s="226" t="str">
        <f t="shared" si="47"/>
        <v/>
      </c>
    </row>
    <row r="106" spans="1:36" ht="18" customHeight="1" x14ac:dyDescent="0.2">
      <c r="A106" s="226" t="str">
        <f t="shared" si="36"/>
        <v>3Y -&gt; PM Y7 Base</v>
      </c>
      <c r="B106" s="226">
        <f t="shared" si="37"/>
        <v>3</v>
      </c>
      <c r="C106" s="235">
        <f t="shared" si="38"/>
        <v>3</v>
      </c>
      <c r="D106" s="226">
        <f t="shared" si="39"/>
        <v>7</v>
      </c>
      <c r="E106" s="226" t="str">
        <f t="shared" si="40"/>
        <v>Base</v>
      </c>
      <c r="F106" s="230">
        <f t="shared" si="41"/>
        <v>25000000</v>
      </c>
      <c r="G106" s="236">
        <f t="shared" si="42"/>
        <v>0.15</v>
      </c>
      <c r="H106" s="230">
        <f t="shared" si="43"/>
        <v>300000</v>
      </c>
      <c r="I106" s="236">
        <f t="shared" si="21"/>
        <v>0</v>
      </c>
      <c r="J106" s="234">
        <v>27</v>
      </c>
      <c r="K106" s="234">
        <f t="shared" si="22"/>
        <v>2052</v>
      </c>
      <c r="L106" s="230">
        <f>IF(J106=1,'Model Inputs'!$B$25*(13-'Model Inputs'!$B$23)/12,'Model Inputs'!$B$25)</f>
        <v>300000</v>
      </c>
      <c r="M106" s="230">
        <f>IF(J106=1,'Model Inputs'!$B$27*(13-'Model Inputs'!$B$23)/12,IF(J106=2,'Model Inputs'!$B$27,IF(J106&lt;=MAX(3,'Model Inputs'!$B$30+1),'Model Inputs'!$B$27*(1+'Model Inputs'!$B$28)^(J106-3),'Model Inputs'!$B$27*(1+'Model Inputs'!$B$28)^(MAX(3,'Model Inputs'!$B$30+1)-3)*(1+'Model Inputs'!$B$29)^(J106-MAX(3,'Model Inputs'!$B$30+1)))))</f>
        <v>185355004.59402937</v>
      </c>
      <c r="N106" s="236">
        <f>IF(J106&lt;=2,0,'Model Inputs'!$B$32*SIN(2*PI()*(J106-3+'Model Inputs'!$B$34)/MAX(1,'Model Inputs'!$B$33)))</f>
        <v>-2.3513218543629179E-16</v>
      </c>
      <c r="O106" s="230">
        <f t="shared" si="23"/>
        <v>185355004.59402934</v>
      </c>
      <c r="P106" s="230">
        <f t="shared" si="48"/>
        <v>129690333.6089489</v>
      </c>
      <c r="Q106" s="230">
        <f>L106+P106+IF(J106=1,'Model Inputs'!$B$26,0)</f>
        <v>129990333.6089489</v>
      </c>
      <c r="R106" s="230">
        <f t="shared" si="24"/>
        <v>389971000.82684672</v>
      </c>
      <c r="S106" s="230">
        <f t="shared" si="25"/>
        <v>4050000</v>
      </c>
      <c r="T106" s="230">
        <f t="shared" si="26"/>
        <v>4050000</v>
      </c>
      <c r="U106" s="230">
        <f>MIN(T106,'Tax Assumptions'!$B$19)</f>
        <v>24500</v>
      </c>
      <c r="V106" s="230">
        <f>MAX(T106-U106-'Tax Assumptions'!$B$8,0)</f>
        <v>4009400</v>
      </c>
      <c r="W106" s="230">
        <f>MAX(T106-U106-'Tax Assumptions'!$B$9,0)</f>
        <v>4017500</v>
      </c>
      <c r="X106" s="230">
        <f>IF(V106=0,0,LOOKUP(V106,'Tax Assumptions'!$F$9:$F$15,'Tax Assumptions'!$I$9:$I$15)+(V106-LOOKUP(V106,'Tax Assumptions'!$F$9:$F$15,'Tax Assumptions'!$F$9:$F$15))*LOOKUP(V106,'Tax Assumptions'!$F$9:$F$15,'Tax Assumptions'!$H$9:$H$15))+MIN(MAX(T106,0),'Tax Assumptions'!$B$11)*'Tax Assumptions'!$B$10+MAX(T106,0)*'Tax Assumptions'!$B$12+MAX(MAX(T106,0)-'Tax Assumptions'!$B$14,0)*'Tax Assumptions'!$B$13+MIN(T106*'Tax Assumptions'!$B$15,'Tax Assumptions'!$B$16)+MIN(T106*'Tax Assumptions'!$B$17,'Tax Assumptions'!$B$18)+IF(W106=0,0,LOOKUP(W106,'Tax Assumptions'!$K$9:$K$17,'Tax Assumptions'!$N$9:$N$17)+(W106-LOOKUP(W106,'Tax Assumptions'!$K$9:$K$17,'Tax Assumptions'!$K$9:$K$17))*LOOKUP(W106,'Tax Assumptions'!$K$9:$K$17,'Tax Assumptions'!$M$9:$M$17))+IF(W106=0,0,LOOKUP(W106,'Tax Assumptions'!$P$9:$P$12,'Tax Assumptions'!$S$9:$S$12)+(W106-LOOKUP(W106,'Tax Assumptions'!$P$9:$P$12,'Tax Assumptions'!$P$9:$P$12))*LOOKUP(W106,'Tax Assumptions'!$P$9:$P$12,'Tax Assumptions'!$R$9:$R$12))</f>
        <v>2055188.6349999998</v>
      </c>
      <c r="Y106" s="230">
        <f t="shared" si="27"/>
        <v>1970311.3650000002</v>
      </c>
      <c r="Z106" s="230">
        <f>IF(J106&lt;=10,INDEX('Savings Projection'!$BL$19:$BL$28,J106),LOOKUP(2,1/('Savings Projection'!$BL$19:$BL$28&lt;&gt;""),'Savings Projection'!$BL$19:$BL$28))*(1+'Model Inputs'!$B$35)^(J106-1)+IF(J106&lt;=10,INDEX('Savings Projection'!$BM$19:$BM$28,J106),LOOKUP(2,1/('Savings Projection'!$BM$19:$BM$28&lt;&gt;""),'Savings Projection'!$BM$19:$BM$28))*(1+'Model Inputs'!$B$36)^(J106-1)</f>
        <v>280356.86478069925</v>
      </c>
      <c r="AA106" s="230">
        <f t="shared" si="28"/>
        <v>1689954.5002193009</v>
      </c>
      <c r="AB106" s="230">
        <f>MIN(MAX(AA106,0),'Tax Assumptions'!$B$20)</f>
        <v>7500</v>
      </c>
      <c r="AC106" s="230">
        <f t="shared" si="29"/>
        <v>1682454.5002193009</v>
      </c>
      <c r="AD106" s="230">
        <f>MAX(AD105*(1+'Model Inputs'!$B$13)+AC106,0)</f>
        <v>86718391.089150459</v>
      </c>
      <c r="AE106" s="230">
        <f>MAX(AE105*(1+'Model Inputs'!$B$13)+U106+AB106,0)</f>
        <v>2038584.5017086829</v>
      </c>
      <c r="AF106" s="230">
        <f t="shared" si="30"/>
        <v>88756975.590859145</v>
      </c>
      <c r="AG106" s="226" t="str">
        <f t="shared" si="44"/>
        <v/>
      </c>
      <c r="AH106" s="226" t="str">
        <f t="shared" si="45"/>
        <v/>
      </c>
      <c r="AI106" s="226" t="str">
        <f t="shared" si="46"/>
        <v/>
      </c>
      <c r="AJ106" s="226" t="str">
        <f t="shared" si="47"/>
        <v/>
      </c>
    </row>
    <row r="107" spans="1:36" ht="18" customHeight="1" x14ac:dyDescent="0.2">
      <c r="A107" s="226" t="str">
        <f t="shared" si="36"/>
        <v>3Y -&gt; PM Y7 Base</v>
      </c>
      <c r="B107" s="226">
        <f t="shared" si="37"/>
        <v>3</v>
      </c>
      <c r="C107" s="235">
        <f t="shared" si="38"/>
        <v>3</v>
      </c>
      <c r="D107" s="226">
        <f t="shared" si="39"/>
        <v>7</v>
      </c>
      <c r="E107" s="226" t="str">
        <f t="shared" si="40"/>
        <v>Base</v>
      </c>
      <c r="F107" s="230">
        <f t="shared" si="41"/>
        <v>25000000</v>
      </c>
      <c r="G107" s="236">
        <f t="shared" si="42"/>
        <v>0.15</v>
      </c>
      <c r="H107" s="230">
        <f t="shared" si="43"/>
        <v>300000</v>
      </c>
      <c r="I107" s="236">
        <f t="shared" si="21"/>
        <v>0</v>
      </c>
      <c r="J107" s="234">
        <v>28</v>
      </c>
      <c r="K107" s="234">
        <f t="shared" si="22"/>
        <v>2053</v>
      </c>
      <c r="L107" s="230">
        <f>IF(J107=1,'Model Inputs'!$B$25*(13-'Model Inputs'!$B$23)/12,'Model Inputs'!$B$25)</f>
        <v>300000</v>
      </c>
      <c r="M107" s="230">
        <f>IF(J107=1,'Model Inputs'!$B$27*(13-'Model Inputs'!$B$23)/12,IF(J107=2,'Model Inputs'!$B$27,IF(J107&lt;=MAX(3,'Model Inputs'!$B$30+1),'Model Inputs'!$B$27*(1+'Model Inputs'!$B$28)^(J107-3),'Model Inputs'!$B$27*(1+'Model Inputs'!$B$28)^(MAX(3,'Model Inputs'!$B$30+1)-3)*(1+'Model Inputs'!$B$29)^(J107-MAX(3,'Model Inputs'!$B$30+1)))))</f>
        <v>235563492.81236541</v>
      </c>
      <c r="N107" s="236">
        <f>IF(J107&lt;=2,0,'Model Inputs'!$B$32*SIN(2*PI()*(J107-3+'Model Inputs'!$B$34)/MAX(1,'Model Inputs'!$B$33)))</f>
        <v>0.10392304845413247</v>
      </c>
      <c r="O107" s="230">
        <f t="shared" si="23"/>
        <v>260043969.08992955</v>
      </c>
      <c r="P107" s="230">
        <f t="shared" si="48"/>
        <v>171689024.02305913</v>
      </c>
      <c r="Q107" s="230">
        <f>L107+P107+IF(J107=1,'Model Inputs'!$B$26,0)</f>
        <v>171989024.02305913</v>
      </c>
      <c r="R107" s="230">
        <f t="shared" si="24"/>
        <v>515967072.06917739</v>
      </c>
      <c r="S107" s="230">
        <f t="shared" si="25"/>
        <v>4050000</v>
      </c>
      <c r="T107" s="230">
        <f t="shared" si="26"/>
        <v>4050000</v>
      </c>
      <c r="U107" s="230">
        <f>MIN(T107,'Tax Assumptions'!$B$19)</f>
        <v>24500</v>
      </c>
      <c r="V107" s="230">
        <f>MAX(T107-U107-'Tax Assumptions'!$B$8,0)</f>
        <v>4009400</v>
      </c>
      <c r="W107" s="230">
        <f>MAX(T107-U107-'Tax Assumptions'!$B$9,0)</f>
        <v>4017500</v>
      </c>
      <c r="X107" s="230">
        <f>IF(V107=0,0,LOOKUP(V107,'Tax Assumptions'!$F$9:$F$15,'Tax Assumptions'!$I$9:$I$15)+(V107-LOOKUP(V107,'Tax Assumptions'!$F$9:$F$15,'Tax Assumptions'!$F$9:$F$15))*LOOKUP(V107,'Tax Assumptions'!$F$9:$F$15,'Tax Assumptions'!$H$9:$H$15))+MIN(MAX(T107,0),'Tax Assumptions'!$B$11)*'Tax Assumptions'!$B$10+MAX(T107,0)*'Tax Assumptions'!$B$12+MAX(MAX(T107,0)-'Tax Assumptions'!$B$14,0)*'Tax Assumptions'!$B$13+MIN(T107*'Tax Assumptions'!$B$15,'Tax Assumptions'!$B$16)+MIN(T107*'Tax Assumptions'!$B$17,'Tax Assumptions'!$B$18)+IF(W107=0,0,LOOKUP(W107,'Tax Assumptions'!$K$9:$K$17,'Tax Assumptions'!$N$9:$N$17)+(W107-LOOKUP(W107,'Tax Assumptions'!$K$9:$K$17,'Tax Assumptions'!$K$9:$K$17))*LOOKUP(W107,'Tax Assumptions'!$K$9:$K$17,'Tax Assumptions'!$M$9:$M$17))+IF(W107=0,0,LOOKUP(W107,'Tax Assumptions'!$P$9:$P$12,'Tax Assumptions'!$S$9:$S$12)+(W107-LOOKUP(W107,'Tax Assumptions'!$P$9:$P$12,'Tax Assumptions'!$P$9:$P$12))*LOOKUP(W107,'Tax Assumptions'!$P$9:$P$12,'Tax Assumptions'!$R$9:$R$12))</f>
        <v>2055188.6349999998</v>
      </c>
      <c r="Y107" s="230">
        <f t="shared" si="27"/>
        <v>1970311.3650000002</v>
      </c>
      <c r="Z107" s="230">
        <f>IF(J107&lt;=10,INDEX('Savings Projection'!$BL$19:$BL$28,J107),LOOKUP(2,1/('Savings Projection'!$BL$19:$BL$28&lt;&gt;""),'Savings Projection'!$BL$19:$BL$28))*(1+'Model Inputs'!$B$35)^(J107-1)+IF(J107&lt;=10,INDEX('Savings Projection'!$BM$19:$BM$28,J107),LOOKUP(2,1/('Savings Projection'!$BM$19:$BM$28&lt;&gt;""),'Savings Projection'!$BM$19:$BM$28))*(1+'Model Inputs'!$B$36)^(J107-1)</f>
        <v>288767.57072412025</v>
      </c>
      <c r="AA107" s="230">
        <f t="shared" si="28"/>
        <v>1681543.7942758799</v>
      </c>
      <c r="AB107" s="230">
        <f>MIN(MAX(AA107,0),'Tax Assumptions'!$B$20)</f>
        <v>7500</v>
      </c>
      <c r="AC107" s="230">
        <f t="shared" si="29"/>
        <v>1674043.7942758799</v>
      </c>
      <c r="AD107" s="230">
        <f>MAX(AD106*(1+'Model Inputs'!$B$13)+AC107,0)</f>
        <v>93595538.348775372</v>
      </c>
      <c r="AE107" s="230">
        <f>MAX(AE106*(1+'Model Inputs'!$B$13)+U107+AB107,0)</f>
        <v>2192899.5718112038</v>
      </c>
      <c r="AF107" s="230">
        <f t="shared" si="30"/>
        <v>95788437.920586571</v>
      </c>
      <c r="AG107" s="226" t="str">
        <f t="shared" si="44"/>
        <v/>
      </c>
      <c r="AH107" s="226" t="str">
        <f t="shared" si="45"/>
        <v/>
      </c>
      <c r="AI107" s="226" t="str">
        <f t="shared" si="46"/>
        <v/>
      </c>
      <c r="AJ107" s="226" t="str">
        <f t="shared" si="47"/>
        <v/>
      </c>
    </row>
    <row r="108" spans="1:36" ht="18" customHeight="1" x14ac:dyDescent="0.2">
      <c r="A108" s="226" t="str">
        <f t="shared" si="36"/>
        <v>3Y -&gt; PM Y7 Base</v>
      </c>
      <c r="B108" s="226">
        <f t="shared" si="37"/>
        <v>3</v>
      </c>
      <c r="C108" s="235">
        <f t="shared" si="38"/>
        <v>3</v>
      </c>
      <c r="D108" s="226">
        <f t="shared" si="39"/>
        <v>7</v>
      </c>
      <c r="E108" s="226" t="str">
        <f t="shared" si="40"/>
        <v>Base</v>
      </c>
      <c r="F108" s="230">
        <f t="shared" si="41"/>
        <v>25000000</v>
      </c>
      <c r="G108" s="236">
        <f t="shared" si="42"/>
        <v>0.15</v>
      </c>
      <c r="H108" s="230">
        <f t="shared" si="43"/>
        <v>300000</v>
      </c>
      <c r="I108" s="236">
        <f t="shared" si="21"/>
        <v>0</v>
      </c>
      <c r="J108" s="234">
        <v>29</v>
      </c>
      <c r="K108" s="234">
        <f t="shared" si="22"/>
        <v>2054</v>
      </c>
      <c r="L108" s="230">
        <f>IF(J108=1,'Model Inputs'!$B$25*(13-'Model Inputs'!$B$23)/12,'Model Inputs'!$B$25)</f>
        <v>300000</v>
      </c>
      <c r="M108" s="230">
        <f>IF(J108=1,'Model Inputs'!$B$27*(13-'Model Inputs'!$B$23)/12,IF(J108=2,'Model Inputs'!$B$27,IF(J108&lt;=MAX(3,'Model Inputs'!$B$30+1),'Model Inputs'!$B$27*(1+'Model Inputs'!$B$28)^(J108-3),'Model Inputs'!$B$27*(1+'Model Inputs'!$B$28)^(MAX(3,'Model Inputs'!$B$30+1)-3)*(1+'Model Inputs'!$B$29)^(J108-MAX(3,'Model Inputs'!$B$30+1)))))</f>
        <v>299372327.53708321</v>
      </c>
      <c r="N108" s="236">
        <f>IF(J108&lt;=2,0,'Model Inputs'!$B$32*SIN(2*PI()*(J108-3+'Model Inputs'!$B$34)/MAX(1,'Model Inputs'!$B$33)))</f>
        <v>-0.10392304845413265</v>
      </c>
      <c r="O108" s="230">
        <f t="shared" si="23"/>
        <v>268260642.63662043</v>
      </c>
      <c r="P108" s="230">
        <f t="shared" si="48"/>
        <v>241371727.96595448</v>
      </c>
      <c r="Q108" s="230">
        <f>L108+P108+IF(J108=1,'Model Inputs'!$B$26,0)</f>
        <v>241671727.96595448</v>
      </c>
      <c r="R108" s="230">
        <f t="shared" si="24"/>
        <v>725015183.89786339</v>
      </c>
      <c r="S108" s="230">
        <f t="shared" si="25"/>
        <v>4050000</v>
      </c>
      <c r="T108" s="230">
        <f t="shared" si="26"/>
        <v>4050000</v>
      </c>
      <c r="U108" s="230">
        <f>MIN(T108,'Tax Assumptions'!$B$19)</f>
        <v>24500</v>
      </c>
      <c r="V108" s="230">
        <f>MAX(T108-U108-'Tax Assumptions'!$B$8,0)</f>
        <v>4009400</v>
      </c>
      <c r="W108" s="230">
        <f>MAX(T108-U108-'Tax Assumptions'!$B$9,0)</f>
        <v>4017500</v>
      </c>
      <c r="X108" s="230">
        <f>IF(V108=0,0,LOOKUP(V108,'Tax Assumptions'!$F$9:$F$15,'Tax Assumptions'!$I$9:$I$15)+(V108-LOOKUP(V108,'Tax Assumptions'!$F$9:$F$15,'Tax Assumptions'!$F$9:$F$15))*LOOKUP(V108,'Tax Assumptions'!$F$9:$F$15,'Tax Assumptions'!$H$9:$H$15))+MIN(MAX(T108,0),'Tax Assumptions'!$B$11)*'Tax Assumptions'!$B$10+MAX(T108,0)*'Tax Assumptions'!$B$12+MAX(MAX(T108,0)-'Tax Assumptions'!$B$14,0)*'Tax Assumptions'!$B$13+MIN(T108*'Tax Assumptions'!$B$15,'Tax Assumptions'!$B$16)+MIN(T108*'Tax Assumptions'!$B$17,'Tax Assumptions'!$B$18)+IF(W108=0,0,LOOKUP(W108,'Tax Assumptions'!$K$9:$K$17,'Tax Assumptions'!$N$9:$N$17)+(W108-LOOKUP(W108,'Tax Assumptions'!$K$9:$K$17,'Tax Assumptions'!$K$9:$K$17))*LOOKUP(W108,'Tax Assumptions'!$K$9:$K$17,'Tax Assumptions'!$M$9:$M$17))+IF(W108=0,0,LOOKUP(W108,'Tax Assumptions'!$P$9:$P$12,'Tax Assumptions'!$S$9:$S$12)+(W108-LOOKUP(W108,'Tax Assumptions'!$P$9:$P$12,'Tax Assumptions'!$P$9:$P$12))*LOOKUP(W108,'Tax Assumptions'!$P$9:$P$12,'Tax Assumptions'!$R$9:$R$12))</f>
        <v>2055188.6349999998</v>
      </c>
      <c r="Y108" s="230">
        <f t="shared" si="27"/>
        <v>1970311.3650000002</v>
      </c>
      <c r="Z108" s="230">
        <f>IF(J108&lt;=10,INDEX('Savings Projection'!$BL$19:$BL$28,J108),LOOKUP(2,1/('Savings Projection'!$BL$19:$BL$28&lt;&gt;""),'Savings Projection'!$BL$19:$BL$28))*(1+'Model Inputs'!$B$35)^(J108-1)+IF(J108&lt;=10,INDEX('Savings Projection'!$BM$19:$BM$28,J108),LOOKUP(2,1/('Savings Projection'!$BM$19:$BM$28&lt;&gt;""),'Savings Projection'!$BM$19:$BM$28))*(1+'Model Inputs'!$B$36)^(J108-1)</f>
        <v>297430.59784584382</v>
      </c>
      <c r="AA108" s="230">
        <f t="shared" si="28"/>
        <v>1672880.7671541565</v>
      </c>
      <c r="AB108" s="230">
        <f>MIN(MAX(AA108,0),'Tax Assumptions'!$B$20)</f>
        <v>7500</v>
      </c>
      <c r="AC108" s="230">
        <f t="shared" si="29"/>
        <v>1665380.7671541565</v>
      </c>
      <c r="AD108" s="230">
        <f>MAX(AD107*(1+'Model Inputs'!$B$13)+AC108,0)</f>
        <v>100876651.41685605</v>
      </c>
      <c r="AE108" s="230">
        <f>MAX(AE107*(1+'Model Inputs'!$B$13)+U108+AB108,0)</f>
        <v>2356473.5461198762</v>
      </c>
      <c r="AF108" s="230">
        <f t="shared" si="30"/>
        <v>103233124.96297592</v>
      </c>
      <c r="AG108" s="226" t="str">
        <f t="shared" si="44"/>
        <v/>
      </c>
      <c r="AH108" s="226" t="str">
        <f t="shared" si="45"/>
        <v/>
      </c>
      <c r="AI108" s="226" t="str">
        <f t="shared" si="46"/>
        <v/>
      </c>
      <c r="AJ108" s="226" t="str">
        <f t="shared" si="47"/>
        <v/>
      </c>
    </row>
    <row r="109" spans="1:36" ht="18" customHeight="1" x14ac:dyDescent="0.2">
      <c r="A109" s="226" t="str">
        <f t="shared" si="36"/>
        <v>3Y -&gt; PM Y7 Base</v>
      </c>
      <c r="B109" s="226">
        <f t="shared" si="37"/>
        <v>3</v>
      </c>
      <c r="C109" s="235">
        <f t="shared" si="38"/>
        <v>3</v>
      </c>
      <c r="D109" s="226">
        <f t="shared" si="39"/>
        <v>7</v>
      </c>
      <c r="E109" s="226" t="str">
        <f t="shared" si="40"/>
        <v>Base</v>
      </c>
      <c r="F109" s="230">
        <f t="shared" si="41"/>
        <v>25000000</v>
      </c>
      <c r="G109" s="236">
        <f t="shared" si="42"/>
        <v>0.15</v>
      </c>
      <c r="H109" s="230">
        <f t="shared" si="43"/>
        <v>300000</v>
      </c>
      <c r="I109" s="236">
        <f t="shared" si="21"/>
        <v>0</v>
      </c>
      <c r="J109" s="234">
        <v>30</v>
      </c>
      <c r="K109" s="234">
        <f t="shared" si="22"/>
        <v>2055</v>
      </c>
      <c r="L109" s="230">
        <f>IF(J109=1,'Model Inputs'!$B$25*(13-'Model Inputs'!$B$23)/12,'Model Inputs'!$B$25)</f>
        <v>300000</v>
      </c>
      <c r="M109" s="230">
        <f>IF(J109=1,'Model Inputs'!$B$27*(13-'Model Inputs'!$B$23)/12,IF(J109=2,'Model Inputs'!$B$27,IF(J109&lt;=MAX(3,'Model Inputs'!$B$30+1),'Model Inputs'!$B$27*(1+'Model Inputs'!$B$28)^(J109-3),'Model Inputs'!$B$27*(1+'Model Inputs'!$B$28)^(MAX(3,'Model Inputs'!$B$30+1)-3)*(1+'Model Inputs'!$B$29)^(J109-MAX(3,'Model Inputs'!$B$30+1)))))</f>
        <v>380465535.74563926</v>
      </c>
      <c r="N109" s="236">
        <f>IF(J109&lt;=2,0,'Model Inputs'!$B$32*SIN(2*PI()*(J109-3+'Model Inputs'!$B$34)/MAX(1,'Model Inputs'!$B$33)))</f>
        <v>-2.645237086158283E-16</v>
      </c>
      <c r="O109" s="230">
        <f t="shared" si="23"/>
        <v>380465535.7456392</v>
      </c>
      <c r="P109" s="230">
        <f t="shared" si="48"/>
        <v>266206474.24994773</v>
      </c>
      <c r="Q109" s="230">
        <f>L109+P109+IF(J109=1,'Model Inputs'!$B$26,0)</f>
        <v>266506474.24994773</v>
      </c>
      <c r="R109" s="230">
        <f t="shared" si="24"/>
        <v>799519422.74984312</v>
      </c>
      <c r="S109" s="230">
        <f t="shared" si="25"/>
        <v>4050000</v>
      </c>
      <c r="T109" s="230">
        <f t="shared" si="26"/>
        <v>4050000</v>
      </c>
      <c r="U109" s="230">
        <f>MIN(T109,'Tax Assumptions'!$B$19)</f>
        <v>24500</v>
      </c>
      <c r="V109" s="230">
        <f>MAX(T109-U109-'Tax Assumptions'!$B$8,0)</f>
        <v>4009400</v>
      </c>
      <c r="W109" s="230">
        <f>MAX(T109-U109-'Tax Assumptions'!$B$9,0)</f>
        <v>4017500</v>
      </c>
      <c r="X109" s="230">
        <f>IF(V109=0,0,LOOKUP(V109,'Tax Assumptions'!$F$9:$F$15,'Tax Assumptions'!$I$9:$I$15)+(V109-LOOKUP(V109,'Tax Assumptions'!$F$9:$F$15,'Tax Assumptions'!$F$9:$F$15))*LOOKUP(V109,'Tax Assumptions'!$F$9:$F$15,'Tax Assumptions'!$H$9:$H$15))+MIN(MAX(T109,0),'Tax Assumptions'!$B$11)*'Tax Assumptions'!$B$10+MAX(T109,0)*'Tax Assumptions'!$B$12+MAX(MAX(T109,0)-'Tax Assumptions'!$B$14,0)*'Tax Assumptions'!$B$13+MIN(T109*'Tax Assumptions'!$B$15,'Tax Assumptions'!$B$16)+MIN(T109*'Tax Assumptions'!$B$17,'Tax Assumptions'!$B$18)+IF(W109=0,0,LOOKUP(W109,'Tax Assumptions'!$K$9:$K$17,'Tax Assumptions'!$N$9:$N$17)+(W109-LOOKUP(W109,'Tax Assumptions'!$K$9:$K$17,'Tax Assumptions'!$K$9:$K$17))*LOOKUP(W109,'Tax Assumptions'!$K$9:$K$17,'Tax Assumptions'!$M$9:$M$17))+IF(W109=0,0,LOOKUP(W109,'Tax Assumptions'!$P$9:$P$12,'Tax Assumptions'!$S$9:$S$12)+(W109-LOOKUP(W109,'Tax Assumptions'!$P$9:$P$12,'Tax Assumptions'!$P$9:$P$12))*LOOKUP(W109,'Tax Assumptions'!$P$9:$P$12,'Tax Assumptions'!$R$9:$R$12))</f>
        <v>2055188.6349999998</v>
      </c>
      <c r="Y109" s="230">
        <f t="shared" si="27"/>
        <v>1970311.3650000002</v>
      </c>
      <c r="Z109" s="230">
        <f>IF(J109&lt;=10,INDEX('Savings Projection'!$BL$19:$BL$28,J109),LOOKUP(2,1/('Savings Projection'!$BL$19:$BL$28&lt;&gt;""),'Savings Projection'!$BL$19:$BL$28))*(1+'Model Inputs'!$B$35)^(J109-1)+IF(J109&lt;=10,INDEX('Savings Projection'!$BM$19:$BM$28,J109),LOOKUP(2,1/('Savings Projection'!$BM$19:$BM$28&lt;&gt;""),'Savings Projection'!$BM$19:$BM$28))*(1+'Model Inputs'!$B$36)^(J109-1)</f>
        <v>306353.51578121912</v>
      </c>
      <c r="AA109" s="230">
        <f t="shared" si="28"/>
        <v>1663957.8492187811</v>
      </c>
      <c r="AB109" s="230">
        <f>MIN(MAX(AA109,0),'Tax Assumptions'!$B$20)</f>
        <v>7500</v>
      </c>
      <c r="AC109" s="230">
        <f t="shared" si="29"/>
        <v>1656457.8492187811</v>
      </c>
      <c r="AD109" s="230">
        <f>MAX(AD108*(1+'Model Inputs'!$B$13)+AC109,0)</f>
        <v>108585708.3510862</v>
      </c>
      <c r="AE109" s="230">
        <f>MAX(AE108*(1+'Model Inputs'!$B$13)+U109+AB109,0)</f>
        <v>2529861.958887069</v>
      </c>
      <c r="AF109" s="230">
        <f t="shared" si="30"/>
        <v>111115570.30997327</v>
      </c>
      <c r="AG109" s="226" t="str">
        <f t="shared" si="44"/>
        <v/>
      </c>
      <c r="AH109" s="226" t="str">
        <f t="shared" si="45"/>
        <v/>
      </c>
      <c r="AI109" s="226" t="str">
        <f t="shared" si="46"/>
        <v/>
      </c>
      <c r="AJ109" s="226" t="str">
        <f t="shared" si="47"/>
        <v/>
      </c>
    </row>
    <row r="110" spans="1:36" ht="18" customHeight="1" x14ac:dyDescent="0.2">
      <c r="A110" s="226" t="str">
        <f t="shared" ref="A110:A139" si="49">$A$24</f>
        <v>3Y -&gt; PM Y7 Upside</v>
      </c>
      <c r="B110" s="226">
        <f t="shared" ref="B110:B139" si="50">$B$24</f>
        <v>3</v>
      </c>
      <c r="C110" s="235">
        <f t="shared" ref="C110:C139" si="51">$C$24</f>
        <v>3</v>
      </c>
      <c r="D110" s="226">
        <f t="shared" ref="D110:D139" si="52">$D$24</f>
        <v>7</v>
      </c>
      <c r="E110" s="226" t="str">
        <f t="shared" ref="E110:E139" si="53">$E$24</f>
        <v>Upside</v>
      </c>
      <c r="F110" s="230">
        <f t="shared" ref="F110:F139" si="54">$F$24</f>
        <v>50000000</v>
      </c>
      <c r="G110" s="236">
        <f t="shared" ref="G110:G139" si="55">$G$24</f>
        <v>0.2</v>
      </c>
      <c r="H110" s="230">
        <f t="shared" ref="H110:H139" si="56">$H$24</f>
        <v>300000</v>
      </c>
      <c r="I110" s="236">
        <f t="shared" si="21"/>
        <v>0</v>
      </c>
      <c r="J110" s="234">
        <v>1</v>
      </c>
      <c r="K110" s="234">
        <f t="shared" si="22"/>
        <v>2026</v>
      </c>
      <c r="L110" s="230">
        <f>IF(J110=1,'Model Inputs'!$B$25*(13-'Model Inputs'!$B$23)/12,'Model Inputs'!$B$25)</f>
        <v>100000</v>
      </c>
      <c r="M110" s="230">
        <f>IF(J110=1,'Model Inputs'!$B$27*(13-'Model Inputs'!$B$23)/12,IF(J110=2,'Model Inputs'!$B$27,IF(J110&lt;=MAX(3,'Model Inputs'!$B$30+1),'Model Inputs'!$B$27*(1+'Model Inputs'!$B$28)^(J110-3),'Model Inputs'!$B$27*(1+'Model Inputs'!$B$28)^(MAX(3,'Model Inputs'!$B$30+1)-3)*(1+'Model Inputs'!$B$29)^(J110-MAX(3,'Model Inputs'!$B$30+1)))))</f>
        <v>150000</v>
      </c>
      <c r="N110" s="236">
        <f>IF(J110&lt;=2,0,'Model Inputs'!$B$32*SIN(2*PI()*(J110-3+'Model Inputs'!$B$34)/MAX(1,'Model Inputs'!$B$33)))</f>
        <v>0</v>
      </c>
      <c r="O110" s="230">
        <f t="shared" si="23"/>
        <v>150000</v>
      </c>
      <c r="P110" s="230">
        <f>0</f>
        <v>0</v>
      </c>
      <c r="Q110" s="230">
        <f>L110+P110+IF(J110=1,'Model Inputs'!$B$26,0)</f>
        <v>550000</v>
      </c>
      <c r="R110" s="230">
        <f t="shared" si="24"/>
        <v>550000</v>
      </c>
      <c r="S110" s="230">
        <f t="shared" si="25"/>
        <v>10300000</v>
      </c>
      <c r="T110" s="230">
        <f t="shared" si="26"/>
        <v>550000</v>
      </c>
      <c r="U110" s="230">
        <f>MIN(T110,'Tax Assumptions'!$B$19)</f>
        <v>24500</v>
      </c>
      <c r="V110" s="230">
        <f>MAX(T110-U110-'Tax Assumptions'!$B$8,0)</f>
        <v>509400</v>
      </c>
      <c r="W110" s="230">
        <f>MAX(T110-U110-'Tax Assumptions'!$B$9,0)</f>
        <v>517500</v>
      </c>
      <c r="X110" s="230">
        <f>IF(V110=0,0,LOOKUP(V110,'Tax Assumptions'!$F$9:$F$15,'Tax Assumptions'!$I$9:$I$15)+(V110-LOOKUP(V110,'Tax Assumptions'!$F$9:$F$15,'Tax Assumptions'!$F$9:$F$15))*LOOKUP(V110,'Tax Assumptions'!$F$9:$F$15,'Tax Assumptions'!$H$9:$H$15))+MIN(MAX(T110,0),'Tax Assumptions'!$B$11)*'Tax Assumptions'!$B$10+MAX(T110,0)*'Tax Assumptions'!$B$12+MAX(MAX(T110,0)-'Tax Assumptions'!$B$14,0)*'Tax Assumptions'!$B$13+MIN(T110*'Tax Assumptions'!$B$15,'Tax Assumptions'!$B$16)+MIN(T110*'Tax Assumptions'!$B$17,'Tax Assumptions'!$B$18)+IF(W110=0,0,LOOKUP(W110,'Tax Assumptions'!$K$9:$K$17,'Tax Assumptions'!$N$9:$N$17)+(W110-LOOKUP(W110,'Tax Assumptions'!$K$9:$K$17,'Tax Assumptions'!$K$9:$K$17))*LOOKUP(W110,'Tax Assumptions'!$K$9:$K$17,'Tax Assumptions'!$M$9:$M$17))+IF(W110=0,0,LOOKUP(W110,'Tax Assumptions'!$P$9:$P$12,'Tax Assumptions'!$S$9:$S$12)+(W110-LOOKUP(W110,'Tax Assumptions'!$P$9:$P$12,'Tax Assumptions'!$P$9:$P$12))*LOOKUP(W110,'Tax Assumptions'!$P$9:$P$12,'Tax Assumptions'!$R$9:$R$12))</f>
        <v>222834.53000000003</v>
      </c>
      <c r="Y110" s="230">
        <f t="shared" si="27"/>
        <v>302665.46999999997</v>
      </c>
      <c r="Z110" s="230">
        <f>IF(J110&lt;=10,INDEX('Savings Projection'!$BL$19:$BL$28,J110),LOOKUP(2,1/('Savings Projection'!$BL$19:$BL$28&lt;&gt;""),'Savings Projection'!$BL$19:$BL$28))*(1+'Model Inputs'!$B$35)^(J110-1)+IF(J110&lt;=10,INDEX('Savings Projection'!$BM$19:$BM$28,J110),LOOKUP(2,1/('Savings Projection'!$BM$19:$BM$28&lt;&gt;""),'Savings Projection'!$BM$19:$BM$28))*(1+'Model Inputs'!$B$36)^(J110-1)</f>
        <v>118000</v>
      </c>
      <c r="AA110" s="230">
        <f t="shared" si="28"/>
        <v>184665.46999999997</v>
      </c>
      <c r="AB110" s="230">
        <f>MIN(MAX(AA110,0),'Tax Assumptions'!$B$20)</f>
        <v>7500</v>
      </c>
      <c r="AC110" s="230">
        <f t="shared" si="29"/>
        <v>177165.46999999997</v>
      </c>
      <c r="AD110" s="230">
        <f>MAX('Model Inputs'!$B$7*(1+'Model Inputs'!$B$13)+AC110,0)</f>
        <v>336165.47</v>
      </c>
      <c r="AE110" s="230">
        <f>MAX(('Model Inputs'!$B$8+'Model Inputs'!$B$9+'Model Inputs'!$B$10)*(1+'Model Inputs'!$B$13)+U110+AB110,0)</f>
        <v>32000</v>
      </c>
      <c r="AF110" s="230">
        <f t="shared" si="30"/>
        <v>368165.47</v>
      </c>
      <c r="AG110" s="226" t="str">
        <f>IF(AND(AF110&gt;=$F$14,0&lt;$F$14),J110,"")</f>
        <v/>
      </c>
      <c r="AH110" s="226" t="str">
        <f>IF(AND(AF110&gt;=$F$15,0&lt;$F$15),J110,"")</f>
        <v/>
      </c>
      <c r="AI110" s="226" t="str">
        <f>IF(AND(AF110&gt;=$F$16,0&lt;$F$16),J110,"")</f>
        <v/>
      </c>
      <c r="AJ110" s="226" t="str">
        <f>IF(AND(AF110&gt;=$F$17,0&lt;$F$17),J110,"")</f>
        <v/>
      </c>
    </row>
    <row r="111" spans="1:36" ht="18" customHeight="1" x14ac:dyDescent="0.2">
      <c r="A111" s="226" t="str">
        <f t="shared" si="49"/>
        <v>3Y -&gt; PM Y7 Upside</v>
      </c>
      <c r="B111" s="226">
        <f t="shared" si="50"/>
        <v>3</v>
      </c>
      <c r="C111" s="235">
        <f t="shared" si="51"/>
        <v>3</v>
      </c>
      <c r="D111" s="226">
        <f t="shared" si="52"/>
        <v>7</v>
      </c>
      <c r="E111" s="226" t="str">
        <f t="shared" si="53"/>
        <v>Upside</v>
      </c>
      <c r="F111" s="230">
        <f t="shared" si="54"/>
        <v>50000000</v>
      </c>
      <c r="G111" s="236">
        <f t="shared" si="55"/>
        <v>0.2</v>
      </c>
      <c r="H111" s="230">
        <f t="shared" si="56"/>
        <v>300000</v>
      </c>
      <c r="I111" s="236">
        <f t="shared" si="21"/>
        <v>0</v>
      </c>
      <c r="J111" s="234">
        <v>2</v>
      </c>
      <c r="K111" s="234">
        <f t="shared" si="22"/>
        <v>2027</v>
      </c>
      <c r="L111" s="230">
        <f>IF(J111=1,'Model Inputs'!$B$25*(13-'Model Inputs'!$B$23)/12,'Model Inputs'!$B$25)</f>
        <v>300000</v>
      </c>
      <c r="M111" s="230">
        <f>IF(J111=1,'Model Inputs'!$B$27*(13-'Model Inputs'!$B$23)/12,IF(J111=2,'Model Inputs'!$B$27,IF(J111&lt;=MAX(3,'Model Inputs'!$B$30+1),'Model Inputs'!$B$27*(1+'Model Inputs'!$B$28)^(J111-3),'Model Inputs'!$B$27*(1+'Model Inputs'!$B$28)^(MAX(3,'Model Inputs'!$B$30+1)-3)*(1+'Model Inputs'!$B$29)^(J111-MAX(3,'Model Inputs'!$B$30+1)))))</f>
        <v>450000</v>
      </c>
      <c r="N111" s="236">
        <f>IF(J111&lt;=2,0,'Model Inputs'!$B$32*SIN(2*PI()*(J111-3+'Model Inputs'!$B$34)/MAX(1,'Model Inputs'!$B$33)))</f>
        <v>0</v>
      </c>
      <c r="O111" s="230">
        <f t="shared" si="23"/>
        <v>450000</v>
      </c>
      <c r="P111" s="230">
        <f>0.75*O110</f>
        <v>112500</v>
      </c>
      <c r="Q111" s="230">
        <f>L111+P111+IF(J111=1,'Model Inputs'!$B$26,0)</f>
        <v>412500</v>
      </c>
      <c r="R111" s="230">
        <f t="shared" si="24"/>
        <v>412500</v>
      </c>
      <c r="S111" s="230">
        <f t="shared" si="25"/>
        <v>10300000</v>
      </c>
      <c r="T111" s="230">
        <f t="shared" si="26"/>
        <v>412500</v>
      </c>
      <c r="U111" s="230">
        <f>MIN(T111,'Tax Assumptions'!$B$19)</f>
        <v>24500</v>
      </c>
      <c r="V111" s="230">
        <f>MAX(T111-U111-'Tax Assumptions'!$B$8,0)</f>
        <v>371900</v>
      </c>
      <c r="W111" s="230">
        <f>MAX(T111-U111-'Tax Assumptions'!$B$9,0)</f>
        <v>380000</v>
      </c>
      <c r="X111" s="230">
        <f>IF(V111=0,0,LOOKUP(V111,'Tax Assumptions'!$F$9:$F$15,'Tax Assumptions'!$I$9:$I$15)+(V111-LOOKUP(V111,'Tax Assumptions'!$F$9:$F$15,'Tax Assumptions'!$F$9:$F$15))*LOOKUP(V111,'Tax Assumptions'!$F$9:$F$15,'Tax Assumptions'!$H$9:$H$15))+MIN(MAX(T111,0),'Tax Assumptions'!$B$11)*'Tax Assumptions'!$B$10+MAX(T111,0)*'Tax Assumptions'!$B$12+MAX(MAX(T111,0)-'Tax Assumptions'!$B$14,0)*'Tax Assumptions'!$B$13+MIN(T111*'Tax Assumptions'!$B$15,'Tax Assumptions'!$B$16)+MIN(T111*'Tax Assumptions'!$B$17,'Tax Assumptions'!$B$18)+IF(W111=0,0,LOOKUP(W111,'Tax Assumptions'!$K$9:$K$17,'Tax Assumptions'!$N$9:$N$17)+(W111-LOOKUP(W111,'Tax Assumptions'!$K$9:$K$17,'Tax Assumptions'!$K$9:$K$17))*LOOKUP(W111,'Tax Assumptions'!$K$9:$K$17,'Tax Assumptions'!$M$9:$M$17))+IF(W111=0,0,LOOKUP(W111,'Tax Assumptions'!$P$9:$P$12,'Tax Assumptions'!$S$9:$S$12)+(W111-LOOKUP(W111,'Tax Assumptions'!$P$9:$P$12,'Tax Assumptions'!$P$9:$P$12))*LOOKUP(W111,'Tax Assumptions'!$P$9:$P$12,'Tax Assumptions'!$R$9:$R$12))</f>
        <v>156730.03</v>
      </c>
      <c r="Y111" s="230">
        <f t="shared" si="27"/>
        <v>231269.97</v>
      </c>
      <c r="Z111" s="230">
        <f>IF(J111&lt;=10,INDEX('Savings Projection'!$BL$19:$BL$28,J111),LOOKUP(2,1/('Savings Projection'!$BL$19:$BL$28&lt;&gt;""),'Savings Projection'!$BL$19:$BL$28))*(1+'Model Inputs'!$B$35)^(J111-1)+IF(J111&lt;=10,INDEX('Savings Projection'!$BM$19:$BM$28,J111),LOOKUP(2,1/('Savings Projection'!$BM$19:$BM$28&lt;&gt;""),'Savings Projection'!$BM$19:$BM$28))*(1+'Model Inputs'!$B$36)^(J111-1)</f>
        <v>121540</v>
      </c>
      <c r="AA111" s="230">
        <f t="shared" si="28"/>
        <v>109729.97</v>
      </c>
      <c r="AB111" s="230">
        <f>MIN(MAX(AA111,0),'Tax Assumptions'!$B$20)</f>
        <v>7500</v>
      </c>
      <c r="AC111" s="230">
        <f t="shared" si="29"/>
        <v>102229.97</v>
      </c>
      <c r="AD111" s="230">
        <f>MAX(AD110*(1+'Model Inputs'!$B$13)+AC111,0)</f>
        <v>458565.36820000003</v>
      </c>
      <c r="AE111" s="230">
        <f>MAX(AE110*(1+'Model Inputs'!$B$13)+U111+AB111,0)</f>
        <v>65920</v>
      </c>
      <c r="AF111" s="230">
        <f t="shared" si="30"/>
        <v>524485.36820000003</v>
      </c>
      <c r="AG111" s="226" t="str">
        <f t="shared" ref="AG111:AG139" si="57">IF(AND(AF111&gt;=$F$14,AF110&lt;$F$14),J111,"")</f>
        <v/>
      </c>
      <c r="AH111" s="226" t="str">
        <f t="shared" ref="AH111:AH139" si="58">IF(AND(AF111&gt;=$F$15,AF110&lt;$F$15),J111,"")</f>
        <v/>
      </c>
      <c r="AI111" s="226" t="str">
        <f t="shared" ref="AI111:AI139" si="59">IF(AND(AF111&gt;=$F$16,AF110&lt;$F$16),J111,"")</f>
        <v/>
      </c>
      <c r="AJ111" s="226" t="str">
        <f t="shared" ref="AJ111:AJ139" si="60">IF(AND(AF111&gt;=$F$17,AF110&lt;$F$17),J111,"")</f>
        <v/>
      </c>
    </row>
    <row r="112" spans="1:36" ht="18" customHeight="1" x14ac:dyDescent="0.2">
      <c r="A112" s="226" t="str">
        <f t="shared" si="49"/>
        <v>3Y -&gt; PM Y7 Upside</v>
      </c>
      <c r="B112" s="226">
        <f t="shared" si="50"/>
        <v>3</v>
      </c>
      <c r="C112" s="235">
        <f t="shared" si="51"/>
        <v>3</v>
      </c>
      <c r="D112" s="226">
        <f t="shared" si="52"/>
        <v>7</v>
      </c>
      <c r="E112" s="226" t="str">
        <f t="shared" si="53"/>
        <v>Upside</v>
      </c>
      <c r="F112" s="230">
        <f t="shared" si="54"/>
        <v>50000000</v>
      </c>
      <c r="G112" s="236">
        <f t="shared" si="55"/>
        <v>0.2</v>
      </c>
      <c r="H112" s="230">
        <f t="shared" si="56"/>
        <v>300000</v>
      </c>
      <c r="I112" s="236">
        <f t="shared" si="21"/>
        <v>0</v>
      </c>
      <c r="J112" s="234">
        <v>3</v>
      </c>
      <c r="K112" s="234">
        <f t="shared" si="22"/>
        <v>2028</v>
      </c>
      <c r="L112" s="230">
        <f>IF(J112=1,'Model Inputs'!$B$25*(13-'Model Inputs'!$B$23)/12,'Model Inputs'!$B$25)</f>
        <v>300000</v>
      </c>
      <c r="M112" s="230">
        <f>IF(J112=1,'Model Inputs'!$B$27*(13-'Model Inputs'!$B$23)/12,IF(J112=2,'Model Inputs'!$B$27,IF(J112&lt;=MAX(3,'Model Inputs'!$B$30+1),'Model Inputs'!$B$27*(1+'Model Inputs'!$B$28)^(J112-3),'Model Inputs'!$B$27*(1+'Model Inputs'!$B$28)^(MAX(3,'Model Inputs'!$B$30+1)-3)*(1+'Model Inputs'!$B$29)^(J112-MAX(3,'Model Inputs'!$B$30+1)))))</f>
        <v>450000</v>
      </c>
      <c r="N112" s="236">
        <f>IF(J112&lt;=2,0,'Model Inputs'!$B$32*SIN(2*PI()*(J112-3+'Model Inputs'!$B$34)/MAX(1,'Model Inputs'!$B$33)))</f>
        <v>0</v>
      </c>
      <c r="O112" s="230">
        <f t="shared" si="23"/>
        <v>450000</v>
      </c>
      <c r="P112" s="230">
        <f t="shared" ref="P112:P139" si="61">0.75*O111+0.25*O110</f>
        <v>375000</v>
      </c>
      <c r="Q112" s="230">
        <f>L112+P112+IF(J112=1,'Model Inputs'!$B$26,0)</f>
        <v>675000</v>
      </c>
      <c r="R112" s="230">
        <f t="shared" si="24"/>
        <v>675000</v>
      </c>
      <c r="S112" s="230">
        <f t="shared" si="25"/>
        <v>10300000</v>
      </c>
      <c r="T112" s="230">
        <f t="shared" si="26"/>
        <v>675000</v>
      </c>
      <c r="U112" s="230">
        <f>MIN(T112,'Tax Assumptions'!$B$19)</f>
        <v>24500</v>
      </c>
      <c r="V112" s="230">
        <f>MAX(T112-U112-'Tax Assumptions'!$B$8,0)</f>
        <v>634400</v>
      </c>
      <c r="W112" s="230">
        <f>MAX(T112-U112-'Tax Assumptions'!$B$9,0)</f>
        <v>642500</v>
      </c>
      <c r="X112" s="230">
        <f>IF(V112=0,0,LOOKUP(V112,'Tax Assumptions'!$F$9:$F$15,'Tax Assumptions'!$I$9:$I$15)+(V112-LOOKUP(V112,'Tax Assumptions'!$F$9:$F$15,'Tax Assumptions'!$F$9:$F$15))*LOOKUP(V112,'Tax Assumptions'!$F$9:$F$15,'Tax Assumptions'!$H$9:$H$15))+MIN(MAX(T112,0),'Tax Assumptions'!$B$11)*'Tax Assumptions'!$B$10+MAX(T112,0)*'Tax Assumptions'!$B$12+MAX(MAX(T112,0)-'Tax Assumptions'!$B$14,0)*'Tax Assumptions'!$B$13+MIN(T112*'Tax Assumptions'!$B$15,'Tax Assumptions'!$B$16)+MIN(T112*'Tax Assumptions'!$B$17,'Tax Assumptions'!$B$18)+IF(W112=0,0,LOOKUP(W112,'Tax Assumptions'!$K$9:$K$17,'Tax Assumptions'!$N$9:$N$17)+(W112-LOOKUP(W112,'Tax Assumptions'!$K$9:$K$17,'Tax Assumptions'!$K$9:$K$17))*LOOKUP(W112,'Tax Assumptions'!$K$9:$K$17,'Tax Assumptions'!$M$9:$M$17))+IF(W112=0,0,LOOKUP(W112,'Tax Assumptions'!$P$9:$P$12,'Tax Assumptions'!$S$9:$S$12)+(W112-LOOKUP(W112,'Tax Assumptions'!$P$9:$P$12,'Tax Assumptions'!$P$9:$P$12))*LOOKUP(W112,'Tax Assumptions'!$P$9:$P$12,'Tax Assumptions'!$R$9:$R$12))</f>
        <v>282929.53000000003</v>
      </c>
      <c r="Y112" s="230">
        <f t="shared" si="27"/>
        <v>367570.47</v>
      </c>
      <c r="Z112" s="230">
        <f>IF(J112&lt;=10,INDEX('Savings Projection'!$BL$19:$BL$28,J112),LOOKUP(2,1/('Savings Projection'!$BL$19:$BL$28&lt;&gt;""),'Savings Projection'!$BL$19:$BL$28))*(1+'Model Inputs'!$B$35)^(J112-1)+IF(J112&lt;=10,INDEX('Savings Projection'!$BM$19:$BM$28,J112),LOOKUP(2,1/('Savings Projection'!$BM$19:$BM$28&lt;&gt;""),'Savings Projection'!$BM$19:$BM$28))*(1+'Model Inputs'!$B$36)^(J112-1)</f>
        <v>135795.20000000001</v>
      </c>
      <c r="AA112" s="230">
        <f t="shared" si="28"/>
        <v>231775.26999999996</v>
      </c>
      <c r="AB112" s="230">
        <f>MIN(MAX(AA112,0),'Tax Assumptions'!$B$20)</f>
        <v>7500</v>
      </c>
      <c r="AC112" s="230">
        <f t="shared" si="29"/>
        <v>224275.26999999996</v>
      </c>
      <c r="AD112" s="230">
        <f>MAX(AD111*(1+'Model Inputs'!$B$13)+AC112,0)</f>
        <v>710354.56029199995</v>
      </c>
      <c r="AE112" s="230">
        <f>MAX(AE111*(1+'Model Inputs'!$B$13)+U112+AB112,0)</f>
        <v>101875.2</v>
      </c>
      <c r="AF112" s="230">
        <f t="shared" si="30"/>
        <v>812229.7602919999</v>
      </c>
      <c r="AG112" s="226" t="str">
        <f t="shared" si="57"/>
        <v/>
      </c>
      <c r="AH112" s="226" t="str">
        <f t="shared" si="58"/>
        <v/>
      </c>
      <c r="AI112" s="226" t="str">
        <f t="shared" si="59"/>
        <v/>
      </c>
      <c r="AJ112" s="226" t="str">
        <f t="shared" si="60"/>
        <v/>
      </c>
    </row>
    <row r="113" spans="1:36" ht="18" customHeight="1" x14ac:dyDescent="0.2">
      <c r="A113" s="226" t="str">
        <f t="shared" si="49"/>
        <v>3Y -&gt; PM Y7 Upside</v>
      </c>
      <c r="B113" s="226">
        <f t="shared" si="50"/>
        <v>3</v>
      </c>
      <c r="C113" s="235">
        <f t="shared" si="51"/>
        <v>3</v>
      </c>
      <c r="D113" s="226">
        <f t="shared" si="52"/>
        <v>7</v>
      </c>
      <c r="E113" s="226" t="str">
        <f t="shared" si="53"/>
        <v>Upside</v>
      </c>
      <c r="F113" s="230">
        <f t="shared" si="54"/>
        <v>50000000</v>
      </c>
      <c r="G113" s="236">
        <f t="shared" si="55"/>
        <v>0.2</v>
      </c>
      <c r="H113" s="230">
        <f t="shared" si="56"/>
        <v>300000</v>
      </c>
      <c r="I113" s="236">
        <f t="shared" si="21"/>
        <v>0</v>
      </c>
      <c r="J113" s="234">
        <v>4</v>
      </c>
      <c r="K113" s="234">
        <f t="shared" si="22"/>
        <v>2029</v>
      </c>
      <c r="L113" s="230">
        <f>IF(J113=1,'Model Inputs'!$B$25*(13-'Model Inputs'!$B$23)/12,'Model Inputs'!$B$25)</f>
        <v>300000</v>
      </c>
      <c r="M113" s="230">
        <f>IF(J113=1,'Model Inputs'!$B$27*(13-'Model Inputs'!$B$23)/12,IF(J113=2,'Model Inputs'!$B$27,IF(J113&lt;=MAX(3,'Model Inputs'!$B$30+1),'Model Inputs'!$B$27*(1+'Model Inputs'!$B$28)^(J113-3),'Model Inputs'!$B$27*(1+'Model Inputs'!$B$28)^(MAX(3,'Model Inputs'!$B$30+1)-3)*(1+'Model Inputs'!$B$29)^(J113-MAX(3,'Model Inputs'!$B$30+1)))))</f>
        <v>653834.84153110103</v>
      </c>
      <c r="N113" s="236">
        <f>IF(J113&lt;=2,0,'Model Inputs'!$B$32*SIN(2*PI()*(J113-3+'Model Inputs'!$B$34)/MAX(1,'Model Inputs'!$B$33)))</f>
        <v>0.10392304845413264</v>
      </c>
      <c r="O113" s="230">
        <f t="shared" si="23"/>
        <v>721783.35144853778</v>
      </c>
      <c r="P113" s="230">
        <f t="shared" si="61"/>
        <v>450000</v>
      </c>
      <c r="Q113" s="230">
        <f>L113+P113+IF(J113=1,'Model Inputs'!$B$26,0)</f>
        <v>750000</v>
      </c>
      <c r="R113" s="230">
        <f t="shared" si="24"/>
        <v>2250000</v>
      </c>
      <c r="S113" s="230">
        <f t="shared" si="25"/>
        <v>10300000</v>
      </c>
      <c r="T113" s="230">
        <f t="shared" si="26"/>
        <v>2250000</v>
      </c>
      <c r="U113" s="230">
        <f>MIN(T113,'Tax Assumptions'!$B$19)</f>
        <v>24500</v>
      </c>
      <c r="V113" s="230">
        <f>MAX(T113-U113-'Tax Assumptions'!$B$8,0)</f>
        <v>2209400</v>
      </c>
      <c r="W113" s="230">
        <f>MAX(T113-U113-'Tax Assumptions'!$B$9,0)</f>
        <v>2217500</v>
      </c>
      <c r="X113" s="230">
        <f>IF(V113=0,0,LOOKUP(V113,'Tax Assumptions'!$F$9:$F$15,'Tax Assumptions'!$I$9:$I$15)+(V113-LOOKUP(V113,'Tax Assumptions'!$F$9:$F$15,'Tax Assumptions'!$F$9:$F$15))*LOOKUP(V113,'Tax Assumptions'!$F$9:$F$15,'Tax Assumptions'!$H$9:$H$15))+MIN(MAX(T113,0),'Tax Assumptions'!$B$11)*'Tax Assumptions'!$B$10+MAX(T113,0)*'Tax Assumptions'!$B$12+MAX(MAX(T113,0)-'Tax Assumptions'!$B$14,0)*'Tax Assumptions'!$B$13+MIN(T113*'Tax Assumptions'!$B$15,'Tax Assumptions'!$B$16)+MIN(T113*'Tax Assumptions'!$B$17,'Tax Assumptions'!$B$18)+IF(W113=0,0,LOOKUP(W113,'Tax Assumptions'!$K$9:$K$17,'Tax Assumptions'!$N$9:$N$17)+(W113-LOOKUP(W113,'Tax Assumptions'!$K$9:$K$17,'Tax Assumptions'!$K$9:$K$17))*LOOKUP(W113,'Tax Assumptions'!$K$9:$K$17,'Tax Assumptions'!$M$9:$M$17))+IF(W113=0,0,LOOKUP(W113,'Tax Assumptions'!$P$9:$P$12,'Tax Assumptions'!$S$9:$S$12)+(W113-LOOKUP(W113,'Tax Assumptions'!$P$9:$P$12,'Tax Assumptions'!$P$9:$P$12))*LOOKUP(W113,'Tax Assumptions'!$P$9:$P$12,'Tax Assumptions'!$R$9:$R$12))</f>
        <v>1103420.635</v>
      </c>
      <c r="Y113" s="230">
        <f t="shared" si="27"/>
        <v>1122079.365</v>
      </c>
      <c r="Z113" s="230">
        <f>IF(J113&lt;=10,INDEX('Savings Projection'!$BL$19:$BL$28,J113),LOOKUP(2,1/('Savings Projection'!$BL$19:$BL$28&lt;&gt;""),'Savings Projection'!$BL$19:$BL$28))*(1+'Model Inputs'!$B$35)^(J113-1)+IF(J113&lt;=10,INDEX('Savings Projection'!$BM$19:$BM$28,J113),LOOKUP(2,1/('Savings Projection'!$BM$19:$BM$28&lt;&gt;""),'Savings Projection'!$BM$19:$BM$28))*(1+'Model Inputs'!$B$36)^(J113-1)</f>
        <v>139869.05600000001</v>
      </c>
      <c r="AA113" s="230">
        <f t="shared" si="28"/>
        <v>982210.30900000001</v>
      </c>
      <c r="AB113" s="230">
        <f>MIN(MAX(AA113,0),'Tax Assumptions'!$B$20)</f>
        <v>7500</v>
      </c>
      <c r="AC113" s="230">
        <f t="shared" si="29"/>
        <v>974710.30900000001</v>
      </c>
      <c r="AD113" s="230">
        <f>MAX(AD112*(1+'Model Inputs'!$B$13)+AC113,0)</f>
        <v>1727686.1429095198</v>
      </c>
      <c r="AE113" s="230">
        <f>MAX(AE112*(1+'Model Inputs'!$B$13)+U113+AB113,0)</f>
        <v>139987.712</v>
      </c>
      <c r="AF113" s="230">
        <f t="shared" si="30"/>
        <v>1867673.8549095199</v>
      </c>
      <c r="AG113" s="226" t="str">
        <f t="shared" si="57"/>
        <v/>
      </c>
      <c r="AH113" s="226" t="str">
        <f t="shared" si="58"/>
        <v/>
      </c>
      <c r="AI113" s="226" t="str">
        <f t="shared" si="59"/>
        <v/>
      </c>
      <c r="AJ113" s="226" t="str">
        <f t="shared" si="60"/>
        <v/>
      </c>
    </row>
    <row r="114" spans="1:36" ht="18" customHeight="1" x14ac:dyDescent="0.2">
      <c r="A114" s="226" t="str">
        <f t="shared" si="49"/>
        <v>3Y -&gt; PM Y7 Upside</v>
      </c>
      <c r="B114" s="226">
        <f t="shared" si="50"/>
        <v>3</v>
      </c>
      <c r="C114" s="235">
        <f t="shared" si="51"/>
        <v>3</v>
      </c>
      <c r="D114" s="226">
        <f t="shared" si="52"/>
        <v>7</v>
      </c>
      <c r="E114" s="226" t="str">
        <f t="shared" si="53"/>
        <v>Upside</v>
      </c>
      <c r="F114" s="230">
        <f t="shared" si="54"/>
        <v>50000000</v>
      </c>
      <c r="G114" s="236">
        <f t="shared" si="55"/>
        <v>0.2</v>
      </c>
      <c r="H114" s="230">
        <f t="shared" si="56"/>
        <v>300000</v>
      </c>
      <c r="I114" s="236">
        <f t="shared" ref="I114:I177" si="62">$J$17</f>
        <v>0</v>
      </c>
      <c r="J114" s="234">
        <v>5</v>
      </c>
      <c r="K114" s="234">
        <f t="shared" ref="K114:K177" si="63">2025+J114</f>
        <v>2030</v>
      </c>
      <c r="L114" s="230">
        <f>IF(J114=1,'Model Inputs'!$B$25*(13-'Model Inputs'!$B$23)/12,'Model Inputs'!$B$25)</f>
        <v>300000</v>
      </c>
      <c r="M114" s="230">
        <f>IF(J114=1,'Model Inputs'!$B$27*(13-'Model Inputs'!$B$23)/12,IF(J114=2,'Model Inputs'!$B$27,IF(J114&lt;=MAX(3,'Model Inputs'!$B$30+1),'Model Inputs'!$B$27*(1+'Model Inputs'!$B$28)^(J114-3),'Model Inputs'!$B$27*(1+'Model Inputs'!$B$28)^(MAX(3,'Model Inputs'!$B$30+1)-3)*(1+'Model Inputs'!$B$29)^(J114-MAX(3,'Model Inputs'!$B$30+1)))))</f>
        <v>950000</v>
      </c>
      <c r="N114" s="236">
        <f>IF(J114&lt;=2,0,'Model Inputs'!$B$32*SIN(2*PI()*(J114-3+'Model Inputs'!$B$34)/MAX(1,'Model Inputs'!$B$33)))</f>
        <v>-0.1039230484541326</v>
      </c>
      <c r="O114" s="230">
        <f t="shared" ref="O114:O177" si="64">M114*(1+N114)</f>
        <v>851273.10396857408</v>
      </c>
      <c r="P114" s="230">
        <f t="shared" si="61"/>
        <v>653837.51358640334</v>
      </c>
      <c r="Q114" s="230">
        <f>L114+P114+IF(J114=1,'Model Inputs'!$B$26,0)</f>
        <v>953837.51358640334</v>
      </c>
      <c r="R114" s="230">
        <f t="shared" ref="R114:R177" si="65">IF(J114&lt;=B114,Q114,Q114*C114)</f>
        <v>2861512.54075921</v>
      </c>
      <c r="S114" s="230">
        <f t="shared" ref="S114:S177" si="66">H114+F114*G114*(1+I114)^MAX(0,J114-D114)</f>
        <v>10300000</v>
      </c>
      <c r="T114" s="230">
        <f t="shared" ref="T114:T177" si="67">IF(J114&gt;=D114,S114,R114)</f>
        <v>2861512.54075921</v>
      </c>
      <c r="U114" s="230">
        <f>MIN(T114,'Tax Assumptions'!$B$19)</f>
        <v>24500</v>
      </c>
      <c r="V114" s="230">
        <f>MAX(T114-U114-'Tax Assumptions'!$B$8,0)</f>
        <v>2820912.54075921</v>
      </c>
      <c r="W114" s="230">
        <f>MAX(T114-U114-'Tax Assumptions'!$B$9,0)</f>
        <v>2829012.54075921</v>
      </c>
      <c r="X114" s="230">
        <f>IF(V114=0,0,LOOKUP(V114,'Tax Assumptions'!$F$9:$F$15,'Tax Assumptions'!$I$9:$I$15)+(V114-LOOKUP(V114,'Tax Assumptions'!$F$9:$F$15,'Tax Assumptions'!$F$9:$F$15))*LOOKUP(V114,'Tax Assumptions'!$F$9:$F$15,'Tax Assumptions'!$H$9:$H$15))+MIN(MAX(T114,0),'Tax Assumptions'!$B$11)*'Tax Assumptions'!$B$10+MAX(T114,0)*'Tax Assumptions'!$B$12+MAX(MAX(T114,0)-'Tax Assumptions'!$B$14,0)*'Tax Assumptions'!$B$13+MIN(T114*'Tax Assumptions'!$B$15,'Tax Assumptions'!$B$16)+MIN(T114*'Tax Assumptions'!$B$17,'Tax Assumptions'!$B$18)+IF(W114=0,0,LOOKUP(W114,'Tax Assumptions'!$K$9:$K$17,'Tax Assumptions'!$N$9:$N$17)+(W114-LOOKUP(W114,'Tax Assumptions'!$K$9:$K$17,'Tax Assumptions'!$K$9:$K$17))*LOOKUP(W114,'Tax Assumptions'!$K$9:$K$17,'Tax Assumptions'!$M$9:$M$17))+IF(W114=0,0,LOOKUP(W114,'Tax Assumptions'!$P$9:$P$12,'Tax Assumptions'!$S$9:$S$12)+(W114-LOOKUP(W114,'Tax Assumptions'!$P$9:$P$12,'Tax Assumptions'!$P$9:$P$12))*LOOKUP(W114,'Tax Assumptions'!$P$9:$P$12,'Tax Assumptions'!$R$9:$R$12))</f>
        <v>1426764.0060518396</v>
      </c>
      <c r="Y114" s="230">
        <f t="shared" ref="Y114:Y177" si="68">T114-U114-X114</f>
        <v>1410248.5347073704</v>
      </c>
      <c r="Z114" s="230">
        <f>IF(J114&lt;=10,INDEX('Savings Projection'!$BL$19:$BL$28,J114),LOOKUP(2,1/('Savings Projection'!$BL$19:$BL$28&lt;&gt;""),'Savings Projection'!$BL$19:$BL$28))*(1+'Model Inputs'!$B$35)^(J114-1)+IF(J114&lt;=10,INDEX('Savings Projection'!$BM$19:$BM$28,J114),LOOKUP(2,1/('Savings Projection'!$BM$19:$BM$28&lt;&gt;""),'Savings Projection'!$BM$19:$BM$28))*(1+'Model Inputs'!$B$36)^(J114-1)</f>
        <v>144065.12767999998</v>
      </c>
      <c r="AA114" s="230">
        <f t="shared" ref="AA114:AA177" si="69">Y114-Z114</f>
        <v>1266183.4070273705</v>
      </c>
      <c r="AB114" s="230">
        <f>MIN(MAX(AA114,0),'Tax Assumptions'!$B$20)</f>
        <v>7500</v>
      </c>
      <c r="AC114" s="230">
        <f t="shared" ref="AC114:AC177" si="70">AA114-AB114</f>
        <v>1258683.4070273705</v>
      </c>
      <c r="AD114" s="230">
        <f>MAX(AD113*(1+'Model Inputs'!$B$13)+AC114,0)</f>
        <v>3090030.7185114617</v>
      </c>
      <c r="AE114" s="230">
        <f>MAX(AE113*(1+'Model Inputs'!$B$13)+U114+AB114,0)</f>
        <v>180386.97472</v>
      </c>
      <c r="AF114" s="230">
        <f t="shared" ref="AF114:AF177" si="71">AD114+AE114</f>
        <v>3270417.6932314616</v>
      </c>
      <c r="AG114" s="226" t="str">
        <f t="shared" si="57"/>
        <v/>
      </c>
      <c r="AH114" s="226" t="str">
        <f t="shared" si="58"/>
        <v/>
      </c>
      <c r="AI114" s="226" t="str">
        <f t="shared" si="59"/>
        <v/>
      </c>
      <c r="AJ114" s="226" t="str">
        <f t="shared" si="60"/>
        <v/>
      </c>
    </row>
    <row r="115" spans="1:36" ht="18" customHeight="1" x14ac:dyDescent="0.2">
      <c r="A115" s="226" t="str">
        <f t="shared" si="49"/>
        <v>3Y -&gt; PM Y7 Upside</v>
      </c>
      <c r="B115" s="226">
        <f t="shared" si="50"/>
        <v>3</v>
      </c>
      <c r="C115" s="235">
        <f t="shared" si="51"/>
        <v>3</v>
      </c>
      <c r="D115" s="226">
        <f t="shared" si="52"/>
        <v>7</v>
      </c>
      <c r="E115" s="226" t="str">
        <f t="shared" si="53"/>
        <v>Upside</v>
      </c>
      <c r="F115" s="230">
        <f t="shared" si="54"/>
        <v>50000000</v>
      </c>
      <c r="G115" s="236">
        <f t="shared" si="55"/>
        <v>0.2</v>
      </c>
      <c r="H115" s="230">
        <f t="shared" si="56"/>
        <v>300000</v>
      </c>
      <c r="I115" s="236">
        <f t="shared" si="62"/>
        <v>0</v>
      </c>
      <c r="J115" s="234">
        <v>6</v>
      </c>
      <c r="K115" s="234">
        <f t="shared" si="63"/>
        <v>2031</v>
      </c>
      <c r="L115" s="230">
        <f>IF(J115=1,'Model Inputs'!$B$25*(13-'Model Inputs'!$B$23)/12,'Model Inputs'!$B$25)</f>
        <v>300000</v>
      </c>
      <c r="M115" s="230">
        <f>IF(J115=1,'Model Inputs'!$B$27*(13-'Model Inputs'!$B$23)/12,IF(J115=2,'Model Inputs'!$B$27,IF(J115&lt;=MAX(3,'Model Inputs'!$B$30+1),'Model Inputs'!$B$27*(1+'Model Inputs'!$B$28)^(J115-3),'Model Inputs'!$B$27*(1+'Model Inputs'!$B$28)^(MAX(3,'Model Inputs'!$B$30+1)-3)*(1+'Model Inputs'!$B$29)^(J115-MAX(3,'Model Inputs'!$B$30+1)))))</f>
        <v>1207333.5632986501</v>
      </c>
      <c r="N115" s="236">
        <f>IF(J115&lt;=2,0,'Model Inputs'!$B$32*SIN(2*PI()*(J115-3+'Model Inputs'!$B$34)/MAX(1,'Model Inputs'!$B$33)))</f>
        <v>-2.9391523179536474E-17</v>
      </c>
      <c r="O115" s="230">
        <f t="shared" si="64"/>
        <v>1207333.5632986501</v>
      </c>
      <c r="P115" s="230">
        <f t="shared" si="61"/>
        <v>818900.66583856498</v>
      </c>
      <c r="Q115" s="230">
        <f>L115+P115+IF(J115=1,'Model Inputs'!$B$26,0)</f>
        <v>1118900.665838565</v>
      </c>
      <c r="R115" s="230">
        <f t="shared" si="65"/>
        <v>3356701.9975156952</v>
      </c>
      <c r="S115" s="230">
        <f t="shared" si="66"/>
        <v>10300000</v>
      </c>
      <c r="T115" s="230">
        <f t="shared" si="67"/>
        <v>3356701.9975156952</v>
      </c>
      <c r="U115" s="230">
        <f>MIN(T115,'Tax Assumptions'!$B$19)</f>
        <v>24500</v>
      </c>
      <c r="V115" s="230">
        <f>MAX(T115-U115-'Tax Assumptions'!$B$8,0)</f>
        <v>3316101.9975156952</v>
      </c>
      <c r="W115" s="230">
        <f>MAX(T115-U115-'Tax Assumptions'!$B$9,0)</f>
        <v>3324201.9975156952</v>
      </c>
      <c r="X115" s="230">
        <f>IF(V115=0,0,LOOKUP(V115,'Tax Assumptions'!$F$9:$F$15,'Tax Assumptions'!$I$9:$I$15)+(V115-LOOKUP(V115,'Tax Assumptions'!$F$9:$F$15,'Tax Assumptions'!$F$9:$F$15))*LOOKUP(V115,'Tax Assumptions'!$F$9:$F$15,'Tax Assumptions'!$H$9:$H$15))+MIN(MAX(T115,0),'Tax Assumptions'!$B$11)*'Tax Assumptions'!$B$10+MAX(T115,0)*'Tax Assumptions'!$B$12+MAX(MAX(T115,0)-'Tax Assumptions'!$B$14,0)*'Tax Assumptions'!$B$13+MIN(T115*'Tax Assumptions'!$B$15,'Tax Assumptions'!$B$16)+MIN(T115*'Tax Assumptions'!$B$17,'Tax Assumptions'!$B$18)+IF(W115=0,0,LOOKUP(W115,'Tax Assumptions'!$K$9:$K$17,'Tax Assumptions'!$N$9:$N$17)+(W115-LOOKUP(W115,'Tax Assumptions'!$K$9:$K$17,'Tax Assumptions'!$K$9:$K$17))*LOOKUP(W115,'Tax Assumptions'!$K$9:$K$17,'Tax Assumptions'!$M$9:$M$17))+IF(W115=0,0,LOOKUP(W115,'Tax Assumptions'!$P$9:$P$12,'Tax Assumptions'!$S$9:$S$12)+(W115-LOOKUP(W115,'Tax Assumptions'!$P$9:$P$12,'Tax Assumptions'!$P$9:$P$12))*LOOKUP(W115,'Tax Assumptions'!$P$9:$P$12,'Tax Assumptions'!$R$9:$R$12))</f>
        <v>1688600.3832063989</v>
      </c>
      <c r="Y115" s="230">
        <f t="shared" si="68"/>
        <v>1643601.6143092962</v>
      </c>
      <c r="Z115" s="230">
        <f>IF(J115&lt;=10,INDEX('Savings Projection'!$BL$19:$BL$28,J115),LOOKUP(2,1/('Savings Projection'!$BL$19:$BL$28&lt;&gt;""),'Savings Projection'!$BL$19:$BL$28))*(1+'Model Inputs'!$B$35)^(J115-1)+IF(J115&lt;=10,INDEX('Savings Projection'!$BM$19:$BM$28,J115),LOOKUP(2,1/('Savings Projection'!$BM$19:$BM$28&lt;&gt;""),'Savings Projection'!$BM$19:$BM$28))*(1+'Model Inputs'!$B$36)^(J115-1)</f>
        <v>150705.62965899997</v>
      </c>
      <c r="AA115" s="230">
        <f t="shared" si="69"/>
        <v>1492895.9846502962</v>
      </c>
      <c r="AB115" s="230">
        <f>MIN(MAX(AA115,0),'Tax Assumptions'!$B$20)</f>
        <v>7500</v>
      </c>
      <c r="AC115" s="230">
        <f t="shared" si="70"/>
        <v>1485395.9846502962</v>
      </c>
      <c r="AD115" s="230">
        <f>MAX(AD114*(1+'Model Inputs'!$B$13)+AC115,0)</f>
        <v>4760828.5462724455</v>
      </c>
      <c r="AE115" s="230">
        <f>MAX(AE114*(1+'Model Inputs'!$B$13)+U115+AB115,0)</f>
        <v>223210.1932032</v>
      </c>
      <c r="AF115" s="230">
        <f t="shared" si="71"/>
        <v>4984038.7394756451</v>
      </c>
      <c r="AG115" s="226" t="str">
        <f t="shared" si="57"/>
        <v/>
      </c>
      <c r="AH115" s="226" t="str">
        <f t="shared" si="58"/>
        <v/>
      </c>
      <c r="AI115" s="226" t="str">
        <f t="shared" si="59"/>
        <v/>
      </c>
      <c r="AJ115" s="226" t="str">
        <f t="shared" si="60"/>
        <v/>
      </c>
    </row>
    <row r="116" spans="1:36" ht="18" customHeight="1" x14ac:dyDescent="0.2">
      <c r="A116" s="226" t="str">
        <f t="shared" si="49"/>
        <v>3Y -&gt; PM Y7 Upside</v>
      </c>
      <c r="B116" s="226">
        <f t="shared" si="50"/>
        <v>3</v>
      </c>
      <c r="C116" s="235">
        <f t="shared" si="51"/>
        <v>3</v>
      </c>
      <c r="D116" s="226">
        <f t="shared" si="52"/>
        <v>7</v>
      </c>
      <c r="E116" s="226" t="str">
        <f t="shared" si="53"/>
        <v>Upside</v>
      </c>
      <c r="F116" s="230">
        <f t="shared" si="54"/>
        <v>50000000</v>
      </c>
      <c r="G116" s="236">
        <f t="shared" si="55"/>
        <v>0.2</v>
      </c>
      <c r="H116" s="230">
        <f t="shared" si="56"/>
        <v>300000</v>
      </c>
      <c r="I116" s="236">
        <f t="shared" si="62"/>
        <v>0</v>
      </c>
      <c r="J116" s="234">
        <v>7</v>
      </c>
      <c r="K116" s="234">
        <f t="shared" si="63"/>
        <v>2032</v>
      </c>
      <c r="L116" s="230">
        <f>IF(J116=1,'Model Inputs'!$B$25*(13-'Model Inputs'!$B$23)/12,'Model Inputs'!$B$25)</f>
        <v>300000</v>
      </c>
      <c r="M116" s="230">
        <f>IF(J116=1,'Model Inputs'!$B$27*(13-'Model Inputs'!$B$23)/12,IF(J116=2,'Model Inputs'!$B$27,IF(J116&lt;=MAX(3,'Model Inputs'!$B$30+1),'Model Inputs'!$B$27*(1+'Model Inputs'!$B$28)^(J116-3),'Model Inputs'!$B$27*(1+'Model Inputs'!$B$28)^(MAX(3,'Model Inputs'!$B$30+1)-3)*(1+'Model Inputs'!$B$29)^(J116-MAX(3,'Model Inputs'!$B$30+1)))))</f>
        <v>1534372.9821762268</v>
      </c>
      <c r="N116" s="236">
        <f>IF(J116&lt;=2,0,'Model Inputs'!$B$32*SIN(2*PI()*(J116-3+'Model Inputs'!$B$34)/MAX(1,'Model Inputs'!$B$33)))</f>
        <v>0.10392304845413269</v>
      </c>
      <c r="O116" s="230">
        <f t="shared" si="64"/>
        <v>1693829.6999496389</v>
      </c>
      <c r="P116" s="230">
        <f t="shared" si="61"/>
        <v>1118318.448466131</v>
      </c>
      <c r="Q116" s="230">
        <f>L116+P116+IF(J116=1,'Model Inputs'!$B$26,0)</f>
        <v>1418318.448466131</v>
      </c>
      <c r="R116" s="230">
        <f t="shared" si="65"/>
        <v>4254955.3453983925</v>
      </c>
      <c r="S116" s="230">
        <f t="shared" si="66"/>
        <v>10300000</v>
      </c>
      <c r="T116" s="230">
        <f t="shared" si="67"/>
        <v>10300000</v>
      </c>
      <c r="U116" s="230">
        <f>MIN(T116,'Tax Assumptions'!$B$19)</f>
        <v>24500</v>
      </c>
      <c r="V116" s="230">
        <f>MAX(T116-U116-'Tax Assumptions'!$B$8,0)</f>
        <v>10259400</v>
      </c>
      <c r="W116" s="230">
        <f>MAX(T116-U116-'Tax Assumptions'!$B$9,0)</f>
        <v>10267500</v>
      </c>
      <c r="X116" s="230">
        <f>IF(V116=0,0,LOOKUP(V116,'Tax Assumptions'!$F$9:$F$15,'Tax Assumptions'!$I$9:$I$15)+(V116-LOOKUP(V116,'Tax Assumptions'!$F$9:$F$15,'Tax Assumptions'!$F$9:$F$15))*LOOKUP(V116,'Tax Assumptions'!$F$9:$F$15,'Tax Assumptions'!$H$9:$H$15))+MIN(MAX(T116,0),'Tax Assumptions'!$B$11)*'Tax Assumptions'!$B$10+MAX(T116,0)*'Tax Assumptions'!$B$12+MAX(MAX(T116,0)-'Tax Assumptions'!$B$14,0)*'Tax Assumptions'!$B$13+MIN(T116*'Tax Assumptions'!$B$15,'Tax Assumptions'!$B$16)+MIN(T116*'Tax Assumptions'!$B$17,'Tax Assumptions'!$B$18)+IF(W116=0,0,LOOKUP(W116,'Tax Assumptions'!$K$9:$K$17,'Tax Assumptions'!$N$9:$N$17)+(W116-LOOKUP(W116,'Tax Assumptions'!$K$9:$K$17,'Tax Assumptions'!$K$9:$K$17))*LOOKUP(W116,'Tax Assumptions'!$K$9:$K$17,'Tax Assumptions'!$M$9:$M$17))+IF(W116=0,0,LOOKUP(W116,'Tax Assumptions'!$P$9:$P$12,'Tax Assumptions'!$S$9:$S$12)+(W116-LOOKUP(W116,'Tax Assumptions'!$P$9:$P$12,'Tax Assumptions'!$P$9:$P$12))*LOOKUP(W116,'Tax Assumptions'!$P$9:$P$12,'Tax Assumptions'!$R$9:$R$12))</f>
        <v>5394180.54</v>
      </c>
      <c r="Y116" s="230">
        <f t="shared" si="68"/>
        <v>4881319.46</v>
      </c>
      <c r="Z116" s="230">
        <f>IF(J116&lt;=10,INDEX('Savings Projection'!$BL$19:$BL$28,J116),LOOKUP(2,1/('Savings Projection'!$BL$19:$BL$28&lt;&gt;""),'Savings Projection'!$BL$19:$BL$28))*(1+'Model Inputs'!$B$35)^(J116-1)+IF(J116&lt;=10,INDEX('Savings Projection'!$BM$19:$BM$28,J116),LOOKUP(2,1/('Savings Projection'!$BM$19:$BM$28&lt;&gt;""),'Savings Projection'!$BM$19:$BM$28))*(1+'Model Inputs'!$B$36)^(J116-1)</f>
        <v>155226.79854876999</v>
      </c>
      <c r="AA116" s="230">
        <f t="shared" si="69"/>
        <v>4726092.6614512298</v>
      </c>
      <c r="AB116" s="230">
        <f>MIN(MAX(AA116,0),'Tax Assumptions'!$B$20)</f>
        <v>7500</v>
      </c>
      <c r="AC116" s="230">
        <f t="shared" si="70"/>
        <v>4718592.6614512298</v>
      </c>
      <c r="AD116" s="230">
        <f>MAX(AD115*(1+'Model Inputs'!$B$13)+AC116,0)</f>
        <v>9765070.9205000214</v>
      </c>
      <c r="AE116" s="230">
        <f>MAX(AE115*(1+'Model Inputs'!$B$13)+U116+AB116,0)</f>
        <v>268602.80479539197</v>
      </c>
      <c r="AF116" s="230">
        <f t="shared" si="71"/>
        <v>10033673.725295413</v>
      </c>
      <c r="AG116" s="226" t="str">
        <f t="shared" si="57"/>
        <v/>
      </c>
      <c r="AH116" s="226" t="str">
        <f t="shared" si="58"/>
        <v/>
      </c>
      <c r="AI116" s="226" t="str">
        <f t="shared" si="59"/>
        <v/>
      </c>
      <c r="AJ116" s="226" t="str">
        <f t="shared" si="60"/>
        <v/>
      </c>
    </row>
    <row r="117" spans="1:36" ht="18" customHeight="1" x14ac:dyDescent="0.2">
      <c r="A117" s="226" t="str">
        <f t="shared" si="49"/>
        <v>3Y -&gt; PM Y7 Upside</v>
      </c>
      <c r="B117" s="226">
        <f t="shared" si="50"/>
        <v>3</v>
      </c>
      <c r="C117" s="235">
        <f t="shared" si="51"/>
        <v>3</v>
      </c>
      <c r="D117" s="226">
        <f t="shared" si="52"/>
        <v>7</v>
      </c>
      <c r="E117" s="226" t="str">
        <f t="shared" si="53"/>
        <v>Upside</v>
      </c>
      <c r="F117" s="230">
        <f t="shared" si="54"/>
        <v>50000000</v>
      </c>
      <c r="G117" s="236">
        <f t="shared" si="55"/>
        <v>0.2</v>
      </c>
      <c r="H117" s="230">
        <f t="shared" si="56"/>
        <v>300000</v>
      </c>
      <c r="I117" s="236">
        <f t="shared" si="62"/>
        <v>0</v>
      </c>
      <c r="J117" s="234">
        <v>8</v>
      </c>
      <c r="K117" s="234">
        <f t="shared" si="63"/>
        <v>2033</v>
      </c>
      <c r="L117" s="230">
        <f>IF(J117=1,'Model Inputs'!$B$25*(13-'Model Inputs'!$B$23)/12,'Model Inputs'!$B$25)</f>
        <v>300000</v>
      </c>
      <c r="M117" s="230">
        <f>IF(J117=1,'Model Inputs'!$B$27*(13-'Model Inputs'!$B$23)/12,IF(J117=2,'Model Inputs'!$B$27,IF(J117&lt;=MAX(3,'Model Inputs'!$B$30+1),'Model Inputs'!$B$27*(1+'Model Inputs'!$B$28)^(J117-3),'Model Inputs'!$B$27*(1+'Model Inputs'!$B$28)^(MAX(3,'Model Inputs'!$B$30+1)-3)*(1+'Model Inputs'!$B$29)^(J117-MAX(3,'Model Inputs'!$B$30+1)))))</f>
        <v>1950000.0000000002</v>
      </c>
      <c r="N117" s="236">
        <f>IF(J117&lt;=2,0,'Model Inputs'!$B$32*SIN(2*PI()*(J117-3+'Model Inputs'!$B$34)/MAX(1,'Model Inputs'!$B$33)))</f>
        <v>-0.10392304845413264</v>
      </c>
      <c r="O117" s="230">
        <f t="shared" si="64"/>
        <v>1747350.0555144416</v>
      </c>
      <c r="P117" s="230">
        <f t="shared" si="61"/>
        <v>1572205.6657868917</v>
      </c>
      <c r="Q117" s="230">
        <f>L117+P117+IF(J117=1,'Model Inputs'!$B$26,0)</f>
        <v>1872205.6657868917</v>
      </c>
      <c r="R117" s="230">
        <f t="shared" si="65"/>
        <v>5616616.9973606747</v>
      </c>
      <c r="S117" s="230">
        <f t="shared" si="66"/>
        <v>10300000</v>
      </c>
      <c r="T117" s="230">
        <f t="shared" si="67"/>
        <v>10300000</v>
      </c>
      <c r="U117" s="230">
        <f>MIN(T117,'Tax Assumptions'!$B$19)</f>
        <v>24500</v>
      </c>
      <c r="V117" s="230">
        <f>MAX(T117-U117-'Tax Assumptions'!$B$8,0)</f>
        <v>10259400</v>
      </c>
      <c r="W117" s="230">
        <f>MAX(T117-U117-'Tax Assumptions'!$B$9,0)</f>
        <v>10267500</v>
      </c>
      <c r="X117" s="230">
        <f>IF(V117=0,0,LOOKUP(V117,'Tax Assumptions'!$F$9:$F$15,'Tax Assumptions'!$I$9:$I$15)+(V117-LOOKUP(V117,'Tax Assumptions'!$F$9:$F$15,'Tax Assumptions'!$F$9:$F$15))*LOOKUP(V117,'Tax Assumptions'!$F$9:$F$15,'Tax Assumptions'!$H$9:$H$15))+MIN(MAX(T117,0),'Tax Assumptions'!$B$11)*'Tax Assumptions'!$B$10+MAX(T117,0)*'Tax Assumptions'!$B$12+MAX(MAX(T117,0)-'Tax Assumptions'!$B$14,0)*'Tax Assumptions'!$B$13+MIN(T117*'Tax Assumptions'!$B$15,'Tax Assumptions'!$B$16)+MIN(T117*'Tax Assumptions'!$B$17,'Tax Assumptions'!$B$18)+IF(W117=0,0,LOOKUP(W117,'Tax Assumptions'!$K$9:$K$17,'Tax Assumptions'!$N$9:$N$17)+(W117-LOOKUP(W117,'Tax Assumptions'!$K$9:$K$17,'Tax Assumptions'!$K$9:$K$17))*LOOKUP(W117,'Tax Assumptions'!$K$9:$K$17,'Tax Assumptions'!$M$9:$M$17))+IF(W117=0,0,LOOKUP(W117,'Tax Assumptions'!$P$9:$P$12,'Tax Assumptions'!$S$9:$S$12)+(W117-LOOKUP(W117,'Tax Assumptions'!$P$9:$P$12,'Tax Assumptions'!$P$9:$P$12))*LOOKUP(W117,'Tax Assumptions'!$P$9:$P$12,'Tax Assumptions'!$R$9:$R$12))</f>
        <v>5394180.54</v>
      </c>
      <c r="Y117" s="230">
        <f t="shared" si="68"/>
        <v>4881319.46</v>
      </c>
      <c r="Z117" s="230">
        <f>IF(J117&lt;=10,INDEX('Savings Projection'!$BL$19:$BL$28,J117),LOOKUP(2,1/('Savings Projection'!$BL$19:$BL$28&lt;&gt;""),'Savings Projection'!$BL$19:$BL$28))*(1+'Model Inputs'!$B$35)^(J117-1)+IF(J117&lt;=10,INDEX('Savings Projection'!$BM$19:$BM$28,J117),LOOKUP(2,1/('Savings Projection'!$BM$19:$BM$28&lt;&gt;""),'Savings Projection'!$BM$19:$BM$28))*(1+'Model Inputs'!$B$36)^(J117-1)</f>
        <v>159883.60250523311</v>
      </c>
      <c r="AA117" s="230">
        <f t="shared" si="69"/>
        <v>4721435.8574947668</v>
      </c>
      <c r="AB117" s="230">
        <f>MIN(MAX(AA117,0),'Tax Assumptions'!$B$20)</f>
        <v>7500</v>
      </c>
      <c r="AC117" s="230">
        <f t="shared" si="70"/>
        <v>4713935.8574947668</v>
      </c>
      <c r="AD117" s="230">
        <f>MAX(AD116*(1+'Model Inputs'!$B$13)+AC117,0)</f>
        <v>15064911.033224791</v>
      </c>
      <c r="AE117" s="230">
        <f>MAX(AE116*(1+'Model Inputs'!$B$13)+U117+AB117,0)</f>
        <v>316718.97308311553</v>
      </c>
      <c r="AF117" s="230">
        <f t="shared" si="71"/>
        <v>15381630.006307907</v>
      </c>
      <c r="AG117" s="226">
        <f t="shared" si="57"/>
        <v>8</v>
      </c>
      <c r="AH117" s="226" t="str">
        <f t="shared" si="58"/>
        <v/>
      </c>
      <c r="AI117" s="226" t="str">
        <f t="shared" si="59"/>
        <v/>
      </c>
      <c r="AJ117" s="226" t="str">
        <f t="shared" si="60"/>
        <v/>
      </c>
    </row>
    <row r="118" spans="1:36" ht="18" customHeight="1" x14ac:dyDescent="0.2">
      <c r="A118" s="226" t="str">
        <f t="shared" si="49"/>
        <v>3Y -&gt; PM Y7 Upside</v>
      </c>
      <c r="B118" s="226">
        <f t="shared" si="50"/>
        <v>3</v>
      </c>
      <c r="C118" s="235">
        <f t="shared" si="51"/>
        <v>3</v>
      </c>
      <c r="D118" s="226">
        <f t="shared" si="52"/>
        <v>7</v>
      </c>
      <c r="E118" s="226" t="str">
        <f t="shared" si="53"/>
        <v>Upside</v>
      </c>
      <c r="F118" s="230">
        <f t="shared" si="54"/>
        <v>50000000</v>
      </c>
      <c r="G118" s="236">
        <f t="shared" si="55"/>
        <v>0.2</v>
      </c>
      <c r="H118" s="230">
        <f t="shared" si="56"/>
        <v>300000</v>
      </c>
      <c r="I118" s="236">
        <f t="shared" si="62"/>
        <v>0</v>
      </c>
      <c r="J118" s="234">
        <v>9</v>
      </c>
      <c r="K118" s="234">
        <f t="shared" si="63"/>
        <v>2034</v>
      </c>
      <c r="L118" s="230">
        <f>IF(J118=1,'Model Inputs'!$B$25*(13-'Model Inputs'!$B$23)/12,'Model Inputs'!$B$25)</f>
        <v>300000</v>
      </c>
      <c r="M118" s="230">
        <f>IF(J118=1,'Model Inputs'!$B$27*(13-'Model Inputs'!$B$23)/12,IF(J118=2,'Model Inputs'!$B$27,IF(J118&lt;=MAX(3,'Model Inputs'!$B$30+1),'Model Inputs'!$B$27*(1+'Model Inputs'!$B$28)^(J118-3),'Model Inputs'!$B$27*(1+'Model Inputs'!$B$28)^(MAX(3,'Model Inputs'!$B$30+1)-3)*(1+'Model Inputs'!$B$29)^(J118-MAX(3,'Model Inputs'!$B$30+1)))))</f>
        <v>2478210.9983498608</v>
      </c>
      <c r="N118" s="236">
        <f>IF(J118&lt;=2,0,'Model Inputs'!$B$32*SIN(2*PI()*(J118-3+'Model Inputs'!$B$34)/MAX(1,'Model Inputs'!$B$33)))</f>
        <v>-5.8783046359072947E-17</v>
      </c>
      <c r="O118" s="230">
        <f t="shared" si="64"/>
        <v>2478210.9983498603</v>
      </c>
      <c r="P118" s="230">
        <f t="shared" si="61"/>
        <v>1733969.9666232408</v>
      </c>
      <c r="Q118" s="230">
        <f>L118+P118+IF(J118=1,'Model Inputs'!$B$26,0)</f>
        <v>2033969.9666232408</v>
      </c>
      <c r="R118" s="230">
        <f t="shared" si="65"/>
        <v>6101909.8998697223</v>
      </c>
      <c r="S118" s="230">
        <f t="shared" si="66"/>
        <v>10300000</v>
      </c>
      <c r="T118" s="230">
        <f t="shared" si="67"/>
        <v>10300000</v>
      </c>
      <c r="U118" s="230">
        <f>MIN(T118,'Tax Assumptions'!$B$19)</f>
        <v>24500</v>
      </c>
      <c r="V118" s="230">
        <f>MAX(T118-U118-'Tax Assumptions'!$B$8,0)</f>
        <v>10259400</v>
      </c>
      <c r="W118" s="230">
        <f>MAX(T118-U118-'Tax Assumptions'!$B$9,0)</f>
        <v>10267500</v>
      </c>
      <c r="X118" s="230">
        <f>IF(V118=0,0,LOOKUP(V118,'Tax Assumptions'!$F$9:$F$15,'Tax Assumptions'!$I$9:$I$15)+(V118-LOOKUP(V118,'Tax Assumptions'!$F$9:$F$15,'Tax Assumptions'!$F$9:$F$15))*LOOKUP(V118,'Tax Assumptions'!$F$9:$F$15,'Tax Assumptions'!$H$9:$H$15))+MIN(MAX(T118,0),'Tax Assumptions'!$B$11)*'Tax Assumptions'!$B$10+MAX(T118,0)*'Tax Assumptions'!$B$12+MAX(MAX(T118,0)-'Tax Assumptions'!$B$14,0)*'Tax Assumptions'!$B$13+MIN(T118*'Tax Assumptions'!$B$15,'Tax Assumptions'!$B$16)+MIN(T118*'Tax Assumptions'!$B$17,'Tax Assumptions'!$B$18)+IF(W118=0,0,LOOKUP(W118,'Tax Assumptions'!$K$9:$K$17,'Tax Assumptions'!$N$9:$N$17)+(W118-LOOKUP(W118,'Tax Assumptions'!$K$9:$K$17,'Tax Assumptions'!$K$9:$K$17))*LOOKUP(W118,'Tax Assumptions'!$K$9:$K$17,'Tax Assumptions'!$M$9:$M$17))+IF(W118=0,0,LOOKUP(W118,'Tax Assumptions'!$P$9:$P$12,'Tax Assumptions'!$S$9:$S$12)+(W118-LOOKUP(W118,'Tax Assumptions'!$P$9:$P$12,'Tax Assumptions'!$P$9:$P$12))*LOOKUP(W118,'Tax Assumptions'!$P$9:$P$12,'Tax Assumptions'!$R$9:$R$12))</f>
        <v>5394180.54</v>
      </c>
      <c r="Y118" s="230">
        <f t="shared" si="68"/>
        <v>4881319.46</v>
      </c>
      <c r="Z118" s="230">
        <f>IF(J118&lt;=10,INDEX('Savings Projection'!$BL$19:$BL$28,J118),LOOKUP(2,1/('Savings Projection'!$BL$19:$BL$28&lt;&gt;""),'Savings Projection'!$BL$19:$BL$28))*(1+'Model Inputs'!$B$35)^(J118-1)+IF(J118&lt;=10,INDEX('Savings Projection'!$BM$19:$BM$28,J118),LOOKUP(2,1/('Savings Projection'!$BM$19:$BM$28&lt;&gt;""),'Savings Projection'!$BM$19:$BM$28))*(1+'Model Inputs'!$B$36)^(J118-1)</f>
        <v>164680.11058039009</v>
      </c>
      <c r="AA118" s="230">
        <f t="shared" si="69"/>
        <v>4716639.3494196096</v>
      </c>
      <c r="AB118" s="230">
        <f>MIN(MAX(AA118,0),'Tax Assumptions'!$B$20)</f>
        <v>7500</v>
      </c>
      <c r="AC118" s="230">
        <f t="shared" si="70"/>
        <v>4709139.3494196096</v>
      </c>
      <c r="AD118" s="230">
        <f>MAX(AD117*(1+'Model Inputs'!$B$13)+AC118,0)</f>
        <v>20677945.044637889</v>
      </c>
      <c r="AE118" s="230">
        <f>MAX(AE117*(1+'Model Inputs'!$B$13)+U118+AB118,0)</f>
        <v>367722.11146810249</v>
      </c>
      <c r="AF118" s="230">
        <f t="shared" si="71"/>
        <v>21045667.156105991</v>
      </c>
      <c r="AG118" s="226" t="str">
        <f t="shared" si="57"/>
        <v/>
      </c>
      <c r="AH118" s="226">
        <f t="shared" si="58"/>
        <v>9</v>
      </c>
      <c r="AI118" s="226">
        <f t="shared" si="59"/>
        <v>9</v>
      </c>
      <c r="AJ118" s="226" t="str">
        <f t="shared" si="60"/>
        <v/>
      </c>
    </row>
    <row r="119" spans="1:36" ht="18" customHeight="1" x14ac:dyDescent="0.2">
      <c r="A119" s="226" t="str">
        <f t="shared" si="49"/>
        <v>3Y -&gt; PM Y7 Upside</v>
      </c>
      <c r="B119" s="226">
        <f t="shared" si="50"/>
        <v>3</v>
      </c>
      <c r="C119" s="235">
        <f t="shared" si="51"/>
        <v>3</v>
      </c>
      <c r="D119" s="226">
        <f t="shared" si="52"/>
        <v>7</v>
      </c>
      <c r="E119" s="226" t="str">
        <f t="shared" si="53"/>
        <v>Upside</v>
      </c>
      <c r="F119" s="230">
        <f t="shared" si="54"/>
        <v>50000000</v>
      </c>
      <c r="G119" s="236">
        <f t="shared" si="55"/>
        <v>0.2</v>
      </c>
      <c r="H119" s="230">
        <f t="shared" si="56"/>
        <v>300000</v>
      </c>
      <c r="I119" s="236">
        <f t="shared" si="62"/>
        <v>0</v>
      </c>
      <c r="J119" s="234">
        <v>10</v>
      </c>
      <c r="K119" s="234">
        <f t="shared" si="63"/>
        <v>2035</v>
      </c>
      <c r="L119" s="230">
        <f>IF(J119=1,'Model Inputs'!$B$25*(13-'Model Inputs'!$B$23)/12,'Model Inputs'!$B$25)</f>
        <v>300000</v>
      </c>
      <c r="M119" s="230">
        <f>IF(J119=1,'Model Inputs'!$B$27*(13-'Model Inputs'!$B$23)/12,IF(J119=2,'Model Inputs'!$B$27,IF(J119&lt;=MAX(3,'Model Inputs'!$B$30+1),'Model Inputs'!$B$27*(1+'Model Inputs'!$B$28)^(J119-3),'Model Inputs'!$B$27*(1+'Model Inputs'!$B$28)^(MAX(3,'Model Inputs'!$B$30+1)-3)*(1+'Model Inputs'!$B$29)^(J119-MAX(3,'Model Inputs'!$B$30+1)))))</f>
        <v>3149502.4370985711</v>
      </c>
      <c r="N119" s="236">
        <f>IF(J119&lt;=2,0,'Model Inputs'!$B$32*SIN(2*PI()*(J119-3+'Model Inputs'!$B$34)/MAX(1,'Model Inputs'!$B$33)))</f>
        <v>0.10392304845413271</v>
      </c>
      <c r="O119" s="230">
        <f t="shared" si="64"/>
        <v>3476808.331475575</v>
      </c>
      <c r="P119" s="230">
        <f t="shared" si="61"/>
        <v>2295495.7626410057</v>
      </c>
      <c r="Q119" s="230">
        <f>L119+P119+IF(J119=1,'Model Inputs'!$B$26,0)</f>
        <v>2595495.7626410057</v>
      </c>
      <c r="R119" s="230">
        <f t="shared" si="65"/>
        <v>7786487.2879230175</v>
      </c>
      <c r="S119" s="230">
        <f t="shared" si="66"/>
        <v>10300000</v>
      </c>
      <c r="T119" s="230">
        <f t="shared" si="67"/>
        <v>10300000</v>
      </c>
      <c r="U119" s="230">
        <f>MIN(T119,'Tax Assumptions'!$B$19)</f>
        <v>24500</v>
      </c>
      <c r="V119" s="230">
        <f>MAX(T119-U119-'Tax Assumptions'!$B$8,0)</f>
        <v>10259400</v>
      </c>
      <c r="W119" s="230">
        <f>MAX(T119-U119-'Tax Assumptions'!$B$9,0)</f>
        <v>10267500</v>
      </c>
      <c r="X119" s="230">
        <f>IF(V119=0,0,LOOKUP(V119,'Tax Assumptions'!$F$9:$F$15,'Tax Assumptions'!$I$9:$I$15)+(V119-LOOKUP(V119,'Tax Assumptions'!$F$9:$F$15,'Tax Assumptions'!$F$9:$F$15))*LOOKUP(V119,'Tax Assumptions'!$F$9:$F$15,'Tax Assumptions'!$H$9:$H$15))+MIN(MAX(T119,0),'Tax Assumptions'!$B$11)*'Tax Assumptions'!$B$10+MAX(T119,0)*'Tax Assumptions'!$B$12+MAX(MAX(T119,0)-'Tax Assumptions'!$B$14,0)*'Tax Assumptions'!$B$13+MIN(T119*'Tax Assumptions'!$B$15,'Tax Assumptions'!$B$16)+MIN(T119*'Tax Assumptions'!$B$17,'Tax Assumptions'!$B$18)+IF(W119=0,0,LOOKUP(W119,'Tax Assumptions'!$K$9:$K$17,'Tax Assumptions'!$N$9:$N$17)+(W119-LOOKUP(W119,'Tax Assumptions'!$K$9:$K$17,'Tax Assumptions'!$K$9:$K$17))*LOOKUP(W119,'Tax Assumptions'!$K$9:$K$17,'Tax Assumptions'!$M$9:$M$17))+IF(W119=0,0,LOOKUP(W119,'Tax Assumptions'!$P$9:$P$12,'Tax Assumptions'!$S$9:$S$12)+(W119-LOOKUP(W119,'Tax Assumptions'!$P$9:$P$12,'Tax Assumptions'!$P$9:$P$12))*LOOKUP(W119,'Tax Assumptions'!$P$9:$P$12,'Tax Assumptions'!$R$9:$R$12))</f>
        <v>5394180.54</v>
      </c>
      <c r="Y119" s="230">
        <f t="shared" si="68"/>
        <v>4881319.46</v>
      </c>
      <c r="Z119" s="230">
        <f>IF(J119&lt;=10,INDEX('Savings Projection'!$BL$19:$BL$28,J119),LOOKUP(2,1/('Savings Projection'!$BL$19:$BL$28&lt;&gt;""),'Savings Projection'!$BL$19:$BL$28))*(1+'Model Inputs'!$B$35)^(J119-1)+IF(J119&lt;=10,INDEX('Savings Projection'!$BM$19:$BM$28,J119),LOOKUP(2,1/('Savings Projection'!$BM$19:$BM$28&lt;&gt;""),'Savings Projection'!$BM$19:$BM$28))*(1+'Model Inputs'!$B$36)^(J119-1)</f>
        <v>169620.51389780178</v>
      </c>
      <c r="AA119" s="230">
        <f t="shared" si="69"/>
        <v>4711698.9461021982</v>
      </c>
      <c r="AB119" s="230">
        <f>MIN(MAX(AA119,0),'Tax Assumptions'!$B$20)</f>
        <v>7500</v>
      </c>
      <c r="AC119" s="230">
        <f t="shared" si="70"/>
        <v>4704198.9461021982</v>
      </c>
      <c r="AD119" s="230">
        <f>MAX(AD118*(1+'Model Inputs'!$B$13)+AC119,0)</f>
        <v>26622820.693418361</v>
      </c>
      <c r="AE119" s="230">
        <f>MAX(AE118*(1+'Model Inputs'!$B$13)+U119+AB119,0)</f>
        <v>421785.43815618864</v>
      </c>
      <c r="AF119" s="230">
        <f t="shared" si="71"/>
        <v>27044606.131574549</v>
      </c>
      <c r="AG119" s="226" t="str">
        <f t="shared" si="57"/>
        <v/>
      </c>
      <c r="AH119" s="226" t="str">
        <f t="shared" si="58"/>
        <v/>
      </c>
      <c r="AI119" s="226" t="str">
        <f t="shared" si="59"/>
        <v/>
      </c>
      <c r="AJ119" s="226">
        <f t="shared" si="60"/>
        <v>10</v>
      </c>
    </row>
    <row r="120" spans="1:36" ht="18" customHeight="1" x14ac:dyDescent="0.2">
      <c r="A120" s="226" t="str">
        <f t="shared" si="49"/>
        <v>3Y -&gt; PM Y7 Upside</v>
      </c>
      <c r="B120" s="226">
        <f t="shared" si="50"/>
        <v>3</v>
      </c>
      <c r="C120" s="235">
        <f t="shared" si="51"/>
        <v>3</v>
      </c>
      <c r="D120" s="226">
        <f t="shared" si="52"/>
        <v>7</v>
      </c>
      <c r="E120" s="226" t="str">
        <f t="shared" si="53"/>
        <v>Upside</v>
      </c>
      <c r="F120" s="230">
        <f t="shared" si="54"/>
        <v>50000000</v>
      </c>
      <c r="G120" s="236">
        <f t="shared" si="55"/>
        <v>0.2</v>
      </c>
      <c r="H120" s="230">
        <f t="shared" si="56"/>
        <v>300000</v>
      </c>
      <c r="I120" s="236">
        <f t="shared" si="62"/>
        <v>0</v>
      </c>
      <c r="J120" s="234">
        <v>11</v>
      </c>
      <c r="K120" s="234">
        <f t="shared" si="63"/>
        <v>2036</v>
      </c>
      <c r="L120" s="230">
        <f>IF(J120=1,'Model Inputs'!$B$25*(13-'Model Inputs'!$B$23)/12,'Model Inputs'!$B$25)</f>
        <v>300000</v>
      </c>
      <c r="M120" s="230">
        <f>IF(J120=1,'Model Inputs'!$B$27*(13-'Model Inputs'!$B$23)/12,IF(J120=2,'Model Inputs'!$B$27,IF(J120&lt;=MAX(3,'Model Inputs'!$B$30+1),'Model Inputs'!$B$27*(1+'Model Inputs'!$B$28)^(J120-3),'Model Inputs'!$B$27*(1+'Model Inputs'!$B$28)^(MAX(3,'Model Inputs'!$B$30+1)-3)*(1+'Model Inputs'!$B$29)^(J120-MAX(3,'Model Inputs'!$B$30+1)))))</f>
        <v>4002631.578947369</v>
      </c>
      <c r="N120" s="236">
        <f>IF(J120&lt;=2,0,'Model Inputs'!$B$32*SIN(2*PI()*(J120-3+'Model Inputs'!$B$34)/MAX(1,'Model Inputs'!$B$33)))</f>
        <v>-0.10392304845413253</v>
      </c>
      <c r="O120" s="230">
        <f t="shared" si="64"/>
        <v>3586665.9034243808</v>
      </c>
      <c r="P120" s="230">
        <f t="shared" si="61"/>
        <v>3227158.9981941464</v>
      </c>
      <c r="Q120" s="230">
        <f>L120+P120+IF(J120=1,'Model Inputs'!$B$26,0)</f>
        <v>3527158.9981941464</v>
      </c>
      <c r="R120" s="230">
        <f t="shared" si="65"/>
        <v>10581476.994582439</v>
      </c>
      <c r="S120" s="230">
        <f t="shared" si="66"/>
        <v>10300000</v>
      </c>
      <c r="T120" s="230">
        <f t="shared" si="67"/>
        <v>10300000</v>
      </c>
      <c r="U120" s="230">
        <f>MIN(T120,'Tax Assumptions'!$B$19)</f>
        <v>24500</v>
      </c>
      <c r="V120" s="230">
        <f>MAX(T120-U120-'Tax Assumptions'!$B$8,0)</f>
        <v>10259400</v>
      </c>
      <c r="W120" s="230">
        <f>MAX(T120-U120-'Tax Assumptions'!$B$9,0)</f>
        <v>10267500</v>
      </c>
      <c r="X120" s="230">
        <f>IF(V120=0,0,LOOKUP(V120,'Tax Assumptions'!$F$9:$F$15,'Tax Assumptions'!$I$9:$I$15)+(V120-LOOKUP(V120,'Tax Assumptions'!$F$9:$F$15,'Tax Assumptions'!$F$9:$F$15))*LOOKUP(V120,'Tax Assumptions'!$F$9:$F$15,'Tax Assumptions'!$H$9:$H$15))+MIN(MAX(T120,0),'Tax Assumptions'!$B$11)*'Tax Assumptions'!$B$10+MAX(T120,0)*'Tax Assumptions'!$B$12+MAX(MAX(T120,0)-'Tax Assumptions'!$B$14,0)*'Tax Assumptions'!$B$13+MIN(T120*'Tax Assumptions'!$B$15,'Tax Assumptions'!$B$16)+MIN(T120*'Tax Assumptions'!$B$17,'Tax Assumptions'!$B$18)+IF(W120=0,0,LOOKUP(W120,'Tax Assumptions'!$K$9:$K$17,'Tax Assumptions'!$N$9:$N$17)+(W120-LOOKUP(W120,'Tax Assumptions'!$K$9:$K$17,'Tax Assumptions'!$K$9:$K$17))*LOOKUP(W120,'Tax Assumptions'!$K$9:$K$17,'Tax Assumptions'!$M$9:$M$17))+IF(W120=0,0,LOOKUP(W120,'Tax Assumptions'!$P$9:$P$12,'Tax Assumptions'!$S$9:$S$12)+(W120-LOOKUP(W120,'Tax Assumptions'!$P$9:$P$12,'Tax Assumptions'!$P$9:$P$12))*LOOKUP(W120,'Tax Assumptions'!$P$9:$P$12,'Tax Assumptions'!$R$9:$R$12))</f>
        <v>5394180.54</v>
      </c>
      <c r="Y120" s="230">
        <f t="shared" si="68"/>
        <v>4881319.46</v>
      </c>
      <c r="Z120" s="230">
        <f>IF(J120&lt;=10,INDEX('Savings Projection'!$BL$19:$BL$28,J120),LOOKUP(2,1/('Savings Projection'!$BL$19:$BL$28&lt;&gt;""),'Savings Projection'!$BL$19:$BL$28))*(1+'Model Inputs'!$B$35)^(J120-1)+IF(J120&lt;=10,INDEX('Savings Projection'!$BM$19:$BM$28,J120),LOOKUP(2,1/('Savings Projection'!$BM$19:$BM$28&lt;&gt;""),'Savings Projection'!$BM$19:$BM$28))*(1+'Model Inputs'!$B$36)^(J120-1)</f>
        <v>174709.12931473582</v>
      </c>
      <c r="AA120" s="230">
        <f t="shared" si="69"/>
        <v>4706610.3306852644</v>
      </c>
      <c r="AB120" s="230">
        <f>MIN(MAX(AA120,0),'Tax Assumptions'!$B$20)</f>
        <v>7500</v>
      </c>
      <c r="AC120" s="230">
        <f t="shared" si="70"/>
        <v>4699110.3306852644</v>
      </c>
      <c r="AD120" s="230">
        <f>MAX(AD119*(1+'Model Inputs'!$B$13)+AC120,0)</f>
        <v>32919300.26570873</v>
      </c>
      <c r="AE120" s="230">
        <f>MAX(AE119*(1+'Model Inputs'!$B$13)+U120+AB120,0)</f>
        <v>479092.56444555998</v>
      </c>
      <c r="AF120" s="230">
        <f t="shared" si="71"/>
        <v>33398392.830154289</v>
      </c>
      <c r="AG120" s="226" t="str">
        <f t="shared" si="57"/>
        <v/>
      </c>
      <c r="AH120" s="226" t="str">
        <f t="shared" si="58"/>
        <v/>
      </c>
      <c r="AI120" s="226" t="str">
        <f t="shared" si="59"/>
        <v/>
      </c>
      <c r="AJ120" s="226" t="str">
        <f t="shared" si="60"/>
        <v/>
      </c>
    </row>
    <row r="121" spans="1:36" ht="18" customHeight="1" x14ac:dyDescent="0.2">
      <c r="A121" s="226" t="str">
        <f t="shared" si="49"/>
        <v>3Y -&gt; PM Y7 Upside</v>
      </c>
      <c r="B121" s="226">
        <f t="shared" si="50"/>
        <v>3</v>
      </c>
      <c r="C121" s="235">
        <f t="shared" si="51"/>
        <v>3</v>
      </c>
      <c r="D121" s="226">
        <f t="shared" si="52"/>
        <v>7</v>
      </c>
      <c r="E121" s="226" t="str">
        <f t="shared" si="53"/>
        <v>Upside</v>
      </c>
      <c r="F121" s="230">
        <f t="shared" si="54"/>
        <v>50000000</v>
      </c>
      <c r="G121" s="236">
        <f t="shared" si="55"/>
        <v>0.2</v>
      </c>
      <c r="H121" s="230">
        <f t="shared" si="56"/>
        <v>300000</v>
      </c>
      <c r="I121" s="236">
        <f t="shared" si="62"/>
        <v>0</v>
      </c>
      <c r="J121" s="234">
        <v>12</v>
      </c>
      <c r="K121" s="234">
        <f t="shared" si="63"/>
        <v>2037</v>
      </c>
      <c r="L121" s="230">
        <f>IF(J121=1,'Model Inputs'!$B$25*(13-'Model Inputs'!$B$23)/12,'Model Inputs'!$B$25)</f>
        <v>300000</v>
      </c>
      <c r="M121" s="230">
        <f>IF(J121=1,'Model Inputs'!$B$27*(13-'Model Inputs'!$B$23)/12,IF(J121=2,'Model Inputs'!$B$27,IF(J121&lt;=MAX(3,'Model Inputs'!$B$30+1),'Model Inputs'!$B$27*(1+'Model Inputs'!$B$28)^(J121-3),'Model Inputs'!$B$27*(1+'Model Inputs'!$B$28)^(MAX(3,'Model Inputs'!$B$30+1)-3)*(1+'Model Inputs'!$B$29)^(J121-MAX(3,'Model Inputs'!$B$30+1)))))</f>
        <v>5086854.15450761</v>
      </c>
      <c r="N121" s="236">
        <f>IF(J121&lt;=2,0,'Model Inputs'!$B$32*SIN(2*PI()*(J121-3+'Model Inputs'!$B$34)/MAX(1,'Model Inputs'!$B$33)))</f>
        <v>-8.8174569538609421E-17</v>
      </c>
      <c r="O121" s="230">
        <f t="shared" si="64"/>
        <v>5086854.1545076091</v>
      </c>
      <c r="P121" s="230">
        <f t="shared" si="61"/>
        <v>3559201.5104371794</v>
      </c>
      <c r="Q121" s="230">
        <f>L121+P121+IF(J121=1,'Model Inputs'!$B$26,0)</f>
        <v>3859201.5104371794</v>
      </c>
      <c r="R121" s="230">
        <f t="shared" si="65"/>
        <v>11577604.531311538</v>
      </c>
      <c r="S121" s="230">
        <f t="shared" si="66"/>
        <v>10300000</v>
      </c>
      <c r="T121" s="230">
        <f t="shared" si="67"/>
        <v>10300000</v>
      </c>
      <c r="U121" s="230">
        <f>MIN(T121,'Tax Assumptions'!$B$19)</f>
        <v>24500</v>
      </c>
      <c r="V121" s="230">
        <f>MAX(T121-U121-'Tax Assumptions'!$B$8,0)</f>
        <v>10259400</v>
      </c>
      <c r="W121" s="230">
        <f>MAX(T121-U121-'Tax Assumptions'!$B$9,0)</f>
        <v>10267500</v>
      </c>
      <c r="X121" s="230">
        <f>IF(V121=0,0,LOOKUP(V121,'Tax Assumptions'!$F$9:$F$15,'Tax Assumptions'!$I$9:$I$15)+(V121-LOOKUP(V121,'Tax Assumptions'!$F$9:$F$15,'Tax Assumptions'!$F$9:$F$15))*LOOKUP(V121,'Tax Assumptions'!$F$9:$F$15,'Tax Assumptions'!$H$9:$H$15))+MIN(MAX(T121,0),'Tax Assumptions'!$B$11)*'Tax Assumptions'!$B$10+MAX(T121,0)*'Tax Assumptions'!$B$12+MAX(MAX(T121,0)-'Tax Assumptions'!$B$14,0)*'Tax Assumptions'!$B$13+MIN(T121*'Tax Assumptions'!$B$15,'Tax Assumptions'!$B$16)+MIN(T121*'Tax Assumptions'!$B$17,'Tax Assumptions'!$B$18)+IF(W121=0,0,LOOKUP(W121,'Tax Assumptions'!$K$9:$K$17,'Tax Assumptions'!$N$9:$N$17)+(W121-LOOKUP(W121,'Tax Assumptions'!$K$9:$K$17,'Tax Assumptions'!$K$9:$K$17))*LOOKUP(W121,'Tax Assumptions'!$K$9:$K$17,'Tax Assumptions'!$M$9:$M$17))+IF(W121=0,0,LOOKUP(W121,'Tax Assumptions'!$P$9:$P$12,'Tax Assumptions'!$S$9:$S$12)+(W121-LOOKUP(W121,'Tax Assumptions'!$P$9:$P$12,'Tax Assumptions'!$P$9:$P$12))*LOOKUP(W121,'Tax Assumptions'!$P$9:$P$12,'Tax Assumptions'!$R$9:$R$12))</f>
        <v>5394180.54</v>
      </c>
      <c r="Y121" s="230">
        <f t="shared" si="68"/>
        <v>4881319.46</v>
      </c>
      <c r="Z121" s="230">
        <f>IF(J121&lt;=10,INDEX('Savings Projection'!$BL$19:$BL$28,J121),LOOKUP(2,1/('Savings Projection'!$BL$19:$BL$28&lt;&gt;""),'Savings Projection'!$BL$19:$BL$28))*(1+'Model Inputs'!$B$35)^(J121-1)+IF(J121&lt;=10,INDEX('Savings Projection'!$BM$19:$BM$28,J121),LOOKUP(2,1/('Savings Projection'!$BM$19:$BM$28&lt;&gt;""),'Savings Projection'!$BM$19:$BM$28))*(1+'Model Inputs'!$B$36)^(J121-1)</f>
        <v>179950.4031941779</v>
      </c>
      <c r="AA121" s="230">
        <f t="shared" si="69"/>
        <v>4701369.0568058221</v>
      </c>
      <c r="AB121" s="230">
        <f>MIN(MAX(AA121,0),'Tax Assumptions'!$B$20)</f>
        <v>7500</v>
      </c>
      <c r="AC121" s="230">
        <f t="shared" si="70"/>
        <v>4693869.0568058221</v>
      </c>
      <c r="AD121" s="230">
        <f>MAX(AD120*(1+'Model Inputs'!$B$13)+AC121,0)</f>
        <v>39588327.338457078</v>
      </c>
      <c r="AE121" s="230">
        <f>MAX(AE120*(1+'Model Inputs'!$B$13)+U121+AB121,0)</f>
        <v>539838.11831229366</v>
      </c>
      <c r="AF121" s="230">
        <f t="shared" si="71"/>
        <v>40128165.45676937</v>
      </c>
      <c r="AG121" s="226" t="str">
        <f t="shared" si="57"/>
        <v/>
      </c>
      <c r="AH121" s="226" t="str">
        <f t="shared" si="58"/>
        <v/>
      </c>
      <c r="AI121" s="226" t="str">
        <f t="shared" si="59"/>
        <v/>
      </c>
      <c r="AJ121" s="226" t="str">
        <f t="shared" si="60"/>
        <v/>
      </c>
    </row>
    <row r="122" spans="1:36" ht="18" customHeight="1" x14ac:dyDescent="0.2">
      <c r="A122" s="226" t="str">
        <f t="shared" si="49"/>
        <v>3Y -&gt; PM Y7 Upside</v>
      </c>
      <c r="B122" s="226">
        <f t="shared" si="50"/>
        <v>3</v>
      </c>
      <c r="C122" s="235">
        <f t="shared" si="51"/>
        <v>3</v>
      </c>
      <c r="D122" s="226">
        <f t="shared" si="52"/>
        <v>7</v>
      </c>
      <c r="E122" s="226" t="str">
        <f t="shared" si="53"/>
        <v>Upside</v>
      </c>
      <c r="F122" s="230">
        <f t="shared" si="54"/>
        <v>50000000</v>
      </c>
      <c r="G122" s="236">
        <f t="shared" si="55"/>
        <v>0.2</v>
      </c>
      <c r="H122" s="230">
        <f t="shared" si="56"/>
        <v>300000</v>
      </c>
      <c r="I122" s="236">
        <f t="shared" si="62"/>
        <v>0</v>
      </c>
      <c r="J122" s="234">
        <v>13</v>
      </c>
      <c r="K122" s="234">
        <f t="shared" si="63"/>
        <v>2038</v>
      </c>
      <c r="L122" s="230">
        <f>IF(J122=1,'Model Inputs'!$B$25*(13-'Model Inputs'!$B$23)/12,'Model Inputs'!$B$25)</f>
        <v>300000</v>
      </c>
      <c r="M122" s="230">
        <f>IF(J122=1,'Model Inputs'!$B$27*(13-'Model Inputs'!$B$23)/12,IF(J122=2,'Model Inputs'!$B$27,IF(J122&lt;=MAX(3,'Model Inputs'!$B$30+1),'Model Inputs'!$B$27*(1+'Model Inputs'!$B$28)^(J122-3),'Model Inputs'!$B$27*(1+'Model Inputs'!$B$28)^(MAX(3,'Model Inputs'!$B$30+1)-3)*(1+'Model Inputs'!$B$29)^(J122-MAX(3,'Model Inputs'!$B$30+1)))))</f>
        <v>6464768.1603602255</v>
      </c>
      <c r="N122" s="236">
        <f>IF(J122&lt;=2,0,'Model Inputs'!$B$32*SIN(2*PI()*(J122-3+'Model Inputs'!$B$34)/MAX(1,'Model Inputs'!$B$33)))</f>
        <v>0.10392304845413261</v>
      </c>
      <c r="O122" s="230">
        <f t="shared" si="64"/>
        <v>7136606.5751340752</v>
      </c>
      <c r="P122" s="230">
        <f t="shared" si="61"/>
        <v>4711807.0917368019</v>
      </c>
      <c r="Q122" s="230">
        <f>L122+P122+IF(J122=1,'Model Inputs'!$B$26,0)</f>
        <v>5011807.0917368019</v>
      </c>
      <c r="R122" s="230">
        <f t="shared" si="65"/>
        <v>15035421.275210407</v>
      </c>
      <c r="S122" s="230">
        <f t="shared" si="66"/>
        <v>10300000</v>
      </c>
      <c r="T122" s="230">
        <f t="shared" si="67"/>
        <v>10300000</v>
      </c>
      <c r="U122" s="230">
        <f>MIN(T122,'Tax Assumptions'!$B$19)</f>
        <v>24500</v>
      </c>
      <c r="V122" s="230">
        <f>MAX(T122-U122-'Tax Assumptions'!$B$8,0)</f>
        <v>10259400</v>
      </c>
      <c r="W122" s="230">
        <f>MAX(T122-U122-'Tax Assumptions'!$B$9,0)</f>
        <v>10267500</v>
      </c>
      <c r="X122" s="230">
        <f>IF(V122=0,0,LOOKUP(V122,'Tax Assumptions'!$F$9:$F$15,'Tax Assumptions'!$I$9:$I$15)+(V122-LOOKUP(V122,'Tax Assumptions'!$F$9:$F$15,'Tax Assumptions'!$F$9:$F$15))*LOOKUP(V122,'Tax Assumptions'!$F$9:$F$15,'Tax Assumptions'!$H$9:$H$15))+MIN(MAX(T122,0),'Tax Assumptions'!$B$11)*'Tax Assumptions'!$B$10+MAX(T122,0)*'Tax Assumptions'!$B$12+MAX(MAX(T122,0)-'Tax Assumptions'!$B$14,0)*'Tax Assumptions'!$B$13+MIN(T122*'Tax Assumptions'!$B$15,'Tax Assumptions'!$B$16)+MIN(T122*'Tax Assumptions'!$B$17,'Tax Assumptions'!$B$18)+IF(W122=0,0,LOOKUP(W122,'Tax Assumptions'!$K$9:$K$17,'Tax Assumptions'!$N$9:$N$17)+(W122-LOOKUP(W122,'Tax Assumptions'!$K$9:$K$17,'Tax Assumptions'!$K$9:$K$17))*LOOKUP(W122,'Tax Assumptions'!$K$9:$K$17,'Tax Assumptions'!$M$9:$M$17))+IF(W122=0,0,LOOKUP(W122,'Tax Assumptions'!$P$9:$P$12,'Tax Assumptions'!$S$9:$S$12)+(W122-LOOKUP(W122,'Tax Assumptions'!$P$9:$P$12,'Tax Assumptions'!$P$9:$P$12))*LOOKUP(W122,'Tax Assumptions'!$P$9:$P$12,'Tax Assumptions'!$R$9:$R$12))</f>
        <v>5394180.54</v>
      </c>
      <c r="Y122" s="230">
        <f t="shared" si="68"/>
        <v>4881319.46</v>
      </c>
      <c r="Z122" s="230">
        <f>IF(J122&lt;=10,INDEX('Savings Projection'!$BL$19:$BL$28,J122),LOOKUP(2,1/('Savings Projection'!$BL$19:$BL$28&lt;&gt;""),'Savings Projection'!$BL$19:$BL$28))*(1+'Model Inputs'!$B$35)^(J122-1)+IF(J122&lt;=10,INDEX('Savings Projection'!$BM$19:$BM$28,J122),LOOKUP(2,1/('Savings Projection'!$BM$19:$BM$28&lt;&gt;""),'Savings Projection'!$BM$19:$BM$28))*(1+'Model Inputs'!$B$36)^(J122-1)</f>
        <v>185348.91529000323</v>
      </c>
      <c r="AA122" s="230">
        <f t="shared" si="69"/>
        <v>4695970.5447099963</v>
      </c>
      <c r="AB122" s="230">
        <f>MIN(MAX(AA122,0),'Tax Assumptions'!$B$20)</f>
        <v>7500</v>
      </c>
      <c r="AC122" s="230">
        <f t="shared" si="70"/>
        <v>4688470.5447099963</v>
      </c>
      <c r="AD122" s="230">
        <f>MAX(AD121*(1+'Model Inputs'!$B$13)+AC122,0)</f>
        <v>46652097.5234745</v>
      </c>
      <c r="AE122" s="230">
        <f>MAX(AE121*(1+'Model Inputs'!$B$13)+U122+AB122,0)</f>
        <v>604228.40541103133</v>
      </c>
      <c r="AF122" s="230">
        <f t="shared" si="71"/>
        <v>47256325.928885534</v>
      </c>
      <c r="AG122" s="226" t="str">
        <f t="shared" si="57"/>
        <v/>
      </c>
      <c r="AH122" s="226" t="str">
        <f t="shared" si="58"/>
        <v/>
      </c>
      <c r="AI122" s="226" t="str">
        <f t="shared" si="59"/>
        <v/>
      </c>
      <c r="AJ122" s="226" t="str">
        <f t="shared" si="60"/>
        <v/>
      </c>
    </row>
    <row r="123" spans="1:36" ht="18" customHeight="1" x14ac:dyDescent="0.2">
      <c r="A123" s="226" t="str">
        <f t="shared" si="49"/>
        <v>3Y -&gt; PM Y7 Upside</v>
      </c>
      <c r="B123" s="226">
        <f t="shared" si="50"/>
        <v>3</v>
      </c>
      <c r="C123" s="235">
        <f t="shared" si="51"/>
        <v>3</v>
      </c>
      <c r="D123" s="226">
        <f t="shared" si="52"/>
        <v>7</v>
      </c>
      <c r="E123" s="226" t="str">
        <f t="shared" si="53"/>
        <v>Upside</v>
      </c>
      <c r="F123" s="230">
        <f t="shared" si="54"/>
        <v>50000000</v>
      </c>
      <c r="G123" s="236">
        <f t="shared" si="55"/>
        <v>0.2</v>
      </c>
      <c r="H123" s="230">
        <f t="shared" si="56"/>
        <v>300000</v>
      </c>
      <c r="I123" s="236">
        <f t="shared" si="62"/>
        <v>0</v>
      </c>
      <c r="J123" s="234">
        <v>14</v>
      </c>
      <c r="K123" s="234">
        <f t="shared" si="63"/>
        <v>2039</v>
      </c>
      <c r="L123" s="230">
        <f>IF(J123=1,'Model Inputs'!$B$25*(13-'Model Inputs'!$B$23)/12,'Model Inputs'!$B$25)</f>
        <v>300000</v>
      </c>
      <c r="M123" s="230">
        <f>IF(J123=1,'Model Inputs'!$B$27*(13-'Model Inputs'!$B$23)/12,IF(J123=2,'Model Inputs'!$B$27,IF(J123&lt;=MAX(3,'Model Inputs'!$B$30+1),'Model Inputs'!$B$27*(1+'Model Inputs'!$B$28)^(J123-3),'Model Inputs'!$B$27*(1+'Model Inputs'!$B$28)^(MAX(3,'Model Inputs'!$B$30+1)-3)*(1+'Model Inputs'!$B$29)^(J123-MAX(3,'Model Inputs'!$B$30+1)))))</f>
        <v>8215927.9778393377</v>
      </c>
      <c r="N123" s="236">
        <f>IF(J123&lt;=2,0,'Model Inputs'!$B$32*SIN(2*PI()*(J123-3+'Model Inputs'!$B$34)/MAX(1,'Model Inputs'!$B$33)))</f>
        <v>-0.10392304845413251</v>
      </c>
      <c r="O123" s="230">
        <f t="shared" si="64"/>
        <v>7362103.6965026772</v>
      </c>
      <c r="P123" s="230">
        <f t="shared" si="61"/>
        <v>6624168.4699774589</v>
      </c>
      <c r="Q123" s="230">
        <f>L123+P123+IF(J123=1,'Model Inputs'!$B$26,0)</f>
        <v>6924168.4699774589</v>
      </c>
      <c r="R123" s="230">
        <f t="shared" si="65"/>
        <v>20772505.409932375</v>
      </c>
      <c r="S123" s="230">
        <f t="shared" si="66"/>
        <v>10300000</v>
      </c>
      <c r="T123" s="230">
        <f t="shared" si="67"/>
        <v>10300000</v>
      </c>
      <c r="U123" s="230">
        <f>MIN(T123,'Tax Assumptions'!$B$19)</f>
        <v>24500</v>
      </c>
      <c r="V123" s="230">
        <f>MAX(T123-U123-'Tax Assumptions'!$B$8,0)</f>
        <v>10259400</v>
      </c>
      <c r="W123" s="230">
        <f>MAX(T123-U123-'Tax Assumptions'!$B$9,0)</f>
        <v>10267500</v>
      </c>
      <c r="X123" s="230">
        <f>IF(V123=0,0,LOOKUP(V123,'Tax Assumptions'!$F$9:$F$15,'Tax Assumptions'!$I$9:$I$15)+(V123-LOOKUP(V123,'Tax Assumptions'!$F$9:$F$15,'Tax Assumptions'!$F$9:$F$15))*LOOKUP(V123,'Tax Assumptions'!$F$9:$F$15,'Tax Assumptions'!$H$9:$H$15))+MIN(MAX(T123,0),'Tax Assumptions'!$B$11)*'Tax Assumptions'!$B$10+MAX(T123,0)*'Tax Assumptions'!$B$12+MAX(MAX(T123,0)-'Tax Assumptions'!$B$14,0)*'Tax Assumptions'!$B$13+MIN(T123*'Tax Assumptions'!$B$15,'Tax Assumptions'!$B$16)+MIN(T123*'Tax Assumptions'!$B$17,'Tax Assumptions'!$B$18)+IF(W123=0,0,LOOKUP(W123,'Tax Assumptions'!$K$9:$K$17,'Tax Assumptions'!$N$9:$N$17)+(W123-LOOKUP(W123,'Tax Assumptions'!$K$9:$K$17,'Tax Assumptions'!$K$9:$K$17))*LOOKUP(W123,'Tax Assumptions'!$K$9:$K$17,'Tax Assumptions'!$M$9:$M$17))+IF(W123=0,0,LOOKUP(W123,'Tax Assumptions'!$P$9:$P$12,'Tax Assumptions'!$S$9:$S$12)+(W123-LOOKUP(W123,'Tax Assumptions'!$P$9:$P$12,'Tax Assumptions'!$P$9:$P$12))*LOOKUP(W123,'Tax Assumptions'!$P$9:$P$12,'Tax Assumptions'!$R$9:$R$12))</f>
        <v>5394180.54</v>
      </c>
      <c r="Y123" s="230">
        <f t="shared" si="68"/>
        <v>4881319.46</v>
      </c>
      <c r="Z123" s="230">
        <f>IF(J123&lt;=10,INDEX('Savings Projection'!$BL$19:$BL$28,J123),LOOKUP(2,1/('Savings Projection'!$BL$19:$BL$28&lt;&gt;""),'Savings Projection'!$BL$19:$BL$28))*(1+'Model Inputs'!$B$35)^(J123-1)+IF(J123&lt;=10,INDEX('Savings Projection'!$BM$19:$BM$28,J123),LOOKUP(2,1/('Savings Projection'!$BM$19:$BM$28&lt;&gt;""),'Savings Projection'!$BM$19:$BM$28))*(1+'Model Inputs'!$B$36)^(J123-1)</f>
        <v>190909.3827487033</v>
      </c>
      <c r="AA123" s="230">
        <f t="shared" si="69"/>
        <v>4690410.0772512965</v>
      </c>
      <c r="AB123" s="230">
        <f>MIN(MAX(AA123,0),'Tax Assumptions'!$B$20)</f>
        <v>7500</v>
      </c>
      <c r="AC123" s="230">
        <f t="shared" si="70"/>
        <v>4682910.0772512965</v>
      </c>
      <c r="AD123" s="230">
        <f>MAX(AD122*(1+'Model Inputs'!$B$13)+AC123,0)</f>
        <v>54134133.452134266</v>
      </c>
      <c r="AE123" s="230">
        <f>MAX(AE122*(1+'Model Inputs'!$B$13)+U123+AB123,0)</f>
        <v>672482.1097356932</v>
      </c>
      <c r="AF123" s="230">
        <f t="shared" si="71"/>
        <v>54806615.561869957</v>
      </c>
      <c r="AG123" s="226" t="str">
        <f t="shared" si="57"/>
        <v/>
      </c>
      <c r="AH123" s="226" t="str">
        <f t="shared" si="58"/>
        <v/>
      </c>
      <c r="AI123" s="226" t="str">
        <f t="shared" si="59"/>
        <v/>
      </c>
      <c r="AJ123" s="226" t="str">
        <f t="shared" si="60"/>
        <v/>
      </c>
    </row>
    <row r="124" spans="1:36" ht="18" customHeight="1" x14ac:dyDescent="0.2">
      <c r="A124" s="226" t="str">
        <f t="shared" si="49"/>
        <v>3Y -&gt; PM Y7 Upside</v>
      </c>
      <c r="B124" s="226">
        <f t="shared" si="50"/>
        <v>3</v>
      </c>
      <c r="C124" s="235">
        <f t="shared" si="51"/>
        <v>3</v>
      </c>
      <c r="D124" s="226">
        <f t="shared" si="52"/>
        <v>7</v>
      </c>
      <c r="E124" s="226" t="str">
        <f t="shared" si="53"/>
        <v>Upside</v>
      </c>
      <c r="F124" s="230">
        <f t="shared" si="54"/>
        <v>50000000</v>
      </c>
      <c r="G124" s="236">
        <f t="shared" si="55"/>
        <v>0.2</v>
      </c>
      <c r="H124" s="230">
        <f t="shared" si="56"/>
        <v>300000</v>
      </c>
      <c r="I124" s="236">
        <f t="shared" si="62"/>
        <v>0</v>
      </c>
      <c r="J124" s="234">
        <v>15</v>
      </c>
      <c r="K124" s="234">
        <f t="shared" si="63"/>
        <v>2040</v>
      </c>
      <c r="L124" s="230">
        <f>IF(J124=1,'Model Inputs'!$B$25*(13-'Model Inputs'!$B$23)/12,'Model Inputs'!$B$25)</f>
        <v>300000</v>
      </c>
      <c r="M124" s="230">
        <f>IF(J124=1,'Model Inputs'!$B$27*(13-'Model Inputs'!$B$23)/12,IF(J124=2,'Model Inputs'!$B$27,IF(J124&lt;=MAX(3,'Model Inputs'!$B$30+1),'Model Inputs'!$B$27*(1+'Model Inputs'!$B$28)^(J124-3),'Model Inputs'!$B$27*(1+'Model Inputs'!$B$28)^(MAX(3,'Model Inputs'!$B$30+1)-3)*(1+'Model Inputs'!$B$29)^(J124-MAX(3,'Model Inputs'!$B$30+1)))))</f>
        <v>10441437.475041937</v>
      </c>
      <c r="N124" s="236">
        <f>IF(J124&lt;=2,0,'Model Inputs'!$B$32*SIN(2*PI()*(J124-3+'Model Inputs'!$B$34)/MAX(1,'Model Inputs'!$B$33)))</f>
        <v>-1.1756609271814589E-16</v>
      </c>
      <c r="O124" s="230">
        <f t="shared" si="64"/>
        <v>10441437.475041935</v>
      </c>
      <c r="P124" s="230">
        <f t="shared" si="61"/>
        <v>7305729.4161605267</v>
      </c>
      <c r="Q124" s="230">
        <f>L124+P124+IF(J124=1,'Model Inputs'!$B$26,0)</f>
        <v>7605729.4161605267</v>
      </c>
      <c r="R124" s="230">
        <f t="shared" si="65"/>
        <v>22817188.248481579</v>
      </c>
      <c r="S124" s="230">
        <f t="shared" si="66"/>
        <v>10300000</v>
      </c>
      <c r="T124" s="230">
        <f t="shared" si="67"/>
        <v>10300000</v>
      </c>
      <c r="U124" s="230">
        <f>MIN(T124,'Tax Assumptions'!$B$19)</f>
        <v>24500</v>
      </c>
      <c r="V124" s="230">
        <f>MAX(T124-U124-'Tax Assumptions'!$B$8,0)</f>
        <v>10259400</v>
      </c>
      <c r="W124" s="230">
        <f>MAX(T124-U124-'Tax Assumptions'!$B$9,0)</f>
        <v>10267500</v>
      </c>
      <c r="X124" s="230">
        <f>IF(V124=0,0,LOOKUP(V124,'Tax Assumptions'!$F$9:$F$15,'Tax Assumptions'!$I$9:$I$15)+(V124-LOOKUP(V124,'Tax Assumptions'!$F$9:$F$15,'Tax Assumptions'!$F$9:$F$15))*LOOKUP(V124,'Tax Assumptions'!$F$9:$F$15,'Tax Assumptions'!$H$9:$H$15))+MIN(MAX(T124,0),'Tax Assumptions'!$B$11)*'Tax Assumptions'!$B$10+MAX(T124,0)*'Tax Assumptions'!$B$12+MAX(MAX(T124,0)-'Tax Assumptions'!$B$14,0)*'Tax Assumptions'!$B$13+MIN(T124*'Tax Assumptions'!$B$15,'Tax Assumptions'!$B$16)+MIN(T124*'Tax Assumptions'!$B$17,'Tax Assumptions'!$B$18)+IF(W124=0,0,LOOKUP(W124,'Tax Assumptions'!$K$9:$K$17,'Tax Assumptions'!$N$9:$N$17)+(W124-LOOKUP(W124,'Tax Assumptions'!$K$9:$K$17,'Tax Assumptions'!$K$9:$K$17))*LOOKUP(W124,'Tax Assumptions'!$K$9:$K$17,'Tax Assumptions'!$M$9:$M$17))+IF(W124=0,0,LOOKUP(W124,'Tax Assumptions'!$P$9:$P$12,'Tax Assumptions'!$S$9:$S$12)+(W124-LOOKUP(W124,'Tax Assumptions'!$P$9:$P$12,'Tax Assumptions'!$P$9:$P$12))*LOOKUP(W124,'Tax Assumptions'!$P$9:$P$12,'Tax Assumptions'!$R$9:$R$12))</f>
        <v>5394180.54</v>
      </c>
      <c r="Y124" s="230">
        <f t="shared" si="68"/>
        <v>4881319.46</v>
      </c>
      <c r="Z124" s="230">
        <f>IF(J124&lt;=10,INDEX('Savings Projection'!$BL$19:$BL$28,J124),LOOKUP(2,1/('Savings Projection'!$BL$19:$BL$28&lt;&gt;""),'Savings Projection'!$BL$19:$BL$28))*(1+'Model Inputs'!$B$35)^(J124-1)+IF(J124&lt;=10,INDEX('Savings Projection'!$BM$19:$BM$28,J124),LOOKUP(2,1/('Savings Projection'!$BM$19:$BM$28&lt;&gt;""),'Savings Projection'!$BM$19:$BM$28))*(1+'Model Inputs'!$B$36)^(J124-1)</f>
        <v>196636.66423116444</v>
      </c>
      <c r="AA124" s="230">
        <f t="shared" si="69"/>
        <v>4684682.7957688356</v>
      </c>
      <c r="AB124" s="230">
        <f>MIN(MAX(AA124,0),'Tax Assumptions'!$B$20)</f>
        <v>7500</v>
      </c>
      <c r="AC124" s="230">
        <f t="shared" si="70"/>
        <v>4677182.7957688356</v>
      </c>
      <c r="AD124" s="230">
        <f>MAX(AD123*(1+'Model Inputs'!$B$13)+AC124,0)</f>
        <v>62059364.255031161</v>
      </c>
      <c r="AE124" s="230">
        <f>MAX(AE123*(1+'Model Inputs'!$B$13)+U124+AB124,0)</f>
        <v>744831.03631983488</v>
      </c>
      <c r="AF124" s="230">
        <f t="shared" si="71"/>
        <v>62804195.291350998</v>
      </c>
      <c r="AG124" s="226" t="str">
        <f t="shared" si="57"/>
        <v/>
      </c>
      <c r="AH124" s="226" t="str">
        <f t="shared" si="58"/>
        <v/>
      </c>
      <c r="AI124" s="226" t="str">
        <f t="shared" si="59"/>
        <v/>
      </c>
      <c r="AJ124" s="226" t="str">
        <f t="shared" si="60"/>
        <v/>
      </c>
    </row>
    <row r="125" spans="1:36" ht="18" customHeight="1" x14ac:dyDescent="0.2">
      <c r="A125" s="226" t="str">
        <f t="shared" si="49"/>
        <v>3Y -&gt; PM Y7 Upside</v>
      </c>
      <c r="B125" s="226">
        <f t="shared" si="50"/>
        <v>3</v>
      </c>
      <c r="C125" s="235">
        <f t="shared" si="51"/>
        <v>3</v>
      </c>
      <c r="D125" s="226">
        <f t="shared" si="52"/>
        <v>7</v>
      </c>
      <c r="E125" s="226" t="str">
        <f t="shared" si="53"/>
        <v>Upside</v>
      </c>
      <c r="F125" s="230">
        <f t="shared" si="54"/>
        <v>50000000</v>
      </c>
      <c r="G125" s="236">
        <f t="shared" si="55"/>
        <v>0.2</v>
      </c>
      <c r="H125" s="230">
        <f t="shared" si="56"/>
        <v>300000</v>
      </c>
      <c r="I125" s="236">
        <f t="shared" si="62"/>
        <v>0</v>
      </c>
      <c r="J125" s="234">
        <v>16</v>
      </c>
      <c r="K125" s="234">
        <f t="shared" si="63"/>
        <v>2041</v>
      </c>
      <c r="L125" s="230">
        <f>IF(J125=1,'Model Inputs'!$B$25*(13-'Model Inputs'!$B$23)/12,'Model Inputs'!$B$25)</f>
        <v>300000</v>
      </c>
      <c r="M125" s="230">
        <f>IF(J125=1,'Model Inputs'!$B$27*(13-'Model Inputs'!$B$23)/12,IF(J125=2,'Model Inputs'!$B$27,IF(J125&lt;=MAX(3,'Model Inputs'!$B$30+1),'Model Inputs'!$B$27*(1+'Model Inputs'!$B$28)^(J125-3),'Model Inputs'!$B$27*(1+'Model Inputs'!$B$28)^(MAX(3,'Model Inputs'!$B$30+1)-3)*(1+'Model Inputs'!$B$29)^(J125-MAX(3,'Model Inputs'!$B$30+1)))))</f>
        <v>13269787.276528884</v>
      </c>
      <c r="N125" s="236">
        <f>IF(J125&lt;=2,0,'Model Inputs'!$B$32*SIN(2*PI()*(J125-3+'Model Inputs'!$B$34)/MAX(1,'Model Inputs'!$B$33)))</f>
        <v>0.10392304845413262</v>
      </c>
      <c r="O125" s="230">
        <f t="shared" si="64"/>
        <v>14648824.022643628</v>
      </c>
      <c r="P125" s="230">
        <f t="shared" si="61"/>
        <v>9671604.0304071214</v>
      </c>
      <c r="Q125" s="230">
        <f>L125+P125+IF(J125=1,'Model Inputs'!$B$26,0)</f>
        <v>9971604.0304071214</v>
      </c>
      <c r="R125" s="230">
        <f t="shared" si="65"/>
        <v>29914812.091221362</v>
      </c>
      <c r="S125" s="230">
        <f t="shared" si="66"/>
        <v>10300000</v>
      </c>
      <c r="T125" s="230">
        <f t="shared" si="67"/>
        <v>10300000</v>
      </c>
      <c r="U125" s="230">
        <f>MIN(T125,'Tax Assumptions'!$B$19)</f>
        <v>24500</v>
      </c>
      <c r="V125" s="230">
        <f>MAX(T125-U125-'Tax Assumptions'!$B$8,0)</f>
        <v>10259400</v>
      </c>
      <c r="W125" s="230">
        <f>MAX(T125-U125-'Tax Assumptions'!$B$9,0)</f>
        <v>10267500</v>
      </c>
      <c r="X125" s="230">
        <f>IF(V125=0,0,LOOKUP(V125,'Tax Assumptions'!$F$9:$F$15,'Tax Assumptions'!$I$9:$I$15)+(V125-LOOKUP(V125,'Tax Assumptions'!$F$9:$F$15,'Tax Assumptions'!$F$9:$F$15))*LOOKUP(V125,'Tax Assumptions'!$F$9:$F$15,'Tax Assumptions'!$H$9:$H$15))+MIN(MAX(T125,0),'Tax Assumptions'!$B$11)*'Tax Assumptions'!$B$10+MAX(T125,0)*'Tax Assumptions'!$B$12+MAX(MAX(T125,0)-'Tax Assumptions'!$B$14,0)*'Tax Assumptions'!$B$13+MIN(T125*'Tax Assumptions'!$B$15,'Tax Assumptions'!$B$16)+MIN(T125*'Tax Assumptions'!$B$17,'Tax Assumptions'!$B$18)+IF(W125=0,0,LOOKUP(W125,'Tax Assumptions'!$K$9:$K$17,'Tax Assumptions'!$N$9:$N$17)+(W125-LOOKUP(W125,'Tax Assumptions'!$K$9:$K$17,'Tax Assumptions'!$K$9:$K$17))*LOOKUP(W125,'Tax Assumptions'!$K$9:$K$17,'Tax Assumptions'!$M$9:$M$17))+IF(W125=0,0,LOOKUP(W125,'Tax Assumptions'!$P$9:$P$12,'Tax Assumptions'!$S$9:$S$12)+(W125-LOOKUP(W125,'Tax Assumptions'!$P$9:$P$12,'Tax Assumptions'!$P$9:$P$12))*LOOKUP(W125,'Tax Assumptions'!$P$9:$P$12,'Tax Assumptions'!$R$9:$R$12))</f>
        <v>5394180.54</v>
      </c>
      <c r="Y125" s="230">
        <f t="shared" si="68"/>
        <v>4881319.46</v>
      </c>
      <c r="Z125" s="230">
        <f>IF(J125&lt;=10,INDEX('Savings Projection'!$BL$19:$BL$28,J125),LOOKUP(2,1/('Savings Projection'!$BL$19:$BL$28&lt;&gt;""),'Savings Projection'!$BL$19:$BL$28))*(1+'Model Inputs'!$B$35)^(J125-1)+IF(J125&lt;=10,INDEX('Savings Projection'!$BM$19:$BM$28,J125),LOOKUP(2,1/('Savings Projection'!$BM$19:$BM$28&lt;&gt;""),'Savings Projection'!$BM$19:$BM$28))*(1+'Model Inputs'!$B$36)^(J125-1)</f>
        <v>202535.76415809937</v>
      </c>
      <c r="AA125" s="230">
        <f t="shared" si="69"/>
        <v>4678783.695841901</v>
      </c>
      <c r="AB125" s="230">
        <f>MIN(MAX(AA125,0),'Tax Assumptions'!$B$20)</f>
        <v>7500</v>
      </c>
      <c r="AC125" s="230">
        <f t="shared" si="70"/>
        <v>4671283.695841901</v>
      </c>
      <c r="AD125" s="230">
        <f>MAX(AD124*(1+'Model Inputs'!$B$13)+AC125,0)</f>
        <v>70454209.806174934</v>
      </c>
      <c r="AE125" s="230">
        <f>MAX(AE124*(1+'Model Inputs'!$B$13)+U125+AB125,0)</f>
        <v>821520.89849902503</v>
      </c>
      <c r="AF125" s="230">
        <f t="shared" si="71"/>
        <v>71275730.704673961</v>
      </c>
      <c r="AG125" s="226" t="str">
        <f t="shared" si="57"/>
        <v/>
      </c>
      <c r="AH125" s="226" t="str">
        <f t="shared" si="58"/>
        <v/>
      </c>
      <c r="AI125" s="226" t="str">
        <f t="shared" si="59"/>
        <v/>
      </c>
      <c r="AJ125" s="226" t="str">
        <f t="shared" si="60"/>
        <v/>
      </c>
    </row>
    <row r="126" spans="1:36" ht="18" customHeight="1" x14ac:dyDescent="0.2">
      <c r="A126" s="226" t="str">
        <f t="shared" si="49"/>
        <v>3Y -&gt; PM Y7 Upside</v>
      </c>
      <c r="B126" s="226">
        <f t="shared" si="50"/>
        <v>3</v>
      </c>
      <c r="C126" s="235">
        <f t="shared" si="51"/>
        <v>3</v>
      </c>
      <c r="D126" s="226">
        <f t="shared" si="52"/>
        <v>7</v>
      </c>
      <c r="E126" s="226" t="str">
        <f t="shared" si="53"/>
        <v>Upside</v>
      </c>
      <c r="F126" s="230">
        <f t="shared" si="54"/>
        <v>50000000</v>
      </c>
      <c r="G126" s="236">
        <f t="shared" si="55"/>
        <v>0.2</v>
      </c>
      <c r="H126" s="230">
        <f t="shared" si="56"/>
        <v>300000</v>
      </c>
      <c r="I126" s="236">
        <f t="shared" si="62"/>
        <v>0</v>
      </c>
      <c r="J126" s="234">
        <v>17</v>
      </c>
      <c r="K126" s="234">
        <f t="shared" si="63"/>
        <v>2042</v>
      </c>
      <c r="L126" s="230">
        <f>IF(J126=1,'Model Inputs'!$B$25*(13-'Model Inputs'!$B$23)/12,'Model Inputs'!$B$25)</f>
        <v>300000</v>
      </c>
      <c r="M126" s="230">
        <f>IF(J126=1,'Model Inputs'!$B$27*(13-'Model Inputs'!$B$23)/12,IF(J126=2,'Model Inputs'!$B$27,IF(J126&lt;=MAX(3,'Model Inputs'!$B$30+1),'Model Inputs'!$B$27*(1+'Model Inputs'!$B$28)^(J126-3),'Model Inputs'!$B$27*(1+'Model Inputs'!$B$28)^(MAX(3,'Model Inputs'!$B$30+1)-3)*(1+'Model Inputs'!$B$29)^(J126-MAX(3,'Model Inputs'!$B$30+1)))))</f>
        <v>16864273.217670217</v>
      </c>
      <c r="N126" s="236">
        <f>IF(J126&lt;=2,0,'Model Inputs'!$B$32*SIN(2*PI()*(J126-3+'Model Inputs'!$B$34)/MAX(1,'Model Inputs'!$B$33)))</f>
        <v>-0.1039230484541325</v>
      </c>
      <c r="O126" s="230">
        <f t="shared" si="64"/>
        <v>15111686.534926547</v>
      </c>
      <c r="P126" s="230">
        <f t="shared" si="61"/>
        <v>13596977.385743205</v>
      </c>
      <c r="Q126" s="230">
        <f>L126+P126+IF(J126=1,'Model Inputs'!$B$26,0)</f>
        <v>13896977.385743205</v>
      </c>
      <c r="R126" s="230">
        <f t="shared" si="65"/>
        <v>41690932.157229617</v>
      </c>
      <c r="S126" s="230">
        <f t="shared" si="66"/>
        <v>10300000</v>
      </c>
      <c r="T126" s="230">
        <f t="shared" si="67"/>
        <v>10300000</v>
      </c>
      <c r="U126" s="230">
        <f>MIN(T126,'Tax Assumptions'!$B$19)</f>
        <v>24500</v>
      </c>
      <c r="V126" s="230">
        <f>MAX(T126-U126-'Tax Assumptions'!$B$8,0)</f>
        <v>10259400</v>
      </c>
      <c r="W126" s="230">
        <f>MAX(T126-U126-'Tax Assumptions'!$B$9,0)</f>
        <v>10267500</v>
      </c>
      <c r="X126" s="230">
        <f>IF(V126=0,0,LOOKUP(V126,'Tax Assumptions'!$F$9:$F$15,'Tax Assumptions'!$I$9:$I$15)+(V126-LOOKUP(V126,'Tax Assumptions'!$F$9:$F$15,'Tax Assumptions'!$F$9:$F$15))*LOOKUP(V126,'Tax Assumptions'!$F$9:$F$15,'Tax Assumptions'!$H$9:$H$15))+MIN(MAX(T126,0),'Tax Assumptions'!$B$11)*'Tax Assumptions'!$B$10+MAX(T126,0)*'Tax Assumptions'!$B$12+MAX(MAX(T126,0)-'Tax Assumptions'!$B$14,0)*'Tax Assumptions'!$B$13+MIN(T126*'Tax Assumptions'!$B$15,'Tax Assumptions'!$B$16)+MIN(T126*'Tax Assumptions'!$B$17,'Tax Assumptions'!$B$18)+IF(W126=0,0,LOOKUP(W126,'Tax Assumptions'!$K$9:$K$17,'Tax Assumptions'!$N$9:$N$17)+(W126-LOOKUP(W126,'Tax Assumptions'!$K$9:$K$17,'Tax Assumptions'!$K$9:$K$17))*LOOKUP(W126,'Tax Assumptions'!$K$9:$K$17,'Tax Assumptions'!$M$9:$M$17))+IF(W126=0,0,LOOKUP(W126,'Tax Assumptions'!$P$9:$P$12,'Tax Assumptions'!$S$9:$S$12)+(W126-LOOKUP(W126,'Tax Assumptions'!$P$9:$P$12,'Tax Assumptions'!$P$9:$P$12))*LOOKUP(W126,'Tax Assumptions'!$P$9:$P$12,'Tax Assumptions'!$R$9:$R$12))</f>
        <v>5394180.54</v>
      </c>
      <c r="Y126" s="230">
        <f t="shared" si="68"/>
        <v>4881319.46</v>
      </c>
      <c r="Z126" s="230">
        <f>IF(J126&lt;=10,INDEX('Savings Projection'!$BL$19:$BL$28,J126),LOOKUP(2,1/('Savings Projection'!$BL$19:$BL$28&lt;&gt;""),'Savings Projection'!$BL$19:$BL$28))*(1+'Model Inputs'!$B$35)^(J126-1)+IF(J126&lt;=10,INDEX('Savings Projection'!$BM$19:$BM$28,J126),LOOKUP(2,1/('Savings Projection'!$BM$19:$BM$28&lt;&gt;""),'Savings Projection'!$BM$19:$BM$28))*(1+'Model Inputs'!$B$36)^(J126-1)</f>
        <v>208611.83708284231</v>
      </c>
      <c r="AA126" s="230">
        <f t="shared" si="69"/>
        <v>4672707.6229171576</v>
      </c>
      <c r="AB126" s="230">
        <f>MIN(MAX(AA126,0),'Tax Assumptions'!$B$20)</f>
        <v>7500</v>
      </c>
      <c r="AC126" s="230">
        <f t="shared" si="70"/>
        <v>4665207.6229171576</v>
      </c>
      <c r="AD126" s="230">
        <f>MAX(AD125*(1+'Model Inputs'!$B$13)+AC126,0)</f>
        <v>79346670.017462596</v>
      </c>
      <c r="AE126" s="230">
        <f>MAX(AE125*(1+'Model Inputs'!$B$13)+U126+AB126,0)</f>
        <v>902812.15240896656</v>
      </c>
      <c r="AF126" s="230">
        <f t="shared" si="71"/>
        <v>80249482.169871569</v>
      </c>
      <c r="AG126" s="226" t="str">
        <f t="shared" si="57"/>
        <v/>
      </c>
      <c r="AH126" s="226" t="str">
        <f t="shared" si="58"/>
        <v/>
      </c>
      <c r="AI126" s="226" t="str">
        <f t="shared" si="59"/>
        <v/>
      </c>
      <c r="AJ126" s="226" t="str">
        <f t="shared" si="60"/>
        <v/>
      </c>
    </row>
    <row r="127" spans="1:36" ht="18" customHeight="1" x14ac:dyDescent="0.2">
      <c r="A127" s="226" t="str">
        <f t="shared" si="49"/>
        <v>3Y -&gt; PM Y7 Upside</v>
      </c>
      <c r="B127" s="226">
        <f t="shared" si="50"/>
        <v>3</v>
      </c>
      <c r="C127" s="235">
        <f t="shared" si="51"/>
        <v>3</v>
      </c>
      <c r="D127" s="226">
        <f t="shared" si="52"/>
        <v>7</v>
      </c>
      <c r="E127" s="226" t="str">
        <f t="shared" si="53"/>
        <v>Upside</v>
      </c>
      <c r="F127" s="230">
        <f t="shared" si="54"/>
        <v>50000000</v>
      </c>
      <c r="G127" s="236">
        <f t="shared" si="55"/>
        <v>0.2</v>
      </c>
      <c r="H127" s="230">
        <f t="shared" si="56"/>
        <v>300000</v>
      </c>
      <c r="I127" s="236">
        <f t="shared" si="62"/>
        <v>0</v>
      </c>
      <c r="J127" s="234">
        <v>18</v>
      </c>
      <c r="K127" s="234">
        <f t="shared" si="63"/>
        <v>2043</v>
      </c>
      <c r="L127" s="230">
        <f>IF(J127=1,'Model Inputs'!$B$25*(13-'Model Inputs'!$B$23)/12,'Model Inputs'!$B$25)</f>
        <v>300000</v>
      </c>
      <c r="M127" s="230">
        <f>IF(J127=1,'Model Inputs'!$B$27*(13-'Model Inputs'!$B$23)/12,IF(J127=2,'Model Inputs'!$B$27,IF(J127&lt;=MAX(3,'Model Inputs'!$B$30+1),'Model Inputs'!$B$27*(1+'Model Inputs'!$B$28)^(J127-3),'Model Inputs'!$B$27*(1+'Model Inputs'!$B$28)^(MAX(3,'Model Inputs'!$B$30+1)-3)*(1+'Model Inputs'!$B$29)^(J127-MAX(3,'Model Inputs'!$B$30+1)))))</f>
        <v>21432424.290875554</v>
      </c>
      <c r="N127" s="236">
        <f>IF(J127&lt;=2,0,'Model Inputs'!$B$32*SIN(2*PI()*(J127-3+'Model Inputs'!$B$34)/MAX(1,'Model Inputs'!$B$33)))</f>
        <v>-5.7328325735374245E-16</v>
      </c>
      <c r="O127" s="230">
        <f t="shared" si="64"/>
        <v>21432424.290875543</v>
      </c>
      <c r="P127" s="230">
        <f t="shared" si="61"/>
        <v>14995970.906855816</v>
      </c>
      <c r="Q127" s="230">
        <f>L127+P127+IF(J127=1,'Model Inputs'!$B$26,0)</f>
        <v>15295970.906855816</v>
      </c>
      <c r="R127" s="230">
        <f t="shared" si="65"/>
        <v>45887912.72056745</v>
      </c>
      <c r="S127" s="230">
        <f t="shared" si="66"/>
        <v>10300000</v>
      </c>
      <c r="T127" s="230">
        <f t="shared" si="67"/>
        <v>10300000</v>
      </c>
      <c r="U127" s="230">
        <f>MIN(T127,'Tax Assumptions'!$B$19)</f>
        <v>24500</v>
      </c>
      <c r="V127" s="230">
        <f>MAX(T127-U127-'Tax Assumptions'!$B$8,0)</f>
        <v>10259400</v>
      </c>
      <c r="W127" s="230">
        <f>MAX(T127-U127-'Tax Assumptions'!$B$9,0)</f>
        <v>10267500</v>
      </c>
      <c r="X127" s="230">
        <f>IF(V127=0,0,LOOKUP(V127,'Tax Assumptions'!$F$9:$F$15,'Tax Assumptions'!$I$9:$I$15)+(V127-LOOKUP(V127,'Tax Assumptions'!$F$9:$F$15,'Tax Assumptions'!$F$9:$F$15))*LOOKUP(V127,'Tax Assumptions'!$F$9:$F$15,'Tax Assumptions'!$H$9:$H$15))+MIN(MAX(T127,0),'Tax Assumptions'!$B$11)*'Tax Assumptions'!$B$10+MAX(T127,0)*'Tax Assumptions'!$B$12+MAX(MAX(T127,0)-'Tax Assumptions'!$B$14,0)*'Tax Assumptions'!$B$13+MIN(T127*'Tax Assumptions'!$B$15,'Tax Assumptions'!$B$16)+MIN(T127*'Tax Assumptions'!$B$17,'Tax Assumptions'!$B$18)+IF(W127=0,0,LOOKUP(W127,'Tax Assumptions'!$K$9:$K$17,'Tax Assumptions'!$N$9:$N$17)+(W127-LOOKUP(W127,'Tax Assumptions'!$K$9:$K$17,'Tax Assumptions'!$K$9:$K$17))*LOOKUP(W127,'Tax Assumptions'!$K$9:$K$17,'Tax Assumptions'!$M$9:$M$17))+IF(W127=0,0,LOOKUP(W127,'Tax Assumptions'!$P$9:$P$12,'Tax Assumptions'!$S$9:$S$12)+(W127-LOOKUP(W127,'Tax Assumptions'!$P$9:$P$12,'Tax Assumptions'!$P$9:$P$12))*LOOKUP(W127,'Tax Assumptions'!$P$9:$P$12,'Tax Assumptions'!$R$9:$R$12))</f>
        <v>5394180.54</v>
      </c>
      <c r="Y127" s="230">
        <f t="shared" si="68"/>
        <v>4881319.46</v>
      </c>
      <c r="Z127" s="230">
        <f>IF(J127&lt;=10,INDEX('Savings Projection'!$BL$19:$BL$28,J127),LOOKUP(2,1/('Savings Projection'!$BL$19:$BL$28&lt;&gt;""),'Savings Projection'!$BL$19:$BL$28))*(1+'Model Inputs'!$B$35)^(J127-1)+IF(J127&lt;=10,INDEX('Savings Projection'!$BM$19:$BM$28,J127),LOOKUP(2,1/('Savings Projection'!$BM$19:$BM$28&lt;&gt;""),'Savings Projection'!$BM$19:$BM$28))*(1+'Model Inputs'!$B$36)^(J127-1)</f>
        <v>214870.1921953276</v>
      </c>
      <c r="AA127" s="230">
        <f t="shared" si="69"/>
        <v>4666449.267804672</v>
      </c>
      <c r="AB127" s="230">
        <f>MIN(MAX(AA127,0),'Tax Assumptions'!$B$20)</f>
        <v>7500</v>
      </c>
      <c r="AC127" s="230">
        <f t="shared" si="70"/>
        <v>4658949.267804672</v>
      </c>
      <c r="AD127" s="230">
        <f>MAX(AD126*(1+'Model Inputs'!$B$13)+AC127,0)</f>
        <v>88766419.486315027</v>
      </c>
      <c r="AE127" s="230">
        <f>MAX(AE126*(1+'Model Inputs'!$B$13)+U127+AB127,0)</f>
        <v>988980.88155350462</v>
      </c>
      <c r="AF127" s="230">
        <f t="shared" si="71"/>
        <v>89755400.367868528</v>
      </c>
      <c r="AG127" s="226" t="str">
        <f t="shared" si="57"/>
        <v/>
      </c>
      <c r="AH127" s="226" t="str">
        <f t="shared" si="58"/>
        <v/>
      </c>
      <c r="AI127" s="226" t="str">
        <f t="shared" si="59"/>
        <v/>
      </c>
      <c r="AJ127" s="226" t="str">
        <f t="shared" si="60"/>
        <v/>
      </c>
    </row>
    <row r="128" spans="1:36" ht="18" customHeight="1" x14ac:dyDescent="0.2">
      <c r="A128" s="226" t="str">
        <f t="shared" si="49"/>
        <v>3Y -&gt; PM Y7 Upside</v>
      </c>
      <c r="B128" s="226">
        <f t="shared" si="50"/>
        <v>3</v>
      </c>
      <c r="C128" s="235">
        <f t="shared" si="51"/>
        <v>3</v>
      </c>
      <c r="D128" s="226">
        <f t="shared" si="52"/>
        <v>7</v>
      </c>
      <c r="E128" s="226" t="str">
        <f t="shared" si="53"/>
        <v>Upside</v>
      </c>
      <c r="F128" s="230">
        <f t="shared" si="54"/>
        <v>50000000</v>
      </c>
      <c r="G128" s="236">
        <f t="shared" si="55"/>
        <v>0.2</v>
      </c>
      <c r="H128" s="230">
        <f t="shared" si="56"/>
        <v>300000</v>
      </c>
      <c r="I128" s="236">
        <f t="shared" si="62"/>
        <v>0</v>
      </c>
      <c r="J128" s="234">
        <v>19</v>
      </c>
      <c r="K128" s="234">
        <f t="shared" si="63"/>
        <v>2044</v>
      </c>
      <c r="L128" s="230">
        <f>IF(J128=1,'Model Inputs'!$B$25*(13-'Model Inputs'!$B$23)/12,'Model Inputs'!$B$25)</f>
        <v>300000</v>
      </c>
      <c r="M128" s="230">
        <f>IF(J128=1,'Model Inputs'!$B$27*(13-'Model Inputs'!$B$23)/12,IF(J128=2,'Model Inputs'!$B$27,IF(J128&lt;=MAX(3,'Model Inputs'!$B$30+1),'Model Inputs'!$B$27*(1+'Model Inputs'!$B$28)^(J128-3),'Model Inputs'!$B$27*(1+'Model Inputs'!$B$28)^(MAX(3,'Model Inputs'!$B$30+1)-3)*(1+'Model Inputs'!$B$29)^(J128-MAX(3,'Model Inputs'!$B$30+1)))))</f>
        <v>27237984.409717187</v>
      </c>
      <c r="N128" s="236">
        <f>IF(J128&lt;=2,0,'Model Inputs'!$B$32*SIN(2*PI()*(J128-3+'Model Inputs'!$B$34)/MAX(1,'Model Inputs'!$B$33)))</f>
        <v>0.10392304845413286</v>
      </c>
      <c r="O128" s="230">
        <f t="shared" si="64"/>
        <v>30068638.783321142</v>
      </c>
      <c r="P128" s="230">
        <f t="shared" si="61"/>
        <v>19852239.851888295</v>
      </c>
      <c r="Q128" s="230">
        <f>L128+P128+IF(J128=1,'Model Inputs'!$B$26,0)</f>
        <v>20152239.851888295</v>
      </c>
      <c r="R128" s="230">
        <f t="shared" si="65"/>
        <v>60456719.555664882</v>
      </c>
      <c r="S128" s="230">
        <f t="shared" si="66"/>
        <v>10300000</v>
      </c>
      <c r="T128" s="230">
        <f t="shared" si="67"/>
        <v>10300000</v>
      </c>
      <c r="U128" s="230">
        <f>MIN(T128,'Tax Assumptions'!$B$19)</f>
        <v>24500</v>
      </c>
      <c r="V128" s="230">
        <f>MAX(T128-U128-'Tax Assumptions'!$B$8,0)</f>
        <v>10259400</v>
      </c>
      <c r="W128" s="230">
        <f>MAX(T128-U128-'Tax Assumptions'!$B$9,0)</f>
        <v>10267500</v>
      </c>
      <c r="X128" s="230">
        <f>IF(V128=0,0,LOOKUP(V128,'Tax Assumptions'!$F$9:$F$15,'Tax Assumptions'!$I$9:$I$15)+(V128-LOOKUP(V128,'Tax Assumptions'!$F$9:$F$15,'Tax Assumptions'!$F$9:$F$15))*LOOKUP(V128,'Tax Assumptions'!$F$9:$F$15,'Tax Assumptions'!$H$9:$H$15))+MIN(MAX(T128,0),'Tax Assumptions'!$B$11)*'Tax Assumptions'!$B$10+MAX(T128,0)*'Tax Assumptions'!$B$12+MAX(MAX(T128,0)-'Tax Assumptions'!$B$14,0)*'Tax Assumptions'!$B$13+MIN(T128*'Tax Assumptions'!$B$15,'Tax Assumptions'!$B$16)+MIN(T128*'Tax Assumptions'!$B$17,'Tax Assumptions'!$B$18)+IF(W128=0,0,LOOKUP(W128,'Tax Assumptions'!$K$9:$K$17,'Tax Assumptions'!$N$9:$N$17)+(W128-LOOKUP(W128,'Tax Assumptions'!$K$9:$K$17,'Tax Assumptions'!$K$9:$K$17))*LOOKUP(W128,'Tax Assumptions'!$K$9:$K$17,'Tax Assumptions'!$M$9:$M$17))+IF(W128=0,0,LOOKUP(W128,'Tax Assumptions'!$P$9:$P$12,'Tax Assumptions'!$S$9:$S$12)+(W128-LOOKUP(W128,'Tax Assumptions'!$P$9:$P$12,'Tax Assumptions'!$P$9:$P$12))*LOOKUP(W128,'Tax Assumptions'!$P$9:$P$12,'Tax Assumptions'!$R$9:$R$12))</f>
        <v>5394180.54</v>
      </c>
      <c r="Y128" s="230">
        <f t="shared" si="68"/>
        <v>4881319.46</v>
      </c>
      <c r="Z128" s="230">
        <f>IF(J128&lt;=10,INDEX('Savings Projection'!$BL$19:$BL$28,J128),LOOKUP(2,1/('Savings Projection'!$BL$19:$BL$28&lt;&gt;""),'Savings Projection'!$BL$19:$BL$28))*(1+'Model Inputs'!$B$35)^(J128-1)+IF(J128&lt;=10,INDEX('Savings Projection'!$BM$19:$BM$28,J128),LOOKUP(2,1/('Savings Projection'!$BM$19:$BM$28&lt;&gt;""),'Savings Projection'!$BM$19:$BM$28))*(1+'Model Inputs'!$B$36)^(J128-1)</f>
        <v>221316.29796118743</v>
      </c>
      <c r="AA128" s="230">
        <f t="shared" si="69"/>
        <v>4660003.1620388124</v>
      </c>
      <c r="AB128" s="230">
        <f>MIN(MAX(AA128,0),'Tax Assumptions'!$B$20)</f>
        <v>7500</v>
      </c>
      <c r="AC128" s="230">
        <f t="shared" si="70"/>
        <v>4652503.1620388124</v>
      </c>
      <c r="AD128" s="230">
        <f>MAX(AD127*(1+'Model Inputs'!$B$13)+AC128,0)</f>
        <v>98744907.817532748</v>
      </c>
      <c r="AE128" s="230">
        <f>MAX(AE127*(1+'Model Inputs'!$B$13)+U128+AB128,0)</f>
        <v>1080319.7344467151</v>
      </c>
      <c r="AF128" s="230">
        <f t="shared" si="71"/>
        <v>99825227.551979467</v>
      </c>
      <c r="AG128" s="226" t="str">
        <f t="shared" si="57"/>
        <v/>
      </c>
      <c r="AH128" s="226" t="str">
        <f t="shared" si="58"/>
        <v/>
      </c>
      <c r="AI128" s="226" t="str">
        <f t="shared" si="59"/>
        <v/>
      </c>
      <c r="AJ128" s="226" t="str">
        <f t="shared" si="60"/>
        <v/>
      </c>
    </row>
    <row r="129" spans="1:36" ht="18" customHeight="1" x14ac:dyDescent="0.2">
      <c r="A129" s="226" t="str">
        <f t="shared" si="49"/>
        <v>3Y -&gt; PM Y7 Upside</v>
      </c>
      <c r="B129" s="226">
        <f t="shared" si="50"/>
        <v>3</v>
      </c>
      <c r="C129" s="235">
        <f t="shared" si="51"/>
        <v>3</v>
      </c>
      <c r="D129" s="226">
        <f t="shared" si="52"/>
        <v>7</v>
      </c>
      <c r="E129" s="226" t="str">
        <f t="shared" si="53"/>
        <v>Upside</v>
      </c>
      <c r="F129" s="230">
        <f t="shared" si="54"/>
        <v>50000000</v>
      </c>
      <c r="G129" s="236">
        <f t="shared" si="55"/>
        <v>0.2</v>
      </c>
      <c r="H129" s="230">
        <f t="shared" si="56"/>
        <v>300000</v>
      </c>
      <c r="I129" s="236">
        <f t="shared" si="62"/>
        <v>0</v>
      </c>
      <c r="J129" s="234">
        <v>20</v>
      </c>
      <c r="K129" s="234">
        <f t="shared" si="63"/>
        <v>2045</v>
      </c>
      <c r="L129" s="230">
        <f>IF(J129=1,'Model Inputs'!$B$25*(13-'Model Inputs'!$B$23)/12,'Model Inputs'!$B$25)</f>
        <v>300000</v>
      </c>
      <c r="M129" s="230">
        <f>IF(J129=1,'Model Inputs'!$B$27*(13-'Model Inputs'!$B$23)/12,IF(J129=2,'Model Inputs'!$B$27,IF(J129&lt;=MAX(3,'Model Inputs'!$B$30+1),'Model Inputs'!$B$27*(1+'Model Inputs'!$B$28)^(J129-3),'Model Inputs'!$B$27*(1+'Model Inputs'!$B$28)^(MAX(3,'Model Inputs'!$B$30+1)-3)*(1+'Model Inputs'!$B$29)^(J129-MAX(3,'Model Inputs'!$B$30+1)))))</f>
        <v>34616139.762586243</v>
      </c>
      <c r="N129" s="236">
        <f>IF(J129&lt;=2,0,'Model Inputs'!$B$32*SIN(2*PI()*(J129-3+'Model Inputs'!$B$34)/MAX(1,'Model Inputs'!$B$33)))</f>
        <v>-0.10392304845413269</v>
      </c>
      <c r="O129" s="230">
        <f t="shared" si="64"/>
        <v>31018724.992743965</v>
      </c>
      <c r="P129" s="230">
        <f t="shared" si="61"/>
        <v>27909585.160209741</v>
      </c>
      <c r="Q129" s="230">
        <f>L129+P129+IF(J129=1,'Model Inputs'!$B$26,0)</f>
        <v>28209585.160209741</v>
      </c>
      <c r="R129" s="230">
        <f t="shared" si="65"/>
        <v>84628755.480629221</v>
      </c>
      <c r="S129" s="230">
        <f t="shared" si="66"/>
        <v>10300000</v>
      </c>
      <c r="T129" s="230">
        <f t="shared" si="67"/>
        <v>10300000</v>
      </c>
      <c r="U129" s="230">
        <f>MIN(T129,'Tax Assumptions'!$B$19)</f>
        <v>24500</v>
      </c>
      <c r="V129" s="230">
        <f>MAX(T129-U129-'Tax Assumptions'!$B$8,0)</f>
        <v>10259400</v>
      </c>
      <c r="W129" s="230">
        <f>MAX(T129-U129-'Tax Assumptions'!$B$9,0)</f>
        <v>10267500</v>
      </c>
      <c r="X129" s="230">
        <f>IF(V129=0,0,LOOKUP(V129,'Tax Assumptions'!$F$9:$F$15,'Tax Assumptions'!$I$9:$I$15)+(V129-LOOKUP(V129,'Tax Assumptions'!$F$9:$F$15,'Tax Assumptions'!$F$9:$F$15))*LOOKUP(V129,'Tax Assumptions'!$F$9:$F$15,'Tax Assumptions'!$H$9:$H$15))+MIN(MAX(T129,0),'Tax Assumptions'!$B$11)*'Tax Assumptions'!$B$10+MAX(T129,0)*'Tax Assumptions'!$B$12+MAX(MAX(T129,0)-'Tax Assumptions'!$B$14,0)*'Tax Assumptions'!$B$13+MIN(T129*'Tax Assumptions'!$B$15,'Tax Assumptions'!$B$16)+MIN(T129*'Tax Assumptions'!$B$17,'Tax Assumptions'!$B$18)+IF(W129=0,0,LOOKUP(W129,'Tax Assumptions'!$K$9:$K$17,'Tax Assumptions'!$N$9:$N$17)+(W129-LOOKUP(W129,'Tax Assumptions'!$K$9:$K$17,'Tax Assumptions'!$K$9:$K$17))*LOOKUP(W129,'Tax Assumptions'!$K$9:$K$17,'Tax Assumptions'!$M$9:$M$17))+IF(W129=0,0,LOOKUP(W129,'Tax Assumptions'!$P$9:$P$12,'Tax Assumptions'!$S$9:$S$12)+(W129-LOOKUP(W129,'Tax Assumptions'!$P$9:$P$12,'Tax Assumptions'!$P$9:$P$12))*LOOKUP(W129,'Tax Assumptions'!$P$9:$P$12,'Tax Assumptions'!$R$9:$R$12))</f>
        <v>5394180.54</v>
      </c>
      <c r="Y129" s="230">
        <f t="shared" si="68"/>
        <v>4881319.46</v>
      </c>
      <c r="Z129" s="230">
        <f>IF(J129&lt;=10,INDEX('Savings Projection'!$BL$19:$BL$28,J129),LOOKUP(2,1/('Savings Projection'!$BL$19:$BL$28&lt;&gt;""),'Savings Projection'!$BL$19:$BL$28))*(1+'Model Inputs'!$B$35)^(J129-1)+IF(J129&lt;=10,INDEX('Savings Projection'!$BM$19:$BM$28,J129),LOOKUP(2,1/('Savings Projection'!$BM$19:$BM$28&lt;&gt;""),'Savings Projection'!$BM$19:$BM$28))*(1+'Model Inputs'!$B$36)^(J129-1)</f>
        <v>227955.78690002306</v>
      </c>
      <c r="AA129" s="230">
        <f t="shared" si="69"/>
        <v>4653363.673099977</v>
      </c>
      <c r="AB129" s="230">
        <f>MIN(MAX(AA129,0),'Tax Assumptions'!$B$20)</f>
        <v>7500</v>
      </c>
      <c r="AC129" s="230">
        <f t="shared" si="70"/>
        <v>4645863.673099977</v>
      </c>
      <c r="AD129" s="230">
        <f>MAX(AD128*(1+'Model Inputs'!$B$13)+AC129,0)</f>
        <v>109315465.9596847</v>
      </c>
      <c r="AE129" s="230">
        <f>MAX(AE128*(1+'Model Inputs'!$B$13)+U129+AB129,0)</f>
        <v>1177138.9185135181</v>
      </c>
      <c r="AF129" s="230">
        <f t="shared" si="71"/>
        <v>110492604.87819822</v>
      </c>
      <c r="AG129" s="226" t="str">
        <f t="shared" si="57"/>
        <v/>
      </c>
      <c r="AH129" s="226" t="str">
        <f t="shared" si="58"/>
        <v/>
      </c>
      <c r="AI129" s="226" t="str">
        <f t="shared" si="59"/>
        <v/>
      </c>
      <c r="AJ129" s="226" t="str">
        <f t="shared" si="60"/>
        <v/>
      </c>
    </row>
    <row r="130" spans="1:36" ht="18" customHeight="1" x14ac:dyDescent="0.2">
      <c r="A130" s="226" t="str">
        <f t="shared" si="49"/>
        <v>3Y -&gt; PM Y7 Upside</v>
      </c>
      <c r="B130" s="226">
        <f t="shared" si="50"/>
        <v>3</v>
      </c>
      <c r="C130" s="235">
        <f t="shared" si="51"/>
        <v>3</v>
      </c>
      <c r="D130" s="226">
        <f t="shared" si="52"/>
        <v>7</v>
      </c>
      <c r="E130" s="226" t="str">
        <f t="shared" si="53"/>
        <v>Upside</v>
      </c>
      <c r="F130" s="230">
        <f t="shared" si="54"/>
        <v>50000000</v>
      </c>
      <c r="G130" s="236">
        <f t="shared" si="55"/>
        <v>0.2</v>
      </c>
      <c r="H130" s="230">
        <f t="shared" si="56"/>
        <v>300000</v>
      </c>
      <c r="I130" s="236">
        <f t="shared" si="62"/>
        <v>0</v>
      </c>
      <c r="J130" s="234">
        <v>21</v>
      </c>
      <c r="K130" s="234">
        <f t="shared" si="63"/>
        <v>2046</v>
      </c>
      <c r="L130" s="230">
        <f>IF(J130=1,'Model Inputs'!$B$25*(13-'Model Inputs'!$B$23)/12,'Model Inputs'!$B$25)</f>
        <v>300000</v>
      </c>
      <c r="M130" s="230">
        <f>IF(J130=1,'Model Inputs'!$B$27*(13-'Model Inputs'!$B$23)/12,IF(J130=2,'Model Inputs'!$B$27,IF(J130&lt;=MAX(3,'Model Inputs'!$B$30+1),'Model Inputs'!$B$27*(1+'Model Inputs'!$B$28)^(J130-3),'Model Inputs'!$B$27*(1+'Model Inputs'!$B$28)^(MAX(3,'Model Inputs'!$B$30+1)-3)*(1+'Model Inputs'!$B$29)^(J130-MAX(3,'Model Inputs'!$B$30+1)))))</f>
        <v>43992870.912849829</v>
      </c>
      <c r="N130" s="236">
        <f>IF(J130&lt;=2,0,'Model Inputs'!$B$32*SIN(2*PI()*(J130-3+'Model Inputs'!$B$34)/MAX(1,'Model Inputs'!$B$33)))</f>
        <v>-1.7634913907721884E-16</v>
      </c>
      <c r="O130" s="230">
        <f t="shared" si="64"/>
        <v>43992870.912849821</v>
      </c>
      <c r="P130" s="230">
        <f t="shared" si="61"/>
        <v>30781203.440388259</v>
      </c>
      <c r="Q130" s="230">
        <f>L130+P130+IF(J130=1,'Model Inputs'!$B$26,0)</f>
        <v>31081203.440388259</v>
      </c>
      <c r="R130" s="230">
        <f t="shared" si="65"/>
        <v>93243610.321164772</v>
      </c>
      <c r="S130" s="230">
        <f t="shared" si="66"/>
        <v>10300000</v>
      </c>
      <c r="T130" s="230">
        <f t="shared" si="67"/>
        <v>10300000</v>
      </c>
      <c r="U130" s="230">
        <f>MIN(T130,'Tax Assumptions'!$B$19)</f>
        <v>24500</v>
      </c>
      <c r="V130" s="230">
        <f>MAX(T130-U130-'Tax Assumptions'!$B$8,0)</f>
        <v>10259400</v>
      </c>
      <c r="W130" s="230">
        <f>MAX(T130-U130-'Tax Assumptions'!$B$9,0)</f>
        <v>10267500</v>
      </c>
      <c r="X130" s="230">
        <f>IF(V130=0,0,LOOKUP(V130,'Tax Assumptions'!$F$9:$F$15,'Tax Assumptions'!$I$9:$I$15)+(V130-LOOKUP(V130,'Tax Assumptions'!$F$9:$F$15,'Tax Assumptions'!$F$9:$F$15))*LOOKUP(V130,'Tax Assumptions'!$F$9:$F$15,'Tax Assumptions'!$H$9:$H$15))+MIN(MAX(T130,0),'Tax Assumptions'!$B$11)*'Tax Assumptions'!$B$10+MAX(T130,0)*'Tax Assumptions'!$B$12+MAX(MAX(T130,0)-'Tax Assumptions'!$B$14,0)*'Tax Assumptions'!$B$13+MIN(T130*'Tax Assumptions'!$B$15,'Tax Assumptions'!$B$16)+MIN(T130*'Tax Assumptions'!$B$17,'Tax Assumptions'!$B$18)+IF(W130=0,0,LOOKUP(W130,'Tax Assumptions'!$K$9:$K$17,'Tax Assumptions'!$N$9:$N$17)+(W130-LOOKUP(W130,'Tax Assumptions'!$K$9:$K$17,'Tax Assumptions'!$K$9:$K$17))*LOOKUP(W130,'Tax Assumptions'!$K$9:$K$17,'Tax Assumptions'!$M$9:$M$17))+IF(W130=0,0,LOOKUP(W130,'Tax Assumptions'!$P$9:$P$12,'Tax Assumptions'!$S$9:$S$12)+(W130-LOOKUP(W130,'Tax Assumptions'!$P$9:$P$12,'Tax Assumptions'!$P$9:$P$12))*LOOKUP(W130,'Tax Assumptions'!$P$9:$P$12,'Tax Assumptions'!$R$9:$R$12))</f>
        <v>5394180.54</v>
      </c>
      <c r="Y130" s="230">
        <f t="shared" si="68"/>
        <v>4881319.46</v>
      </c>
      <c r="Z130" s="230">
        <f>IF(J130&lt;=10,INDEX('Savings Projection'!$BL$19:$BL$28,J130),LOOKUP(2,1/('Savings Projection'!$BL$19:$BL$28&lt;&gt;""),'Savings Projection'!$BL$19:$BL$28))*(1+'Model Inputs'!$B$35)^(J130-1)+IF(J130&lt;=10,INDEX('Savings Projection'!$BM$19:$BM$28,J130),LOOKUP(2,1/('Savings Projection'!$BM$19:$BM$28&lt;&gt;""),'Savings Projection'!$BM$19:$BM$28))*(1+'Model Inputs'!$B$36)^(J130-1)</f>
        <v>234794.46050702373</v>
      </c>
      <c r="AA130" s="230">
        <f t="shared" si="69"/>
        <v>4646524.9994929759</v>
      </c>
      <c r="AB130" s="230">
        <f>MIN(MAX(AA130,0),'Tax Assumptions'!$B$20)</f>
        <v>7500</v>
      </c>
      <c r="AC130" s="230">
        <f t="shared" si="70"/>
        <v>4639024.9994929759</v>
      </c>
      <c r="AD130" s="230">
        <f>MAX(AD129*(1+'Model Inputs'!$B$13)+AC130,0)</f>
        <v>120513418.91675876</v>
      </c>
      <c r="AE130" s="230">
        <f>MAX(AE129*(1+'Model Inputs'!$B$13)+U130+AB130,0)</f>
        <v>1279767.2536243291</v>
      </c>
      <c r="AF130" s="230">
        <f t="shared" si="71"/>
        <v>121793186.1703831</v>
      </c>
      <c r="AG130" s="226" t="str">
        <f t="shared" si="57"/>
        <v/>
      </c>
      <c r="AH130" s="226" t="str">
        <f t="shared" si="58"/>
        <v/>
      </c>
      <c r="AI130" s="226" t="str">
        <f t="shared" si="59"/>
        <v/>
      </c>
      <c r="AJ130" s="226" t="str">
        <f t="shared" si="60"/>
        <v/>
      </c>
    </row>
    <row r="131" spans="1:36" ht="18" customHeight="1" x14ac:dyDescent="0.2">
      <c r="A131" s="226" t="str">
        <f t="shared" si="49"/>
        <v>3Y -&gt; PM Y7 Upside</v>
      </c>
      <c r="B131" s="226">
        <f t="shared" si="50"/>
        <v>3</v>
      </c>
      <c r="C131" s="235">
        <f t="shared" si="51"/>
        <v>3</v>
      </c>
      <c r="D131" s="226">
        <f t="shared" si="52"/>
        <v>7</v>
      </c>
      <c r="E131" s="226" t="str">
        <f t="shared" si="53"/>
        <v>Upside</v>
      </c>
      <c r="F131" s="230">
        <f t="shared" si="54"/>
        <v>50000000</v>
      </c>
      <c r="G131" s="236">
        <f t="shared" si="55"/>
        <v>0.2</v>
      </c>
      <c r="H131" s="230">
        <f t="shared" si="56"/>
        <v>300000</v>
      </c>
      <c r="I131" s="236">
        <f t="shared" si="62"/>
        <v>0</v>
      </c>
      <c r="J131" s="234">
        <v>22</v>
      </c>
      <c r="K131" s="234">
        <f t="shared" si="63"/>
        <v>2047</v>
      </c>
      <c r="L131" s="230">
        <f>IF(J131=1,'Model Inputs'!$B$25*(13-'Model Inputs'!$B$23)/12,'Model Inputs'!$B$25)</f>
        <v>300000</v>
      </c>
      <c r="M131" s="230">
        <f>IF(J131=1,'Model Inputs'!$B$27*(13-'Model Inputs'!$B$23)/12,IF(J131=2,'Model Inputs'!$B$27,IF(J131&lt;=MAX(3,'Model Inputs'!$B$30+1),'Model Inputs'!$B$27*(1+'Model Inputs'!$B$28)^(J131-3),'Model Inputs'!$B$27*(1+'Model Inputs'!$B$28)^(MAX(3,'Model Inputs'!$B$30+1)-3)*(1+'Model Inputs'!$B$29)^(J131-MAX(3,'Model Inputs'!$B$30+1)))))</f>
        <v>55909546.9462616</v>
      </c>
      <c r="N131" s="236">
        <f>IF(J131&lt;=2,0,'Model Inputs'!$B$32*SIN(2*PI()*(J131-3+'Model Inputs'!$B$34)/MAX(1,'Model Inputs'!$B$33)))</f>
        <v>0.10392304845413287</v>
      </c>
      <c r="O131" s="230">
        <f t="shared" si="64"/>
        <v>61719837.502606563</v>
      </c>
      <c r="P131" s="230">
        <f t="shared" si="61"/>
        <v>40749334.43282336</v>
      </c>
      <c r="Q131" s="230">
        <f>L131+P131+IF(J131=1,'Model Inputs'!$B$26,0)</f>
        <v>41049334.43282336</v>
      </c>
      <c r="R131" s="230">
        <f t="shared" si="65"/>
        <v>123148003.29847008</v>
      </c>
      <c r="S131" s="230">
        <f t="shared" si="66"/>
        <v>10300000</v>
      </c>
      <c r="T131" s="230">
        <f t="shared" si="67"/>
        <v>10300000</v>
      </c>
      <c r="U131" s="230">
        <f>MIN(T131,'Tax Assumptions'!$B$19)</f>
        <v>24500</v>
      </c>
      <c r="V131" s="230">
        <f>MAX(T131-U131-'Tax Assumptions'!$B$8,0)</f>
        <v>10259400</v>
      </c>
      <c r="W131" s="230">
        <f>MAX(T131-U131-'Tax Assumptions'!$B$9,0)</f>
        <v>10267500</v>
      </c>
      <c r="X131" s="230">
        <f>IF(V131=0,0,LOOKUP(V131,'Tax Assumptions'!$F$9:$F$15,'Tax Assumptions'!$I$9:$I$15)+(V131-LOOKUP(V131,'Tax Assumptions'!$F$9:$F$15,'Tax Assumptions'!$F$9:$F$15))*LOOKUP(V131,'Tax Assumptions'!$F$9:$F$15,'Tax Assumptions'!$H$9:$H$15))+MIN(MAX(T131,0),'Tax Assumptions'!$B$11)*'Tax Assumptions'!$B$10+MAX(T131,0)*'Tax Assumptions'!$B$12+MAX(MAX(T131,0)-'Tax Assumptions'!$B$14,0)*'Tax Assumptions'!$B$13+MIN(T131*'Tax Assumptions'!$B$15,'Tax Assumptions'!$B$16)+MIN(T131*'Tax Assumptions'!$B$17,'Tax Assumptions'!$B$18)+IF(W131=0,0,LOOKUP(W131,'Tax Assumptions'!$K$9:$K$17,'Tax Assumptions'!$N$9:$N$17)+(W131-LOOKUP(W131,'Tax Assumptions'!$K$9:$K$17,'Tax Assumptions'!$K$9:$K$17))*LOOKUP(W131,'Tax Assumptions'!$K$9:$K$17,'Tax Assumptions'!$M$9:$M$17))+IF(W131=0,0,LOOKUP(W131,'Tax Assumptions'!$P$9:$P$12,'Tax Assumptions'!$S$9:$S$12)+(W131-LOOKUP(W131,'Tax Assumptions'!$P$9:$P$12,'Tax Assumptions'!$P$9:$P$12))*LOOKUP(W131,'Tax Assumptions'!$P$9:$P$12,'Tax Assumptions'!$R$9:$R$12))</f>
        <v>5394180.54</v>
      </c>
      <c r="Y131" s="230">
        <f t="shared" si="68"/>
        <v>4881319.46</v>
      </c>
      <c r="Z131" s="230">
        <f>IF(J131&lt;=10,INDEX('Savings Projection'!$BL$19:$BL$28,J131),LOOKUP(2,1/('Savings Projection'!$BL$19:$BL$28&lt;&gt;""),'Savings Projection'!$BL$19:$BL$28))*(1+'Model Inputs'!$B$35)^(J131-1)+IF(J131&lt;=10,INDEX('Savings Projection'!$BM$19:$BM$28,J131),LOOKUP(2,1/('Savings Projection'!$BM$19:$BM$28&lt;&gt;""),'Savings Projection'!$BM$19:$BM$28))*(1+'Model Inputs'!$B$36)^(J131-1)</f>
        <v>241838.2943222344</v>
      </c>
      <c r="AA131" s="230">
        <f t="shared" si="69"/>
        <v>4639481.1656777654</v>
      </c>
      <c r="AB131" s="230">
        <f>MIN(MAX(AA131,0),'Tax Assumptions'!$B$20)</f>
        <v>7500</v>
      </c>
      <c r="AC131" s="230">
        <f t="shared" si="70"/>
        <v>4631981.1656777654</v>
      </c>
      <c r="AD131" s="230">
        <f>MAX(AD130*(1+'Model Inputs'!$B$13)+AC131,0)</f>
        <v>132376205.21744207</v>
      </c>
      <c r="AE131" s="230">
        <f>MAX(AE130*(1+'Model Inputs'!$B$13)+U131+AB131,0)</f>
        <v>1388553.2888417889</v>
      </c>
      <c r="AF131" s="230">
        <f t="shared" si="71"/>
        <v>133764758.50628385</v>
      </c>
      <c r="AG131" s="226" t="str">
        <f t="shared" si="57"/>
        <v/>
      </c>
      <c r="AH131" s="226" t="str">
        <f t="shared" si="58"/>
        <v/>
      </c>
      <c r="AI131" s="226" t="str">
        <f t="shared" si="59"/>
        <v/>
      </c>
      <c r="AJ131" s="226" t="str">
        <f t="shared" si="60"/>
        <v/>
      </c>
    </row>
    <row r="132" spans="1:36" ht="18" customHeight="1" x14ac:dyDescent="0.2">
      <c r="A132" s="226" t="str">
        <f t="shared" si="49"/>
        <v>3Y -&gt; PM Y7 Upside</v>
      </c>
      <c r="B132" s="226">
        <f t="shared" si="50"/>
        <v>3</v>
      </c>
      <c r="C132" s="235">
        <f t="shared" si="51"/>
        <v>3</v>
      </c>
      <c r="D132" s="226">
        <f t="shared" si="52"/>
        <v>7</v>
      </c>
      <c r="E132" s="226" t="str">
        <f t="shared" si="53"/>
        <v>Upside</v>
      </c>
      <c r="F132" s="230">
        <f t="shared" si="54"/>
        <v>50000000</v>
      </c>
      <c r="G132" s="236">
        <f t="shared" si="55"/>
        <v>0.2</v>
      </c>
      <c r="H132" s="230">
        <f t="shared" si="56"/>
        <v>300000</v>
      </c>
      <c r="I132" s="236">
        <f t="shared" si="62"/>
        <v>0</v>
      </c>
      <c r="J132" s="234">
        <v>23</v>
      </c>
      <c r="K132" s="234">
        <f t="shared" si="63"/>
        <v>2048</v>
      </c>
      <c r="L132" s="230">
        <f>IF(J132=1,'Model Inputs'!$B$25*(13-'Model Inputs'!$B$23)/12,'Model Inputs'!$B$25)</f>
        <v>300000</v>
      </c>
      <c r="M132" s="230">
        <f>IF(J132=1,'Model Inputs'!$B$27*(13-'Model Inputs'!$B$23)/12,IF(J132=2,'Model Inputs'!$B$27,IF(J132&lt;=MAX(3,'Model Inputs'!$B$30+1),'Model Inputs'!$B$27*(1+'Model Inputs'!$B$28)^(J132-3),'Model Inputs'!$B$27*(1+'Model Inputs'!$B$28)^(MAX(3,'Model Inputs'!$B$30+1)-3)*(1+'Model Inputs'!$B$29)^(J132-MAX(3,'Model Inputs'!$B$30+1)))))</f>
        <v>71054181.617940187</v>
      </c>
      <c r="N132" s="236">
        <f>IF(J132&lt;=2,0,'Model Inputs'!$B$32*SIN(2*PI()*(J132-3+'Model Inputs'!$B$34)/MAX(1,'Model Inputs'!$B$33)))</f>
        <v>-0.10392304845413268</v>
      </c>
      <c r="O132" s="230">
        <f t="shared" si="64"/>
        <v>63670014.458790243</v>
      </c>
      <c r="P132" s="230">
        <f t="shared" si="61"/>
        <v>57288095.855167374</v>
      </c>
      <c r="Q132" s="230">
        <f>L132+P132+IF(J132=1,'Model Inputs'!$B$26,0)</f>
        <v>57588095.855167374</v>
      </c>
      <c r="R132" s="230">
        <f t="shared" si="65"/>
        <v>172764287.56550211</v>
      </c>
      <c r="S132" s="230">
        <f t="shared" si="66"/>
        <v>10300000</v>
      </c>
      <c r="T132" s="230">
        <f t="shared" si="67"/>
        <v>10300000</v>
      </c>
      <c r="U132" s="230">
        <f>MIN(T132,'Tax Assumptions'!$B$19)</f>
        <v>24500</v>
      </c>
      <c r="V132" s="230">
        <f>MAX(T132-U132-'Tax Assumptions'!$B$8,0)</f>
        <v>10259400</v>
      </c>
      <c r="W132" s="230">
        <f>MAX(T132-U132-'Tax Assumptions'!$B$9,0)</f>
        <v>10267500</v>
      </c>
      <c r="X132" s="230">
        <f>IF(V132=0,0,LOOKUP(V132,'Tax Assumptions'!$F$9:$F$15,'Tax Assumptions'!$I$9:$I$15)+(V132-LOOKUP(V132,'Tax Assumptions'!$F$9:$F$15,'Tax Assumptions'!$F$9:$F$15))*LOOKUP(V132,'Tax Assumptions'!$F$9:$F$15,'Tax Assumptions'!$H$9:$H$15))+MIN(MAX(T132,0),'Tax Assumptions'!$B$11)*'Tax Assumptions'!$B$10+MAX(T132,0)*'Tax Assumptions'!$B$12+MAX(MAX(T132,0)-'Tax Assumptions'!$B$14,0)*'Tax Assumptions'!$B$13+MIN(T132*'Tax Assumptions'!$B$15,'Tax Assumptions'!$B$16)+MIN(T132*'Tax Assumptions'!$B$17,'Tax Assumptions'!$B$18)+IF(W132=0,0,LOOKUP(W132,'Tax Assumptions'!$K$9:$K$17,'Tax Assumptions'!$N$9:$N$17)+(W132-LOOKUP(W132,'Tax Assumptions'!$K$9:$K$17,'Tax Assumptions'!$K$9:$K$17))*LOOKUP(W132,'Tax Assumptions'!$K$9:$K$17,'Tax Assumptions'!$M$9:$M$17))+IF(W132=0,0,LOOKUP(W132,'Tax Assumptions'!$P$9:$P$12,'Tax Assumptions'!$S$9:$S$12)+(W132-LOOKUP(W132,'Tax Assumptions'!$P$9:$P$12,'Tax Assumptions'!$P$9:$P$12))*LOOKUP(W132,'Tax Assumptions'!$P$9:$P$12,'Tax Assumptions'!$R$9:$R$12))</f>
        <v>5394180.54</v>
      </c>
      <c r="Y132" s="230">
        <f t="shared" si="68"/>
        <v>4881319.46</v>
      </c>
      <c r="Z132" s="230">
        <f>IF(J132&lt;=10,INDEX('Savings Projection'!$BL$19:$BL$28,J132),LOOKUP(2,1/('Savings Projection'!$BL$19:$BL$28&lt;&gt;""),'Savings Projection'!$BL$19:$BL$28))*(1+'Model Inputs'!$B$35)^(J132-1)+IF(J132&lt;=10,INDEX('Savings Projection'!$BM$19:$BM$28,J132),LOOKUP(2,1/('Savings Projection'!$BM$19:$BM$28&lt;&gt;""),'Savings Projection'!$BM$19:$BM$28))*(1+'Model Inputs'!$B$36)^(J132-1)</f>
        <v>249093.44315190148</v>
      </c>
      <c r="AA132" s="230">
        <f t="shared" si="69"/>
        <v>4632226.0168480985</v>
      </c>
      <c r="AB132" s="230">
        <f>MIN(MAX(AA132,0),'Tax Assumptions'!$B$20)</f>
        <v>7500</v>
      </c>
      <c r="AC132" s="230">
        <f t="shared" si="70"/>
        <v>4624726.0168480985</v>
      </c>
      <c r="AD132" s="230">
        <f>MAX(AD131*(1+'Model Inputs'!$B$13)+AC132,0)</f>
        <v>144943503.5473367</v>
      </c>
      <c r="AE132" s="230">
        <f>MAX(AE131*(1+'Model Inputs'!$B$13)+U132+AB132,0)</f>
        <v>1503866.4861722963</v>
      </c>
      <c r="AF132" s="230">
        <f t="shared" si="71"/>
        <v>146447370.03350899</v>
      </c>
      <c r="AG132" s="226" t="str">
        <f t="shared" si="57"/>
        <v/>
      </c>
      <c r="AH132" s="226" t="str">
        <f t="shared" si="58"/>
        <v/>
      </c>
      <c r="AI132" s="226" t="str">
        <f t="shared" si="59"/>
        <v/>
      </c>
      <c r="AJ132" s="226" t="str">
        <f t="shared" si="60"/>
        <v/>
      </c>
    </row>
    <row r="133" spans="1:36" ht="18" customHeight="1" x14ac:dyDescent="0.2">
      <c r="A133" s="226" t="str">
        <f t="shared" si="49"/>
        <v>3Y -&gt; PM Y7 Upside</v>
      </c>
      <c r="B133" s="226">
        <f t="shared" si="50"/>
        <v>3</v>
      </c>
      <c r="C133" s="235">
        <f t="shared" si="51"/>
        <v>3</v>
      </c>
      <c r="D133" s="226">
        <f t="shared" si="52"/>
        <v>7</v>
      </c>
      <c r="E133" s="226" t="str">
        <f t="shared" si="53"/>
        <v>Upside</v>
      </c>
      <c r="F133" s="230">
        <f t="shared" si="54"/>
        <v>50000000</v>
      </c>
      <c r="G133" s="236">
        <f t="shared" si="55"/>
        <v>0.2</v>
      </c>
      <c r="H133" s="230">
        <f t="shared" si="56"/>
        <v>300000</v>
      </c>
      <c r="I133" s="236">
        <f t="shared" si="62"/>
        <v>0</v>
      </c>
      <c r="J133" s="234">
        <v>24</v>
      </c>
      <c r="K133" s="234">
        <f t="shared" si="63"/>
        <v>2049</v>
      </c>
      <c r="L133" s="230">
        <f>IF(J133=1,'Model Inputs'!$B$25*(13-'Model Inputs'!$B$23)/12,'Model Inputs'!$B$25)</f>
        <v>300000</v>
      </c>
      <c r="M133" s="230">
        <f>IF(J133=1,'Model Inputs'!$B$27*(13-'Model Inputs'!$B$23)/12,IF(J133=2,'Model Inputs'!$B$27,IF(J133&lt;=MAX(3,'Model Inputs'!$B$30+1),'Model Inputs'!$B$27*(1+'Model Inputs'!$B$28)^(J133-3),'Model Inputs'!$B$27*(1+'Model Inputs'!$B$28)^(MAX(3,'Model Inputs'!$B$30+1)-3)*(1+'Model Inputs'!$B$29)^(J133-MAX(3,'Model Inputs'!$B$30+1)))))</f>
        <v>90301156.084270701</v>
      </c>
      <c r="N133" s="236">
        <f>IF(J133&lt;=2,0,'Model Inputs'!$B$32*SIN(2*PI()*(J133-3+'Model Inputs'!$B$34)/MAX(1,'Model Inputs'!$B$33)))</f>
        <v>-2.0574066225675533E-16</v>
      </c>
      <c r="O133" s="230">
        <f t="shared" si="64"/>
        <v>90301156.084270686</v>
      </c>
      <c r="P133" s="230">
        <f t="shared" si="61"/>
        <v>63182470.219744325</v>
      </c>
      <c r="Q133" s="230">
        <f>L133+P133+IF(J133=1,'Model Inputs'!$B$26,0)</f>
        <v>63482470.219744325</v>
      </c>
      <c r="R133" s="230">
        <f t="shared" si="65"/>
        <v>190447410.65923297</v>
      </c>
      <c r="S133" s="230">
        <f t="shared" si="66"/>
        <v>10300000</v>
      </c>
      <c r="T133" s="230">
        <f t="shared" si="67"/>
        <v>10300000</v>
      </c>
      <c r="U133" s="230">
        <f>MIN(T133,'Tax Assumptions'!$B$19)</f>
        <v>24500</v>
      </c>
      <c r="V133" s="230">
        <f>MAX(T133-U133-'Tax Assumptions'!$B$8,0)</f>
        <v>10259400</v>
      </c>
      <c r="W133" s="230">
        <f>MAX(T133-U133-'Tax Assumptions'!$B$9,0)</f>
        <v>10267500</v>
      </c>
      <c r="X133" s="230">
        <f>IF(V133=0,0,LOOKUP(V133,'Tax Assumptions'!$F$9:$F$15,'Tax Assumptions'!$I$9:$I$15)+(V133-LOOKUP(V133,'Tax Assumptions'!$F$9:$F$15,'Tax Assumptions'!$F$9:$F$15))*LOOKUP(V133,'Tax Assumptions'!$F$9:$F$15,'Tax Assumptions'!$H$9:$H$15))+MIN(MAX(T133,0),'Tax Assumptions'!$B$11)*'Tax Assumptions'!$B$10+MAX(T133,0)*'Tax Assumptions'!$B$12+MAX(MAX(T133,0)-'Tax Assumptions'!$B$14,0)*'Tax Assumptions'!$B$13+MIN(T133*'Tax Assumptions'!$B$15,'Tax Assumptions'!$B$16)+MIN(T133*'Tax Assumptions'!$B$17,'Tax Assumptions'!$B$18)+IF(W133=0,0,LOOKUP(W133,'Tax Assumptions'!$K$9:$K$17,'Tax Assumptions'!$N$9:$N$17)+(W133-LOOKUP(W133,'Tax Assumptions'!$K$9:$K$17,'Tax Assumptions'!$K$9:$K$17))*LOOKUP(W133,'Tax Assumptions'!$K$9:$K$17,'Tax Assumptions'!$M$9:$M$17))+IF(W133=0,0,LOOKUP(W133,'Tax Assumptions'!$P$9:$P$12,'Tax Assumptions'!$S$9:$S$12)+(W133-LOOKUP(W133,'Tax Assumptions'!$P$9:$P$12,'Tax Assumptions'!$P$9:$P$12))*LOOKUP(W133,'Tax Assumptions'!$P$9:$P$12,'Tax Assumptions'!$R$9:$R$12))</f>
        <v>5394180.54</v>
      </c>
      <c r="Y133" s="230">
        <f t="shared" si="68"/>
        <v>4881319.46</v>
      </c>
      <c r="Z133" s="230">
        <f>IF(J133&lt;=10,INDEX('Savings Projection'!$BL$19:$BL$28,J133),LOOKUP(2,1/('Savings Projection'!$BL$19:$BL$28&lt;&gt;""),'Savings Projection'!$BL$19:$BL$28))*(1+'Model Inputs'!$B$35)^(J133-1)+IF(J133&lt;=10,INDEX('Savings Projection'!$BM$19:$BM$28,J133),LOOKUP(2,1/('Savings Projection'!$BM$19:$BM$28&lt;&gt;""),'Savings Projection'!$BM$19:$BM$28))*(1+'Model Inputs'!$B$36)^(J133-1)</f>
        <v>256566.24644645851</v>
      </c>
      <c r="AA133" s="230">
        <f t="shared" si="69"/>
        <v>4624753.2135535413</v>
      </c>
      <c r="AB133" s="230">
        <f>MIN(MAX(AA133,0),'Tax Assumptions'!$B$20)</f>
        <v>7500</v>
      </c>
      <c r="AC133" s="230">
        <f t="shared" si="70"/>
        <v>4617253.2135535413</v>
      </c>
      <c r="AD133" s="230">
        <f>MAX(AD132*(1+'Model Inputs'!$B$13)+AC133,0)</f>
        <v>158257366.97373044</v>
      </c>
      <c r="AE133" s="230">
        <f>MAX(AE132*(1+'Model Inputs'!$B$13)+U133+AB133,0)</f>
        <v>1626098.4753426341</v>
      </c>
      <c r="AF133" s="230">
        <f t="shared" si="71"/>
        <v>159883465.44907308</v>
      </c>
      <c r="AG133" s="226" t="str">
        <f t="shared" si="57"/>
        <v/>
      </c>
      <c r="AH133" s="226" t="str">
        <f t="shared" si="58"/>
        <v/>
      </c>
      <c r="AI133" s="226" t="str">
        <f t="shared" si="59"/>
        <v/>
      </c>
      <c r="AJ133" s="226" t="str">
        <f t="shared" si="60"/>
        <v/>
      </c>
    </row>
    <row r="134" spans="1:36" ht="18" customHeight="1" x14ac:dyDescent="0.2">
      <c r="A134" s="226" t="str">
        <f t="shared" si="49"/>
        <v>3Y -&gt; PM Y7 Upside</v>
      </c>
      <c r="B134" s="226">
        <f t="shared" si="50"/>
        <v>3</v>
      </c>
      <c r="C134" s="235">
        <f t="shared" si="51"/>
        <v>3</v>
      </c>
      <c r="D134" s="226">
        <f t="shared" si="52"/>
        <v>7</v>
      </c>
      <c r="E134" s="226" t="str">
        <f t="shared" si="53"/>
        <v>Upside</v>
      </c>
      <c r="F134" s="230">
        <f t="shared" si="54"/>
        <v>50000000</v>
      </c>
      <c r="G134" s="236">
        <f t="shared" si="55"/>
        <v>0.2</v>
      </c>
      <c r="H134" s="230">
        <f t="shared" si="56"/>
        <v>300000</v>
      </c>
      <c r="I134" s="236">
        <f t="shared" si="62"/>
        <v>0</v>
      </c>
      <c r="J134" s="234">
        <v>25</v>
      </c>
      <c r="K134" s="234">
        <f t="shared" si="63"/>
        <v>2050</v>
      </c>
      <c r="L134" s="230">
        <f>IF(J134=1,'Model Inputs'!$B$25*(13-'Model Inputs'!$B$23)/12,'Model Inputs'!$B$25)</f>
        <v>300000</v>
      </c>
      <c r="M134" s="230">
        <f>IF(J134=1,'Model Inputs'!$B$27*(13-'Model Inputs'!$B$23)/12,IF(J134=2,'Model Inputs'!$B$27,IF(J134&lt;=MAX(3,'Model Inputs'!$B$30+1),'Model Inputs'!$B$27*(1+'Model Inputs'!$B$28)^(J134-3),'Model Inputs'!$B$27*(1+'Model Inputs'!$B$28)^(MAX(3,'Model Inputs'!$B$30+1)-3)*(1+'Model Inputs'!$B$29)^(J134-MAX(3,'Model Inputs'!$B$30+1)))))</f>
        <v>114761701.62653697</v>
      </c>
      <c r="N134" s="236">
        <f>IF(J134&lt;=2,0,'Model Inputs'!$B$32*SIN(2*PI()*(J134-3+'Model Inputs'!$B$34)/MAX(1,'Model Inputs'!$B$33)))</f>
        <v>0.10392304845413287</v>
      </c>
      <c r="O134" s="230">
        <f t="shared" si="64"/>
        <v>126688087.50535031</v>
      </c>
      <c r="P134" s="230">
        <f t="shared" si="61"/>
        <v>83643370.677900568</v>
      </c>
      <c r="Q134" s="230">
        <f>L134+P134+IF(J134=1,'Model Inputs'!$B$26,0)</f>
        <v>83943370.677900568</v>
      </c>
      <c r="R134" s="230">
        <f t="shared" si="65"/>
        <v>251830112.03370172</v>
      </c>
      <c r="S134" s="230">
        <f t="shared" si="66"/>
        <v>10300000</v>
      </c>
      <c r="T134" s="230">
        <f t="shared" si="67"/>
        <v>10300000</v>
      </c>
      <c r="U134" s="230">
        <f>MIN(T134,'Tax Assumptions'!$B$19)</f>
        <v>24500</v>
      </c>
      <c r="V134" s="230">
        <f>MAX(T134-U134-'Tax Assumptions'!$B$8,0)</f>
        <v>10259400</v>
      </c>
      <c r="W134" s="230">
        <f>MAX(T134-U134-'Tax Assumptions'!$B$9,0)</f>
        <v>10267500</v>
      </c>
      <c r="X134" s="230">
        <f>IF(V134=0,0,LOOKUP(V134,'Tax Assumptions'!$F$9:$F$15,'Tax Assumptions'!$I$9:$I$15)+(V134-LOOKUP(V134,'Tax Assumptions'!$F$9:$F$15,'Tax Assumptions'!$F$9:$F$15))*LOOKUP(V134,'Tax Assumptions'!$F$9:$F$15,'Tax Assumptions'!$H$9:$H$15))+MIN(MAX(T134,0),'Tax Assumptions'!$B$11)*'Tax Assumptions'!$B$10+MAX(T134,0)*'Tax Assumptions'!$B$12+MAX(MAX(T134,0)-'Tax Assumptions'!$B$14,0)*'Tax Assumptions'!$B$13+MIN(T134*'Tax Assumptions'!$B$15,'Tax Assumptions'!$B$16)+MIN(T134*'Tax Assumptions'!$B$17,'Tax Assumptions'!$B$18)+IF(W134=0,0,LOOKUP(W134,'Tax Assumptions'!$K$9:$K$17,'Tax Assumptions'!$N$9:$N$17)+(W134-LOOKUP(W134,'Tax Assumptions'!$K$9:$K$17,'Tax Assumptions'!$K$9:$K$17))*LOOKUP(W134,'Tax Assumptions'!$K$9:$K$17,'Tax Assumptions'!$M$9:$M$17))+IF(W134=0,0,LOOKUP(W134,'Tax Assumptions'!$P$9:$P$12,'Tax Assumptions'!$S$9:$S$12)+(W134-LOOKUP(W134,'Tax Assumptions'!$P$9:$P$12,'Tax Assumptions'!$P$9:$P$12))*LOOKUP(W134,'Tax Assumptions'!$P$9:$P$12,'Tax Assumptions'!$R$9:$R$12))</f>
        <v>5394180.54</v>
      </c>
      <c r="Y134" s="230">
        <f t="shared" si="68"/>
        <v>4881319.46</v>
      </c>
      <c r="Z134" s="230">
        <f>IF(J134&lt;=10,INDEX('Savings Projection'!$BL$19:$BL$28,J134),LOOKUP(2,1/('Savings Projection'!$BL$19:$BL$28&lt;&gt;""),'Savings Projection'!$BL$19:$BL$28))*(1+'Model Inputs'!$B$35)^(J134-1)+IF(J134&lt;=10,INDEX('Savings Projection'!$BM$19:$BM$28,J134),LOOKUP(2,1/('Savings Projection'!$BM$19:$BM$28&lt;&gt;""),'Savings Projection'!$BM$19:$BM$28))*(1+'Model Inputs'!$B$36)^(J134-1)</f>
        <v>264263.23383985227</v>
      </c>
      <c r="AA134" s="230">
        <f t="shared" si="69"/>
        <v>4617056.2261601482</v>
      </c>
      <c r="AB134" s="230">
        <f>MIN(MAX(AA134,0),'Tax Assumptions'!$B$20)</f>
        <v>7500</v>
      </c>
      <c r="AC134" s="230">
        <f t="shared" si="70"/>
        <v>4609556.2261601482</v>
      </c>
      <c r="AD134" s="230">
        <f>MAX(AD133*(1+'Model Inputs'!$B$13)+AC134,0)</f>
        <v>172362365.21831441</v>
      </c>
      <c r="AE134" s="230">
        <f>MAX(AE133*(1+'Model Inputs'!$B$13)+U134+AB134,0)</f>
        <v>1755664.3838631923</v>
      </c>
      <c r="AF134" s="230">
        <f t="shared" si="71"/>
        <v>174118029.60217759</v>
      </c>
      <c r="AG134" s="226" t="str">
        <f t="shared" si="57"/>
        <v/>
      </c>
      <c r="AH134" s="226" t="str">
        <f t="shared" si="58"/>
        <v/>
      </c>
      <c r="AI134" s="226" t="str">
        <f t="shared" si="59"/>
        <v/>
      </c>
      <c r="AJ134" s="226" t="str">
        <f t="shared" si="60"/>
        <v/>
      </c>
    </row>
    <row r="135" spans="1:36" ht="18" customHeight="1" x14ac:dyDescent="0.2">
      <c r="A135" s="226" t="str">
        <f t="shared" si="49"/>
        <v>3Y -&gt; PM Y7 Upside</v>
      </c>
      <c r="B135" s="226">
        <f t="shared" si="50"/>
        <v>3</v>
      </c>
      <c r="C135" s="235">
        <f t="shared" si="51"/>
        <v>3</v>
      </c>
      <c r="D135" s="226">
        <f t="shared" si="52"/>
        <v>7</v>
      </c>
      <c r="E135" s="226" t="str">
        <f t="shared" si="53"/>
        <v>Upside</v>
      </c>
      <c r="F135" s="230">
        <f t="shared" si="54"/>
        <v>50000000</v>
      </c>
      <c r="G135" s="236">
        <f t="shared" si="55"/>
        <v>0.2</v>
      </c>
      <c r="H135" s="230">
        <f t="shared" si="56"/>
        <v>300000</v>
      </c>
      <c r="I135" s="236">
        <f t="shared" si="62"/>
        <v>0</v>
      </c>
      <c r="J135" s="234">
        <v>26</v>
      </c>
      <c r="K135" s="234">
        <f t="shared" si="63"/>
        <v>2051</v>
      </c>
      <c r="L135" s="230">
        <f>IF(J135=1,'Model Inputs'!$B$25*(13-'Model Inputs'!$B$23)/12,'Model Inputs'!$B$25)</f>
        <v>300000</v>
      </c>
      <c r="M135" s="230">
        <f>IF(J135=1,'Model Inputs'!$B$27*(13-'Model Inputs'!$B$23)/12,IF(J135=2,'Model Inputs'!$B$27,IF(J135&lt;=MAX(3,'Model Inputs'!$B$30+1),'Model Inputs'!$B$27*(1+'Model Inputs'!$B$28)^(J135-3),'Model Inputs'!$B$27*(1+'Model Inputs'!$B$28)^(MAX(3,'Model Inputs'!$B$30+1)-3)*(1+'Model Inputs'!$B$29)^(J135-MAX(3,'Model Inputs'!$B$30+1)))))</f>
        <v>145848057.00524563</v>
      </c>
      <c r="N135" s="236">
        <f>IF(J135&lt;=2,0,'Model Inputs'!$B$32*SIN(2*PI()*(J135-3+'Model Inputs'!$B$34)/MAX(1,'Model Inputs'!$B$33)))</f>
        <v>-0.10392304845413224</v>
      </c>
      <c r="O135" s="230">
        <f t="shared" si="64"/>
        <v>130691082.31014845</v>
      </c>
      <c r="P135" s="230">
        <f t="shared" si="61"/>
        <v>117591354.65008041</v>
      </c>
      <c r="Q135" s="230">
        <f>L135+P135+IF(J135=1,'Model Inputs'!$B$26,0)</f>
        <v>117891354.65008041</v>
      </c>
      <c r="R135" s="230">
        <f t="shared" si="65"/>
        <v>353674063.95024121</v>
      </c>
      <c r="S135" s="230">
        <f t="shared" si="66"/>
        <v>10300000</v>
      </c>
      <c r="T135" s="230">
        <f t="shared" si="67"/>
        <v>10300000</v>
      </c>
      <c r="U135" s="230">
        <f>MIN(T135,'Tax Assumptions'!$B$19)</f>
        <v>24500</v>
      </c>
      <c r="V135" s="230">
        <f>MAX(T135-U135-'Tax Assumptions'!$B$8,0)</f>
        <v>10259400</v>
      </c>
      <c r="W135" s="230">
        <f>MAX(T135-U135-'Tax Assumptions'!$B$9,0)</f>
        <v>10267500</v>
      </c>
      <c r="X135" s="230">
        <f>IF(V135=0,0,LOOKUP(V135,'Tax Assumptions'!$F$9:$F$15,'Tax Assumptions'!$I$9:$I$15)+(V135-LOOKUP(V135,'Tax Assumptions'!$F$9:$F$15,'Tax Assumptions'!$F$9:$F$15))*LOOKUP(V135,'Tax Assumptions'!$F$9:$F$15,'Tax Assumptions'!$H$9:$H$15))+MIN(MAX(T135,0),'Tax Assumptions'!$B$11)*'Tax Assumptions'!$B$10+MAX(T135,0)*'Tax Assumptions'!$B$12+MAX(MAX(T135,0)-'Tax Assumptions'!$B$14,0)*'Tax Assumptions'!$B$13+MIN(T135*'Tax Assumptions'!$B$15,'Tax Assumptions'!$B$16)+MIN(T135*'Tax Assumptions'!$B$17,'Tax Assumptions'!$B$18)+IF(W135=0,0,LOOKUP(W135,'Tax Assumptions'!$K$9:$K$17,'Tax Assumptions'!$N$9:$N$17)+(W135-LOOKUP(W135,'Tax Assumptions'!$K$9:$K$17,'Tax Assumptions'!$K$9:$K$17))*LOOKUP(W135,'Tax Assumptions'!$K$9:$K$17,'Tax Assumptions'!$M$9:$M$17))+IF(W135=0,0,LOOKUP(W135,'Tax Assumptions'!$P$9:$P$12,'Tax Assumptions'!$S$9:$S$12)+(W135-LOOKUP(W135,'Tax Assumptions'!$P$9:$P$12,'Tax Assumptions'!$P$9:$P$12))*LOOKUP(W135,'Tax Assumptions'!$P$9:$P$12,'Tax Assumptions'!$R$9:$R$12))</f>
        <v>5394180.54</v>
      </c>
      <c r="Y135" s="230">
        <f t="shared" si="68"/>
        <v>4881319.46</v>
      </c>
      <c r="Z135" s="230">
        <f>IF(J135&lt;=10,INDEX('Savings Projection'!$BL$19:$BL$28,J135),LOOKUP(2,1/('Savings Projection'!$BL$19:$BL$28&lt;&gt;""),'Savings Projection'!$BL$19:$BL$28))*(1+'Model Inputs'!$B$35)^(J135-1)+IF(J135&lt;=10,INDEX('Savings Projection'!$BM$19:$BM$28,J135),LOOKUP(2,1/('Savings Projection'!$BM$19:$BM$28&lt;&gt;""),'Savings Projection'!$BM$19:$BM$28))*(1+'Model Inputs'!$B$36)^(J135-1)</f>
        <v>272191.13085504784</v>
      </c>
      <c r="AA135" s="230">
        <f t="shared" si="69"/>
        <v>4609128.3291449519</v>
      </c>
      <c r="AB135" s="230">
        <f>MIN(MAX(AA135,0),'Tax Assumptions'!$B$20)</f>
        <v>7500</v>
      </c>
      <c r="AC135" s="230">
        <f t="shared" si="70"/>
        <v>4601628.3291449519</v>
      </c>
      <c r="AD135" s="230">
        <f>MAX(AD134*(1+'Model Inputs'!$B$13)+AC135,0)</f>
        <v>187305735.46055824</v>
      </c>
      <c r="AE135" s="230">
        <f>MAX(AE134*(1+'Model Inputs'!$B$13)+U135+AB135,0)</f>
        <v>1893004.2468949838</v>
      </c>
      <c r="AF135" s="230">
        <f t="shared" si="71"/>
        <v>189198739.70745322</v>
      </c>
      <c r="AG135" s="226" t="str">
        <f t="shared" si="57"/>
        <v/>
      </c>
      <c r="AH135" s="226" t="str">
        <f t="shared" si="58"/>
        <v/>
      </c>
      <c r="AI135" s="226" t="str">
        <f t="shared" si="59"/>
        <v/>
      </c>
      <c r="AJ135" s="226" t="str">
        <f t="shared" si="60"/>
        <v/>
      </c>
    </row>
    <row r="136" spans="1:36" ht="18" customHeight="1" x14ac:dyDescent="0.2">
      <c r="A136" s="226" t="str">
        <f t="shared" si="49"/>
        <v>3Y -&gt; PM Y7 Upside</v>
      </c>
      <c r="B136" s="226">
        <f t="shared" si="50"/>
        <v>3</v>
      </c>
      <c r="C136" s="235">
        <f t="shared" si="51"/>
        <v>3</v>
      </c>
      <c r="D136" s="226">
        <f t="shared" si="52"/>
        <v>7</v>
      </c>
      <c r="E136" s="226" t="str">
        <f t="shared" si="53"/>
        <v>Upside</v>
      </c>
      <c r="F136" s="230">
        <f t="shared" si="54"/>
        <v>50000000</v>
      </c>
      <c r="G136" s="236">
        <f t="shared" si="55"/>
        <v>0.2</v>
      </c>
      <c r="H136" s="230">
        <f t="shared" si="56"/>
        <v>300000</v>
      </c>
      <c r="I136" s="236">
        <f t="shared" si="62"/>
        <v>0</v>
      </c>
      <c r="J136" s="234">
        <v>27</v>
      </c>
      <c r="K136" s="234">
        <f t="shared" si="63"/>
        <v>2052</v>
      </c>
      <c r="L136" s="230">
        <f>IF(J136=1,'Model Inputs'!$B$25*(13-'Model Inputs'!$B$23)/12,'Model Inputs'!$B$25)</f>
        <v>300000</v>
      </c>
      <c r="M136" s="230">
        <f>IF(J136=1,'Model Inputs'!$B$27*(13-'Model Inputs'!$B$23)/12,IF(J136=2,'Model Inputs'!$B$27,IF(J136&lt;=MAX(3,'Model Inputs'!$B$30+1),'Model Inputs'!$B$27*(1+'Model Inputs'!$B$28)^(J136-3),'Model Inputs'!$B$27*(1+'Model Inputs'!$B$28)^(MAX(3,'Model Inputs'!$B$30+1)-3)*(1+'Model Inputs'!$B$29)^(J136-MAX(3,'Model Inputs'!$B$30+1)))))</f>
        <v>185355004.59402937</v>
      </c>
      <c r="N136" s="236">
        <f>IF(J136&lt;=2,0,'Model Inputs'!$B$32*SIN(2*PI()*(J136-3+'Model Inputs'!$B$34)/MAX(1,'Model Inputs'!$B$33)))</f>
        <v>-2.3513218543629179E-16</v>
      </c>
      <c r="O136" s="230">
        <f t="shared" si="64"/>
        <v>185355004.59402934</v>
      </c>
      <c r="P136" s="230">
        <f t="shared" si="61"/>
        <v>129690333.6089489</v>
      </c>
      <c r="Q136" s="230">
        <f>L136+P136+IF(J136=1,'Model Inputs'!$B$26,0)</f>
        <v>129990333.6089489</v>
      </c>
      <c r="R136" s="230">
        <f t="shared" si="65"/>
        <v>389971000.82684672</v>
      </c>
      <c r="S136" s="230">
        <f t="shared" si="66"/>
        <v>10300000</v>
      </c>
      <c r="T136" s="230">
        <f t="shared" si="67"/>
        <v>10300000</v>
      </c>
      <c r="U136" s="230">
        <f>MIN(T136,'Tax Assumptions'!$B$19)</f>
        <v>24500</v>
      </c>
      <c r="V136" s="230">
        <f>MAX(T136-U136-'Tax Assumptions'!$B$8,0)</f>
        <v>10259400</v>
      </c>
      <c r="W136" s="230">
        <f>MAX(T136-U136-'Tax Assumptions'!$B$9,0)</f>
        <v>10267500</v>
      </c>
      <c r="X136" s="230">
        <f>IF(V136=0,0,LOOKUP(V136,'Tax Assumptions'!$F$9:$F$15,'Tax Assumptions'!$I$9:$I$15)+(V136-LOOKUP(V136,'Tax Assumptions'!$F$9:$F$15,'Tax Assumptions'!$F$9:$F$15))*LOOKUP(V136,'Tax Assumptions'!$F$9:$F$15,'Tax Assumptions'!$H$9:$H$15))+MIN(MAX(T136,0),'Tax Assumptions'!$B$11)*'Tax Assumptions'!$B$10+MAX(T136,0)*'Tax Assumptions'!$B$12+MAX(MAX(T136,0)-'Tax Assumptions'!$B$14,0)*'Tax Assumptions'!$B$13+MIN(T136*'Tax Assumptions'!$B$15,'Tax Assumptions'!$B$16)+MIN(T136*'Tax Assumptions'!$B$17,'Tax Assumptions'!$B$18)+IF(W136=0,0,LOOKUP(W136,'Tax Assumptions'!$K$9:$K$17,'Tax Assumptions'!$N$9:$N$17)+(W136-LOOKUP(W136,'Tax Assumptions'!$K$9:$K$17,'Tax Assumptions'!$K$9:$K$17))*LOOKUP(W136,'Tax Assumptions'!$K$9:$K$17,'Tax Assumptions'!$M$9:$M$17))+IF(W136=0,0,LOOKUP(W136,'Tax Assumptions'!$P$9:$P$12,'Tax Assumptions'!$S$9:$S$12)+(W136-LOOKUP(W136,'Tax Assumptions'!$P$9:$P$12,'Tax Assumptions'!$P$9:$P$12))*LOOKUP(W136,'Tax Assumptions'!$P$9:$P$12,'Tax Assumptions'!$R$9:$R$12))</f>
        <v>5394180.54</v>
      </c>
      <c r="Y136" s="230">
        <f t="shared" si="68"/>
        <v>4881319.46</v>
      </c>
      <c r="Z136" s="230">
        <f>IF(J136&lt;=10,INDEX('Savings Projection'!$BL$19:$BL$28,J136),LOOKUP(2,1/('Savings Projection'!$BL$19:$BL$28&lt;&gt;""),'Savings Projection'!$BL$19:$BL$28))*(1+'Model Inputs'!$B$35)^(J136-1)+IF(J136&lt;=10,INDEX('Savings Projection'!$BM$19:$BM$28,J136),LOOKUP(2,1/('Savings Projection'!$BM$19:$BM$28&lt;&gt;""),'Savings Projection'!$BM$19:$BM$28))*(1+'Model Inputs'!$B$36)^(J136-1)</f>
        <v>280356.86478069925</v>
      </c>
      <c r="AA136" s="230">
        <f t="shared" si="69"/>
        <v>4600962.5952193011</v>
      </c>
      <c r="AB136" s="230">
        <f>MIN(MAX(AA136,0),'Tax Assumptions'!$B$20)</f>
        <v>7500</v>
      </c>
      <c r="AC136" s="230">
        <f t="shared" si="70"/>
        <v>4593462.5952193011</v>
      </c>
      <c r="AD136" s="230">
        <f>MAX(AD135*(1+'Model Inputs'!$B$13)+AC136,0)</f>
        <v>203137542.18341106</v>
      </c>
      <c r="AE136" s="230">
        <f>MAX(AE135*(1+'Model Inputs'!$B$13)+U136+AB136,0)</f>
        <v>2038584.5017086829</v>
      </c>
      <c r="AF136" s="230">
        <f t="shared" si="71"/>
        <v>205176126.68511975</v>
      </c>
      <c r="AG136" s="226" t="str">
        <f t="shared" si="57"/>
        <v/>
      </c>
      <c r="AH136" s="226" t="str">
        <f t="shared" si="58"/>
        <v/>
      </c>
      <c r="AI136" s="226" t="str">
        <f t="shared" si="59"/>
        <v/>
      </c>
      <c r="AJ136" s="226" t="str">
        <f t="shared" si="60"/>
        <v/>
      </c>
    </row>
    <row r="137" spans="1:36" ht="18" customHeight="1" x14ac:dyDescent="0.2">
      <c r="A137" s="226" t="str">
        <f t="shared" si="49"/>
        <v>3Y -&gt; PM Y7 Upside</v>
      </c>
      <c r="B137" s="226">
        <f t="shared" si="50"/>
        <v>3</v>
      </c>
      <c r="C137" s="235">
        <f t="shared" si="51"/>
        <v>3</v>
      </c>
      <c r="D137" s="226">
        <f t="shared" si="52"/>
        <v>7</v>
      </c>
      <c r="E137" s="226" t="str">
        <f t="shared" si="53"/>
        <v>Upside</v>
      </c>
      <c r="F137" s="230">
        <f t="shared" si="54"/>
        <v>50000000</v>
      </c>
      <c r="G137" s="236">
        <f t="shared" si="55"/>
        <v>0.2</v>
      </c>
      <c r="H137" s="230">
        <f t="shared" si="56"/>
        <v>300000</v>
      </c>
      <c r="I137" s="236">
        <f t="shared" si="62"/>
        <v>0</v>
      </c>
      <c r="J137" s="234">
        <v>28</v>
      </c>
      <c r="K137" s="234">
        <f t="shared" si="63"/>
        <v>2053</v>
      </c>
      <c r="L137" s="230">
        <f>IF(J137=1,'Model Inputs'!$B$25*(13-'Model Inputs'!$B$23)/12,'Model Inputs'!$B$25)</f>
        <v>300000</v>
      </c>
      <c r="M137" s="230">
        <f>IF(J137=1,'Model Inputs'!$B$27*(13-'Model Inputs'!$B$23)/12,IF(J137=2,'Model Inputs'!$B$27,IF(J137&lt;=MAX(3,'Model Inputs'!$B$30+1),'Model Inputs'!$B$27*(1+'Model Inputs'!$B$28)^(J137-3),'Model Inputs'!$B$27*(1+'Model Inputs'!$B$28)^(MAX(3,'Model Inputs'!$B$30+1)-3)*(1+'Model Inputs'!$B$29)^(J137-MAX(3,'Model Inputs'!$B$30+1)))))</f>
        <v>235563492.81236541</v>
      </c>
      <c r="N137" s="236">
        <f>IF(J137&lt;=2,0,'Model Inputs'!$B$32*SIN(2*PI()*(J137-3+'Model Inputs'!$B$34)/MAX(1,'Model Inputs'!$B$33)))</f>
        <v>0.10392304845413247</v>
      </c>
      <c r="O137" s="230">
        <f t="shared" si="64"/>
        <v>260043969.08992955</v>
      </c>
      <c r="P137" s="230">
        <f t="shared" si="61"/>
        <v>171689024.02305913</v>
      </c>
      <c r="Q137" s="230">
        <f>L137+P137+IF(J137=1,'Model Inputs'!$B$26,0)</f>
        <v>171989024.02305913</v>
      </c>
      <c r="R137" s="230">
        <f t="shared" si="65"/>
        <v>515967072.06917739</v>
      </c>
      <c r="S137" s="230">
        <f t="shared" si="66"/>
        <v>10300000</v>
      </c>
      <c r="T137" s="230">
        <f t="shared" si="67"/>
        <v>10300000</v>
      </c>
      <c r="U137" s="230">
        <f>MIN(T137,'Tax Assumptions'!$B$19)</f>
        <v>24500</v>
      </c>
      <c r="V137" s="230">
        <f>MAX(T137-U137-'Tax Assumptions'!$B$8,0)</f>
        <v>10259400</v>
      </c>
      <c r="W137" s="230">
        <f>MAX(T137-U137-'Tax Assumptions'!$B$9,0)</f>
        <v>10267500</v>
      </c>
      <c r="X137" s="230">
        <f>IF(V137=0,0,LOOKUP(V137,'Tax Assumptions'!$F$9:$F$15,'Tax Assumptions'!$I$9:$I$15)+(V137-LOOKUP(V137,'Tax Assumptions'!$F$9:$F$15,'Tax Assumptions'!$F$9:$F$15))*LOOKUP(V137,'Tax Assumptions'!$F$9:$F$15,'Tax Assumptions'!$H$9:$H$15))+MIN(MAX(T137,0),'Tax Assumptions'!$B$11)*'Tax Assumptions'!$B$10+MAX(T137,0)*'Tax Assumptions'!$B$12+MAX(MAX(T137,0)-'Tax Assumptions'!$B$14,0)*'Tax Assumptions'!$B$13+MIN(T137*'Tax Assumptions'!$B$15,'Tax Assumptions'!$B$16)+MIN(T137*'Tax Assumptions'!$B$17,'Tax Assumptions'!$B$18)+IF(W137=0,0,LOOKUP(W137,'Tax Assumptions'!$K$9:$K$17,'Tax Assumptions'!$N$9:$N$17)+(W137-LOOKUP(W137,'Tax Assumptions'!$K$9:$K$17,'Tax Assumptions'!$K$9:$K$17))*LOOKUP(W137,'Tax Assumptions'!$K$9:$K$17,'Tax Assumptions'!$M$9:$M$17))+IF(W137=0,0,LOOKUP(W137,'Tax Assumptions'!$P$9:$P$12,'Tax Assumptions'!$S$9:$S$12)+(W137-LOOKUP(W137,'Tax Assumptions'!$P$9:$P$12,'Tax Assumptions'!$P$9:$P$12))*LOOKUP(W137,'Tax Assumptions'!$P$9:$P$12,'Tax Assumptions'!$R$9:$R$12))</f>
        <v>5394180.54</v>
      </c>
      <c r="Y137" s="230">
        <f t="shared" si="68"/>
        <v>4881319.46</v>
      </c>
      <c r="Z137" s="230">
        <f>IF(J137&lt;=10,INDEX('Savings Projection'!$BL$19:$BL$28,J137),LOOKUP(2,1/('Savings Projection'!$BL$19:$BL$28&lt;&gt;""),'Savings Projection'!$BL$19:$BL$28))*(1+'Model Inputs'!$B$35)^(J137-1)+IF(J137&lt;=10,INDEX('Savings Projection'!$BM$19:$BM$28,J137),LOOKUP(2,1/('Savings Projection'!$BM$19:$BM$28&lt;&gt;""),'Savings Projection'!$BM$19:$BM$28))*(1+'Model Inputs'!$B$36)^(J137-1)</f>
        <v>288767.57072412025</v>
      </c>
      <c r="AA137" s="230">
        <f t="shared" si="69"/>
        <v>4592551.8892758796</v>
      </c>
      <c r="AB137" s="230">
        <f>MIN(MAX(AA137,0),'Tax Assumptions'!$B$20)</f>
        <v>7500</v>
      </c>
      <c r="AC137" s="230">
        <f t="shared" si="70"/>
        <v>4585051.8892758796</v>
      </c>
      <c r="AD137" s="230">
        <f>MAX(AD136*(1+'Model Inputs'!$B$13)+AC137,0)</f>
        <v>219910846.60369161</v>
      </c>
      <c r="AE137" s="230">
        <f>MAX(AE136*(1+'Model Inputs'!$B$13)+U137+AB137,0)</f>
        <v>2192899.5718112038</v>
      </c>
      <c r="AF137" s="230">
        <f t="shared" si="71"/>
        <v>222103746.17550281</v>
      </c>
      <c r="AG137" s="226" t="str">
        <f t="shared" si="57"/>
        <v/>
      </c>
      <c r="AH137" s="226" t="str">
        <f t="shared" si="58"/>
        <v/>
      </c>
      <c r="AI137" s="226" t="str">
        <f t="shared" si="59"/>
        <v/>
      </c>
      <c r="AJ137" s="226" t="str">
        <f t="shared" si="60"/>
        <v/>
      </c>
    </row>
    <row r="138" spans="1:36" ht="18" customHeight="1" x14ac:dyDescent="0.2">
      <c r="A138" s="226" t="str">
        <f t="shared" si="49"/>
        <v>3Y -&gt; PM Y7 Upside</v>
      </c>
      <c r="B138" s="226">
        <f t="shared" si="50"/>
        <v>3</v>
      </c>
      <c r="C138" s="235">
        <f t="shared" si="51"/>
        <v>3</v>
      </c>
      <c r="D138" s="226">
        <f t="shared" si="52"/>
        <v>7</v>
      </c>
      <c r="E138" s="226" t="str">
        <f t="shared" si="53"/>
        <v>Upside</v>
      </c>
      <c r="F138" s="230">
        <f t="shared" si="54"/>
        <v>50000000</v>
      </c>
      <c r="G138" s="236">
        <f t="shared" si="55"/>
        <v>0.2</v>
      </c>
      <c r="H138" s="230">
        <f t="shared" si="56"/>
        <v>300000</v>
      </c>
      <c r="I138" s="236">
        <f t="shared" si="62"/>
        <v>0</v>
      </c>
      <c r="J138" s="234">
        <v>29</v>
      </c>
      <c r="K138" s="234">
        <f t="shared" si="63"/>
        <v>2054</v>
      </c>
      <c r="L138" s="230">
        <f>IF(J138=1,'Model Inputs'!$B$25*(13-'Model Inputs'!$B$23)/12,'Model Inputs'!$B$25)</f>
        <v>300000</v>
      </c>
      <c r="M138" s="230">
        <f>IF(J138=1,'Model Inputs'!$B$27*(13-'Model Inputs'!$B$23)/12,IF(J138=2,'Model Inputs'!$B$27,IF(J138&lt;=MAX(3,'Model Inputs'!$B$30+1),'Model Inputs'!$B$27*(1+'Model Inputs'!$B$28)^(J138-3),'Model Inputs'!$B$27*(1+'Model Inputs'!$B$28)^(MAX(3,'Model Inputs'!$B$30+1)-3)*(1+'Model Inputs'!$B$29)^(J138-MAX(3,'Model Inputs'!$B$30+1)))))</f>
        <v>299372327.53708321</v>
      </c>
      <c r="N138" s="236">
        <f>IF(J138&lt;=2,0,'Model Inputs'!$B$32*SIN(2*PI()*(J138-3+'Model Inputs'!$B$34)/MAX(1,'Model Inputs'!$B$33)))</f>
        <v>-0.10392304845413265</v>
      </c>
      <c r="O138" s="230">
        <f t="shared" si="64"/>
        <v>268260642.63662043</v>
      </c>
      <c r="P138" s="230">
        <f t="shared" si="61"/>
        <v>241371727.96595448</v>
      </c>
      <c r="Q138" s="230">
        <f>L138+P138+IF(J138=1,'Model Inputs'!$B$26,0)</f>
        <v>241671727.96595448</v>
      </c>
      <c r="R138" s="230">
        <f t="shared" si="65"/>
        <v>725015183.89786339</v>
      </c>
      <c r="S138" s="230">
        <f t="shared" si="66"/>
        <v>10300000</v>
      </c>
      <c r="T138" s="230">
        <f t="shared" si="67"/>
        <v>10300000</v>
      </c>
      <c r="U138" s="230">
        <f>MIN(T138,'Tax Assumptions'!$B$19)</f>
        <v>24500</v>
      </c>
      <c r="V138" s="230">
        <f>MAX(T138-U138-'Tax Assumptions'!$B$8,0)</f>
        <v>10259400</v>
      </c>
      <c r="W138" s="230">
        <f>MAX(T138-U138-'Tax Assumptions'!$B$9,0)</f>
        <v>10267500</v>
      </c>
      <c r="X138" s="230">
        <f>IF(V138=0,0,LOOKUP(V138,'Tax Assumptions'!$F$9:$F$15,'Tax Assumptions'!$I$9:$I$15)+(V138-LOOKUP(V138,'Tax Assumptions'!$F$9:$F$15,'Tax Assumptions'!$F$9:$F$15))*LOOKUP(V138,'Tax Assumptions'!$F$9:$F$15,'Tax Assumptions'!$H$9:$H$15))+MIN(MAX(T138,0),'Tax Assumptions'!$B$11)*'Tax Assumptions'!$B$10+MAX(T138,0)*'Tax Assumptions'!$B$12+MAX(MAX(T138,0)-'Tax Assumptions'!$B$14,0)*'Tax Assumptions'!$B$13+MIN(T138*'Tax Assumptions'!$B$15,'Tax Assumptions'!$B$16)+MIN(T138*'Tax Assumptions'!$B$17,'Tax Assumptions'!$B$18)+IF(W138=0,0,LOOKUP(W138,'Tax Assumptions'!$K$9:$K$17,'Tax Assumptions'!$N$9:$N$17)+(W138-LOOKUP(W138,'Tax Assumptions'!$K$9:$K$17,'Tax Assumptions'!$K$9:$K$17))*LOOKUP(W138,'Tax Assumptions'!$K$9:$K$17,'Tax Assumptions'!$M$9:$M$17))+IF(W138=0,0,LOOKUP(W138,'Tax Assumptions'!$P$9:$P$12,'Tax Assumptions'!$S$9:$S$12)+(W138-LOOKUP(W138,'Tax Assumptions'!$P$9:$P$12,'Tax Assumptions'!$P$9:$P$12))*LOOKUP(W138,'Tax Assumptions'!$P$9:$P$12,'Tax Assumptions'!$R$9:$R$12))</f>
        <v>5394180.54</v>
      </c>
      <c r="Y138" s="230">
        <f t="shared" si="68"/>
        <v>4881319.46</v>
      </c>
      <c r="Z138" s="230">
        <f>IF(J138&lt;=10,INDEX('Savings Projection'!$BL$19:$BL$28,J138),LOOKUP(2,1/('Savings Projection'!$BL$19:$BL$28&lt;&gt;""),'Savings Projection'!$BL$19:$BL$28))*(1+'Model Inputs'!$B$35)^(J138-1)+IF(J138&lt;=10,INDEX('Savings Projection'!$BM$19:$BM$28,J138),LOOKUP(2,1/('Savings Projection'!$BM$19:$BM$28&lt;&gt;""),'Savings Projection'!$BM$19:$BM$28))*(1+'Model Inputs'!$B$36)^(J138-1)</f>
        <v>297430.59784584382</v>
      </c>
      <c r="AA138" s="230">
        <f t="shared" si="69"/>
        <v>4583888.862154156</v>
      </c>
      <c r="AB138" s="230">
        <f>MIN(MAX(AA138,0),'Tax Assumptions'!$B$20)</f>
        <v>7500</v>
      </c>
      <c r="AC138" s="230">
        <f t="shared" si="70"/>
        <v>4576388.862154156</v>
      </c>
      <c r="AD138" s="230">
        <f>MAX(AD137*(1+'Model Inputs'!$B$13)+AC138,0)</f>
        <v>237681886.26206726</v>
      </c>
      <c r="AE138" s="230">
        <f>MAX(AE137*(1+'Model Inputs'!$B$13)+U138+AB138,0)</f>
        <v>2356473.5461198762</v>
      </c>
      <c r="AF138" s="230">
        <f t="shared" si="71"/>
        <v>240038359.80818713</v>
      </c>
      <c r="AG138" s="226" t="str">
        <f t="shared" si="57"/>
        <v/>
      </c>
      <c r="AH138" s="226" t="str">
        <f t="shared" si="58"/>
        <v/>
      </c>
      <c r="AI138" s="226" t="str">
        <f t="shared" si="59"/>
        <v/>
      </c>
      <c r="AJ138" s="226" t="str">
        <f t="shared" si="60"/>
        <v/>
      </c>
    </row>
    <row r="139" spans="1:36" ht="18" customHeight="1" x14ac:dyDescent="0.2">
      <c r="A139" s="226" t="str">
        <f t="shared" si="49"/>
        <v>3Y -&gt; PM Y7 Upside</v>
      </c>
      <c r="B139" s="226">
        <f t="shared" si="50"/>
        <v>3</v>
      </c>
      <c r="C139" s="235">
        <f t="shared" si="51"/>
        <v>3</v>
      </c>
      <c r="D139" s="226">
        <f t="shared" si="52"/>
        <v>7</v>
      </c>
      <c r="E139" s="226" t="str">
        <f t="shared" si="53"/>
        <v>Upside</v>
      </c>
      <c r="F139" s="230">
        <f t="shared" si="54"/>
        <v>50000000</v>
      </c>
      <c r="G139" s="236">
        <f t="shared" si="55"/>
        <v>0.2</v>
      </c>
      <c r="H139" s="230">
        <f t="shared" si="56"/>
        <v>300000</v>
      </c>
      <c r="I139" s="236">
        <f t="shared" si="62"/>
        <v>0</v>
      </c>
      <c r="J139" s="234">
        <v>30</v>
      </c>
      <c r="K139" s="234">
        <f t="shared" si="63"/>
        <v>2055</v>
      </c>
      <c r="L139" s="230">
        <f>IF(J139=1,'Model Inputs'!$B$25*(13-'Model Inputs'!$B$23)/12,'Model Inputs'!$B$25)</f>
        <v>300000</v>
      </c>
      <c r="M139" s="230">
        <f>IF(J139=1,'Model Inputs'!$B$27*(13-'Model Inputs'!$B$23)/12,IF(J139=2,'Model Inputs'!$B$27,IF(J139&lt;=MAX(3,'Model Inputs'!$B$30+1),'Model Inputs'!$B$27*(1+'Model Inputs'!$B$28)^(J139-3),'Model Inputs'!$B$27*(1+'Model Inputs'!$B$28)^(MAX(3,'Model Inputs'!$B$30+1)-3)*(1+'Model Inputs'!$B$29)^(J139-MAX(3,'Model Inputs'!$B$30+1)))))</f>
        <v>380465535.74563926</v>
      </c>
      <c r="N139" s="236">
        <f>IF(J139&lt;=2,0,'Model Inputs'!$B$32*SIN(2*PI()*(J139-3+'Model Inputs'!$B$34)/MAX(1,'Model Inputs'!$B$33)))</f>
        <v>-2.645237086158283E-16</v>
      </c>
      <c r="O139" s="230">
        <f t="shared" si="64"/>
        <v>380465535.7456392</v>
      </c>
      <c r="P139" s="230">
        <f t="shared" si="61"/>
        <v>266206474.24994773</v>
      </c>
      <c r="Q139" s="230">
        <f>L139+P139+IF(J139=1,'Model Inputs'!$B$26,0)</f>
        <v>266506474.24994773</v>
      </c>
      <c r="R139" s="230">
        <f t="shared" si="65"/>
        <v>799519422.74984312</v>
      </c>
      <c r="S139" s="230">
        <f t="shared" si="66"/>
        <v>10300000</v>
      </c>
      <c r="T139" s="230">
        <f t="shared" si="67"/>
        <v>10300000</v>
      </c>
      <c r="U139" s="230">
        <f>MIN(T139,'Tax Assumptions'!$B$19)</f>
        <v>24500</v>
      </c>
      <c r="V139" s="230">
        <f>MAX(T139-U139-'Tax Assumptions'!$B$8,0)</f>
        <v>10259400</v>
      </c>
      <c r="W139" s="230">
        <f>MAX(T139-U139-'Tax Assumptions'!$B$9,0)</f>
        <v>10267500</v>
      </c>
      <c r="X139" s="230">
        <f>IF(V139=0,0,LOOKUP(V139,'Tax Assumptions'!$F$9:$F$15,'Tax Assumptions'!$I$9:$I$15)+(V139-LOOKUP(V139,'Tax Assumptions'!$F$9:$F$15,'Tax Assumptions'!$F$9:$F$15))*LOOKUP(V139,'Tax Assumptions'!$F$9:$F$15,'Tax Assumptions'!$H$9:$H$15))+MIN(MAX(T139,0),'Tax Assumptions'!$B$11)*'Tax Assumptions'!$B$10+MAX(T139,0)*'Tax Assumptions'!$B$12+MAX(MAX(T139,0)-'Tax Assumptions'!$B$14,0)*'Tax Assumptions'!$B$13+MIN(T139*'Tax Assumptions'!$B$15,'Tax Assumptions'!$B$16)+MIN(T139*'Tax Assumptions'!$B$17,'Tax Assumptions'!$B$18)+IF(W139=0,0,LOOKUP(W139,'Tax Assumptions'!$K$9:$K$17,'Tax Assumptions'!$N$9:$N$17)+(W139-LOOKUP(W139,'Tax Assumptions'!$K$9:$K$17,'Tax Assumptions'!$K$9:$K$17))*LOOKUP(W139,'Tax Assumptions'!$K$9:$K$17,'Tax Assumptions'!$M$9:$M$17))+IF(W139=0,0,LOOKUP(W139,'Tax Assumptions'!$P$9:$P$12,'Tax Assumptions'!$S$9:$S$12)+(W139-LOOKUP(W139,'Tax Assumptions'!$P$9:$P$12,'Tax Assumptions'!$P$9:$P$12))*LOOKUP(W139,'Tax Assumptions'!$P$9:$P$12,'Tax Assumptions'!$R$9:$R$12))</f>
        <v>5394180.54</v>
      </c>
      <c r="Y139" s="230">
        <f t="shared" si="68"/>
        <v>4881319.46</v>
      </c>
      <c r="Z139" s="230">
        <f>IF(J139&lt;=10,INDEX('Savings Projection'!$BL$19:$BL$28,J139),LOOKUP(2,1/('Savings Projection'!$BL$19:$BL$28&lt;&gt;""),'Savings Projection'!$BL$19:$BL$28))*(1+'Model Inputs'!$B$35)^(J139-1)+IF(J139&lt;=10,INDEX('Savings Projection'!$BM$19:$BM$28,J139),LOOKUP(2,1/('Savings Projection'!$BM$19:$BM$28&lt;&gt;""),'Savings Projection'!$BM$19:$BM$28))*(1+'Model Inputs'!$B$36)^(J139-1)</f>
        <v>306353.51578121912</v>
      </c>
      <c r="AA139" s="230">
        <f t="shared" si="69"/>
        <v>4574965.9442187808</v>
      </c>
      <c r="AB139" s="230">
        <f>MIN(MAX(AA139,0),'Tax Assumptions'!$B$20)</f>
        <v>7500</v>
      </c>
      <c r="AC139" s="230">
        <f t="shared" si="70"/>
        <v>4567465.9442187808</v>
      </c>
      <c r="AD139" s="230">
        <f>MAX(AD138*(1+'Model Inputs'!$B$13)+AC139,0)</f>
        <v>256510265.3820101</v>
      </c>
      <c r="AE139" s="230">
        <f>MAX(AE138*(1+'Model Inputs'!$B$13)+U139+AB139,0)</f>
        <v>2529861.958887069</v>
      </c>
      <c r="AF139" s="230">
        <f t="shared" si="71"/>
        <v>259040127.34089717</v>
      </c>
      <c r="AG139" s="226" t="str">
        <f t="shared" si="57"/>
        <v/>
      </c>
      <c r="AH139" s="226" t="str">
        <f t="shared" si="58"/>
        <v/>
      </c>
      <c r="AI139" s="226" t="str">
        <f t="shared" si="59"/>
        <v/>
      </c>
      <c r="AJ139" s="226" t="str">
        <f t="shared" si="60"/>
        <v/>
      </c>
    </row>
    <row r="140" spans="1:36" ht="18" customHeight="1" x14ac:dyDescent="0.2">
      <c r="A140" s="226" t="str">
        <f t="shared" ref="A140:A169" si="72">$A$25</f>
        <v>3Y -&gt; PM Y7 Tail</v>
      </c>
      <c r="B140" s="226">
        <f t="shared" ref="B140:B169" si="73">$B$25</f>
        <v>3</v>
      </c>
      <c r="C140" s="235">
        <f t="shared" ref="C140:C169" si="74">$C$25</f>
        <v>3</v>
      </c>
      <c r="D140" s="226">
        <f t="shared" ref="D140:D169" si="75">$D$25</f>
        <v>7</v>
      </c>
      <c r="E140" s="226" t="str">
        <f t="shared" ref="E140:E169" si="76">$E$25</f>
        <v>Tail</v>
      </c>
      <c r="F140" s="230">
        <f t="shared" ref="F140:F169" si="77">$F$25</f>
        <v>100000000</v>
      </c>
      <c r="G140" s="236">
        <f t="shared" ref="G140:G169" si="78">$G$25</f>
        <v>0.15</v>
      </c>
      <c r="H140" s="230">
        <f t="shared" ref="H140:H169" si="79">$H$25</f>
        <v>300000</v>
      </c>
      <c r="I140" s="236">
        <f t="shared" si="62"/>
        <v>0</v>
      </c>
      <c r="J140" s="234">
        <v>1</v>
      </c>
      <c r="K140" s="234">
        <f t="shared" si="63"/>
        <v>2026</v>
      </c>
      <c r="L140" s="230">
        <f>IF(J140=1,'Model Inputs'!$B$25*(13-'Model Inputs'!$B$23)/12,'Model Inputs'!$B$25)</f>
        <v>100000</v>
      </c>
      <c r="M140" s="230">
        <f>IF(J140=1,'Model Inputs'!$B$27*(13-'Model Inputs'!$B$23)/12,IF(J140=2,'Model Inputs'!$B$27,IF(J140&lt;=MAX(3,'Model Inputs'!$B$30+1),'Model Inputs'!$B$27*(1+'Model Inputs'!$B$28)^(J140-3),'Model Inputs'!$B$27*(1+'Model Inputs'!$B$28)^(MAX(3,'Model Inputs'!$B$30+1)-3)*(1+'Model Inputs'!$B$29)^(J140-MAX(3,'Model Inputs'!$B$30+1)))))</f>
        <v>150000</v>
      </c>
      <c r="N140" s="236">
        <f>IF(J140&lt;=2,0,'Model Inputs'!$B$32*SIN(2*PI()*(J140-3+'Model Inputs'!$B$34)/MAX(1,'Model Inputs'!$B$33)))</f>
        <v>0</v>
      </c>
      <c r="O140" s="230">
        <f t="shared" si="64"/>
        <v>150000</v>
      </c>
      <c r="P140" s="230">
        <f>0</f>
        <v>0</v>
      </c>
      <c r="Q140" s="230">
        <f>L140+P140+IF(J140=1,'Model Inputs'!$B$26,0)</f>
        <v>550000</v>
      </c>
      <c r="R140" s="230">
        <f t="shared" si="65"/>
        <v>550000</v>
      </c>
      <c r="S140" s="230">
        <f t="shared" si="66"/>
        <v>15300000</v>
      </c>
      <c r="T140" s="230">
        <f t="shared" si="67"/>
        <v>550000</v>
      </c>
      <c r="U140" s="230">
        <f>MIN(T140,'Tax Assumptions'!$B$19)</f>
        <v>24500</v>
      </c>
      <c r="V140" s="230">
        <f>MAX(T140-U140-'Tax Assumptions'!$B$8,0)</f>
        <v>509400</v>
      </c>
      <c r="W140" s="230">
        <f>MAX(T140-U140-'Tax Assumptions'!$B$9,0)</f>
        <v>517500</v>
      </c>
      <c r="X140" s="230">
        <f>IF(V140=0,0,LOOKUP(V140,'Tax Assumptions'!$F$9:$F$15,'Tax Assumptions'!$I$9:$I$15)+(V140-LOOKUP(V140,'Tax Assumptions'!$F$9:$F$15,'Tax Assumptions'!$F$9:$F$15))*LOOKUP(V140,'Tax Assumptions'!$F$9:$F$15,'Tax Assumptions'!$H$9:$H$15))+MIN(MAX(T140,0),'Tax Assumptions'!$B$11)*'Tax Assumptions'!$B$10+MAX(T140,0)*'Tax Assumptions'!$B$12+MAX(MAX(T140,0)-'Tax Assumptions'!$B$14,0)*'Tax Assumptions'!$B$13+MIN(T140*'Tax Assumptions'!$B$15,'Tax Assumptions'!$B$16)+MIN(T140*'Tax Assumptions'!$B$17,'Tax Assumptions'!$B$18)+IF(W140=0,0,LOOKUP(W140,'Tax Assumptions'!$K$9:$K$17,'Tax Assumptions'!$N$9:$N$17)+(W140-LOOKUP(W140,'Tax Assumptions'!$K$9:$K$17,'Tax Assumptions'!$K$9:$K$17))*LOOKUP(W140,'Tax Assumptions'!$K$9:$K$17,'Tax Assumptions'!$M$9:$M$17))+IF(W140=0,0,LOOKUP(W140,'Tax Assumptions'!$P$9:$P$12,'Tax Assumptions'!$S$9:$S$12)+(W140-LOOKUP(W140,'Tax Assumptions'!$P$9:$P$12,'Tax Assumptions'!$P$9:$P$12))*LOOKUP(W140,'Tax Assumptions'!$P$9:$P$12,'Tax Assumptions'!$R$9:$R$12))</f>
        <v>222834.53000000003</v>
      </c>
      <c r="Y140" s="230">
        <f t="shared" si="68"/>
        <v>302665.46999999997</v>
      </c>
      <c r="Z140" s="230">
        <f>IF(J140&lt;=10,INDEX('Savings Projection'!$BL$19:$BL$28,J140),LOOKUP(2,1/('Savings Projection'!$BL$19:$BL$28&lt;&gt;""),'Savings Projection'!$BL$19:$BL$28))*(1+'Model Inputs'!$B$35)^(J140-1)+IF(J140&lt;=10,INDEX('Savings Projection'!$BM$19:$BM$28,J140),LOOKUP(2,1/('Savings Projection'!$BM$19:$BM$28&lt;&gt;""),'Savings Projection'!$BM$19:$BM$28))*(1+'Model Inputs'!$B$36)^(J140-1)</f>
        <v>118000</v>
      </c>
      <c r="AA140" s="230">
        <f t="shared" si="69"/>
        <v>184665.46999999997</v>
      </c>
      <c r="AB140" s="230">
        <f>MIN(MAX(AA140,0),'Tax Assumptions'!$B$20)</f>
        <v>7500</v>
      </c>
      <c r="AC140" s="230">
        <f t="shared" si="70"/>
        <v>177165.46999999997</v>
      </c>
      <c r="AD140" s="230">
        <f>MAX('Model Inputs'!$B$7*(1+'Model Inputs'!$B$13)+AC140,0)</f>
        <v>336165.47</v>
      </c>
      <c r="AE140" s="230">
        <f>MAX(('Model Inputs'!$B$8+'Model Inputs'!$B$9+'Model Inputs'!$B$10)*(1+'Model Inputs'!$B$13)+U140+AB140,0)</f>
        <v>32000</v>
      </c>
      <c r="AF140" s="230">
        <f t="shared" si="71"/>
        <v>368165.47</v>
      </c>
      <c r="AG140" s="226" t="str">
        <f>IF(AND(AF140&gt;=$F$14,0&lt;$F$14),J140,"")</f>
        <v/>
      </c>
      <c r="AH140" s="226" t="str">
        <f>IF(AND(AF140&gt;=$F$15,0&lt;$F$15),J140,"")</f>
        <v/>
      </c>
      <c r="AI140" s="226" t="str">
        <f>IF(AND(AF140&gt;=$F$16,0&lt;$F$16),J140,"")</f>
        <v/>
      </c>
      <c r="AJ140" s="226" t="str">
        <f>IF(AND(AF140&gt;=$F$17,0&lt;$F$17),J140,"")</f>
        <v/>
      </c>
    </row>
    <row r="141" spans="1:36" ht="18" customHeight="1" x14ac:dyDescent="0.2">
      <c r="A141" s="226" t="str">
        <f t="shared" si="72"/>
        <v>3Y -&gt; PM Y7 Tail</v>
      </c>
      <c r="B141" s="226">
        <f t="shared" si="73"/>
        <v>3</v>
      </c>
      <c r="C141" s="235">
        <f t="shared" si="74"/>
        <v>3</v>
      </c>
      <c r="D141" s="226">
        <f t="shared" si="75"/>
        <v>7</v>
      </c>
      <c r="E141" s="226" t="str">
        <f t="shared" si="76"/>
        <v>Tail</v>
      </c>
      <c r="F141" s="230">
        <f t="shared" si="77"/>
        <v>100000000</v>
      </c>
      <c r="G141" s="236">
        <f t="shared" si="78"/>
        <v>0.15</v>
      </c>
      <c r="H141" s="230">
        <f t="shared" si="79"/>
        <v>300000</v>
      </c>
      <c r="I141" s="236">
        <f t="shared" si="62"/>
        <v>0</v>
      </c>
      <c r="J141" s="234">
        <v>2</v>
      </c>
      <c r="K141" s="234">
        <f t="shared" si="63"/>
        <v>2027</v>
      </c>
      <c r="L141" s="230">
        <f>IF(J141=1,'Model Inputs'!$B$25*(13-'Model Inputs'!$B$23)/12,'Model Inputs'!$B$25)</f>
        <v>300000</v>
      </c>
      <c r="M141" s="230">
        <f>IF(J141=1,'Model Inputs'!$B$27*(13-'Model Inputs'!$B$23)/12,IF(J141=2,'Model Inputs'!$B$27,IF(J141&lt;=MAX(3,'Model Inputs'!$B$30+1),'Model Inputs'!$B$27*(1+'Model Inputs'!$B$28)^(J141-3),'Model Inputs'!$B$27*(1+'Model Inputs'!$B$28)^(MAX(3,'Model Inputs'!$B$30+1)-3)*(1+'Model Inputs'!$B$29)^(J141-MAX(3,'Model Inputs'!$B$30+1)))))</f>
        <v>450000</v>
      </c>
      <c r="N141" s="236">
        <f>IF(J141&lt;=2,0,'Model Inputs'!$B$32*SIN(2*PI()*(J141-3+'Model Inputs'!$B$34)/MAX(1,'Model Inputs'!$B$33)))</f>
        <v>0</v>
      </c>
      <c r="O141" s="230">
        <f t="shared" si="64"/>
        <v>450000</v>
      </c>
      <c r="P141" s="230">
        <f>0.75*O140</f>
        <v>112500</v>
      </c>
      <c r="Q141" s="230">
        <f>L141+P141+IF(J141=1,'Model Inputs'!$B$26,0)</f>
        <v>412500</v>
      </c>
      <c r="R141" s="230">
        <f t="shared" si="65"/>
        <v>412500</v>
      </c>
      <c r="S141" s="230">
        <f t="shared" si="66"/>
        <v>15300000</v>
      </c>
      <c r="T141" s="230">
        <f t="shared" si="67"/>
        <v>412500</v>
      </c>
      <c r="U141" s="230">
        <f>MIN(T141,'Tax Assumptions'!$B$19)</f>
        <v>24500</v>
      </c>
      <c r="V141" s="230">
        <f>MAX(T141-U141-'Tax Assumptions'!$B$8,0)</f>
        <v>371900</v>
      </c>
      <c r="W141" s="230">
        <f>MAX(T141-U141-'Tax Assumptions'!$B$9,0)</f>
        <v>380000</v>
      </c>
      <c r="X141" s="230">
        <f>IF(V141=0,0,LOOKUP(V141,'Tax Assumptions'!$F$9:$F$15,'Tax Assumptions'!$I$9:$I$15)+(V141-LOOKUP(V141,'Tax Assumptions'!$F$9:$F$15,'Tax Assumptions'!$F$9:$F$15))*LOOKUP(V141,'Tax Assumptions'!$F$9:$F$15,'Tax Assumptions'!$H$9:$H$15))+MIN(MAX(T141,0),'Tax Assumptions'!$B$11)*'Tax Assumptions'!$B$10+MAX(T141,0)*'Tax Assumptions'!$B$12+MAX(MAX(T141,0)-'Tax Assumptions'!$B$14,0)*'Tax Assumptions'!$B$13+MIN(T141*'Tax Assumptions'!$B$15,'Tax Assumptions'!$B$16)+MIN(T141*'Tax Assumptions'!$B$17,'Tax Assumptions'!$B$18)+IF(W141=0,0,LOOKUP(W141,'Tax Assumptions'!$K$9:$K$17,'Tax Assumptions'!$N$9:$N$17)+(W141-LOOKUP(W141,'Tax Assumptions'!$K$9:$K$17,'Tax Assumptions'!$K$9:$K$17))*LOOKUP(W141,'Tax Assumptions'!$K$9:$K$17,'Tax Assumptions'!$M$9:$M$17))+IF(W141=0,0,LOOKUP(W141,'Tax Assumptions'!$P$9:$P$12,'Tax Assumptions'!$S$9:$S$12)+(W141-LOOKUP(W141,'Tax Assumptions'!$P$9:$P$12,'Tax Assumptions'!$P$9:$P$12))*LOOKUP(W141,'Tax Assumptions'!$P$9:$P$12,'Tax Assumptions'!$R$9:$R$12))</f>
        <v>156730.03</v>
      </c>
      <c r="Y141" s="230">
        <f t="shared" si="68"/>
        <v>231269.97</v>
      </c>
      <c r="Z141" s="230">
        <f>IF(J141&lt;=10,INDEX('Savings Projection'!$BL$19:$BL$28,J141),LOOKUP(2,1/('Savings Projection'!$BL$19:$BL$28&lt;&gt;""),'Savings Projection'!$BL$19:$BL$28))*(1+'Model Inputs'!$B$35)^(J141-1)+IF(J141&lt;=10,INDEX('Savings Projection'!$BM$19:$BM$28,J141),LOOKUP(2,1/('Savings Projection'!$BM$19:$BM$28&lt;&gt;""),'Savings Projection'!$BM$19:$BM$28))*(1+'Model Inputs'!$B$36)^(J141-1)</f>
        <v>121540</v>
      </c>
      <c r="AA141" s="230">
        <f t="shared" si="69"/>
        <v>109729.97</v>
      </c>
      <c r="AB141" s="230">
        <f>MIN(MAX(AA141,0),'Tax Assumptions'!$B$20)</f>
        <v>7500</v>
      </c>
      <c r="AC141" s="230">
        <f t="shared" si="70"/>
        <v>102229.97</v>
      </c>
      <c r="AD141" s="230">
        <f>MAX(AD140*(1+'Model Inputs'!$B$13)+AC141,0)</f>
        <v>458565.36820000003</v>
      </c>
      <c r="AE141" s="230">
        <f>MAX(AE140*(1+'Model Inputs'!$B$13)+U141+AB141,0)</f>
        <v>65920</v>
      </c>
      <c r="AF141" s="230">
        <f t="shared" si="71"/>
        <v>524485.36820000003</v>
      </c>
      <c r="AG141" s="226" t="str">
        <f t="shared" ref="AG141:AG169" si="80">IF(AND(AF141&gt;=$F$14,AF140&lt;$F$14),J141,"")</f>
        <v/>
      </c>
      <c r="AH141" s="226" t="str">
        <f t="shared" ref="AH141:AH169" si="81">IF(AND(AF141&gt;=$F$15,AF140&lt;$F$15),J141,"")</f>
        <v/>
      </c>
      <c r="AI141" s="226" t="str">
        <f t="shared" ref="AI141:AI169" si="82">IF(AND(AF141&gt;=$F$16,AF140&lt;$F$16),J141,"")</f>
        <v/>
      </c>
      <c r="AJ141" s="226" t="str">
        <f t="shared" ref="AJ141:AJ169" si="83">IF(AND(AF141&gt;=$F$17,AF140&lt;$F$17),J141,"")</f>
        <v/>
      </c>
    </row>
    <row r="142" spans="1:36" ht="18" customHeight="1" x14ac:dyDescent="0.2">
      <c r="A142" s="226" t="str">
        <f t="shared" si="72"/>
        <v>3Y -&gt; PM Y7 Tail</v>
      </c>
      <c r="B142" s="226">
        <f t="shared" si="73"/>
        <v>3</v>
      </c>
      <c r="C142" s="235">
        <f t="shared" si="74"/>
        <v>3</v>
      </c>
      <c r="D142" s="226">
        <f t="shared" si="75"/>
        <v>7</v>
      </c>
      <c r="E142" s="226" t="str">
        <f t="shared" si="76"/>
        <v>Tail</v>
      </c>
      <c r="F142" s="230">
        <f t="shared" si="77"/>
        <v>100000000</v>
      </c>
      <c r="G142" s="236">
        <f t="shared" si="78"/>
        <v>0.15</v>
      </c>
      <c r="H142" s="230">
        <f t="shared" si="79"/>
        <v>300000</v>
      </c>
      <c r="I142" s="236">
        <f t="shared" si="62"/>
        <v>0</v>
      </c>
      <c r="J142" s="234">
        <v>3</v>
      </c>
      <c r="K142" s="234">
        <f t="shared" si="63"/>
        <v>2028</v>
      </c>
      <c r="L142" s="230">
        <f>IF(J142=1,'Model Inputs'!$B$25*(13-'Model Inputs'!$B$23)/12,'Model Inputs'!$B$25)</f>
        <v>300000</v>
      </c>
      <c r="M142" s="230">
        <f>IF(J142=1,'Model Inputs'!$B$27*(13-'Model Inputs'!$B$23)/12,IF(J142=2,'Model Inputs'!$B$27,IF(J142&lt;=MAX(3,'Model Inputs'!$B$30+1),'Model Inputs'!$B$27*(1+'Model Inputs'!$B$28)^(J142-3),'Model Inputs'!$B$27*(1+'Model Inputs'!$B$28)^(MAX(3,'Model Inputs'!$B$30+1)-3)*(1+'Model Inputs'!$B$29)^(J142-MAX(3,'Model Inputs'!$B$30+1)))))</f>
        <v>450000</v>
      </c>
      <c r="N142" s="236">
        <f>IF(J142&lt;=2,0,'Model Inputs'!$B$32*SIN(2*PI()*(J142-3+'Model Inputs'!$B$34)/MAX(1,'Model Inputs'!$B$33)))</f>
        <v>0</v>
      </c>
      <c r="O142" s="230">
        <f t="shared" si="64"/>
        <v>450000</v>
      </c>
      <c r="P142" s="230">
        <f t="shared" ref="P142:P169" si="84">0.75*O141+0.25*O140</f>
        <v>375000</v>
      </c>
      <c r="Q142" s="230">
        <f>L142+P142+IF(J142=1,'Model Inputs'!$B$26,0)</f>
        <v>675000</v>
      </c>
      <c r="R142" s="230">
        <f t="shared" si="65"/>
        <v>675000</v>
      </c>
      <c r="S142" s="230">
        <f t="shared" si="66"/>
        <v>15300000</v>
      </c>
      <c r="T142" s="230">
        <f t="shared" si="67"/>
        <v>675000</v>
      </c>
      <c r="U142" s="230">
        <f>MIN(T142,'Tax Assumptions'!$B$19)</f>
        <v>24500</v>
      </c>
      <c r="V142" s="230">
        <f>MAX(T142-U142-'Tax Assumptions'!$B$8,0)</f>
        <v>634400</v>
      </c>
      <c r="W142" s="230">
        <f>MAX(T142-U142-'Tax Assumptions'!$B$9,0)</f>
        <v>642500</v>
      </c>
      <c r="X142" s="230">
        <f>IF(V142=0,0,LOOKUP(V142,'Tax Assumptions'!$F$9:$F$15,'Tax Assumptions'!$I$9:$I$15)+(V142-LOOKUP(V142,'Tax Assumptions'!$F$9:$F$15,'Tax Assumptions'!$F$9:$F$15))*LOOKUP(V142,'Tax Assumptions'!$F$9:$F$15,'Tax Assumptions'!$H$9:$H$15))+MIN(MAX(T142,0),'Tax Assumptions'!$B$11)*'Tax Assumptions'!$B$10+MAX(T142,0)*'Tax Assumptions'!$B$12+MAX(MAX(T142,0)-'Tax Assumptions'!$B$14,0)*'Tax Assumptions'!$B$13+MIN(T142*'Tax Assumptions'!$B$15,'Tax Assumptions'!$B$16)+MIN(T142*'Tax Assumptions'!$B$17,'Tax Assumptions'!$B$18)+IF(W142=0,0,LOOKUP(W142,'Tax Assumptions'!$K$9:$K$17,'Tax Assumptions'!$N$9:$N$17)+(W142-LOOKUP(W142,'Tax Assumptions'!$K$9:$K$17,'Tax Assumptions'!$K$9:$K$17))*LOOKUP(W142,'Tax Assumptions'!$K$9:$K$17,'Tax Assumptions'!$M$9:$M$17))+IF(W142=0,0,LOOKUP(W142,'Tax Assumptions'!$P$9:$P$12,'Tax Assumptions'!$S$9:$S$12)+(W142-LOOKUP(W142,'Tax Assumptions'!$P$9:$P$12,'Tax Assumptions'!$P$9:$P$12))*LOOKUP(W142,'Tax Assumptions'!$P$9:$P$12,'Tax Assumptions'!$R$9:$R$12))</f>
        <v>282929.53000000003</v>
      </c>
      <c r="Y142" s="230">
        <f t="shared" si="68"/>
        <v>367570.47</v>
      </c>
      <c r="Z142" s="230">
        <f>IF(J142&lt;=10,INDEX('Savings Projection'!$BL$19:$BL$28,J142),LOOKUP(2,1/('Savings Projection'!$BL$19:$BL$28&lt;&gt;""),'Savings Projection'!$BL$19:$BL$28))*(1+'Model Inputs'!$B$35)^(J142-1)+IF(J142&lt;=10,INDEX('Savings Projection'!$BM$19:$BM$28,J142),LOOKUP(2,1/('Savings Projection'!$BM$19:$BM$28&lt;&gt;""),'Savings Projection'!$BM$19:$BM$28))*(1+'Model Inputs'!$B$36)^(J142-1)</f>
        <v>135795.20000000001</v>
      </c>
      <c r="AA142" s="230">
        <f t="shared" si="69"/>
        <v>231775.26999999996</v>
      </c>
      <c r="AB142" s="230">
        <f>MIN(MAX(AA142,0),'Tax Assumptions'!$B$20)</f>
        <v>7500</v>
      </c>
      <c r="AC142" s="230">
        <f t="shared" si="70"/>
        <v>224275.26999999996</v>
      </c>
      <c r="AD142" s="230">
        <f>MAX(AD141*(1+'Model Inputs'!$B$13)+AC142,0)</f>
        <v>710354.56029199995</v>
      </c>
      <c r="AE142" s="230">
        <f>MAX(AE141*(1+'Model Inputs'!$B$13)+U142+AB142,0)</f>
        <v>101875.2</v>
      </c>
      <c r="AF142" s="230">
        <f t="shared" si="71"/>
        <v>812229.7602919999</v>
      </c>
      <c r="AG142" s="226" t="str">
        <f t="shared" si="80"/>
        <v/>
      </c>
      <c r="AH142" s="226" t="str">
        <f t="shared" si="81"/>
        <v/>
      </c>
      <c r="AI142" s="226" t="str">
        <f t="shared" si="82"/>
        <v/>
      </c>
      <c r="AJ142" s="226" t="str">
        <f t="shared" si="83"/>
        <v/>
      </c>
    </row>
    <row r="143" spans="1:36" ht="18" customHeight="1" x14ac:dyDescent="0.2">
      <c r="A143" s="226" t="str">
        <f t="shared" si="72"/>
        <v>3Y -&gt; PM Y7 Tail</v>
      </c>
      <c r="B143" s="226">
        <f t="shared" si="73"/>
        <v>3</v>
      </c>
      <c r="C143" s="235">
        <f t="shared" si="74"/>
        <v>3</v>
      </c>
      <c r="D143" s="226">
        <f t="shared" si="75"/>
        <v>7</v>
      </c>
      <c r="E143" s="226" t="str">
        <f t="shared" si="76"/>
        <v>Tail</v>
      </c>
      <c r="F143" s="230">
        <f t="shared" si="77"/>
        <v>100000000</v>
      </c>
      <c r="G143" s="236">
        <f t="shared" si="78"/>
        <v>0.15</v>
      </c>
      <c r="H143" s="230">
        <f t="shared" si="79"/>
        <v>300000</v>
      </c>
      <c r="I143" s="236">
        <f t="shared" si="62"/>
        <v>0</v>
      </c>
      <c r="J143" s="234">
        <v>4</v>
      </c>
      <c r="K143" s="234">
        <f t="shared" si="63"/>
        <v>2029</v>
      </c>
      <c r="L143" s="230">
        <f>IF(J143=1,'Model Inputs'!$B$25*(13-'Model Inputs'!$B$23)/12,'Model Inputs'!$B$25)</f>
        <v>300000</v>
      </c>
      <c r="M143" s="230">
        <f>IF(J143=1,'Model Inputs'!$B$27*(13-'Model Inputs'!$B$23)/12,IF(J143=2,'Model Inputs'!$B$27,IF(J143&lt;=MAX(3,'Model Inputs'!$B$30+1),'Model Inputs'!$B$27*(1+'Model Inputs'!$B$28)^(J143-3),'Model Inputs'!$B$27*(1+'Model Inputs'!$B$28)^(MAX(3,'Model Inputs'!$B$30+1)-3)*(1+'Model Inputs'!$B$29)^(J143-MAX(3,'Model Inputs'!$B$30+1)))))</f>
        <v>653834.84153110103</v>
      </c>
      <c r="N143" s="236">
        <f>IF(J143&lt;=2,0,'Model Inputs'!$B$32*SIN(2*PI()*(J143-3+'Model Inputs'!$B$34)/MAX(1,'Model Inputs'!$B$33)))</f>
        <v>0.10392304845413264</v>
      </c>
      <c r="O143" s="230">
        <f t="shared" si="64"/>
        <v>721783.35144853778</v>
      </c>
      <c r="P143" s="230">
        <f t="shared" si="84"/>
        <v>450000</v>
      </c>
      <c r="Q143" s="230">
        <f>L143+P143+IF(J143=1,'Model Inputs'!$B$26,0)</f>
        <v>750000</v>
      </c>
      <c r="R143" s="230">
        <f t="shared" si="65"/>
        <v>2250000</v>
      </c>
      <c r="S143" s="230">
        <f t="shared" si="66"/>
        <v>15300000</v>
      </c>
      <c r="T143" s="230">
        <f t="shared" si="67"/>
        <v>2250000</v>
      </c>
      <c r="U143" s="230">
        <f>MIN(T143,'Tax Assumptions'!$B$19)</f>
        <v>24500</v>
      </c>
      <c r="V143" s="230">
        <f>MAX(T143-U143-'Tax Assumptions'!$B$8,0)</f>
        <v>2209400</v>
      </c>
      <c r="W143" s="230">
        <f>MAX(T143-U143-'Tax Assumptions'!$B$9,0)</f>
        <v>2217500</v>
      </c>
      <c r="X143" s="230">
        <f>IF(V143=0,0,LOOKUP(V143,'Tax Assumptions'!$F$9:$F$15,'Tax Assumptions'!$I$9:$I$15)+(V143-LOOKUP(V143,'Tax Assumptions'!$F$9:$F$15,'Tax Assumptions'!$F$9:$F$15))*LOOKUP(V143,'Tax Assumptions'!$F$9:$F$15,'Tax Assumptions'!$H$9:$H$15))+MIN(MAX(T143,0),'Tax Assumptions'!$B$11)*'Tax Assumptions'!$B$10+MAX(T143,0)*'Tax Assumptions'!$B$12+MAX(MAX(T143,0)-'Tax Assumptions'!$B$14,0)*'Tax Assumptions'!$B$13+MIN(T143*'Tax Assumptions'!$B$15,'Tax Assumptions'!$B$16)+MIN(T143*'Tax Assumptions'!$B$17,'Tax Assumptions'!$B$18)+IF(W143=0,0,LOOKUP(W143,'Tax Assumptions'!$K$9:$K$17,'Tax Assumptions'!$N$9:$N$17)+(W143-LOOKUP(W143,'Tax Assumptions'!$K$9:$K$17,'Tax Assumptions'!$K$9:$K$17))*LOOKUP(W143,'Tax Assumptions'!$K$9:$K$17,'Tax Assumptions'!$M$9:$M$17))+IF(W143=0,0,LOOKUP(W143,'Tax Assumptions'!$P$9:$P$12,'Tax Assumptions'!$S$9:$S$12)+(W143-LOOKUP(W143,'Tax Assumptions'!$P$9:$P$12,'Tax Assumptions'!$P$9:$P$12))*LOOKUP(W143,'Tax Assumptions'!$P$9:$P$12,'Tax Assumptions'!$R$9:$R$12))</f>
        <v>1103420.635</v>
      </c>
      <c r="Y143" s="230">
        <f t="shared" si="68"/>
        <v>1122079.365</v>
      </c>
      <c r="Z143" s="230">
        <f>IF(J143&lt;=10,INDEX('Savings Projection'!$BL$19:$BL$28,J143),LOOKUP(2,1/('Savings Projection'!$BL$19:$BL$28&lt;&gt;""),'Savings Projection'!$BL$19:$BL$28))*(1+'Model Inputs'!$B$35)^(J143-1)+IF(J143&lt;=10,INDEX('Savings Projection'!$BM$19:$BM$28,J143),LOOKUP(2,1/('Savings Projection'!$BM$19:$BM$28&lt;&gt;""),'Savings Projection'!$BM$19:$BM$28))*(1+'Model Inputs'!$B$36)^(J143-1)</f>
        <v>139869.05600000001</v>
      </c>
      <c r="AA143" s="230">
        <f t="shared" si="69"/>
        <v>982210.30900000001</v>
      </c>
      <c r="AB143" s="230">
        <f>MIN(MAX(AA143,0),'Tax Assumptions'!$B$20)</f>
        <v>7500</v>
      </c>
      <c r="AC143" s="230">
        <f t="shared" si="70"/>
        <v>974710.30900000001</v>
      </c>
      <c r="AD143" s="230">
        <f>MAX(AD142*(1+'Model Inputs'!$B$13)+AC143,0)</f>
        <v>1727686.1429095198</v>
      </c>
      <c r="AE143" s="230">
        <f>MAX(AE142*(1+'Model Inputs'!$B$13)+U143+AB143,0)</f>
        <v>139987.712</v>
      </c>
      <c r="AF143" s="230">
        <f t="shared" si="71"/>
        <v>1867673.8549095199</v>
      </c>
      <c r="AG143" s="226" t="str">
        <f t="shared" si="80"/>
        <v/>
      </c>
      <c r="AH143" s="226" t="str">
        <f t="shared" si="81"/>
        <v/>
      </c>
      <c r="AI143" s="226" t="str">
        <f t="shared" si="82"/>
        <v/>
      </c>
      <c r="AJ143" s="226" t="str">
        <f t="shared" si="83"/>
        <v/>
      </c>
    </row>
    <row r="144" spans="1:36" ht="18" customHeight="1" x14ac:dyDescent="0.2">
      <c r="A144" s="226" t="str">
        <f t="shared" si="72"/>
        <v>3Y -&gt; PM Y7 Tail</v>
      </c>
      <c r="B144" s="226">
        <f t="shared" si="73"/>
        <v>3</v>
      </c>
      <c r="C144" s="235">
        <f t="shared" si="74"/>
        <v>3</v>
      </c>
      <c r="D144" s="226">
        <f t="shared" si="75"/>
        <v>7</v>
      </c>
      <c r="E144" s="226" t="str">
        <f t="shared" si="76"/>
        <v>Tail</v>
      </c>
      <c r="F144" s="230">
        <f t="shared" si="77"/>
        <v>100000000</v>
      </c>
      <c r="G144" s="236">
        <f t="shared" si="78"/>
        <v>0.15</v>
      </c>
      <c r="H144" s="230">
        <f t="shared" si="79"/>
        <v>300000</v>
      </c>
      <c r="I144" s="236">
        <f t="shared" si="62"/>
        <v>0</v>
      </c>
      <c r="J144" s="234">
        <v>5</v>
      </c>
      <c r="K144" s="234">
        <f t="shared" si="63"/>
        <v>2030</v>
      </c>
      <c r="L144" s="230">
        <f>IF(J144=1,'Model Inputs'!$B$25*(13-'Model Inputs'!$B$23)/12,'Model Inputs'!$B$25)</f>
        <v>300000</v>
      </c>
      <c r="M144" s="230">
        <f>IF(J144=1,'Model Inputs'!$B$27*(13-'Model Inputs'!$B$23)/12,IF(J144=2,'Model Inputs'!$B$27,IF(J144&lt;=MAX(3,'Model Inputs'!$B$30+1),'Model Inputs'!$B$27*(1+'Model Inputs'!$B$28)^(J144-3),'Model Inputs'!$B$27*(1+'Model Inputs'!$B$28)^(MAX(3,'Model Inputs'!$B$30+1)-3)*(1+'Model Inputs'!$B$29)^(J144-MAX(3,'Model Inputs'!$B$30+1)))))</f>
        <v>950000</v>
      </c>
      <c r="N144" s="236">
        <f>IF(J144&lt;=2,0,'Model Inputs'!$B$32*SIN(2*PI()*(J144-3+'Model Inputs'!$B$34)/MAX(1,'Model Inputs'!$B$33)))</f>
        <v>-0.1039230484541326</v>
      </c>
      <c r="O144" s="230">
        <f t="shared" si="64"/>
        <v>851273.10396857408</v>
      </c>
      <c r="P144" s="230">
        <f t="shared" si="84"/>
        <v>653837.51358640334</v>
      </c>
      <c r="Q144" s="230">
        <f>L144+P144+IF(J144=1,'Model Inputs'!$B$26,0)</f>
        <v>953837.51358640334</v>
      </c>
      <c r="R144" s="230">
        <f t="shared" si="65"/>
        <v>2861512.54075921</v>
      </c>
      <c r="S144" s="230">
        <f t="shared" si="66"/>
        <v>15300000</v>
      </c>
      <c r="T144" s="230">
        <f t="shared" si="67"/>
        <v>2861512.54075921</v>
      </c>
      <c r="U144" s="230">
        <f>MIN(T144,'Tax Assumptions'!$B$19)</f>
        <v>24500</v>
      </c>
      <c r="V144" s="230">
        <f>MAX(T144-U144-'Tax Assumptions'!$B$8,0)</f>
        <v>2820912.54075921</v>
      </c>
      <c r="W144" s="230">
        <f>MAX(T144-U144-'Tax Assumptions'!$B$9,0)</f>
        <v>2829012.54075921</v>
      </c>
      <c r="X144" s="230">
        <f>IF(V144=0,0,LOOKUP(V144,'Tax Assumptions'!$F$9:$F$15,'Tax Assumptions'!$I$9:$I$15)+(V144-LOOKUP(V144,'Tax Assumptions'!$F$9:$F$15,'Tax Assumptions'!$F$9:$F$15))*LOOKUP(V144,'Tax Assumptions'!$F$9:$F$15,'Tax Assumptions'!$H$9:$H$15))+MIN(MAX(T144,0),'Tax Assumptions'!$B$11)*'Tax Assumptions'!$B$10+MAX(T144,0)*'Tax Assumptions'!$B$12+MAX(MAX(T144,0)-'Tax Assumptions'!$B$14,0)*'Tax Assumptions'!$B$13+MIN(T144*'Tax Assumptions'!$B$15,'Tax Assumptions'!$B$16)+MIN(T144*'Tax Assumptions'!$B$17,'Tax Assumptions'!$B$18)+IF(W144=0,0,LOOKUP(W144,'Tax Assumptions'!$K$9:$K$17,'Tax Assumptions'!$N$9:$N$17)+(W144-LOOKUP(W144,'Tax Assumptions'!$K$9:$K$17,'Tax Assumptions'!$K$9:$K$17))*LOOKUP(W144,'Tax Assumptions'!$K$9:$K$17,'Tax Assumptions'!$M$9:$M$17))+IF(W144=0,0,LOOKUP(W144,'Tax Assumptions'!$P$9:$P$12,'Tax Assumptions'!$S$9:$S$12)+(W144-LOOKUP(W144,'Tax Assumptions'!$P$9:$P$12,'Tax Assumptions'!$P$9:$P$12))*LOOKUP(W144,'Tax Assumptions'!$P$9:$P$12,'Tax Assumptions'!$R$9:$R$12))</f>
        <v>1426764.0060518396</v>
      </c>
      <c r="Y144" s="230">
        <f t="shared" si="68"/>
        <v>1410248.5347073704</v>
      </c>
      <c r="Z144" s="230">
        <f>IF(J144&lt;=10,INDEX('Savings Projection'!$BL$19:$BL$28,J144),LOOKUP(2,1/('Savings Projection'!$BL$19:$BL$28&lt;&gt;""),'Savings Projection'!$BL$19:$BL$28))*(1+'Model Inputs'!$B$35)^(J144-1)+IF(J144&lt;=10,INDEX('Savings Projection'!$BM$19:$BM$28,J144),LOOKUP(2,1/('Savings Projection'!$BM$19:$BM$28&lt;&gt;""),'Savings Projection'!$BM$19:$BM$28))*(1+'Model Inputs'!$B$36)^(J144-1)</f>
        <v>144065.12767999998</v>
      </c>
      <c r="AA144" s="230">
        <f t="shared" si="69"/>
        <v>1266183.4070273705</v>
      </c>
      <c r="AB144" s="230">
        <f>MIN(MAX(AA144,0),'Tax Assumptions'!$B$20)</f>
        <v>7500</v>
      </c>
      <c r="AC144" s="230">
        <f t="shared" si="70"/>
        <v>1258683.4070273705</v>
      </c>
      <c r="AD144" s="230">
        <f>MAX(AD143*(1+'Model Inputs'!$B$13)+AC144,0)</f>
        <v>3090030.7185114617</v>
      </c>
      <c r="AE144" s="230">
        <f>MAX(AE143*(1+'Model Inputs'!$B$13)+U144+AB144,0)</f>
        <v>180386.97472</v>
      </c>
      <c r="AF144" s="230">
        <f t="shared" si="71"/>
        <v>3270417.6932314616</v>
      </c>
      <c r="AG144" s="226" t="str">
        <f t="shared" si="80"/>
        <v/>
      </c>
      <c r="AH144" s="226" t="str">
        <f t="shared" si="81"/>
        <v/>
      </c>
      <c r="AI144" s="226" t="str">
        <f t="shared" si="82"/>
        <v/>
      </c>
      <c r="AJ144" s="226" t="str">
        <f t="shared" si="83"/>
        <v/>
      </c>
    </row>
    <row r="145" spans="1:36" ht="18" customHeight="1" x14ac:dyDescent="0.2">
      <c r="A145" s="226" t="str">
        <f t="shared" si="72"/>
        <v>3Y -&gt; PM Y7 Tail</v>
      </c>
      <c r="B145" s="226">
        <f t="shared" si="73"/>
        <v>3</v>
      </c>
      <c r="C145" s="235">
        <f t="shared" si="74"/>
        <v>3</v>
      </c>
      <c r="D145" s="226">
        <f t="shared" si="75"/>
        <v>7</v>
      </c>
      <c r="E145" s="226" t="str">
        <f t="shared" si="76"/>
        <v>Tail</v>
      </c>
      <c r="F145" s="230">
        <f t="shared" si="77"/>
        <v>100000000</v>
      </c>
      <c r="G145" s="236">
        <f t="shared" si="78"/>
        <v>0.15</v>
      </c>
      <c r="H145" s="230">
        <f t="shared" si="79"/>
        <v>300000</v>
      </c>
      <c r="I145" s="236">
        <f t="shared" si="62"/>
        <v>0</v>
      </c>
      <c r="J145" s="234">
        <v>6</v>
      </c>
      <c r="K145" s="234">
        <f t="shared" si="63"/>
        <v>2031</v>
      </c>
      <c r="L145" s="230">
        <f>IF(J145=1,'Model Inputs'!$B$25*(13-'Model Inputs'!$B$23)/12,'Model Inputs'!$B$25)</f>
        <v>300000</v>
      </c>
      <c r="M145" s="230">
        <f>IF(J145=1,'Model Inputs'!$B$27*(13-'Model Inputs'!$B$23)/12,IF(J145=2,'Model Inputs'!$B$27,IF(J145&lt;=MAX(3,'Model Inputs'!$B$30+1),'Model Inputs'!$B$27*(1+'Model Inputs'!$B$28)^(J145-3),'Model Inputs'!$B$27*(1+'Model Inputs'!$B$28)^(MAX(3,'Model Inputs'!$B$30+1)-3)*(1+'Model Inputs'!$B$29)^(J145-MAX(3,'Model Inputs'!$B$30+1)))))</f>
        <v>1207333.5632986501</v>
      </c>
      <c r="N145" s="236">
        <f>IF(J145&lt;=2,0,'Model Inputs'!$B$32*SIN(2*PI()*(J145-3+'Model Inputs'!$B$34)/MAX(1,'Model Inputs'!$B$33)))</f>
        <v>-2.9391523179536474E-17</v>
      </c>
      <c r="O145" s="230">
        <f t="shared" si="64"/>
        <v>1207333.5632986501</v>
      </c>
      <c r="P145" s="230">
        <f t="shared" si="84"/>
        <v>818900.66583856498</v>
      </c>
      <c r="Q145" s="230">
        <f>L145+P145+IF(J145=1,'Model Inputs'!$B$26,0)</f>
        <v>1118900.665838565</v>
      </c>
      <c r="R145" s="230">
        <f t="shared" si="65"/>
        <v>3356701.9975156952</v>
      </c>
      <c r="S145" s="230">
        <f t="shared" si="66"/>
        <v>15300000</v>
      </c>
      <c r="T145" s="230">
        <f t="shared" si="67"/>
        <v>3356701.9975156952</v>
      </c>
      <c r="U145" s="230">
        <f>MIN(T145,'Tax Assumptions'!$B$19)</f>
        <v>24500</v>
      </c>
      <c r="V145" s="230">
        <f>MAX(T145-U145-'Tax Assumptions'!$B$8,0)</f>
        <v>3316101.9975156952</v>
      </c>
      <c r="W145" s="230">
        <f>MAX(T145-U145-'Tax Assumptions'!$B$9,0)</f>
        <v>3324201.9975156952</v>
      </c>
      <c r="X145" s="230">
        <f>IF(V145=0,0,LOOKUP(V145,'Tax Assumptions'!$F$9:$F$15,'Tax Assumptions'!$I$9:$I$15)+(V145-LOOKUP(V145,'Tax Assumptions'!$F$9:$F$15,'Tax Assumptions'!$F$9:$F$15))*LOOKUP(V145,'Tax Assumptions'!$F$9:$F$15,'Tax Assumptions'!$H$9:$H$15))+MIN(MAX(T145,0),'Tax Assumptions'!$B$11)*'Tax Assumptions'!$B$10+MAX(T145,0)*'Tax Assumptions'!$B$12+MAX(MAX(T145,0)-'Tax Assumptions'!$B$14,0)*'Tax Assumptions'!$B$13+MIN(T145*'Tax Assumptions'!$B$15,'Tax Assumptions'!$B$16)+MIN(T145*'Tax Assumptions'!$B$17,'Tax Assumptions'!$B$18)+IF(W145=0,0,LOOKUP(W145,'Tax Assumptions'!$K$9:$K$17,'Tax Assumptions'!$N$9:$N$17)+(W145-LOOKUP(W145,'Tax Assumptions'!$K$9:$K$17,'Tax Assumptions'!$K$9:$K$17))*LOOKUP(W145,'Tax Assumptions'!$K$9:$K$17,'Tax Assumptions'!$M$9:$M$17))+IF(W145=0,0,LOOKUP(W145,'Tax Assumptions'!$P$9:$P$12,'Tax Assumptions'!$S$9:$S$12)+(W145-LOOKUP(W145,'Tax Assumptions'!$P$9:$P$12,'Tax Assumptions'!$P$9:$P$12))*LOOKUP(W145,'Tax Assumptions'!$P$9:$P$12,'Tax Assumptions'!$R$9:$R$12))</f>
        <v>1688600.3832063989</v>
      </c>
      <c r="Y145" s="230">
        <f t="shared" si="68"/>
        <v>1643601.6143092962</v>
      </c>
      <c r="Z145" s="230">
        <f>IF(J145&lt;=10,INDEX('Savings Projection'!$BL$19:$BL$28,J145),LOOKUP(2,1/('Savings Projection'!$BL$19:$BL$28&lt;&gt;""),'Savings Projection'!$BL$19:$BL$28))*(1+'Model Inputs'!$B$35)^(J145-1)+IF(J145&lt;=10,INDEX('Savings Projection'!$BM$19:$BM$28,J145),LOOKUP(2,1/('Savings Projection'!$BM$19:$BM$28&lt;&gt;""),'Savings Projection'!$BM$19:$BM$28))*(1+'Model Inputs'!$B$36)^(J145-1)</f>
        <v>150705.62965899997</v>
      </c>
      <c r="AA145" s="230">
        <f t="shared" si="69"/>
        <v>1492895.9846502962</v>
      </c>
      <c r="AB145" s="230">
        <f>MIN(MAX(AA145,0),'Tax Assumptions'!$B$20)</f>
        <v>7500</v>
      </c>
      <c r="AC145" s="230">
        <f t="shared" si="70"/>
        <v>1485395.9846502962</v>
      </c>
      <c r="AD145" s="230">
        <f>MAX(AD144*(1+'Model Inputs'!$B$13)+AC145,0)</f>
        <v>4760828.5462724455</v>
      </c>
      <c r="AE145" s="230">
        <f>MAX(AE144*(1+'Model Inputs'!$B$13)+U145+AB145,0)</f>
        <v>223210.1932032</v>
      </c>
      <c r="AF145" s="230">
        <f t="shared" si="71"/>
        <v>4984038.7394756451</v>
      </c>
      <c r="AG145" s="226" t="str">
        <f t="shared" si="80"/>
        <v/>
      </c>
      <c r="AH145" s="226" t="str">
        <f t="shared" si="81"/>
        <v/>
      </c>
      <c r="AI145" s="226" t="str">
        <f t="shared" si="82"/>
        <v/>
      </c>
      <c r="AJ145" s="226" t="str">
        <f t="shared" si="83"/>
        <v/>
      </c>
    </row>
    <row r="146" spans="1:36" ht="18" customHeight="1" x14ac:dyDescent="0.2">
      <c r="A146" s="226" t="str">
        <f t="shared" si="72"/>
        <v>3Y -&gt; PM Y7 Tail</v>
      </c>
      <c r="B146" s="226">
        <f t="shared" si="73"/>
        <v>3</v>
      </c>
      <c r="C146" s="235">
        <f t="shared" si="74"/>
        <v>3</v>
      </c>
      <c r="D146" s="226">
        <f t="shared" si="75"/>
        <v>7</v>
      </c>
      <c r="E146" s="226" t="str">
        <f t="shared" si="76"/>
        <v>Tail</v>
      </c>
      <c r="F146" s="230">
        <f t="shared" si="77"/>
        <v>100000000</v>
      </c>
      <c r="G146" s="236">
        <f t="shared" si="78"/>
        <v>0.15</v>
      </c>
      <c r="H146" s="230">
        <f t="shared" si="79"/>
        <v>300000</v>
      </c>
      <c r="I146" s="236">
        <f t="shared" si="62"/>
        <v>0</v>
      </c>
      <c r="J146" s="234">
        <v>7</v>
      </c>
      <c r="K146" s="234">
        <f t="shared" si="63"/>
        <v>2032</v>
      </c>
      <c r="L146" s="230">
        <f>IF(J146=1,'Model Inputs'!$B$25*(13-'Model Inputs'!$B$23)/12,'Model Inputs'!$B$25)</f>
        <v>300000</v>
      </c>
      <c r="M146" s="230">
        <f>IF(J146=1,'Model Inputs'!$B$27*(13-'Model Inputs'!$B$23)/12,IF(J146=2,'Model Inputs'!$B$27,IF(J146&lt;=MAX(3,'Model Inputs'!$B$30+1),'Model Inputs'!$B$27*(1+'Model Inputs'!$B$28)^(J146-3),'Model Inputs'!$B$27*(1+'Model Inputs'!$B$28)^(MAX(3,'Model Inputs'!$B$30+1)-3)*(1+'Model Inputs'!$B$29)^(J146-MAX(3,'Model Inputs'!$B$30+1)))))</f>
        <v>1534372.9821762268</v>
      </c>
      <c r="N146" s="236">
        <f>IF(J146&lt;=2,0,'Model Inputs'!$B$32*SIN(2*PI()*(J146-3+'Model Inputs'!$B$34)/MAX(1,'Model Inputs'!$B$33)))</f>
        <v>0.10392304845413269</v>
      </c>
      <c r="O146" s="230">
        <f t="shared" si="64"/>
        <v>1693829.6999496389</v>
      </c>
      <c r="P146" s="230">
        <f t="shared" si="84"/>
        <v>1118318.448466131</v>
      </c>
      <c r="Q146" s="230">
        <f>L146+P146+IF(J146=1,'Model Inputs'!$B$26,0)</f>
        <v>1418318.448466131</v>
      </c>
      <c r="R146" s="230">
        <f t="shared" si="65"/>
        <v>4254955.3453983925</v>
      </c>
      <c r="S146" s="230">
        <f t="shared" si="66"/>
        <v>15300000</v>
      </c>
      <c r="T146" s="230">
        <f t="shared" si="67"/>
        <v>15300000</v>
      </c>
      <c r="U146" s="230">
        <f>MIN(T146,'Tax Assumptions'!$B$19)</f>
        <v>24500</v>
      </c>
      <c r="V146" s="230">
        <f>MAX(T146-U146-'Tax Assumptions'!$B$8,0)</f>
        <v>15259400</v>
      </c>
      <c r="W146" s="230">
        <f>MAX(T146-U146-'Tax Assumptions'!$B$9,0)</f>
        <v>15267500</v>
      </c>
      <c r="X146" s="230">
        <f>IF(V146=0,0,LOOKUP(V146,'Tax Assumptions'!$F$9:$F$15,'Tax Assumptions'!$I$9:$I$15)+(V146-LOOKUP(V146,'Tax Assumptions'!$F$9:$F$15,'Tax Assumptions'!$F$9:$F$15))*LOOKUP(V146,'Tax Assumptions'!$F$9:$F$15,'Tax Assumptions'!$H$9:$H$15))+MIN(MAX(T146,0),'Tax Assumptions'!$B$11)*'Tax Assumptions'!$B$10+MAX(T146,0)*'Tax Assumptions'!$B$12+MAX(MAX(T146,0)-'Tax Assumptions'!$B$14,0)*'Tax Assumptions'!$B$13+MIN(T146*'Tax Assumptions'!$B$15,'Tax Assumptions'!$B$16)+MIN(T146*'Tax Assumptions'!$B$17,'Tax Assumptions'!$B$18)+IF(W146=0,0,LOOKUP(W146,'Tax Assumptions'!$K$9:$K$17,'Tax Assumptions'!$N$9:$N$17)+(W146-LOOKUP(W146,'Tax Assumptions'!$K$9:$K$17,'Tax Assumptions'!$K$9:$K$17))*LOOKUP(W146,'Tax Assumptions'!$K$9:$K$17,'Tax Assumptions'!$M$9:$M$17))+IF(W146=0,0,LOOKUP(W146,'Tax Assumptions'!$P$9:$P$12,'Tax Assumptions'!$S$9:$S$12)+(W146-LOOKUP(W146,'Tax Assumptions'!$P$9:$P$12,'Tax Assumptions'!$P$9:$P$12))*LOOKUP(W146,'Tax Assumptions'!$P$9:$P$12,'Tax Assumptions'!$R$9:$R$12))</f>
        <v>8070480.54</v>
      </c>
      <c r="Y146" s="230">
        <f t="shared" si="68"/>
        <v>7205019.46</v>
      </c>
      <c r="Z146" s="230">
        <f>IF(J146&lt;=10,INDEX('Savings Projection'!$BL$19:$BL$28,J146),LOOKUP(2,1/('Savings Projection'!$BL$19:$BL$28&lt;&gt;""),'Savings Projection'!$BL$19:$BL$28))*(1+'Model Inputs'!$B$35)^(J146-1)+IF(J146&lt;=10,INDEX('Savings Projection'!$BM$19:$BM$28,J146),LOOKUP(2,1/('Savings Projection'!$BM$19:$BM$28&lt;&gt;""),'Savings Projection'!$BM$19:$BM$28))*(1+'Model Inputs'!$B$36)^(J146-1)</f>
        <v>155226.79854876999</v>
      </c>
      <c r="AA146" s="230">
        <f t="shared" si="69"/>
        <v>7049792.6614512298</v>
      </c>
      <c r="AB146" s="230">
        <f>MIN(MAX(AA146,0),'Tax Assumptions'!$B$20)</f>
        <v>7500</v>
      </c>
      <c r="AC146" s="230">
        <f t="shared" si="70"/>
        <v>7042292.6614512298</v>
      </c>
      <c r="AD146" s="230">
        <f>MAX(AD145*(1+'Model Inputs'!$B$13)+AC146,0)</f>
        <v>12088770.920500021</v>
      </c>
      <c r="AE146" s="230">
        <f>MAX(AE145*(1+'Model Inputs'!$B$13)+U146+AB146,0)</f>
        <v>268602.80479539197</v>
      </c>
      <c r="AF146" s="230">
        <f t="shared" si="71"/>
        <v>12357373.725295413</v>
      </c>
      <c r="AG146" s="226" t="str">
        <f t="shared" si="80"/>
        <v/>
      </c>
      <c r="AH146" s="226" t="str">
        <f t="shared" si="81"/>
        <v/>
      </c>
      <c r="AI146" s="226" t="str">
        <f t="shared" si="82"/>
        <v/>
      </c>
      <c r="AJ146" s="226" t="str">
        <f t="shared" si="83"/>
        <v/>
      </c>
    </row>
    <row r="147" spans="1:36" ht="18" customHeight="1" x14ac:dyDescent="0.2">
      <c r="A147" s="226" t="str">
        <f t="shared" si="72"/>
        <v>3Y -&gt; PM Y7 Tail</v>
      </c>
      <c r="B147" s="226">
        <f t="shared" si="73"/>
        <v>3</v>
      </c>
      <c r="C147" s="235">
        <f t="shared" si="74"/>
        <v>3</v>
      </c>
      <c r="D147" s="226">
        <f t="shared" si="75"/>
        <v>7</v>
      </c>
      <c r="E147" s="226" t="str">
        <f t="shared" si="76"/>
        <v>Tail</v>
      </c>
      <c r="F147" s="230">
        <f t="shared" si="77"/>
        <v>100000000</v>
      </c>
      <c r="G147" s="236">
        <f t="shared" si="78"/>
        <v>0.15</v>
      </c>
      <c r="H147" s="230">
        <f t="shared" si="79"/>
        <v>300000</v>
      </c>
      <c r="I147" s="236">
        <f t="shared" si="62"/>
        <v>0</v>
      </c>
      <c r="J147" s="234">
        <v>8</v>
      </c>
      <c r="K147" s="234">
        <f t="shared" si="63"/>
        <v>2033</v>
      </c>
      <c r="L147" s="230">
        <f>IF(J147=1,'Model Inputs'!$B$25*(13-'Model Inputs'!$B$23)/12,'Model Inputs'!$B$25)</f>
        <v>300000</v>
      </c>
      <c r="M147" s="230">
        <f>IF(J147=1,'Model Inputs'!$B$27*(13-'Model Inputs'!$B$23)/12,IF(J147=2,'Model Inputs'!$B$27,IF(J147&lt;=MAX(3,'Model Inputs'!$B$30+1),'Model Inputs'!$B$27*(1+'Model Inputs'!$B$28)^(J147-3),'Model Inputs'!$B$27*(1+'Model Inputs'!$B$28)^(MAX(3,'Model Inputs'!$B$30+1)-3)*(1+'Model Inputs'!$B$29)^(J147-MAX(3,'Model Inputs'!$B$30+1)))))</f>
        <v>1950000.0000000002</v>
      </c>
      <c r="N147" s="236">
        <f>IF(J147&lt;=2,0,'Model Inputs'!$B$32*SIN(2*PI()*(J147-3+'Model Inputs'!$B$34)/MAX(1,'Model Inputs'!$B$33)))</f>
        <v>-0.10392304845413264</v>
      </c>
      <c r="O147" s="230">
        <f t="shared" si="64"/>
        <v>1747350.0555144416</v>
      </c>
      <c r="P147" s="230">
        <f t="shared" si="84"/>
        <v>1572205.6657868917</v>
      </c>
      <c r="Q147" s="230">
        <f>L147+P147+IF(J147=1,'Model Inputs'!$B$26,0)</f>
        <v>1872205.6657868917</v>
      </c>
      <c r="R147" s="230">
        <f t="shared" si="65"/>
        <v>5616616.9973606747</v>
      </c>
      <c r="S147" s="230">
        <f t="shared" si="66"/>
        <v>15300000</v>
      </c>
      <c r="T147" s="230">
        <f t="shared" si="67"/>
        <v>15300000</v>
      </c>
      <c r="U147" s="230">
        <f>MIN(T147,'Tax Assumptions'!$B$19)</f>
        <v>24500</v>
      </c>
      <c r="V147" s="230">
        <f>MAX(T147-U147-'Tax Assumptions'!$B$8,0)</f>
        <v>15259400</v>
      </c>
      <c r="W147" s="230">
        <f>MAX(T147-U147-'Tax Assumptions'!$B$9,0)</f>
        <v>15267500</v>
      </c>
      <c r="X147" s="230">
        <f>IF(V147=0,0,LOOKUP(V147,'Tax Assumptions'!$F$9:$F$15,'Tax Assumptions'!$I$9:$I$15)+(V147-LOOKUP(V147,'Tax Assumptions'!$F$9:$F$15,'Tax Assumptions'!$F$9:$F$15))*LOOKUP(V147,'Tax Assumptions'!$F$9:$F$15,'Tax Assumptions'!$H$9:$H$15))+MIN(MAX(T147,0),'Tax Assumptions'!$B$11)*'Tax Assumptions'!$B$10+MAX(T147,0)*'Tax Assumptions'!$B$12+MAX(MAX(T147,0)-'Tax Assumptions'!$B$14,0)*'Tax Assumptions'!$B$13+MIN(T147*'Tax Assumptions'!$B$15,'Tax Assumptions'!$B$16)+MIN(T147*'Tax Assumptions'!$B$17,'Tax Assumptions'!$B$18)+IF(W147=0,0,LOOKUP(W147,'Tax Assumptions'!$K$9:$K$17,'Tax Assumptions'!$N$9:$N$17)+(W147-LOOKUP(W147,'Tax Assumptions'!$K$9:$K$17,'Tax Assumptions'!$K$9:$K$17))*LOOKUP(W147,'Tax Assumptions'!$K$9:$K$17,'Tax Assumptions'!$M$9:$M$17))+IF(W147=0,0,LOOKUP(W147,'Tax Assumptions'!$P$9:$P$12,'Tax Assumptions'!$S$9:$S$12)+(W147-LOOKUP(W147,'Tax Assumptions'!$P$9:$P$12,'Tax Assumptions'!$P$9:$P$12))*LOOKUP(W147,'Tax Assumptions'!$P$9:$P$12,'Tax Assumptions'!$R$9:$R$12))</f>
        <v>8070480.54</v>
      </c>
      <c r="Y147" s="230">
        <f t="shared" si="68"/>
        <v>7205019.46</v>
      </c>
      <c r="Z147" s="230">
        <f>IF(J147&lt;=10,INDEX('Savings Projection'!$BL$19:$BL$28,J147),LOOKUP(2,1/('Savings Projection'!$BL$19:$BL$28&lt;&gt;""),'Savings Projection'!$BL$19:$BL$28))*(1+'Model Inputs'!$B$35)^(J147-1)+IF(J147&lt;=10,INDEX('Savings Projection'!$BM$19:$BM$28,J147),LOOKUP(2,1/('Savings Projection'!$BM$19:$BM$28&lt;&gt;""),'Savings Projection'!$BM$19:$BM$28))*(1+'Model Inputs'!$B$36)^(J147-1)</f>
        <v>159883.60250523311</v>
      </c>
      <c r="AA147" s="230">
        <f t="shared" si="69"/>
        <v>7045135.8574947668</v>
      </c>
      <c r="AB147" s="230">
        <f>MIN(MAX(AA147,0),'Tax Assumptions'!$B$20)</f>
        <v>7500</v>
      </c>
      <c r="AC147" s="230">
        <f t="shared" si="70"/>
        <v>7037635.8574947668</v>
      </c>
      <c r="AD147" s="230">
        <f>MAX(AD146*(1+'Model Inputs'!$B$13)+AC147,0)</f>
        <v>19851733.033224791</v>
      </c>
      <c r="AE147" s="230">
        <f>MAX(AE146*(1+'Model Inputs'!$B$13)+U147+AB147,0)</f>
        <v>316718.97308311553</v>
      </c>
      <c r="AF147" s="230">
        <f t="shared" si="71"/>
        <v>20168452.006307907</v>
      </c>
      <c r="AG147" s="226">
        <f t="shared" si="80"/>
        <v>8</v>
      </c>
      <c r="AH147" s="226">
        <f t="shared" si="81"/>
        <v>8</v>
      </c>
      <c r="AI147" s="226">
        <f t="shared" si="82"/>
        <v>8</v>
      </c>
      <c r="AJ147" s="226" t="str">
        <f t="shared" si="83"/>
        <v/>
      </c>
    </row>
    <row r="148" spans="1:36" ht="18" customHeight="1" x14ac:dyDescent="0.2">
      <c r="A148" s="226" t="str">
        <f t="shared" si="72"/>
        <v>3Y -&gt; PM Y7 Tail</v>
      </c>
      <c r="B148" s="226">
        <f t="shared" si="73"/>
        <v>3</v>
      </c>
      <c r="C148" s="235">
        <f t="shared" si="74"/>
        <v>3</v>
      </c>
      <c r="D148" s="226">
        <f t="shared" si="75"/>
        <v>7</v>
      </c>
      <c r="E148" s="226" t="str">
        <f t="shared" si="76"/>
        <v>Tail</v>
      </c>
      <c r="F148" s="230">
        <f t="shared" si="77"/>
        <v>100000000</v>
      </c>
      <c r="G148" s="236">
        <f t="shared" si="78"/>
        <v>0.15</v>
      </c>
      <c r="H148" s="230">
        <f t="shared" si="79"/>
        <v>300000</v>
      </c>
      <c r="I148" s="236">
        <f t="shared" si="62"/>
        <v>0</v>
      </c>
      <c r="J148" s="234">
        <v>9</v>
      </c>
      <c r="K148" s="234">
        <f t="shared" si="63"/>
        <v>2034</v>
      </c>
      <c r="L148" s="230">
        <f>IF(J148=1,'Model Inputs'!$B$25*(13-'Model Inputs'!$B$23)/12,'Model Inputs'!$B$25)</f>
        <v>300000</v>
      </c>
      <c r="M148" s="230">
        <f>IF(J148=1,'Model Inputs'!$B$27*(13-'Model Inputs'!$B$23)/12,IF(J148=2,'Model Inputs'!$B$27,IF(J148&lt;=MAX(3,'Model Inputs'!$B$30+1),'Model Inputs'!$B$27*(1+'Model Inputs'!$B$28)^(J148-3),'Model Inputs'!$B$27*(1+'Model Inputs'!$B$28)^(MAX(3,'Model Inputs'!$B$30+1)-3)*(1+'Model Inputs'!$B$29)^(J148-MAX(3,'Model Inputs'!$B$30+1)))))</f>
        <v>2478210.9983498608</v>
      </c>
      <c r="N148" s="236">
        <f>IF(J148&lt;=2,0,'Model Inputs'!$B$32*SIN(2*PI()*(J148-3+'Model Inputs'!$B$34)/MAX(1,'Model Inputs'!$B$33)))</f>
        <v>-5.8783046359072947E-17</v>
      </c>
      <c r="O148" s="230">
        <f t="shared" si="64"/>
        <v>2478210.9983498603</v>
      </c>
      <c r="P148" s="230">
        <f t="shared" si="84"/>
        <v>1733969.9666232408</v>
      </c>
      <c r="Q148" s="230">
        <f>L148+P148+IF(J148=1,'Model Inputs'!$B$26,0)</f>
        <v>2033969.9666232408</v>
      </c>
      <c r="R148" s="230">
        <f t="shared" si="65"/>
        <v>6101909.8998697223</v>
      </c>
      <c r="S148" s="230">
        <f t="shared" si="66"/>
        <v>15300000</v>
      </c>
      <c r="T148" s="230">
        <f t="shared" si="67"/>
        <v>15300000</v>
      </c>
      <c r="U148" s="230">
        <f>MIN(T148,'Tax Assumptions'!$B$19)</f>
        <v>24500</v>
      </c>
      <c r="V148" s="230">
        <f>MAX(T148-U148-'Tax Assumptions'!$B$8,0)</f>
        <v>15259400</v>
      </c>
      <c r="W148" s="230">
        <f>MAX(T148-U148-'Tax Assumptions'!$B$9,0)</f>
        <v>15267500</v>
      </c>
      <c r="X148" s="230">
        <f>IF(V148=0,0,LOOKUP(V148,'Tax Assumptions'!$F$9:$F$15,'Tax Assumptions'!$I$9:$I$15)+(V148-LOOKUP(V148,'Tax Assumptions'!$F$9:$F$15,'Tax Assumptions'!$F$9:$F$15))*LOOKUP(V148,'Tax Assumptions'!$F$9:$F$15,'Tax Assumptions'!$H$9:$H$15))+MIN(MAX(T148,0),'Tax Assumptions'!$B$11)*'Tax Assumptions'!$B$10+MAX(T148,0)*'Tax Assumptions'!$B$12+MAX(MAX(T148,0)-'Tax Assumptions'!$B$14,0)*'Tax Assumptions'!$B$13+MIN(T148*'Tax Assumptions'!$B$15,'Tax Assumptions'!$B$16)+MIN(T148*'Tax Assumptions'!$B$17,'Tax Assumptions'!$B$18)+IF(W148=0,0,LOOKUP(W148,'Tax Assumptions'!$K$9:$K$17,'Tax Assumptions'!$N$9:$N$17)+(W148-LOOKUP(W148,'Tax Assumptions'!$K$9:$K$17,'Tax Assumptions'!$K$9:$K$17))*LOOKUP(W148,'Tax Assumptions'!$K$9:$K$17,'Tax Assumptions'!$M$9:$M$17))+IF(W148=0,0,LOOKUP(W148,'Tax Assumptions'!$P$9:$P$12,'Tax Assumptions'!$S$9:$S$12)+(W148-LOOKUP(W148,'Tax Assumptions'!$P$9:$P$12,'Tax Assumptions'!$P$9:$P$12))*LOOKUP(W148,'Tax Assumptions'!$P$9:$P$12,'Tax Assumptions'!$R$9:$R$12))</f>
        <v>8070480.54</v>
      </c>
      <c r="Y148" s="230">
        <f t="shared" si="68"/>
        <v>7205019.46</v>
      </c>
      <c r="Z148" s="230">
        <f>IF(J148&lt;=10,INDEX('Savings Projection'!$BL$19:$BL$28,J148),LOOKUP(2,1/('Savings Projection'!$BL$19:$BL$28&lt;&gt;""),'Savings Projection'!$BL$19:$BL$28))*(1+'Model Inputs'!$B$35)^(J148-1)+IF(J148&lt;=10,INDEX('Savings Projection'!$BM$19:$BM$28,J148),LOOKUP(2,1/('Savings Projection'!$BM$19:$BM$28&lt;&gt;""),'Savings Projection'!$BM$19:$BM$28))*(1+'Model Inputs'!$B$36)^(J148-1)</f>
        <v>164680.11058039009</v>
      </c>
      <c r="AA148" s="230">
        <f t="shared" si="69"/>
        <v>7040339.3494196096</v>
      </c>
      <c r="AB148" s="230">
        <f>MIN(MAX(AA148,0),'Tax Assumptions'!$B$20)</f>
        <v>7500</v>
      </c>
      <c r="AC148" s="230">
        <f t="shared" si="70"/>
        <v>7032839.3494196096</v>
      </c>
      <c r="AD148" s="230">
        <f>MAX(AD147*(1+'Model Inputs'!$B$13)+AC148,0)</f>
        <v>28075676.364637889</v>
      </c>
      <c r="AE148" s="230">
        <f>MAX(AE147*(1+'Model Inputs'!$B$13)+U148+AB148,0)</f>
        <v>367722.11146810249</v>
      </c>
      <c r="AF148" s="230">
        <f t="shared" si="71"/>
        <v>28443398.476105992</v>
      </c>
      <c r="AG148" s="226" t="str">
        <f t="shared" si="80"/>
        <v/>
      </c>
      <c r="AH148" s="226" t="str">
        <f t="shared" si="81"/>
        <v/>
      </c>
      <c r="AI148" s="226" t="str">
        <f t="shared" si="82"/>
        <v/>
      </c>
      <c r="AJ148" s="226">
        <f t="shared" si="83"/>
        <v>9</v>
      </c>
    </row>
    <row r="149" spans="1:36" ht="18" customHeight="1" x14ac:dyDescent="0.2">
      <c r="A149" s="226" t="str">
        <f t="shared" si="72"/>
        <v>3Y -&gt; PM Y7 Tail</v>
      </c>
      <c r="B149" s="226">
        <f t="shared" si="73"/>
        <v>3</v>
      </c>
      <c r="C149" s="235">
        <f t="shared" si="74"/>
        <v>3</v>
      </c>
      <c r="D149" s="226">
        <f t="shared" si="75"/>
        <v>7</v>
      </c>
      <c r="E149" s="226" t="str">
        <f t="shared" si="76"/>
        <v>Tail</v>
      </c>
      <c r="F149" s="230">
        <f t="shared" si="77"/>
        <v>100000000</v>
      </c>
      <c r="G149" s="236">
        <f t="shared" si="78"/>
        <v>0.15</v>
      </c>
      <c r="H149" s="230">
        <f t="shared" si="79"/>
        <v>300000</v>
      </c>
      <c r="I149" s="236">
        <f t="shared" si="62"/>
        <v>0</v>
      </c>
      <c r="J149" s="234">
        <v>10</v>
      </c>
      <c r="K149" s="234">
        <f t="shared" si="63"/>
        <v>2035</v>
      </c>
      <c r="L149" s="230">
        <f>IF(J149=1,'Model Inputs'!$B$25*(13-'Model Inputs'!$B$23)/12,'Model Inputs'!$B$25)</f>
        <v>300000</v>
      </c>
      <c r="M149" s="230">
        <f>IF(J149=1,'Model Inputs'!$B$27*(13-'Model Inputs'!$B$23)/12,IF(J149=2,'Model Inputs'!$B$27,IF(J149&lt;=MAX(3,'Model Inputs'!$B$30+1),'Model Inputs'!$B$27*(1+'Model Inputs'!$B$28)^(J149-3),'Model Inputs'!$B$27*(1+'Model Inputs'!$B$28)^(MAX(3,'Model Inputs'!$B$30+1)-3)*(1+'Model Inputs'!$B$29)^(J149-MAX(3,'Model Inputs'!$B$30+1)))))</f>
        <v>3149502.4370985711</v>
      </c>
      <c r="N149" s="236">
        <f>IF(J149&lt;=2,0,'Model Inputs'!$B$32*SIN(2*PI()*(J149-3+'Model Inputs'!$B$34)/MAX(1,'Model Inputs'!$B$33)))</f>
        <v>0.10392304845413271</v>
      </c>
      <c r="O149" s="230">
        <f t="shared" si="64"/>
        <v>3476808.331475575</v>
      </c>
      <c r="P149" s="230">
        <f t="shared" si="84"/>
        <v>2295495.7626410057</v>
      </c>
      <c r="Q149" s="230">
        <f>L149+P149+IF(J149=1,'Model Inputs'!$B$26,0)</f>
        <v>2595495.7626410057</v>
      </c>
      <c r="R149" s="230">
        <f t="shared" si="65"/>
        <v>7786487.2879230175</v>
      </c>
      <c r="S149" s="230">
        <f t="shared" si="66"/>
        <v>15300000</v>
      </c>
      <c r="T149" s="230">
        <f t="shared" si="67"/>
        <v>15300000</v>
      </c>
      <c r="U149" s="230">
        <f>MIN(T149,'Tax Assumptions'!$B$19)</f>
        <v>24500</v>
      </c>
      <c r="V149" s="230">
        <f>MAX(T149-U149-'Tax Assumptions'!$B$8,0)</f>
        <v>15259400</v>
      </c>
      <c r="W149" s="230">
        <f>MAX(T149-U149-'Tax Assumptions'!$B$9,0)</f>
        <v>15267500</v>
      </c>
      <c r="X149" s="230">
        <f>IF(V149=0,0,LOOKUP(V149,'Tax Assumptions'!$F$9:$F$15,'Tax Assumptions'!$I$9:$I$15)+(V149-LOOKUP(V149,'Tax Assumptions'!$F$9:$F$15,'Tax Assumptions'!$F$9:$F$15))*LOOKUP(V149,'Tax Assumptions'!$F$9:$F$15,'Tax Assumptions'!$H$9:$H$15))+MIN(MAX(T149,0),'Tax Assumptions'!$B$11)*'Tax Assumptions'!$B$10+MAX(T149,0)*'Tax Assumptions'!$B$12+MAX(MAX(T149,0)-'Tax Assumptions'!$B$14,0)*'Tax Assumptions'!$B$13+MIN(T149*'Tax Assumptions'!$B$15,'Tax Assumptions'!$B$16)+MIN(T149*'Tax Assumptions'!$B$17,'Tax Assumptions'!$B$18)+IF(W149=0,0,LOOKUP(W149,'Tax Assumptions'!$K$9:$K$17,'Tax Assumptions'!$N$9:$N$17)+(W149-LOOKUP(W149,'Tax Assumptions'!$K$9:$K$17,'Tax Assumptions'!$K$9:$K$17))*LOOKUP(W149,'Tax Assumptions'!$K$9:$K$17,'Tax Assumptions'!$M$9:$M$17))+IF(W149=0,0,LOOKUP(W149,'Tax Assumptions'!$P$9:$P$12,'Tax Assumptions'!$S$9:$S$12)+(W149-LOOKUP(W149,'Tax Assumptions'!$P$9:$P$12,'Tax Assumptions'!$P$9:$P$12))*LOOKUP(W149,'Tax Assumptions'!$P$9:$P$12,'Tax Assumptions'!$R$9:$R$12))</f>
        <v>8070480.54</v>
      </c>
      <c r="Y149" s="230">
        <f t="shared" si="68"/>
        <v>7205019.46</v>
      </c>
      <c r="Z149" s="230">
        <f>IF(J149&lt;=10,INDEX('Savings Projection'!$BL$19:$BL$28,J149),LOOKUP(2,1/('Savings Projection'!$BL$19:$BL$28&lt;&gt;""),'Savings Projection'!$BL$19:$BL$28))*(1+'Model Inputs'!$B$35)^(J149-1)+IF(J149&lt;=10,INDEX('Savings Projection'!$BM$19:$BM$28,J149),LOOKUP(2,1/('Savings Projection'!$BM$19:$BM$28&lt;&gt;""),'Savings Projection'!$BM$19:$BM$28))*(1+'Model Inputs'!$B$36)^(J149-1)</f>
        <v>169620.51389780178</v>
      </c>
      <c r="AA149" s="230">
        <f t="shared" si="69"/>
        <v>7035398.9461021982</v>
      </c>
      <c r="AB149" s="230">
        <f>MIN(MAX(AA149,0),'Tax Assumptions'!$B$20)</f>
        <v>7500</v>
      </c>
      <c r="AC149" s="230">
        <f t="shared" si="70"/>
        <v>7027898.9461021982</v>
      </c>
      <c r="AD149" s="230">
        <f>MAX(AD148*(1+'Model Inputs'!$B$13)+AC149,0)</f>
        <v>36788115.892618358</v>
      </c>
      <c r="AE149" s="230">
        <f>MAX(AE148*(1+'Model Inputs'!$B$13)+U149+AB149,0)</f>
        <v>421785.43815618864</v>
      </c>
      <c r="AF149" s="230">
        <f t="shared" si="71"/>
        <v>37209901.330774546</v>
      </c>
      <c r="AG149" s="226" t="str">
        <f t="shared" si="80"/>
        <v/>
      </c>
      <c r="AH149" s="226" t="str">
        <f t="shared" si="81"/>
        <v/>
      </c>
      <c r="AI149" s="226" t="str">
        <f t="shared" si="82"/>
        <v/>
      </c>
      <c r="AJ149" s="226" t="str">
        <f t="shared" si="83"/>
        <v/>
      </c>
    </row>
    <row r="150" spans="1:36" ht="18" customHeight="1" x14ac:dyDescent="0.2">
      <c r="A150" s="226" t="str">
        <f t="shared" si="72"/>
        <v>3Y -&gt; PM Y7 Tail</v>
      </c>
      <c r="B150" s="226">
        <f t="shared" si="73"/>
        <v>3</v>
      </c>
      <c r="C150" s="235">
        <f t="shared" si="74"/>
        <v>3</v>
      </c>
      <c r="D150" s="226">
        <f t="shared" si="75"/>
        <v>7</v>
      </c>
      <c r="E150" s="226" t="str">
        <f t="shared" si="76"/>
        <v>Tail</v>
      </c>
      <c r="F150" s="230">
        <f t="shared" si="77"/>
        <v>100000000</v>
      </c>
      <c r="G150" s="236">
        <f t="shared" si="78"/>
        <v>0.15</v>
      </c>
      <c r="H150" s="230">
        <f t="shared" si="79"/>
        <v>300000</v>
      </c>
      <c r="I150" s="236">
        <f t="shared" si="62"/>
        <v>0</v>
      </c>
      <c r="J150" s="234">
        <v>11</v>
      </c>
      <c r="K150" s="234">
        <f t="shared" si="63"/>
        <v>2036</v>
      </c>
      <c r="L150" s="230">
        <f>IF(J150=1,'Model Inputs'!$B$25*(13-'Model Inputs'!$B$23)/12,'Model Inputs'!$B$25)</f>
        <v>300000</v>
      </c>
      <c r="M150" s="230">
        <f>IF(J150=1,'Model Inputs'!$B$27*(13-'Model Inputs'!$B$23)/12,IF(J150=2,'Model Inputs'!$B$27,IF(J150&lt;=MAX(3,'Model Inputs'!$B$30+1),'Model Inputs'!$B$27*(1+'Model Inputs'!$B$28)^(J150-3),'Model Inputs'!$B$27*(1+'Model Inputs'!$B$28)^(MAX(3,'Model Inputs'!$B$30+1)-3)*(1+'Model Inputs'!$B$29)^(J150-MAX(3,'Model Inputs'!$B$30+1)))))</f>
        <v>4002631.578947369</v>
      </c>
      <c r="N150" s="236">
        <f>IF(J150&lt;=2,0,'Model Inputs'!$B$32*SIN(2*PI()*(J150-3+'Model Inputs'!$B$34)/MAX(1,'Model Inputs'!$B$33)))</f>
        <v>-0.10392304845413253</v>
      </c>
      <c r="O150" s="230">
        <f t="shared" si="64"/>
        <v>3586665.9034243808</v>
      </c>
      <c r="P150" s="230">
        <f t="shared" si="84"/>
        <v>3227158.9981941464</v>
      </c>
      <c r="Q150" s="230">
        <f>L150+P150+IF(J150=1,'Model Inputs'!$B$26,0)</f>
        <v>3527158.9981941464</v>
      </c>
      <c r="R150" s="230">
        <f t="shared" si="65"/>
        <v>10581476.994582439</v>
      </c>
      <c r="S150" s="230">
        <f t="shared" si="66"/>
        <v>15300000</v>
      </c>
      <c r="T150" s="230">
        <f t="shared" si="67"/>
        <v>15300000</v>
      </c>
      <c r="U150" s="230">
        <f>MIN(T150,'Tax Assumptions'!$B$19)</f>
        <v>24500</v>
      </c>
      <c r="V150" s="230">
        <f>MAX(T150-U150-'Tax Assumptions'!$B$8,0)</f>
        <v>15259400</v>
      </c>
      <c r="W150" s="230">
        <f>MAX(T150-U150-'Tax Assumptions'!$B$9,0)</f>
        <v>15267500</v>
      </c>
      <c r="X150" s="230">
        <f>IF(V150=0,0,LOOKUP(V150,'Tax Assumptions'!$F$9:$F$15,'Tax Assumptions'!$I$9:$I$15)+(V150-LOOKUP(V150,'Tax Assumptions'!$F$9:$F$15,'Tax Assumptions'!$F$9:$F$15))*LOOKUP(V150,'Tax Assumptions'!$F$9:$F$15,'Tax Assumptions'!$H$9:$H$15))+MIN(MAX(T150,0),'Tax Assumptions'!$B$11)*'Tax Assumptions'!$B$10+MAX(T150,0)*'Tax Assumptions'!$B$12+MAX(MAX(T150,0)-'Tax Assumptions'!$B$14,0)*'Tax Assumptions'!$B$13+MIN(T150*'Tax Assumptions'!$B$15,'Tax Assumptions'!$B$16)+MIN(T150*'Tax Assumptions'!$B$17,'Tax Assumptions'!$B$18)+IF(W150=0,0,LOOKUP(W150,'Tax Assumptions'!$K$9:$K$17,'Tax Assumptions'!$N$9:$N$17)+(W150-LOOKUP(W150,'Tax Assumptions'!$K$9:$K$17,'Tax Assumptions'!$K$9:$K$17))*LOOKUP(W150,'Tax Assumptions'!$K$9:$K$17,'Tax Assumptions'!$M$9:$M$17))+IF(W150=0,0,LOOKUP(W150,'Tax Assumptions'!$P$9:$P$12,'Tax Assumptions'!$S$9:$S$12)+(W150-LOOKUP(W150,'Tax Assumptions'!$P$9:$P$12,'Tax Assumptions'!$P$9:$P$12))*LOOKUP(W150,'Tax Assumptions'!$P$9:$P$12,'Tax Assumptions'!$R$9:$R$12))</f>
        <v>8070480.54</v>
      </c>
      <c r="Y150" s="230">
        <f t="shared" si="68"/>
        <v>7205019.46</v>
      </c>
      <c r="Z150" s="230">
        <f>IF(J150&lt;=10,INDEX('Savings Projection'!$BL$19:$BL$28,J150),LOOKUP(2,1/('Savings Projection'!$BL$19:$BL$28&lt;&gt;""),'Savings Projection'!$BL$19:$BL$28))*(1+'Model Inputs'!$B$35)^(J150-1)+IF(J150&lt;=10,INDEX('Savings Projection'!$BM$19:$BM$28,J150),LOOKUP(2,1/('Savings Projection'!$BM$19:$BM$28&lt;&gt;""),'Savings Projection'!$BM$19:$BM$28))*(1+'Model Inputs'!$B$36)^(J150-1)</f>
        <v>174709.12931473582</v>
      </c>
      <c r="AA150" s="230">
        <f t="shared" si="69"/>
        <v>7030310.3306852644</v>
      </c>
      <c r="AB150" s="230">
        <f>MIN(MAX(AA150,0),'Tax Assumptions'!$B$20)</f>
        <v>7500</v>
      </c>
      <c r="AC150" s="230">
        <f t="shared" si="70"/>
        <v>7022810.3306852644</v>
      </c>
      <c r="AD150" s="230">
        <f>MAX(AD149*(1+'Model Inputs'!$B$13)+AC150,0)</f>
        <v>46018213.176860727</v>
      </c>
      <c r="AE150" s="230">
        <f>MAX(AE149*(1+'Model Inputs'!$B$13)+U150+AB150,0)</f>
        <v>479092.56444555998</v>
      </c>
      <c r="AF150" s="230">
        <f t="shared" si="71"/>
        <v>46497305.74130629</v>
      </c>
      <c r="AG150" s="226" t="str">
        <f t="shared" si="80"/>
        <v/>
      </c>
      <c r="AH150" s="226" t="str">
        <f t="shared" si="81"/>
        <v/>
      </c>
      <c r="AI150" s="226" t="str">
        <f t="shared" si="82"/>
        <v/>
      </c>
      <c r="AJ150" s="226" t="str">
        <f t="shared" si="83"/>
        <v/>
      </c>
    </row>
    <row r="151" spans="1:36" ht="18" customHeight="1" x14ac:dyDescent="0.2">
      <c r="A151" s="226" t="str">
        <f t="shared" si="72"/>
        <v>3Y -&gt; PM Y7 Tail</v>
      </c>
      <c r="B151" s="226">
        <f t="shared" si="73"/>
        <v>3</v>
      </c>
      <c r="C151" s="235">
        <f t="shared" si="74"/>
        <v>3</v>
      </c>
      <c r="D151" s="226">
        <f t="shared" si="75"/>
        <v>7</v>
      </c>
      <c r="E151" s="226" t="str">
        <f t="shared" si="76"/>
        <v>Tail</v>
      </c>
      <c r="F151" s="230">
        <f t="shared" si="77"/>
        <v>100000000</v>
      </c>
      <c r="G151" s="236">
        <f t="shared" si="78"/>
        <v>0.15</v>
      </c>
      <c r="H151" s="230">
        <f t="shared" si="79"/>
        <v>300000</v>
      </c>
      <c r="I151" s="236">
        <f t="shared" si="62"/>
        <v>0</v>
      </c>
      <c r="J151" s="234">
        <v>12</v>
      </c>
      <c r="K151" s="234">
        <f t="shared" si="63"/>
        <v>2037</v>
      </c>
      <c r="L151" s="230">
        <f>IF(J151=1,'Model Inputs'!$B$25*(13-'Model Inputs'!$B$23)/12,'Model Inputs'!$B$25)</f>
        <v>300000</v>
      </c>
      <c r="M151" s="230">
        <f>IF(J151=1,'Model Inputs'!$B$27*(13-'Model Inputs'!$B$23)/12,IF(J151=2,'Model Inputs'!$B$27,IF(J151&lt;=MAX(3,'Model Inputs'!$B$30+1),'Model Inputs'!$B$27*(1+'Model Inputs'!$B$28)^(J151-3),'Model Inputs'!$B$27*(1+'Model Inputs'!$B$28)^(MAX(3,'Model Inputs'!$B$30+1)-3)*(1+'Model Inputs'!$B$29)^(J151-MAX(3,'Model Inputs'!$B$30+1)))))</f>
        <v>5086854.15450761</v>
      </c>
      <c r="N151" s="236">
        <f>IF(J151&lt;=2,0,'Model Inputs'!$B$32*SIN(2*PI()*(J151-3+'Model Inputs'!$B$34)/MAX(1,'Model Inputs'!$B$33)))</f>
        <v>-8.8174569538609421E-17</v>
      </c>
      <c r="O151" s="230">
        <f t="shared" si="64"/>
        <v>5086854.1545076091</v>
      </c>
      <c r="P151" s="230">
        <f t="shared" si="84"/>
        <v>3559201.5104371794</v>
      </c>
      <c r="Q151" s="230">
        <f>L151+P151+IF(J151=1,'Model Inputs'!$B$26,0)</f>
        <v>3859201.5104371794</v>
      </c>
      <c r="R151" s="230">
        <f t="shared" si="65"/>
        <v>11577604.531311538</v>
      </c>
      <c r="S151" s="230">
        <f t="shared" si="66"/>
        <v>15300000</v>
      </c>
      <c r="T151" s="230">
        <f t="shared" si="67"/>
        <v>15300000</v>
      </c>
      <c r="U151" s="230">
        <f>MIN(T151,'Tax Assumptions'!$B$19)</f>
        <v>24500</v>
      </c>
      <c r="V151" s="230">
        <f>MAX(T151-U151-'Tax Assumptions'!$B$8,0)</f>
        <v>15259400</v>
      </c>
      <c r="W151" s="230">
        <f>MAX(T151-U151-'Tax Assumptions'!$B$9,0)</f>
        <v>15267500</v>
      </c>
      <c r="X151" s="230">
        <f>IF(V151=0,0,LOOKUP(V151,'Tax Assumptions'!$F$9:$F$15,'Tax Assumptions'!$I$9:$I$15)+(V151-LOOKUP(V151,'Tax Assumptions'!$F$9:$F$15,'Tax Assumptions'!$F$9:$F$15))*LOOKUP(V151,'Tax Assumptions'!$F$9:$F$15,'Tax Assumptions'!$H$9:$H$15))+MIN(MAX(T151,0),'Tax Assumptions'!$B$11)*'Tax Assumptions'!$B$10+MAX(T151,0)*'Tax Assumptions'!$B$12+MAX(MAX(T151,0)-'Tax Assumptions'!$B$14,0)*'Tax Assumptions'!$B$13+MIN(T151*'Tax Assumptions'!$B$15,'Tax Assumptions'!$B$16)+MIN(T151*'Tax Assumptions'!$B$17,'Tax Assumptions'!$B$18)+IF(W151=0,0,LOOKUP(W151,'Tax Assumptions'!$K$9:$K$17,'Tax Assumptions'!$N$9:$N$17)+(W151-LOOKUP(W151,'Tax Assumptions'!$K$9:$K$17,'Tax Assumptions'!$K$9:$K$17))*LOOKUP(W151,'Tax Assumptions'!$K$9:$K$17,'Tax Assumptions'!$M$9:$M$17))+IF(W151=0,0,LOOKUP(W151,'Tax Assumptions'!$P$9:$P$12,'Tax Assumptions'!$S$9:$S$12)+(W151-LOOKUP(W151,'Tax Assumptions'!$P$9:$P$12,'Tax Assumptions'!$P$9:$P$12))*LOOKUP(W151,'Tax Assumptions'!$P$9:$P$12,'Tax Assumptions'!$R$9:$R$12))</f>
        <v>8070480.54</v>
      </c>
      <c r="Y151" s="230">
        <f t="shared" si="68"/>
        <v>7205019.46</v>
      </c>
      <c r="Z151" s="230">
        <f>IF(J151&lt;=10,INDEX('Savings Projection'!$BL$19:$BL$28,J151),LOOKUP(2,1/('Savings Projection'!$BL$19:$BL$28&lt;&gt;""),'Savings Projection'!$BL$19:$BL$28))*(1+'Model Inputs'!$B$35)^(J151-1)+IF(J151&lt;=10,INDEX('Savings Projection'!$BM$19:$BM$28,J151),LOOKUP(2,1/('Savings Projection'!$BM$19:$BM$28&lt;&gt;""),'Savings Projection'!$BM$19:$BM$28))*(1+'Model Inputs'!$B$36)^(J151-1)</f>
        <v>179950.4031941779</v>
      </c>
      <c r="AA151" s="230">
        <f t="shared" si="69"/>
        <v>7025069.0568058221</v>
      </c>
      <c r="AB151" s="230">
        <f>MIN(MAX(AA151,0),'Tax Assumptions'!$B$20)</f>
        <v>7500</v>
      </c>
      <c r="AC151" s="230">
        <f t="shared" si="70"/>
        <v>7017569.0568058221</v>
      </c>
      <c r="AD151" s="230">
        <f>MAX(AD150*(1+'Model Inputs'!$B$13)+AC151,0)</f>
        <v>55796875.024278194</v>
      </c>
      <c r="AE151" s="230">
        <f>MAX(AE150*(1+'Model Inputs'!$B$13)+U151+AB151,0)</f>
        <v>539838.11831229366</v>
      </c>
      <c r="AF151" s="230">
        <f t="shared" si="71"/>
        <v>56336713.142590486</v>
      </c>
      <c r="AG151" s="226" t="str">
        <f t="shared" si="80"/>
        <v/>
      </c>
      <c r="AH151" s="226" t="str">
        <f t="shared" si="81"/>
        <v/>
      </c>
      <c r="AI151" s="226" t="str">
        <f t="shared" si="82"/>
        <v/>
      </c>
      <c r="AJ151" s="226" t="str">
        <f t="shared" si="83"/>
        <v/>
      </c>
    </row>
    <row r="152" spans="1:36" ht="18" customHeight="1" x14ac:dyDescent="0.2">
      <c r="A152" s="226" t="str">
        <f t="shared" si="72"/>
        <v>3Y -&gt; PM Y7 Tail</v>
      </c>
      <c r="B152" s="226">
        <f t="shared" si="73"/>
        <v>3</v>
      </c>
      <c r="C152" s="235">
        <f t="shared" si="74"/>
        <v>3</v>
      </c>
      <c r="D152" s="226">
        <f t="shared" si="75"/>
        <v>7</v>
      </c>
      <c r="E152" s="226" t="str">
        <f t="shared" si="76"/>
        <v>Tail</v>
      </c>
      <c r="F152" s="230">
        <f t="shared" si="77"/>
        <v>100000000</v>
      </c>
      <c r="G152" s="236">
        <f t="shared" si="78"/>
        <v>0.15</v>
      </c>
      <c r="H152" s="230">
        <f t="shared" si="79"/>
        <v>300000</v>
      </c>
      <c r="I152" s="236">
        <f t="shared" si="62"/>
        <v>0</v>
      </c>
      <c r="J152" s="234">
        <v>13</v>
      </c>
      <c r="K152" s="234">
        <f t="shared" si="63"/>
        <v>2038</v>
      </c>
      <c r="L152" s="230">
        <f>IF(J152=1,'Model Inputs'!$B$25*(13-'Model Inputs'!$B$23)/12,'Model Inputs'!$B$25)</f>
        <v>300000</v>
      </c>
      <c r="M152" s="230">
        <f>IF(J152=1,'Model Inputs'!$B$27*(13-'Model Inputs'!$B$23)/12,IF(J152=2,'Model Inputs'!$B$27,IF(J152&lt;=MAX(3,'Model Inputs'!$B$30+1),'Model Inputs'!$B$27*(1+'Model Inputs'!$B$28)^(J152-3),'Model Inputs'!$B$27*(1+'Model Inputs'!$B$28)^(MAX(3,'Model Inputs'!$B$30+1)-3)*(1+'Model Inputs'!$B$29)^(J152-MAX(3,'Model Inputs'!$B$30+1)))))</f>
        <v>6464768.1603602255</v>
      </c>
      <c r="N152" s="236">
        <f>IF(J152&lt;=2,0,'Model Inputs'!$B$32*SIN(2*PI()*(J152-3+'Model Inputs'!$B$34)/MAX(1,'Model Inputs'!$B$33)))</f>
        <v>0.10392304845413261</v>
      </c>
      <c r="O152" s="230">
        <f t="shared" si="64"/>
        <v>7136606.5751340752</v>
      </c>
      <c r="P152" s="230">
        <f t="shared" si="84"/>
        <v>4711807.0917368019</v>
      </c>
      <c r="Q152" s="230">
        <f>L152+P152+IF(J152=1,'Model Inputs'!$B$26,0)</f>
        <v>5011807.0917368019</v>
      </c>
      <c r="R152" s="230">
        <f t="shared" si="65"/>
        <v>15035421.275210407</v>
      </c>
      <c r="S152" s="230">
        <f t="shared" si="66"/>
        <v>15300000</v>
      </c>
      <c r="T152" s="230">
        <f t="shared" si="67"/>
        <v>15300000</v>
      </c>
      <c r="U152" s="230">
        <f>MIN(T152,'Tax Assumptions'!$B$19)</f>
        <v>24500</v>
      </c>
      <c r="V152" s="230">
        <f>MAX(T152-U152-'Tax Assumptions'!$B$8,0)</f>
        <v>15259400</v>
      </c>
      <c r="W152" s="230">
        <f>MAX(T152-U152-'Tax Assumptions'!$B$9,0)</f>
        <v>15267500</v>
      </c>
      <c r="X152" s="230">
        <f>IF(V152=0,0,LOOKUP(V152,'Tax Assumptions'!$F$9:$F$15,'Tax Assumptions'!$I$9:$I$15)+(V152-LOOKUP(V152,'Tax Assumptions'!$F$9:$F$15,'Tax Assumptions'!$F$9:$F$15))*LOOKUP(V152,'Tax Assumptions'!$F$9:$F$15,'Tax Assumptions'!$H$9:$H$15))+MIN(MAX(T152,0),'Tax Assumptions'!$B$11)*'Tax Assumptions'!$B$10+MAX(T152,0)*'Tax Assumptions'!$B$12+MAX(MAX(T152,0)-'Tax Assumptions'!$B$14,0)*'Tax Assumptions'!$B$13+MIN(T152*'Tax Assumptions'!$B$15,'Tax Assumptions'!$B$16)+MIN(T152*'Tax Assumptions'!$B$17,'Tax Assumptions'!$B$18)+IF(W152=0,0,LOOKUP(W152,'Tax Assumptions'!$K$9:$K$17,'Tax Assumptions'!$N$9:$N$17)+(W152-LOOKUP(W152,'Tax Assumptions'!$K$9:$K$17,'Tax Assumptions'!$K$9:$K$17))*LOOKUP(W152,'Tax Assumptions'!$K$9:$K$17,'Tax Assumptions'!$M$9:$M$17))+IF(W152=0,0,LOOKUP(W152,'Tax Assumptions'!$P$9:$P$12,'Tax Assumptions'!$S$9:$S$12)+(W152-LOOKUP(W152,'Tax Assumptions'!$P$9:$P$12,'Tax Assumptions'!$P$9:$P$12))*LOOKUP(W152,'Tax Assumptions'!$P$9:$P$12,'Tax Assumptions'!$R$9:$R$12))</f>
        <v>8070480.54</v>
      </c>
      <c r="Y152" s="230">
        <f t="shared" si="68"/>
        <v>7205019.46</v>
      </c>
      <c r="Z152" s="230">
        <f>IF(J152&lt;=10,INDEX('Savings Projection'!$BL$19:$BL$28,J152),LOOKUP(2,1/('Savings Projection'!$BL$19:$BL$28&lt;&gt;""),'Savings Projection'!$BL$19:$BL$28))*(1+'Model Inputs'!$B$35)^(J152-1)+IF(J152&lt;=10,INDEX('Savings Projection'!$BM$19:$BM$28,J152),LOOKUP(2,1/('Savings Projection'!$BM$19:$BM$28&lt;&gt;""),'Savings Projection'!$BM$19:$BM$28))*(1+'Model Inputs'!$B$36)^(J152-1)</f>
        <v>185348.91529000323</v>
      </c>
      <c r="AA152" s="230">
        <f t="shared" si="69"/>
        <v>7019670.5447099963</v>
      </c>
      <c r="AB152" s="230">
        <f>MIN(MAX(AA152,0),'Tax Assumptions'!$B$20)</f>
        <v>7500</v>
      </c>
      <c r="AC152" s="230">
        <f t="shared" si="70"/>
        <v>7012170.5447099963</v>
      </c>
      <c r="AD152" s="230">
        <f>MAX(AD151*(1+'Model Inputs'!$B$13)+AC152,0)</f>
        <v>66156858.070444882</v>
      </c>
      <c r="AE152" s="230">
        <f>MAX(AE151*(1+'Model Inputs'!$B$13)+U152+AB152,0)</f>
        <v>604228.40541103133</v>
      </c>
      <c r="AF152" s="230">
        <f t="shared" si="71"/>
        <v>66761086.475855917</v>
      </c>
      <c r="AG152" s="226" t="str">
        <f t="shared" si="80"/>
        <v/>
      </c>
      <c r="AH152" s="226" t="str">
        <f t="shared" si="81"/>
        <v/>
      </c>
      <c r="AI152" s="226" t="str">
        <f t="shared" si="82"/>
        <v/>
      </c>
      <c r="AJ152" s="226" t="str">
        <f t="shared" si="83"/>
        <v/>
      </c>
    </row>
    <row r="153" spans="1:36" ht="18" customHeight="1" x14ac:dyDescent="0.2">
      <c r="A153" s="226" t="str">
        <f t="shared" si="72"/>
        <v>3Y -&gt; PM Y7 Tail</v>
      </c>
      <c r="B153" s="226">
        <f t="shared" si="73"/>
        <v>3</v>
      </c>
      <c r="C153" s="235">
        <f t="shared" si="74"/>
        <v>3</v>
      </c>
      <c r="D153" s="226">
        <f t="shared" si="75"/>
        <v>7</v>
      </c>
      <c r="E153" s="226" t="str">
        <f t="shared" si="76"/>
        <v>Tail</v>
      </c>
      <c r="F153" s="230">
        <f t="shared" si="77"/>
        <v>100000000</v>
      </c>
      <c r="G153" s="236">
        <f t="shared" si="78"/>
        <v>0.15</v>
      </c>
      <c r="H153" s="230">
        <f t="shared" si="79"/>
        <v>300000</v>
      </c>
      <c r="I153" s="236">
        <f t="shared" si="62"/>
        <v>0</v>
      </c>
      <c r="J153" s="234">
        <v>14</v>
      </c>
      <c r="K153" s="234">
        <f t="shared" si="63"/>
        <v>2039</v>
      </c>
      <c r="L153" s="230">
        <f>IF(J153=1,'Model Inputs'!$B$25*(13-'Model Inputs'!$B$23)/12,'Model Inputs'!$B$25)</f>
        <v>300000</v>
      </c>
      <c r="M153" s="230">
        <f>IF(J153=1,'Model Inputs'!$B$27*(13-'Model Inputs'!$B$23)/12,IF(J153=2,'Model Inputs'!$B$27,IF(J153&lt;=MAX(3,'Model Inputs'!$B$30+1),'Model Inputs'!$B$27*(1+'Model Inputs'!$B$28)^(J153-3),'Model Inputs'!$B$27*(1+'Model Inputs'!$B$28)^(MAX(3,'Model Inputs'!$B$30+1)-3)*(1+'Model Inputs'!$B$29)^(J153-MAX(3,'Model Inputs'!$B$30+1)))))</f>
        <v>8215927.9778393377</v>
      </c>
      <c r="N153" s="236">
        <f>IF(J153&lt;=2,0,'Model Inputs'!$B$32*SIN(2*PI()*(J153-3+'Model Inputs'!$B$34)/MAX(1,'Model Inputs'!$B$33)))</f>
        <v>-0.10392304845413251</v>
      </c>
      <c r="O153" s="230">
        <f t="shared" si="64"/>
        <v>7362103.6965026772</v>
      </c>
      <c r="P153" s="230">
        <f t="shared" si="84"/>
        <v>6624168.4699774589</v>
      </c>
      <c r="Q153" s="230">
        <f>L153+P153+IF(J153=1,'Model Inputs'!$B$26,0)</f>
        <v>6924168.4699774589</v>
      </c>
      <c r="R153" s="230">
        <f t="shared" si="65"/>
        <v>20772505.409932375</v>
      </c>
      <c r="S153" s="230">
        <f t="shared" si="66"/>
        <v>15300000</v>
      </c>
      <c r="T153" s="230">
        <f t="shared" si="67"/>
        <v>15300000</v>
      </c>
      <c r="U153" s="230">
        <f>MIN(T153,'Tax Assumptions'!$B$19)</f>
        <v>24500</v>
      </c>
      <c r="V153" s="230">
        <f>MAX(T153-U153-'Tax Assumptions'!$B$8,0)</f>
        <v>15259400</v>
      </c>
      <c r="W153" s="230">
        <f>MAX(T153-U153-'Tax Assumptions'!$B$9,0)</f>
        <v>15267500</v>
      </c>
      <c r="X153" s="230">
        <f>IF(V153=0,0,LOOKUP(V153,'Tax Assumptions'!$F$9:$F$15,'Tax Assumptions'!$I$9:$I$15)+(V153-LOOKUP(V153,'Tax Assumptions'!$F$9:$F$15,'Tax Assumptions'!$F$9:$F$15))*LOOKUP(V153,'Tax Assumptions'!$F$9:$F$15,'Tax Assumptions'!$H$9:$H$15))+MIN(MAX(T153,0),'Tax Assumptions'!$B$11)*'Tax Assumptions'!$B$10+MAX(T153,0)*'Tax Assumptions'!$B$12+MAX(MAX(T153,0)-'Tax Assumptions'!$B$14,0)*'Tax Assumptions'!$B$13+MIN(T153*'Tax Assumptions'!$B$15,'Tax Assumptions'!$B$16)+MIN(T153*'Tax Assumptions'!$B$17,'Tax Assumptions'!$B$18)+IF(W153=0,0,LOOKUP(W153,'Tax Assumptions'!$K$9:$K$17,'Tax Assumptions'!$N$9:$N$17)+(W153-LOOKUP(W153,'Tax Assumptions'!$K$9:$K$17,'Tax Assumptions'!$K$9:$K$17))*LOOKUP(W153,'Tax Assumptions'!$K$9:$K$17,'Tax Assumptions'!$M$9:$M$17))+IF(W153=0,0,LOOKUP(W153,'Tax Assumptions'!$P$9:$P$12,'Tax Assumptions'!$S$9:$S$12)+(W153-LOOKUP(W153,'Tax Assumptions'!$P$9:$P$12,'Tax Assumptions'!$P$9:$P$12))*LOOKUP(W153,'Tax Assumptions'!$P$9:$P$12,'Tax Assumptions'!$R$9:$R$12))</f>
        <v>8070480.54</v>
      </c>
      <c r="Y153" s="230">
        <f t="shared" si="68"/>
        <v>7205019.46</v>
      </c>
      <c r="Z153" s="230">
        <f>IF(J153&lt;=10,INDEX('Savings Projection'!$BL$19:$BL$28,J153),LOOKUP(2,1/('Savings Projection'!$BL$19:$BL$28&lt;&gt;""),'Savings Projection'!$BL$19:$BL$28))*(1+'Model Inputs'!$B$35)^(J153-1)+IF(J153&lt;=10,INDEX('Savings Projection'!$BM$19:$BM$28,J153),LOOKUP(2,1/('Savings Projection'!$BM$19:$BM$28&lt;&gt;""),'Savings Projection'!$BM$19:$BM$28))*(1+'Model Inputs'!$B$36)^(J153-1)</f>
        <v>190909.3827487033</v>
      </c>
      <c r="AA153" s="230">
        <f t="shared" si="69"/>
        <v>7014110.0772512965</v>
      </c>
      <c r="AB153" s="230">
        <f>MIN(MAX(AA153,0),'Tax Assumptions'!$B$20)</f>
        <v>7500</v>
      </c>
      <c r="AC153" s="230">
        <f t="shared" si="70"/>
        <v>7006610.0772512965</v>
      </c>
      <c r="AD153" s="230">
        <f>MAX(AD152*(1+'Model Inputs'!$B$13)+AC153,0)</f>
        <v>77132879.631922886</v>
      </c>
      <c r="AE153" s="230">
        <f>MAX(AE152*(1+'Model Inputs'!$B$13)+U153+AB153,0)</f>
        <v>672482.1097356932</v>
      </c>
      <c r="AF153" s="230">
        <f t="shared" si="71"/>
        <v>77805361.741658583</v>
      </c>
      <c r="AG153" s="226" t="str">
        <f t="shared" si="80"/>
        <v/>
      </c>
      <c r="AH153" s="226" t="str">
        <f t="shared" si="81"/>
        <v/>
      </c>
      <c r="AI153" s="226" t="str">
        <f t="shared" si="82"/>
        <v/>
      </c>
      <c r="AJ153" s="226" t="str">
        <f t="shared" si="83"/>
        <v/>
      </c>
    </row>
    <row r="154" spans="1:36" ht="18" customHeight="1" x14ac:dyDescent="0.2">
      <c r="A154" s="226" t="str">
        <f t="shared" si="72"/>
        <v>3Y -&gt; PM Y7 Tail</v>
      </c>
      <c r="B154" s="226">
        <f t="shared" si="73"/>
        <v>3</v>
      </c>
      <c r="C154" s="235">
        <f t="shared" si="74"/>
        <v>3</v>
      </c>
      <c r="D154" s="226">
        <f t="shared" si="75"/>
        <v>7</v>
      </c>
      <c r="E154" s="226" t="str">
        <f t="shared" si="76"/>
        <v>Tail</v>
      </c>
      <c r="F154" s="230">
        <f t="shared" si="77"/>
        <v>100000000</v>
      </c>
      <c r="G154" s="236">
        <f t="shared" si="78"/>
        <v>0.15</v>
      </c>
      <c r="H154" s="230">
        <f t="shared" si="79"/>
        <v>300000</v>
      </c>
      <c r="I154" s="236">
        <f t="shared" si="62"/>
        <v>0</v>
      </c>
      <c r="J154" s="234">
        <v>15</v>
      </c>
      <c r="K154" s="234">
        <f t="shared" si="63"/>
        <v>2040</v>
      </c>
      <c r="L154" s="230">
        <f>IF(J154=1,'Model Inputs'!$B$25*(13-'Model Inputs'!$B$23)/12,'Model Inputs'!$B$25)</f>
        <v>300000</v>
      </c>
      <c r="M154" s="230">
        <f>IF(J154=1,'Model Inputs'!$B$27*(13-'Model Inputs'!$B$23)/12,IF(J154=2,'Model Inputs'!$B$27,IF(J154&lt;=MAX(3,'Model Inputs'!$B$30+1),'Model Inputs'!$B$27*(1+'Model Inputs'!$B$28)^(J154-3),'Model Inputs'!$B$27*(1+'Model Inputs'!$B$28)^(MAX(3,'Model Inputs'!$B$30+1)-3)*(1+'Model Inputs'!$B$29)^(J154-MAX(3,'Model Inputs'!$B$30+1)))))</f>
        <v>10441437.475041937</v>
      </c>
      <c r="N154" s="236">
        <f>IF(J154&lt;=2,0,'Model Inputs'!$B$32*SIN(2*PI()*(J154-3+'Model Inputs'!$B$34)/MAX(1,'Model Inputs'!$B$33)))</f>
        <v>-1.1756609271814589E-16</v>
      </c>
      <c r="O154" s="230">
        <f t="shared" si="64"/>
        <v>10441437.475041935</v>
      </c>
      <c r="P154" s="230">
        <f t="shared" si="84"/>
        <v>7305729.4161605267</v>
      </c>
      <c r="Q154" s="230">
        <f>L154+P154+IF(J154=1,'Model Inputs'!$B$26,0)</f>
        <v>7605729.4161605267</v>
      </c>
      <c r="R154" s="230">
        <f t="shared" si="65"/>
        <v>22817188.248481579</v>
      </c>
      <c r="S154" s="230">
        <f t="shared" si="66"/>
        <v>15300000</v>
      </c>
      <c r="T154" s="230">
        <f t="shared" si="67"/>
        <v>15300000</v>
      </c>
      <c r="U154" s="230">
        <f>MIN(T154,'Tax Assumptions'!$B$19)</f>
        <v>24500</v>
      </c>
      <c r="V154" s="230">
        <f>MAX(T154-U154-'Tax Assumptions'!$B$8,0)</f>
        <v>15259400</v>
      </c>
      <c r="W154" s="230">
        <f>MAX(T154-U154-'Tax Assumptions'!$B$9,0)</f>
        <v>15267500</v>
      </c>
      <c r="X154" s="230">
        <f>IF(V154=0,0,LOOKUP(V154,'Tax Assumptions'!$F$9:$F$15,'Tax Assumptions'!$I$9:$I$15)+(V154-LOOKUP(V154,'Tax Assumptions'!$F$9:$F$15,'Tax Assumptions'!$F$9:$F$15))*LOOKUP(V154,'Tax Assumptions'!$F$9:$F$15,'Tax Assumptions'!$H$9:$H$15))+MIN(MAX(T154,0),'Tax Assumptions'!$B$11)*'Tax Assumptions'!$B$10+MAX(T154,0)*'Tax Assumptions'!$B$12+MAX(MAX(T154,0)-'Tax Assumptions'!$B$14,0)*'Tax Assumptions'!$B$13+MIN(T154*'Tax Assumptions'!$B$15,'Tax Assumptions'!$B$16)+MIN(T154*'Tax Assumptions'!$B$17,'Tax Assumptions'!$B$18)+IF(W154=0,0,LOOKUP(W154,'Tax Assumptions'!$K$9:$K$17,'Tax Assumptions'!$N$9:$N$17)+(W154-LOOKUP(W154,'Tax Assumptions'!$K$9:$K$17,'Tax Assumptions'!$K$9:$K$17))*LOOKUP(W154,'Tax Assumptions'!$K$9:$K$17,'Tax Assumptions'!$M$9:$M$17))+IF(W154=0,0,LOOKUP(W154,'Tax Assumptions'!$P$9:$P$12,'Tax Assumptions'!$S$9:$S$12)+(W154-LOOKUP(W154,'Tax Assumptions'!$P$9:$P$12,'Tax Assumptions'!$P$9:$P$12))*LOOKUP(W154,'Tax Assumptions'!$P$9:$P$12,'Tax Assumptions'!$R$9:$R$12))</f>
        <v>8070480.54</v>
      </c>
      <c r="Y154" s="230">
        <f t="shared" si="68"/>
        <v>7205019.46</v>
      </c>
      <c r="Z154" s="230">
        <f>IF(J154&lt;=10,INDEX('Savings Projection'!$BL$19:$BL$28,J154),LOOKUP(2,1/('Savings Projection'!$BL$19:$BL$28&lt;&gt;""),'Savings Projection'!$BL$19:$BL$28))*(1+'Model Inputs'!$B$35)^(J154-1)+IF(J154&lt;=10,INDEX('Savings Projection'!$BM$19:$BM$28,J154),LOOKUP(2,1/('Savings Projection'!$BM$19:$BM$28&lt;&gt;""),'Savings Projection'!$BM$19:$BM$28))*(1+'Model Inputs'!$B$36)^(J154-1)</f>
        <v>196636.66423116444</v>
      </c>
      <c r="AA154" s="230">
        <f t="shared" si="69"/>
        <v>7008382.7957688356</v>
      </c>
      <c r="AB154" s="230">
        <f>MIN(MAX(AA154,0),'Tax Assumptions'!$B$20)</f>
        <v>7500</v>
      </c>
      <c r="AC154" s="230">
        <f t="shared" si="70"/>
        <v>7000882.7957688356</v>
      </c>
      <c r="AD154" s="230">
        <f>MAX(AD153*(1+'Model Inputs'!$B$13)+AC154,0)</f>
        <v>88761735.205607101</v>
      </c>
      <c r="AE154" s="230">
        <f>MAX(AE153*(1+'Model Inputs'!$B$13)+U154+AB154,0)</f>
        <v>744831.03631983488</v>
      </c>
      <c r="AF154" s="230">
        <f t="shared" si="71"/>
        <v>89506566.241926938</v>
      </c>
      <c r="AG154" s="226" t="str">
        <f t="shared" si="80"/>
        <v/>
      </c>
      <c r="AH154" s="226" t="str">
        <f t="shared" si="81"/>
        <v/>
      </c>
      <c r="AI154" s="226" t="str">
        <f t="shared" si="82"/>
        <v/>
      </c>
      <c r="AJ154" s="226" t="str">
        <f t="shared" si="83"/>
        <v/>
      </c>
    </row>
    <row r="155" spans="1:36" ht="18" customHeight="1" x14ac:dyDescent="0.2">
      <c r="A155" s="226" t="str">
        <f t="shared" si="72"/>
        <v>3Y -&gt; PM Y7 Tail</v>
      </c>
      <c r="B155" s="226">
        <f t="shared" si="73"/>
        <v>3</v>
      </c>
      <c r="C155" s="235">
        <f t="shared" si="74"/>
        <v>3</v>
      </c>
      <c r="D155" s="226">
        <f t="shared" si="75"/>
        <v>7</v>
      </c>
      <c r="E155" s="226" t="str">
        <f t="shared" si="76"/>
        <v>Tail</v>
      </c>
      <c r="F155" s="230">
        <f t="shared" si="77"/>
        <v>100000000</v>
      </c>
      <c r="G155" s="236">
        <f t="shared" si="78"/>
        <v>0.15</v>
      </c>
      <c r="H155" s="230">
        <f t="shared" si="79"/>
        <v>300000</v>
      </c>
      <c r="I155" s="236">
        <f t="shared" si="62"/>
        <v>0</v>
      </c>
      <c r="J155" s="234">
        <v>16</v>
      </c>
      <c r="K155" s="234">
        <f t="shared" si="63"/>
        <v>2041</v>
      </c>
      <c r="L155" s="230">
        <f>IF(J155=1,'Model Inputs'!$B$25*(13-'Model Inputs'!$B$23)/12,'Model Inputs'!$B$25)</f>
        <v>300000</v>
      </c>
      <c r="M155" s="230">
        <f>IF(J155=1,'Model Inputs'!$B$27*(13-'Model Inputs'!$B$23)/12,IF(J155=2,'Model Inputs'!$B$27,IF(J155&lt;=MAX(3,'Model Inputs'!$B$30+1),'Model Inputs'!$B$27*(1+'Model Inputs'!$B$28)^(J155-3),'Model Inputs'!$B$27*(1+'Model Inputs'!$B$28)^(MAX(3,'Model Inputs'!$B$30+1)-3)*(1+'Model Inputs'!$B$29)^(J155-MAX(3,'Model Inputs'!$B$30+1)))))</f>
        <v>13269787.276528884</v>
      </c>
      <c r="N155" s="236">
        <f>IF(J155&lt;=2,0,'Model Inputs'!$B$32*SIN(2*PI()*(J155-3+'Model Inputs'!$B$34)/MAX(1,'Model Inputs'!$B$33)))</f>
        <v>0.10392304845413262</v>
      </c>
      <c r="O155" s="230">
        <f t="shared" si="64"/>
        <v>14648824.022643628</v>
      </c>
      <c r="P155" s="230">
        <f t="shared" si="84"/>
        <v>9671604.0304071214</v>
      </c>
      <c r="Q155" s="230">
        <f>L155+P155+IF(J155=1,'Model Inputs'!$B$26,0)</f>
        <v>9971604.0304071214</v>
      </c>
      <c r="R155" s="230">
        <f t="shared" si="65"/>
        <v>29914812.091221362</v>
      </c>
      <c r="S155" s="230">
        <f t="shared" si="66"/>
        <v>15300000</v>
      </c>
      <c r="T155" s="230">
        <f t="shared" si="67"/>
        <v>15300000</v>
      </c>
      <c r="U155" s="230">
        <f>MIN(T155,'Tax Assumptions'!$B$19)</f>
        <v>24500</v>
      </c>
      <c r="V155" s="230">
        <f>MAX(T155-U155-'Tax Assumptions'!$B$8,0)</f>
        <v>15259400</v>
      </c>
      <c r="W155" s="230">
        <f>MAX(T155-U155-'Tax Assumptions'!$B$9,0)</f>
        <v>15267500</v>
      </c>
      <c r="X155" s="230">
        <f>IF(V155=0,0,LOOKUP(V155,'Tax Assumptions'!$F$9:$F$15,'Tax Assumptions'!$I$9:$I$15)+(V155-LOOKUP(V155,'Tax Assumptions'!$F$9:$F$15,'Tax Assumptions'!$F$9:$F$15))*LOOKUP(V155,'Tax Assumptions'!$F$9:$F$15,'Tax Assumptions'!$H$9:$H$15))+MIN(MAX(T155,0),'Tax Assumptions'!$B$11)*'Tax Assumptions'!$B$10+MAX(T155,0)*'Tax Assumptions'!$B$12+MAX(MAX(T155,0)-'Tax Assumptions'!$B$14,0)*'Tax Assumptions'!$B$13+MIN(T155*'Tax Assumptions'!$B$15,'Tax Assumptions'!$B$16)+MIN(T155*'Tax Assumptions'!$B$17,'Tax Assumptions'!$B$18)+IF(W155=0,0,LOOKUP(W155,'Tax Assumptions'!$K$9:$K$17,'Tax Assumptions'!$N$9:$N$17)+(W155-LOOKUP(W155,'Tax Assumptions'!$K$9:$K$17,'Tax Assumptions'!$K$9:$K$17))*LOOKUP(W155,'Tax Assumptions'!$K$9:$K$17,'Tax Assumptions'!$M$9:$M$17))+IF(W155=0,0,LOOKUP(W155,'Tax Assumptions'!$P$9:$P$12,'Tax Assumptions'!$S$9:$S$12)+(W155-LOOKUP(W155,'Tax Assumptions'!$P$9:$P$12,'Tax Assumptions'!$P$9:$P$12))*LOOKUP(W155,'Tax Assumptions'!$P$9:$P$12,'Tax Assumptions'!$R$9:$R$12))</f>
        <v>8070480.54</v>
      </c>
      <c r="Y155" s="230">
        <f t="shared" si="68"/>
        <v>7205019.46</v>
      </c>
      <c r="Z155" s="230">
        <f>IF(J155&lt;=10,INDEX('Savings Projection'!$BL$19:$BL$28,J155),LOOKUP(2,1/('Savings Projection'!$BL$19:$BL$28&lt;&gt;""),'Savings Projection'!$BL$19:$BL$28))*(1+'Model Inputs'!$B$35)^(J155-1)+IF(J155&lt;=10,INDEX('Savings Projection'!$BM$19:$BM$28,J155),LOOKUP(2,1/('Savings Projection'!$BM$19:$BM$28&lt;&gt;""),'Savings Projection'!$BM$19:$BM$28))*(1+'Model Inputs'!$B$36)^(J155-1)</f>
        <v>202535.76415809937</v>
      </c>
      <c r="AA155" s="230">
        <f t="shared" si="69"/>
        <v>7002483.695841901</v>
      </c>
      <c r="AB155" s="230">
        <f>MIN(MAX(AA155,0),'Tax Assumptions'!$B$20)</f>
        <v>7500</v>
      </c>
      <c r="AC155" s="230">
        <f t="shared" si="70"/>
        <v>6994983.695841901</v>
      </c>
      <c r="AD155" s="230">
        <f>MAX(AD154*(1+'Model Inputs'!$B$13)+AC155,0)</f>
        <v>101082423.01378542</v>
      </c>
      <c r="AE155" s="230">
        <f>MAX(AE154*(1+'Model Inputs'!$B$13)+U155+AB155,0)</f>
        <v>821520.89849902503</v>
      </c>
      <c r="AF155" s="230">
        <f t="shared" si="71"/>
        <v>101903943.91228445</v>
      </c>
      <c r="AG155" s="226" t="str">
        <f t="shared" si="80"/>
        <v/>
      </c>
      <c r="AH155" s="226" t="str">
        <f t="shared" si="81"/>
        <v/>
      </c>
      <c r="AI155" s="226" t="str">
        <f t="shared" si="82"/>
        <v/>
      </c>
      <c r="AJ155" s="226" t="str">
        <f t="shared" si="83"/>
        <v/>
      </c>
    </row>
    <row r="156" spans="1:36" ht="18" customHeight="1" x14ac:dyDescent="0.2">
      <c r="A156" s="226" t="str">
        <f t="shared" si="72"/>
        <v>3Y -&gt; PM Y7 Tail</v>
      </c>
      <c r="B156" s="226">
        <f t="shared" si="73"/>
        <v>3</v>
      </c>
      <c r="C156" s="235">
        <f t="shared" si="74"/>
        <v>3</v>
      </c>
      <c r="D156" s="226">
        <f t="shared" si="75"/>
        <v>7</v>
      </c>
      <c r="E156" s="226" t="str">
        <f t="shared" si="76"/>
        <v>Tail</v>
      </c>
      <c r="F156" s="230">
        <f t="shared" si="77"/>
        <v>100000000</v>
      </c>
      <c r="G156" s="236">
        <f t="shared" si="78"/>
        <v>0.15</v>
      </c>
      <c r="H156" s="230">
        <f t="shared" si="79"/>
        <v>300000</v>
      </c>
      <c r="I156" s="236">
        <f t="shared" si="62"/>
        <v>0</v>
      </c>
      <c r="J156" s="234">
        <v>17</v>
      </c>
      <c r="K156" s="234">
        <f t="shared" si="63"/>
        <v>2042</v>
      </c>
      <c r="L156" s="230">
        <f>IF(J156=1,'Model Inputs'!$B$25*(13-'Model Inputs'!$B$23)/12,'Model Inputs'!$B$25)</f>
        <v>300000</v>
      </c>
      <c r="M156" s="230">
        <f>IF(J156=1,'Model Inputs'!$B$27*(13-'Model Inputs'!$B$23)/12,IF(J156=2,'Model Inputs'!$B$27,IF(J156&lt;=MAX(3,'Model Inputs'!$B$30+1),'Model Inputs'!$B$27*(1+'Model Inputs'!$B$28)^(J156-3),'Model Inputs'!$B$27*(1+'Model Inputs'!$B$28)^(MAX(3,'Model Inputs'!$B$30+1)-3)*(1+'Model Inputs'!$B$29)^(J156-MAX(3,'Model Inputs'!$B$30+1)))))</f>
        <v>16864273.217670217</v>
      </c>
      <c r="N156" s="236">
        <f>IF(J156&lt;=2,0,'Model Inputs'!$B$32*SIN(2*PI()*(J156-3+'Model Inputs'!$B$34)/MAX(1,'Model Inputs'!$B$33)))</f>
        <v>-0.1039230484541325</v>
      </c>
      <c r="O156" s="230">
        <f t="shared" si="64"/>
        <v>15111686.534926547</v>
      </c>
      <c r="P156" s="230">
        <f t="shared" si="84"/>
        <v>13596977.385743205</v>
      </c>
      <c r="Q156" s="230">
        <f>L156+P156+IF(J156=1,'Model Inputs'!$B$26,0)</f>
        <v>13896977.385743205</v>
      </c>
      <c r="R156" s="230">
        <f t="shared" si="65"/>
        <v>41690932.157229617</v>
      </c>
      <c r="S156" s="230">
        <f t="shared" si="66"/>
        <v>15300000</v>
      </c>
      <c r="T156" s="230">
        <f t="shared" si="67"/>
        <v>15300000</v>
      </c>
      <c r="U156" s="230">
        <f>MIN(T156,'Tax Assumptions'!$B$19)</f>
        <v>24500</v>
      </c>
      <c r="V156" s="230">
        <f>MAX(T156-U156-'Tax Assumptions'!$B$8,0)</f>
        <v>15259400</v>
      </c>
      <c r="W156" s="230">
        <f>MAX(T156-U156-'Tax Assumptions'!$B$9,0)</f>
        <v>15267500</v>
      </c>
      <c r="X156" s="230">
        <f>IF(V156=0,0,LOOKUP(V156,'Tax Assumptions'!$F$9:$F$15,'Tax Assumptions'!$I$9:$I$15)+(V156-LOOKUP(V156,'Tax Assumptions'!$F$9:$F$15,'Tax Assumptions'!$F$9:$F$15))*LOOKUP(V156,'Tax Assumptions'!$F$9:$F$15,'Tax Assumptions'!$H$9:$H$15))+MIN(MAX(T156,0),'Tax Assumptions'!$B$11)*'Tax Assumptions'!$B$10+MAX(T156,0)*'Tax Assumptions'!$B$12+MAX(MAX(T156,0)-'Tax Assumptions'!$B$14,0)*'Tax Assumptions'!$B$13+MIN(T156*'Tax Assumptions'!$B$15,'Tax Assumptions'!$B$16)+MIN(T156*'Tax Assumptions'!$B$17,'Tax Assumptions'!$B$18)+IF(W156=0,0,LOOKUP(W156,'Tax Assumptions'!$K$9:$K$17,'Tax Assumptions'!$N$9:$N$17)+(W156-LOOKUP(W156,'Tax Assumptions'!$K$9:$K$17,'Tax Assumptions'!$K$9:$K$17))*LOOKUP(W156,'Tax Assumptions'!$K$9:$K$17,'Tax Assumptions'!$M$9:$M$17))+IF(W156=0,0,LOOKUP(W156,'Tax Assumptions'!$P$9:$P$12,'Tax Assumptions'!$S$9:$S$12)+(W156-LOOKUP(W156,'Tax Assumptions'!$P$9:$P$12,'Tax Assumptions'!$P$9:$P$12))*LOOKUP(W156,'Tax Assumptions'!$P$9:$P$12,'Tax Assumptions'!$R$9:$R$12))</f>
        <v>8070480.54</v>
      </c>
      <c r="Y156" s="230">
        <f t="shared" si="68"/>
        <v>7205019.46</v>
      </c>
      <c r="Z156" s="230">
        <f>IF(J156&lt;=10,INDEX('Savings Projection'!$BL$19:$BL$28,J156),LOOKUP(2,1/('Savings Projection'!$BL$19:$BL$28&lt;&gt;""),'Savings Projection'!$BL$19:$BL$28))*(1+'Model Inputs'!$B$35)^(J156-1)+IF(J156&lt;=10,INDEX('Savings Projection'!$BM$19:$BM$28,J156),LOOKUP(2,1/('Savings Projection'!$BM$19:$BM$28&lt;&gt;""),'Savings Projection'!$BM$19:$BM$28))*(1+'Model Inputs'!$B$36)^(J156-1)</f>
        <v>208611.83708284231</v>
      </c>
      <c r="AA156" s="230">
        <f t="shared" si="69"/>
        <v>6996407.6229171576</v>
      </c>
      <c r="AB156" s="230">
        <f>MIN(MAX(AA156,0),'Tax Assumptions'!$B$20)</f>
        <v>7500</v>
      </c>
      <c r="AC156" s="230">
        <f t="shared" si="70"/>
        <v>6988907.6229171576</v>
      </c>
      <c r="AD156" s="230">
        <f>MAX(AD155*(1+'Model Inputs'!$B$13)+AC156,0)</f>
        <v>114136276.01752971</v>
      </c>
      <c r="AE156" s="230">
        <f>MAX(AE155*(1+'Model Inputs'!$B$13)+U156+AB156,0)</f>
        <v>902812.15240896656</v>
      </c>
      <c r="AF156" s="230">
        <f t="shared" si="71"/>
        <v>115039088.16993868</v>
      </c>
      <c r="AG156" s="226" t="str">
        <f t="shared" si="80"/>
        <v/>
      </c>
      <c r="AH156" s="226" t="str">
        <f t="shared" si="81"/>
        <v/>
      </c>
      <c r="AI156" s="226" t="str">
        <f t="shared" si="82"/>
        <v/>
      </c>
      <c r="AJ156" s="226" t="str">
        <f t="shared" si="83"/>
        <v/>
      </c>
    </row>
    <row r="157" spans="1:36" ht="18" customHeight="1" x14ac:dyDescent="0.2">
      <c r="A157" s="226" t="str">
        <f t="shared" si="72"/>
        <v>3Y -&gt; PM Y7 Tail</v>
      </c>
      <c r="B157" s="226">
        <f t="shared" si="73"/>
        <v>3</v>
      </c>
      <c r="C157" s="235">
        <f t="shared" si="74"/>
        <v>3</v>
      </c>
      <c r="D157" s="226">
        <f t="shared" si="75"/>
        <v>7</v>
      </c>
      <c r="E157" s="226" t="str">
        <f t="shared" si="76"/>
        <v>Tail</v>
      </c>
      <c r="F157" s="230">
        <f t="shared" si="77"/>
        <v>100000000</v>
      </c>
      <c r="G157" s="236">
        <f t="shared" si="78"/>
        <v>0.15</v>
      </c>
      <c r="H157" s="230">
        <f t="shared" si="79"/>
        <v>300000</v>
      </c>
      <c r="I157" s="236">
        <f t="shared" si="62"/>
        <v>0</v>
      </c>
      <c r="J157" s="234">
        <v>18</v>
      </c>
      <c r="K157" s="234">
        <f t="shared" si="63"/>
        <v>2043</v>
      </c>
      <c r="L157" s="230">
        <f>IF(J157=1,'Model Inputs'!$B$25*(13-'Model Inputs'!$B$23)/12,'Model Inputs'!$B$25)</f>
        <v>300000</v>
      </c>
      <c r="M157" s="230">
        <f>IF(J157=1,'Model Inputs'!$B$27*(13-'Model Inputs'!$B$23)/12,IF(J157=2,'Model Inputs'!$B$27,IF(J157&lt;=MAX(3,'Model Inputs'!$B$30+1),'Model Inputs'!$B$27*(1+'Model Inputs'!$B$28)^(J157-3),'Model Inputs'!$B$27*(1+'Model Inputs'!$B$28)^(MAX(3,'Model Inputs'!$B$30+1)-3)*(1+'Model Inputs'!$B$29)^(J157-MAX(3,'Model Inputs'!$B$30+1)))))</f>
        <v>21432424.290875554</v>
      </c>
      <c r="N157" s="236">
        <f>IF(J157&lt;=2,0,'Model Inputs'!$B$32*SIN(2*PI()*(J157-3+'Model Inputs'!$B$34)/MAX(1,'Model Inputs'!$B$33)))</f>
        <v>-5.7328325735374245E-16</v>
      </c>
      <c r="O157" s="230">
        <f t="shared" si="64"/>
        <v>21432424.290875543</v>
      </c>
      <c r="P157" s="230">
        <f t="shared" si="84"/>
        <v>14995970.906855816</v>
      </c>
      <c r="Q157" s="230">
        <f>L157+P157+IF(J157=1,'Model Inputs'!$B$26,0)</f>
        <v>15295970.906855816</v>
      </c>
      <c r="R157" s="230">
        <f t="shared" si="65"/>
        <v>45887912.72056745</v>
      </c>
      <c r="S157" s="230">
        <f t="shared" si="66"/>
        <v>15300000</v>
      </c>
      <c r="T157" s="230">
        <f t="shared" si="67"/>
        <v>15300000</v>
      </c>
      <c r="U157" s="230">
        <f>MIN(T157,'Tax Assumptions'!$B$19)</f>
        <v>24500</v>
      </c>
      <c r="V157" s="230">
        <f>MAX(T157-U157-'Tax Assumptions'!$B$8,0)</f>
        <v>15259400</v>
      </c>
      <c r="W157" s="230">
        <f>MAX(T157-U157-'Tax Assumptions'!$B$9,0)</f>
        <v>15267500</v>
      </c>
      <c r="X157" s="230">
        <f>IF(V157=0,0,LOOKUP(V157,'Tax Assumptions'!$F$9:$F$15,'Tax Assumptions'!$I$9:$I$15)+(V157-LOOKUP(V157,'Tax Assumptions'!$F$9:$F$15,'Tax Assumptions'!$F$9:$F$15))*LOOKUP(V157,'Tax Assumptions'!$F$9:$F$15,'Tax Assumptions'!$H$9:$H$15))+MIN(MAX(T157,0),'Tax Assumptions'!$B$11)*'Tax Assumptions'!$B$10+MAX(T157,0)*'Tax Assumptions'!$B$12+MAX(MAX(T157,0)-'Tax Assumptions'!$B$14,0)*'Tax Assumptions'!$B$13+MIN(T157*'Tax Assumptions'!$B$15,'Tax Assumptions'!$B$16)+MIN(T157*'Tax Assumptions'!$B$17,'Tax Assumptions'!$B$18)+IF(W157=0,0,LOOKUP(W157,'Tax Assumptions'!$K$9:$K$17,'Tax Assumptions'!$N$9:$N$17)+(W157-LOOKUP(W157,'Tax Assumptions'!$K$9:$K$17,'Tax Assumptions'!$K$9:$K$17))*LOOKUP(W157,'Tax Assumptions'!$K$9:$K$17,'Tax Assumptions'!$M$9:$M$17))+IF(W157=0,0,LOOKUP(W157,'Tax Assumptions'!$P$9:$P$12,'Tax Assumptions'!$S$9:$S$12)+(W157-LOOKUP(W157,'Tax Assumptions'!$P$9:$P$12,'Tax Assumptions'!$P$9:$P$12))*LOOKUP(W157,'Tax Assumptions'!$P$9:$P$12,'Tax Assumptions'!$R$9:$R$12))</f>
        <v>8070480.54</v>
      </c>
      <c r="Y157" s="230">
        <f t="shared" si="68"/>
        <v>7205019.46</v>
      </c>
      <c r="Z157" s="230">
        <f>IF(J157&lt;=10,INDEX('Savings Projection'!$BL$19:$BL$28,J157),LOOKUP(2,1/('Savings Projection'!$BL$19:$BL$28&lt;&gt;""),'Savings Projection'!$BL$19:$BL$28))*(1+'Model Inputs'!$B$35)^(J157-1)+IF(J157&lt;=10,INDEX('Savings Projection'!$BM$19:$BM$28,J157),LOOKUP(2,1/('Savings Projection'!$BM$19:$BM$28&lt;&gt;""),'Savings Projection'!$BM$19:$BM$28))*(1+'Model Inputs'!$B$36)^(J157-1)</f>
        <v>214870.1921953276</v>
      </c>
      <c r="AA157" s="230">
        <f t="shared" si="69"/>
        <v>6990149.267804672</v>
      </c>
      <c r="AB157" s="230">
        <f>MIN(MAX(AA157,0),'Tax Assumptions'!$B$20)</f>
        <v>7500</v>
      </c>
      <c r="AC157" s="230">
        <f t="shared" si="70"/>
        <v>6982649.267804672</v>
      </c>
      <c r="AD157" s="230">
        <f>MAX(AD156*(1+'Model Inputs'!$B$13)+AC157,0)</f>
        <v>127967101.84638616</v>
      </c>
      <c r="AE157" s="230">
        <f>MAX(AE156*(1+'Model Inputs'!$B$13)+U157+AB157,0)</f>
        <v>988980.88155350462</v>
      </c>
      <c r="AF157" s="230">
        <f t="shared" si="71"/>
        <v>128956082.72793967</v>
      </c>
      <c r="AG157" s="226" t="str">
        <f t="shared" si="80"/>
        <v/>
      </c>
      <c r="AH157" s="226" t="str">
        <f t="shared" si="81"/>
        <v/>
      </c>
      <c r="AI157" s="226" t="str">
        <f t="shared" si="82"/>
        <v/>
      </c>
      <c r="AJ157" s="226" t="str">
        <f t="shared" si="83"/>
        <v/>
      </c>
    </row>
    <row r="158" spans="1:36" ht="18" customHeight="1" x14ac:dyDescent="0.2">
      <c r="A158" s="226" t="str">
        <f t="shared" si="72"/>
        <v>3Y -&gt; PM Y7 Tail</v>
      </c>
      <c r="B158" s="226">
        <f t="shared" si="73"/>
        <v>3</v>
      </c>
      <c r="C158" s="235">
        <f t="shared" si="74"/>
        <v>3</v>
      </c>
      <c r="D158" s="226">
        <f t="shared" si="75"/>
        <v>7</v>
      </c>
      <c r="E158" s="226" t="str">
        <f t="shared" si="76"/>
        <v>Tail</v>
      </c>
      <c r="F158" s="230">
        <f t="shared" si="77"/>
        <v>100000000</v>
      </c>
      <c r="G158" s="236">
        <f t="shared" si="78"/>
        <v>0.15</v>
      </c>
      <c r="H158" s="230">
        <f t="shared" si="79"/>
        <v>300000</v>
      </c>
      <c r="I158" s="236">
        <f t="shared" si="62"/>
        <v>0</v>
      </c>
      <c r="J158" s="234">
        <v>19</v>
      </c>
      <c r="K158" s="234">
        <f t="shared" si="63"/>
        <v>2044</v>
      </c>
      <c r="L158" s="230">
        <f>IF(J158=1,'Model Inputs'!$B$25*(13-'Model Inputs'!$B$23)/12,'Model Inputs'!$B$25)</f>
        <v>300000</v>
      </c>
      <c r="M158" s="230">
        <f>IF(J158=1,'Model Inputs'!$B$27*(13-'Model Inputs'!$B$23)/12,IF(J158=2,'Model Inputs'!$B$27,IF(J158&lt;=MAX(3,'Model Inputs'!$B$30+1),'Model Inputs'!$B$27*(1+'Model Inputs'!$B$28)^(J158-3),'Model Inputs'!$B$27*(1+'Model Inputs'!$B$28)^(MAX(3,'Model Inputs'!$B$30+1)-3)*(1+'Model Inputs'!$B$29)^(J158-MAX(3,'Model Inputs'!$B$30+1)))))</f>
        <v>27237984.409717187</v>
      </c>
      <c r="N158" s="236">
        <f>IF(J158&lt;=2,0,'Model Inputs'!$B$32*SIN(2*PI()*(J158-3+'Model Inputs'!$B$34)/MAX(1,'Model Inputs'!$B$33)))</f>
        <v>0.10392304845413286</v>
      </c>
      <c r="O158" s="230">
        <f t="shared" si="64"/>
        <v>30068638.783321142</v>
      </c>
      <c r="P158" s="230">
        <f t="shared" si="84"/>
        <v>19852239.851888295</v>
      </c>
      <c r="Q158" s="230">
        <f>L158+P158+IF(J158=1,'Model Inputs'!$B$26,0)</f>
        <v>20152239.851888295</v>
      </c>
      <c r="R158" s="230">
        <f t="shared" si="65"/>
        <v>60456719.555664882</v>
      </c>
      <c r="S158" s="230">
        <f t="shared" si="66"/>
        <v>15300000</v>
      </c>
      <c r="T158" s="230">
        <f t="shared" si="67"/>
        <v>15300000</v>
      </c>
      <c r="U158" s="230">
        <f>MIN(T158,'Tax Assumptions'!$B$19)</f>
        <v>24500</v>
      </c>
      <c r="V158" s="230">
        <f>MAX(T158-U158-'Tax Assumptions'!$B$8,0)</f>
        <v>15259400</v>
      </c>
      <c r="W158" s="230">
        <f>MAX(T158-U158-'Tax Assumptions'!$B$9,0)</f>
        <v>15267500</v>
      </c>
      <c r="X158" s="230">
        <f>IF(V158=0,0,LOOKUP(V158,'Tax Assumptions'!$F$9:$F$15,'Tax Assumptions'!$I$9:$I$15)+(V158-LOOKUP(V158,'Tax Assumptions'!$F$9:$F$15,'Tax Assumptions'!$F$9:$F$15))*LOOKUP(V158,'Tax Assumptions'!$F$9:$F$15,'Tax Assumptions'!$H$9:$H$15))+MIN(MAX(T158,0),'Tax Assumptions'!$B$11)*'Tax Assumptions'!$B$10+MAX(T158,0)*'Tax Assumptions'!$B$12+MAX(MAX(T158,0)-'Tax Assumptions'!$B$14,0)*'Tax Assumptions'!$B$13+MIN(T158*'Tax Assumptions'!$B$15,'Tax Assumptions'!$B$16)+MIN(T158*'Tax Assumptions'!$B$17,'Tax Assumptions'!$B$18)+IF(W158=0,0,LOOKUP(W158,'Tax Assumptions'!$K$9:$K$17,'Tax Assumptions'!$N$9:$N$17)+(W158-LOOKUP(W158,'Tax Assumptions'!$K$9:$K$17,'Tax Assumptions'!$K$9:$K$17))*LOOKUP(W158,'Tax Assumptions'!$K$9:$K$17,'Tax Assumptions'!$M$9:$M$17))+IF(W158=0,0,LOOKUP(W158,'Tax Assumptions'!$P$9:$P$12,'Tax Assumptions'!$S$9:$S$12)+(W158-LOOKUP(W158,'Tax Assumptions'!$P$9:$P$12,'Tax Assumptions'!$P$9:$P$12))*LOOKUP(W158,'Tax Assumptions'!$P$9:$P$12,'Tax Assumptions'!$R$9:$R$12))</f>
        <v>8070480.54</v>
      </c>
      <c r="Y158" s="230">
        <f t="shared" si="68"/>
        <v>7205019.46</v>
      </c>
      <c r="Z158" s="230">
        <f>IF(J158&lt;=10,INDEX('Savings Projection'!$BL$19:$BL$28,J158),LOOKUP(2,1/('Savings Projection'!$BL$19:$BL$28&lt;&gt;""),'Savings Projection'!$BL$19:$BL$28))*(1+'Model Inputs'!$B$35)^(J158-1)+IF(J158&lt;=10,INDEX('Savings Projection'!$BM$19:$BM$28,J158),LOOKUP(2,1/('Savings Projection'!$BM$19:$BM$28&lt;&gt;""),'Savings Projection'!$BM$19:$BM$28))*(1+'Model Inputs'!$B$36)^(J158-1)</f>
        <v>221316.29796118743</v>
      </c>
      <c r="AA158" s="230">
        <f t="shared" si="69"/>
        <v>6983703.1620388124</v>
      </c>
      <c r="AB158" s="230">
        <f>MIN(MAX(AA158,0),'Tax Assumptions'!$B$20)</f>
        <v>7500</v>
      </c>
      <c r="AC158" s="230">
        <f t="shared" si="70"/>
        <v>6976203.1620388124</v>
      </c>
      <c r="AD158" s="230">
        <f>MAX(AD157*(1+'Model Inputs'!$B$13)+AC158,0)</f>
        <v>142621331.11920816</v>
      </c>
      <c r="AE158" s="230">
        <f>MAX(AE157*(1+'Model Inputs'!$B$13)+U158+AB158,0)</f>
        <v>1080319.7344467151</v>
      </c>
      <c r="AF158" s="230">
        <f t="shared" si="71"/>
        <v>143701650.85365486</v>
      </c>
      <c r="AG158" s="226" t="str">
        <f t="shared" si="80"/>
        <v/>
      </c>
      <c r="AH158" s="226" t="str">
        <f t="shared" si="81"/>
        <v/>
      </c>
      <c r="AI158" s="226" t="str">
        <f t="shared" si="82"/>
        <v/>
      </c>
      <c r="AJ158" s="226" t="str">
        <f t="shared" si="83"/>
        <v/>
      </c>
    </row>
    <row r="159" spans="1:36" ht="18" customHeight="1" x14ac:dyDescent="0.2">
      <c r="A159" s="226" t="str">
        <f t="shared" si="72"/>
        <v>3Y -&gt; PM Y7 Tail</v>
      </c>
      <c r="B159" s="226">
        <f t="shared" si="73"/>
        <v>3</v>
      </c>
      <c r="C159" s="235">
        <f t="shared" si="74"/>
        <v>3</v>
      </c>
      <c r="D159" s="226">
        <f t="shared" si="75"/>
        <v>7</v>
      </c>
      <c r="E159" s="226" t="str">
        <f t="shared" si="76"/>
        <v>Tail</v>
      </c>
      <c r="F159" s="230">
        <f t="shared" si="77"/>
        <v>100000000</v>
      </c>
      <c r="G159" s="236">
        <f t="shared" si="78"/>
        <v>0.15</v>
      </c>
      <c r="H159" s="230">
        <f t="shared" si="79"/>
        <v>300000</v>
      </c>
      <c r="I159" s="236">
        <f t="shared" si="62"/>
        <v>0</v>
      </c>
      <c r="J159" s="234">
        <v>20</v>
      </c>
      <c r="K159" s="234">
        <f t="shared" si="63"/>
        <v>2045</v>
      </c>
      <c r="L159" s="230">
        <f>IF(J159=1,'Model Inputs'!$B$25*(13-'Model Inputs'!$B$23)/12,'Model Inputs'!$B$25)</f>
        <v>300000</v>
      </c>
      <c r="M159" s="230">
        <f>IF(J159=1,'Model Inputs'!$B$27*(13-'Model Inputs'!$B$23)/12,IF(J159=2,'Model Inputs'!$B$27,IF(J159&lt;=MAX(3,'Model Inputs'!$B$30+1),'Model Inputs'!$B$27*(1+'Model Inputs'!$B$28)^(J159-3),'Model Inputs'!$B$27*(1+'Model Inputs'!$B$28)^(MAX(3,'Model Inputs'!$B$30+1)-3)*(1+'Model Inputs'!$B$29)^(J159-MAX(3,'Model Inputs'!$B$30+1)))))</f>
        <v>34616139.762586243</v>
      </c>
      <c r="N159" s="236">
        <f>IF(J159&lt;=2,0,'Model Inputs'!$B$32*SIN(2*PI()*(J159-3+'Model Inputs'!$B$34)/MAX(1,'Model Inputs'!$B$33)))</f>
        <v>-0.10392304845413269</v>
      </c>
      <c r="O159" s="230">
        <f t="shared" si="64"/>
        <v>31018724.992743965</v>
      </c>
      <c r="P159" s="230">
        <f t="shared" si="84"/>
        <v>27909585.160209741</v>
      </c>
      <c r="Q159" s="230">
        <f>L159+P159+IF(J159=1,'Model Inputs'!$B$26,0)</f>
        <v>28209585.160209741</v>
      </c>
      <c r="R159" s="230">
        <f t="shared" si="65"/>
        <v>84628755.480629221</v>
      </c>
      <c r="S159" s="230">
        <f t="shared" si="66"/>
        <v>15300000</v>
      </c>
      <c r="T159" s="230">
        <f t="shared" si="67"/>
        <v>15300000</v>
      </c>
      <c r="U159" s="230">
        <f>MIN(T159,'Tax Assumptions'!$B$19)</f>
        <v>24500</v>
      </c>
      <c r="V159" s="230">
        <f>MAX(T159-U159-'Tax Assumptions'!$B$8,0)</f>
        <v>15259400</v>
      </c>
      <c r="W159" s="230">
        <f>MAX(T159-U159-'Tax Assumptions'!$B$9,0)</f>
        <v>15267500</v>
      </c>
      <c r="X159" s="230">
        <f>IF(V159=0,0,LOOKUP(V159,'Tax Assumptions'!$F$9:$F$15,'Tax Assumptions'!$I$9:$I$15)+(V159-LOOKUP(V159,'Tax Assumptions'!$F$9:$F$15,'Tax Assumptions'!$F$9:$F$15))*LOOKUP(V159,'Tax Assumptions'!$F$9:$F$15,'Tax Assumptions'!$H$9:$H$15))+MIN(MAX(T159,0),'Tax Assumptions'!$B$11)*'Tax Assumptions'!$B$10+MAX(T159,0)*'Tax Assumptions'!$B$12+MAX(MAX(T159,0)-'Tax Assumptions'!$B$14,0)*'Tax Assumptions'!$B$13+MIN(T159*'Tax Assumptions'!$B$15,'Tax Assumptions'!$B$16)+MIN(T159*'Tax Assumptions'!$B$17,'Tax Assumptions'!$B$18)+IF(W159=0,0,LOOKUP(W159,'Tax Assumptions'!$K$9:$K$17,'Tax Assumptions'!$N$9:$N$17)+(W159-LOOKUP(W159,'Tax Assumptions'!$K$9:$K$17,'Tax Assumptions'!$K$9:$K$17))*LOOKUP(W159,'Tax Assumptions'!$K$9:$K$17,'Tax Assumptions'!$M$9:$M$17))+IF(W159=0,0,LOOKUP(W159,'Tax Assumptions'!$P$9:$P$12,'Tax Assumptions'!$S$9:$S$12)+(W159-LOOKUP(W159,'Tax Assumptions'!$P$9:$P$12,'Tax Assumptions'!$P$9:$P$12))*LOOKUP(W159,'Tax Assumptions'!$P$9:$P$12,'Tax Assumptions'!$R$9:$R$12))</f>
        <v>8070480.54</v>
      </c>
      <c r="Y159" s="230">
        <f t="shared" si="68"/>
        <v>7205019.46</v>
      </c>
      <c r="Z159" s="230">
        <f>IF(J159&lt;=10,INDEX('Savings Projection'!$BL$19:$BL$28,J159),LOOKUP(2,1/('Savings Projection'!$BL$19:$BL$28&lt;&gt;""),'Savings Projection'!$BL$19:$BL$28))*(1+'Model Inputs'!$B$35)^(J159-1)+IF(J159&lt;=10,INDEX('Savings Projection'!$BM$19:$BM$28,J159),LOOKUP(2,1/('Savings Projection'!$BM$19:$BM$28&lt;&gt;""),'Savings Projection'!$BM$19:$BM$28))*(1+'Model Inputs'!$B$36)^(J159-1)</f>
        <v>227955.78690002306</v>
      </c>
      <c r="AA159" s="230">
        <f t="shared" si="69"/>
        <v>6977063.673099977</v>
      </c>
      <c r="AB159" s="230">
        <f>MIN(MAX(AA159,0),'Tax Assumptions'!$B$20)</f>
        <v>7500</v>
      </c>
      <c r="AC159" s="230">
        <f t="shared" si="70"/>
        <v>6969563.673099977</v>
      </c>
      <c r="AD159" s="230">
        <f>MAX(AD158*(1+'Model Inputs'!$B$13)+AC159,0)</f>
        <v>158148174.6594606</v>
      </c>
      <c r="AE159" s="230">
        <f>MAX(AE158*(1+'Model Inputs'!$B$13)+U159+AB159,0)</f>
        <v>1177138.9185135181</v>
      </c>
      <c r="AF159" s="230">
        <f t="shared" si="71"/>
        <v>159325313.57797411</v>
      </c>
      <c r="AG159" s="226" t="str">
        <f t="shared" si="80"/>
        <v/>
      </c>
      <c r="AH159" s="226" t="str">
        <f t="shared" si="81"/>
        <v/>
      </c>
      <c r="AI159" s="226" t="str">
        <f t="shared" si="82"/>
        <v/>
      </c>
      <c r="AJ159" s="226" t="str">
        <f t="shared" si="83"/>
        <v/>
      </c>
    </row>
    <row r="160" spans="1:36" ht="18" customHeight="1" x14ac:dyDescent="0.2">
      <c r="A160" s="226" t="str">
        <f t="shared" si="72"/>
        <v>3Y -&gt; PM Y7 Tail</v>
      </c>
      <c r="B160" s="226">
        <f t="shared" si="73"/>
        <v>3</v>
      </c>
      <c r="C160" s="235">
        <f t="shared" si="74"/>
        <v>3</v>
      </c>
      <c r="D160" s="226">
        <f t="shared" si="75"/>
        <v>7</v>
      </c>
      <c r="E160" s="226" t="str">
        <f t="shared" si="76"/>
        <v>Tail</v>
      </c>
      <c r="F160" s="230">
        <f t="shared" si="77"/>
        <v>100000000</v>
      </c>
      <c r="G160" s="236">
        <f t="shared" si="78"/>
        <v>0.15</v>
      </c>
      <c r="H160" s="230">
        <f t="shared" si="79"/>
        <v>300000</v>
      </c>
      <c r="I160" s="236">
        <f t="shared" si="62"/>
        <v>0</v>
      </c>
      <c r="J160" s="234">
        <v>21</v>
      </c>
      <c r="K160" s="234">
        <f t="shared" si="63"/>
        <v>2046</v>
      </c>
      <c r="L160" s="230">
        <f>IF(J160=1,'Model Inputs'!$B$25*(13-'Model Inputs'!$B$23)/12,'Model Inputs'!$B$25)</f>
        <v>300000</v>
      </c>
      <c r="M160" s="230">
        <f>IF(J160=1,'Model Inputs'!$B$27*(13-'Model Inputs'!$B$23)/12,IF(J160=2,'Model Inputs'!$B$27,IF(J160&lt;=MAX(3,'Model Inputs'!$B$30+1),'Model Inputs'!$B$27*(1+'Model Inputs'!$B$28)^(J160-3),'Model Inputs'!$B$27*(1+'Model Inputs'!$B$28)^(MAX(3,'Model Inputs'!$B$30+1)-3)*(1+'Model Inputs'!$B$29)^(J160-MAX(3,'Model Inputs'!$B$30+1)))))</f>
        <v>43992870.912849829</v>
      </c>
      <c r="N160" s="236">
        <f>IF(J160&lt;=2,0,'Model Inputs'!$B$32*SIN(2*PI()*(J160-3+'Model Inputs'!$B$34)/MAX(1,'Model Inputs'!$B$33)))</f>
        <v>-1.7634913907721884E-16</v>
      </c>
      <c r="O160" s="230">
        <f t="shared" si="64"/>
        <v>43992870.912849821</v>
      </c>
      <c r="P160" s="230">
        <f t="shared" si="84"/>
        <v>30781203.440388259</v>
      </c>
      <c r="Q160" s="230">
        <f>L160+P160+IF(J160=1,'Model Inputs'!$B$26,0)</f>
        <v>31081203.440388259</v>
      </c>
      <c r="R160" s="230">
        <f t="shared" si="65"/>
        <v>93243610.321164772</v>
      </c>
      <c r="S160" s="230">
        <f t="shared" si="66"/>
        <v>15300000</v>
      </c>
      <c r="T160" s="230">
        <f t="shared" si="67"/>
        <v>15300000</v>
      </c>
      <c r="U160" s="230">
        <f>MIN(T160,'Tax Assumptions'!$B$19)</f>
        <v>24500</v>
      </c>
      <c r="V160" s="230">
        <f>MAX(T160-U160-'Tax Assumptions'!$B$8,0)</f>
        <v>15259400</v>
      </c>
      <c r="W160" s="230">
        <f>MAX(T160-U160-'Tax Assumptions'!$B$9,0)</f>
        <v>15267500</v>
      </c>
      <c r="X160" s="230">
        <f>IF(V160=0,0,LOOKUP(V160,'Tax Assumptions'!$F$9:$F$15,'Tax Assumptions'!$I$9:$I$15)+(V160-LOOKUP(V160,'Tax Assumptions'!$F$9:$F$15,'Tax Assumptions'!$F$9:$F$15))*LOOKUP(V160,'Tax Assumptions'!$F$9:$F$15,'Tax Assumptions'!$H$9:$H$15))+MIN(MAX(T160,0),'Tax Assumptions'!$B$11)*'Tax Assumptions'!$B$10+MAX(T160,0)*'Tax Assumptions'!$B$12+MAX(MAX(T160,0)-'Tax Assumptions'!$B$14,0)*'Tax Assumptions'!$B$13+MIN(T160*'Tax Assumptions'!$B$15,'Tax Assumptions'!$B$16)+MIN(T160*'Tax Assumptions'!$B$17,'Tax Assumptions'!$B$18)+IF(W160=0,0,LOOKUP(W160,'Tax Assumptions'!$K$9:$K$17,'Tax Assumptions'!$N$9:$N$17)+(W160-LOOKUP(W160,'Tax Assumptions'!$K$9:$K$17,'Tax Assumptions'!$K$9:$K$17))*LOOKUP(W160,'Tax Assumptions'!$K$9:$K$17,'Tax Assumptions'!$M$9:$M$17))+IF(W160=0,0,LOOKUP(W160,'Tax Assumptions'!$P$9:$P$12,'Tax Assumptions'!$S$9:$S$12)+(W160-LOOKUP(W160,'Tax Assumptions'!$P$9:$P$12,'Tax Assumptions'!$P$9:$P$12))*LOOKUP(W160,'Tax Assumptions'!$P$9:$P$12,'Tax Assumptions'!$R$9:$R$12))</f>
        <v>8070480.54</v>
      </c>
      <c r="Y160" s="230">
        <f t="shared" si="68"/>
        <v>7205019.46</v>
      </c>
      <c r="Z160" s="230">
        <f>IF(J160&lt;=10,INDEX('Savings Projection'!$BL$19:$BL$28,J160),LOOKUP(2,1/('Savings Projection'!$BL$19:$BL$28&lt;&gt;""),'Savings Projection'!$BL$19:$BL$28))*(1+'Model Inputs'!$B$35)^(J160-1)+IF(J160&lt;=10,INDEX('Savings Projection'!$BM$19:$BM$28,J160),LOOKUP(2,1/('Savings Projection'!$BM$19:$BM$28&lt;&gt;""),'Savings Projection'!$BM$19:$BM$28))*(1+'Model Inputs'!$B$36)^(J160-1)</f>
        <v>234794.46050702373</v>
      </c>
      <c r="AA160" s="230">
        <f t="shared" si="69"/>
        <v>6970224.9994929759</v>
      </c>
      <c r="AB160" s="230">
        <f>MIN(MAX(AA160,0),'Tax Assumptions'!$B$20)</f>
        <v>7500</v>
      </c>
      <c r="AC160" s="230">
        <f t="shared" si="70"/>
        <v>6962724.9994929759</v>
      </c>
      <c r="AD160" s="230">
        <f>MAX(AD159*(1+'Model Inputs'!$B$13)+AC160,0)</f>
        <v>174599790.13852122</v>
      </c>
      <c r="AE160" s="230">
        <f>MAX(AE159*(1+'Model Inputs'!$B$13)+U160+AB160,0)</f>
        <v>1279767.2536243291</v>
      </c>
      <c r="AF160" s="230">
        <f t="shared" si="71"/>
        <v>175879557.39214554</v>
      </c>
      <c r="AG160" s="226" t="str">
        <f t="shared" si="80"/>
        <v/>
      </c>
      <c r="AH160" s="226" t="str">
        <f t="shared" si="81"/>
        <v/>
      </c>
      <c r="AI160" s="226" t="str">
        <f t="shared" si="82"/>
        <v/>
      </c>
      <c r="AJ160" s="226" t="str">
        <f t="shared" si="83"/>
        <v/>
      </c>
    </row>
    <row r="161" spans="1:36" ht="18" customHeight="1" x14ac:dyDescent="0.2">
      <c r="A161" s="226" t="str">
        <f t="shared" si="72"/>
        <v>3Y -&gt; PM Y7 Tail</v>
      </c>
      <c r="B161" s="226">
        <f t="shared" si="73"/>
        <v>3</v>
      </c>
      <c r="C161" s="235">
        <f t="shared" si="74"/>
        <v>3</v>
      </c>
      <c r="D161" s="226">
        <f t="shared" si="75"/>
        <v>7</v>
      </c>
      <c r="E161" s="226" t="str">
        <f t="shared" si="76"/>
        <v>Tail</v>
      </c>
      <c r="F161" s="230">
        <f t="shared" si="77"/>
        <v>100000000</v>
      </c>
      <c r="G161" s="236">
        <f t="shared" si="78"/>
        <v>0.15</v>
      </c>
      <c r="H161" s="230">
        <f t="shared" si="79"/>
        <v>300000</v>
      </c>
      <c r="I161" s="236">
        <f t="shared" si="62"/>
        <v>0</v>
      </c>
      <c r="J161" s="234">
        <v>22</v>
      </c>
      <c r="K161" s="234">
        <f t="shared" si="63"/>
        <v>2047</v>
      </c>
      <c r="L161" s="230">
        <f>IF(J161=1,'Model Inputs'!$B$25*(13-'Model Inputs'!$B$23)/12,'Model Inputs'!$B$25)</f>
        <v>300000</v>
      </c>
      <c r="M161" s="230">
        <f>IF(J161=1,'Model Inputs'!$B$27*(13-'Model Inputs'!$B$23)/12,IF(J161=2,'Model Inputs'!$B$27,IF(J161&lt;=MAX(3,'Model Inputs'!$B$30+1),'Model Inputs'!$B$27*(1+'Model Inputs'!$B$28)^(J161-3),'Model Inputs'!$B$27*(1+'Model Inputs'!$B$28)^(MAX(3,'Model Inputs'!$B$30+1)-3)*(1+'Model Inputs'!$B$29)^(J161-MAX(3,'Model Inputs'!$B$30+1)))))</f>
        <v>55909546.9462616</v>
      </c>
      <c r="N161" s="236">
        <f>IF(J161&lt;=2,0,'Model Inputs'!$B$32*SIN(2*PI()*(J161-3+'Model Inputs'!$B$34)/MAX(1,'Model Inputs'!$B$33)))</f>
        <v>0.10392304845413287</v>
      </c>
      <c r="O161" s="230">
        <f t="shared" si="64"/>
        <v>61719837.502606563</v>
      </c>
      <c r="P161" s="230">
        <f t="shared" si="84"/>
        <v>40749334.43282336</v>
      </c>
      <c r="Q161" s="230">
        <f>L161+P161+IF(J161=1,'Model Inputs'!$B$26,0)</f>
        <v>41049334.43282336</v>
      </c>
      <c r="R161" s="230">
        <f t="shared" si="65"/>
        <v>123148003.29847008</v>
      </c>
      <c r="S161" s="230">
        <f t="shared" si="66"/>
        <v>15300000</v>
      </c>
      <c r="T161" s="230">
        <f t="shared" si="67"/>
        <v>15300000</v>
      </c>
      <c r="U161" s="230">
        <f>MIN(T161,'Tax Assumptions'!$B$19)</f>
        <v>24500</v>
      </c>
      <c r="V161" s="230">
        <f>MAX(T161-U161-'Tax Assumptions'!$B$8,0)</f>
        <v>15259400</v>
      </c>
      <c r="W161" s="230">
        <f>MAX(T161-U161-'Tax Assumptions'!$B$9,0)</f>
        <v>15267500</v>
      </c>
      <c r="X161" s="230">
        <f>IF(V161=0,0,LOOKUP(V161,'Tax Assumptions'!$F$9:$F$15,'Tax Assumptions'!$I$9:$I$15)+(V161-LOOKUP(V161,'Tax Assumptions'!$F$9:$F$15,'Tax Assumptions'!$F$9:$F$15))*LOOKUP(V161,'Tax Assumptions'!$F$9:$F$15,'Tax Assumptions'!$H$9:$H$15))+MIN(MAX(T161,0),'Tax Assumptions'!$B$11)*'Tax Assumptions'!$B$10+MAX(T161,0)*'Tax Assumptions'!$B$12+MAX(MAX(T161,0)-'Tax Assumptions'!$B$14,0)*'Tax Assumptions'!$B$13+MIN(T161*'Tax Assumptions'!$B$15,'Tax Assumptions'!$B$16)+MIN(T161*'Tax Assumptions'!$B$17,'Tax Assumptions'!$B$18)+IF(W161=0,0,LOOKUP(W161,'Tax Assumptions'!$K$9:$K$17,'Tax Assumptions'!$N$9:$N$17)+(W161-LOOKUP(W161,'Tax Assumptions'!$K$9:$K$17,'Tax Assumptions'!$K$9:$K$17))*LOOKUP(W161,'Tax Assumptions'!$K$9:$K$17,'Tax Assumptions'!$M$9:$M$17))+IF(W161=0,0,LOOKUP(W161,'Tax Assumptions'!$P$9:$P$12,'Tax Assumptions'!$S$9:$S$12)+(W161-LOOKUP(W161,'Tax Assumptions'!$P$9:$P$12,'Tax Assumptions'!$P$9:$P$12))*LOOKUP(W161,'Tax Assumptions'!$P$9:$P$12,'Tax Assumptions'!$R$9:$R$12))</f>
        <v>8070480.54</v>
      </c>
      <c r="Y161" s="230">
        <f t="shared" si="68"/>
        <v>7205019.46</v>
      </c>
      <c r="Z161" s="230">
        <f>IF(J161&lt;=10,INDEX('Savings Projection'!$BL$19:$BL$28,J161),LOOKUP(2,1/('Savings Projection'!$BL$19:$BL$28&lt;&gt;""),'Savings Projection'!$BL$19:$BL$28))*(1+'Model Inputs'!$B$35)^(J161-1)+IF(J161&lt;=10,INDEX('Savings Projection'!$BM$19:$BM$28,J161),LOOKUP(2,1/('Savings Projection'!$BM$19:$BM$28&lt;&gt;""),'Savings Projection'!$BM$19:$BM$28))*(1+'Model Inputs'!$B$36)^(J161-1)</f>
        <v>241838.2943222344</v>
      </c>
      <c r="AA161" s="230">
        <f t="shared" si="69"/>
        <v>6963181.1656777654</v>
      </c>
      <c r="AB161" s="230">
        <f>MIN(MAX(AA161,0),'Tax Assumptions'!$B$20)</f>
        <v>7500</v>
      </c>
      <c r="AC161" s="230">
        <f t="shared" si="70"/>
        <v>6955681.1656777654</v>
      </c>
      <c r="AD161" s="230">
        <f>MAX(AD160*(1+'Model Inputs'!$B$13)+AC161,0)</f>
        <v>192031458.71251026</v>
      </c>
      <c r="AE161" s="230">
        <f>MAX(AE160*(1+'Model Inputs'!$B$13)+U161+AB161,0)</f>
        <v>1388553.2888417889</v>
      </c>
      <c r="AF161" s="230">
        <f t="shared" si="71"/>
        <v>193420012.00135204</v>
      </c>
      <c r="AG161" s="226" t="str">
        <f t="shared" si="80"/>
        <v/>
      </c>
      <c r="AH161" s="226" t="str">
        <f t="shared" si="81"/>
        <v/>
      </c>
      <c r="AI161" s="226" t="str">
        <f t="shared" si="82"/>
        <v/>
      </c>
      <c r="AJ161" s="226" t="str">
        <f t="shared" si="83"/>
        <v/>
      </c>
    </row>
    <row r="162" spans="1:36" ht="18" customHeight="1" x14ac:dyDescent="0.2">
      <c r="A162" s="226" t="str">
        <f t="shared" si="72"/>
        <v>3Y -&gt; PM Y7 Tail</v>
      </c>
      <c r="B162" s="226">
        <f t="shared" si="73"/>
        <v>3</v>
      </c>
      <c r="C162" s="235">
        <f t="shared" si="74"/>
        <v>3</v>
      </c>
      <c r="D162" s="226">
        <f t="shared" si="75"/>
        <v>7</v>
      </c>
      <c r="E162" s="226" t="str">
        <f t="shared" si="76"/>
        <v>Tail</v>
      </c>
      <c r="F162" s="230">
        <f t="shared" si="77"/>
        <v>100000000</v>
      </c>
      <c r="G162" s="236">
        <f t="shared" si="78"/>
        <v>0.15</v>
      </c>
      <c r="H162" s="230">
        <f t="shared" si="79"/>
        <v>300000</v>
      </c>
      <c r="I162" s="236">
        <f t="shared" si="62"/>
        <v>0</v>
      </c>
      <c r="J162" s="234">
        <v>23</v>
      </c>
      <c r="K162" s="234">
        <f t="shared" si="63"/>
        <v>2048</v>
      </c>
      <c r="L162" s="230">
        <f>IF(J162=1,'Model Inputs'!$B$25*(13-'Model Inputs'!$B$23)/12,'Model Inputs'!$B$25)</f>
        <v>300000</v>
      </c>
      <c r="M162" s="230">
        <f>IF(J162=1,'Model Inputs'!$B$27*(13-'Model Inputs'!$B$23)/12,IF(J162=2,'Model Inputs'!$B$27,IF(J162&lt;=MAX(3,'Model Inputs'!$B$30+1),'Model Inputs'!$B$27*(1+'Model Inputs'!$B$28)^(J162-3),'Model Inputs'!$B$27*(1+'Model Inputs'!$B$28)^(MAX(3,'Model Inputs'!$B$30+1)-3)*(1+'Model Inputs'!$B$29)^(J162-MAX(3,'Model Inputs'!$B$30+1)))))</f>
        <v>71054181.617940187</v>
      </c>
      <c r="N162" s="236">
        <f>IF(J162&lt;=2,0,'Model Inputs'!$B$32*SIN(2*PI()*(J162-3+'Model Inputs'!$B$34)/MAX(1,'Model Inputs'!$B$33)))</f>
        <v>-0.10392304845413268</v>
      </c>
      <c r="O162" s="230">
        <f t="shared" si="64"/>
        <v>63670014.458790243</v>
      </c>
      <c r="P162" s="230">
        <f t="shared" si="84"/>
        <v>57288095.855167374</v>
      </c>
      <c r="Q162" s="230">
        <f>L162+P162+IF(J162=1,'Model Inputs'!$B$26,0)</f>
        <v>57588095.855167374</v>
      </c>
      <c r="R162" s="230">
        <f t="shared" si="65"/>
        <v>172764287.56550211</v>
      </c>
      <c r="S162" s="230">
        <f t="shared" si="66"/>
        <v>15300000</v>
      </c>
      <c r="T162" s="230">
        <f t="shared" si="67"/>
        <v>15300000</v>
      </c>
      <c r="U162" s="230">
        <f>MIN(T162,'Tax Assumptions'!$B$19)</f>
        <v>24500</v>
      </c>
      <c r="V162" s="230">
        <f>MAX(T162-U162-'Tax Assumptions'!$B$8,0)</f>
        <v>15259400</v>
      </c>
      <c r="W162" s="230">
        <f>MAX(T162-U162-'Tax Assumptions'!$B$9,0)</f>
        <v>15267500</v>
      </c>
      <c r="X162" s="230">
        <f>IF(V162=0,0,LOOKUP(V162,'Tax Assumptions'!$F$9:$F$15,'Tax Assumptions'!$I$9:$I$15)+(V162-LOOKUP(V162,'Tax Assumptions'!$F$9:$F$15,'Tax Assumptions'!$F$9:$F$15))*LOOKUP(V162,'Tax Assumptions'!$F$9:$F$15,'Tax Assumptions'!$H$9:$H$15))+MIN(MAX(T162,0),'Tax Assumptions'!$B$11)*'Tax Assumptions'!$B$10+MAX(T162,0)*'Tax Assumptions'!$B$12+MAX(MAX(T162,0)-'Tax Assumptions'!$B$14,0)*'Tax Assumptions'!$B$13+MIN(T162*'Tax Assumptions'!$B$15,'Tax Assumptions'!$B$16)+MIN(T162*'Tax Assumptions'!$B$17,'Tax Assumptions'!$B$18)+IF(W162=0,0,LOOKUP(W162,'Tax Assumptions'!$K$9:$K$17,'Tax Assumptions'!$N$9:$N$17)+(W162-LOOKUP(W162,'Tax Assumptions'!$K$9:$K$17,'Tax Assumptions'!$K$9:$K$17))*LOOKUP(W162,'Tax Assumptions'!$K$9:$K$17,'Tax Assumptions'!$M$9:$M$17))+IF(W162=0,0,LOOKUP(W162,'Tax Assumptions'!$P$9:$P$12,'Tax Assumptions'!$S$9:$S$12)+(W162-LOOKUP(W162,'Tax Assumptions'!$P$9:$P$12,'Tax Assumptions'!$P$9:$P$12))*LOOKUP(W162,'Tax Assumptions'!$P$9:$P$12,'Tax Assumptions'!$R$9:$R$12))</f>
        <v>8070480.54</v>
      </c>
      <c r="Y162" s="230">
        <f t="shared" si="68"/>
        <v>7205019.46</v>
      </c>
      <c r="Z162" s="230">
        <f>IF(J162&lt;=10,INDEX('Savings Projection'!$BL$19:$BL$28,J162),LOOKUP(2,1/('Savings Projection'!$BL$19:$BL$28&lt;&gt;""),'Savings Projection'!$BL$19:$BL$28))*(1+'Model Inputs'!$B$35)^(J162-1)+IF(J162&lt;=10,INDEX('Savings Projection'!$BM$19:$BM$28,J162),LOOKUP(2,1/('Savings Projection'!$BM$19:$BM$28&lt;&gt;""),'Savings Projection'!$BM$19:$BM$28))*(1+'Model Inputs'!$B$36)^(J162-1)</f>
        <v>249093.44315190148</v>
      </c>
      <c r="AA162" s="230">
        <f t="shared" si="69"/>
        <v>6955926.0168480985</v>
      </c>
      <c r="AB162" s="230">
        <f>MIN(MAX(AA162,0),'Tax Assumptions'!$B$20)</f>
        <v>7500</v>
      </c>
      <c r="AC162" s="230">
        <f t="shared" si="70"/>
        <v>6948426.0168480985</v>
      </c>
      <c r="AD162" s="230">
        <f>MAX(AD161*(1+'Model Inputs'!$B$13)+AC162,0)</f>
        <v>210501772.25210896</v>
      </c>
      <c r="AE162" s="230">
        <f>MAX(AE161*(1+'Model Inputs'!$B$13)+U162+AB162,0)</f>
        <v>1503866.4861722963</v>
      </c>
      <c r="AF162" s="230">
        <f t="shared" si="71"/>
        <v>212005638.73828125</v>
      </c>
      <c r="AG162" s="226" t="str">
        <f t="shared" si="80"/>
        <v/>
      </c>
      <c r="AH162" s="226" t="str">
        <f t="shared" si="81"/>
        <v/>
      </c>
      <c r="AI162" s="226" t="str">
        <f t="shared" si="82"/>
        <v/>
      </c>
      <c r="AJ162" s="226" t="str">
        <f t="shared" si="83"/>
        <v/>
      </c>
    </row>
    <row r="163" spans="1:36" ht="18" customHeight="1" x14ac:dyDescent="0.2">
      <c r="A163" s="226" t="str">
        <f t="shared" si="72"/>
        <v>3Y -&gt; PM Y7 Tail</v>
      </c>
      <c r="B163" s="226">
        <f t="shared" si="73"/>
        <v>3</v>
      </c>
      <c r="C163" s="235">
        <f t="shared" si="74"/>
        <v>3</v>
      </c>
      <c r="D163" s="226">
        <f t="shared" si="75"/>
        <v>7</v>
      </c>
      <c r="E163" s="226" t="str">
        <f t="shared" si="76"/>
        <v>Tail</v>
      </c>
      <c r="F163" s="230">
        <f t="shared" si="77"/>
        <v>100000000</v>
      </c>
      <c r="G163" s="236">
        <f t="shared" si="78"/>
        <v>0.15</v>
      </c>
      <c r="H163" s="230">
        <f t="shared" si="79"/>
        <v>300000</v>
      </c>
      <c r="I163" s="236">
        <f t="shared" si="62"/>
        <v>0</v>
      </c>
      <c r="J163" s="234">
        <v>24</v>
      </c>
      <c r="K163" s="234">
        <f t="shared" si="63"/>
        <v>2049</v>
      </c>
      <c r="L163" s="230">
        <f>IF(J163=1,'Model Inputs'!$B$25*(13-'Model Inputs'!$B$23)/12,'Model Inputs'!$B$25)</f>
        <v>300000</v>
      </c>
      <c r="M163" s="230">
        <f>IF(J163=1,'Model Inputs'!$B$27*(13-'Model Inputs'!$B$23)/12,IF(J163=2,'Model Inputs'!$B$27,IF(J163&lt;=MAX(3,'Model Inputs'!$B$30+1),'Model Inputs'!$B$27*(1+'Model Inputs'!$B$28)^(J163-3),'Model Inputs'!$B$27*(1+'Model Inputs'!$B$28)^(MAX(3,'Model Inputs'!$B$30+1)-3)*(1+'Model Inputs'!$B$29)^(J163-MAX(3,'Model Inputs'!$B$30+1)))))</f>
        <v>90301156.084270701</v>
      </c>
      <c r="N163" s="236">
        <f>IF(J163&lt;=2,0,'Model Inputs'!$B$32*SIN(2*PI()*(J163-3+'Model Inputs'!$B$34)/MAX(1,'Model Inputs'!$B$33)))</f>
        <v>-2.0574066225675533E-16</v>
      </c>
      <c r="O163" s="230">
        <f t="shared" si="64"/>
        <v>90301156.084270686</v>
      </c>
      <c r="P163" s="230">
        <f t="shared" si="84"/>
        <v>63182470.219744325</v>
      </c>
      <c r="Q163" s="230">
        <f>L163+P163+IF(J163=1,'Model Inputs'!$B$26,0)</f>
        <v>63482470.219744325</v>
      </c>
      <c r="R163" s="230">
        <f t="shared" si="65"/>
        <v>190447410.65923297</v>
      </c>
      <c r="S163" s="230">
        <f t="shared" si="66"/>
        <v>15300000</v>
      </c>
      <c r="T163" s="230">
        <f t="shared" si="67"/>
        <v>15300000</v>
      </c>
      <c r="U163" s="230">
        <f>MIN(T163,'Tax Assumptions'!$B$19)</f>
        <v>24500</v>
      </c>
      <c r="V163" s="230">
        <f>MAX(T163-U163-'Tax Assumptions'!$B$8,0)</f>
        <v>15259400</v>
      </c>
      <c r="W163" s="230">
        <f>MAX(T163-U163-'Tax Assumptions'!$B$9,0)</f>
        <v>15267500</v>
      </c>
      <c r="X163" s="230">
        <f>IF(V163=0,0,LOOKUP(V163,'Tax Assumptions'!$F$9:$F$15,'Tax Assumptions'!$I$9:$I$15)+(V163-LOOKUP(V163,'Tax Assumptions'!$F$9:$F$15,'Tax Assumptions'!$F$9:$F$15))*LOOKUP(V163,'Tax Assumptions'!$F$9:$F$15,'Tax Assumptions'!$H$9:$H$15))+MIN(MAX(T163,0),'Tax Assumptions'!$B$11)*'Tax Assumptions'!$B$10+MAX(T163,0)*'Tax Assumptions'!$B$12+MAX(MAX(T163,0)-'Tax Assumptions'!$B$14,0)*'Tax Assumptions'!$B$13+MIN(T163*'Tax Assumptions'!$B$15,'Tax Assumptions'!$B$16)+MIN(T163*'Tax Assumptions'!$B$17,'Tax Assumptions'!$B$18)+IF(W163=0,0,LOOKUP(W163,'Tax Assumptions'!$K$9:$K$17,'Tax Assumptions'!$N$9:$N$17)+(W163-LOOKUP(W163,'Tax Assumptions'!$K$9:$K$17,'Tax Assumptions'!$K$9:$K$17))*LOOKUP(W163,'Tax Assumptions'!$K$9:$K$17,'Tax Assumptions'!$M$9:$M$17))+IF(W163=0,0,LOOKUP(W163,'Tax Assumptions'!$P$9:$P$12,'Tax Assumptions'!$S$9:$S$12)+(W163-LOOKUP(W163,'Tax Assumptions'!$P$9:$P$12,'Tax Assumptions'!$P$9:$P$12))*LOOKUP(W163,'Tax Assumptions'!$P$9:$P$12,'Tax Assumptions'!$R$9:$R$12))</f>
        <v>8070480.54</v>
      </c>
      <c r="Y163" s="230">
        <f t="shared" si="68"/>
        <v>7205019.46</v>
      </c>
      <c r="Z163" s="230">
        <f>IF(J163&lt;=10,INDEX('Savings Projection'!$BL$19:$BL$28,J163),LOOKUP(2,1/('Savings Projection'!$BL$19:$BL$28&lt;&gt;""),'Savings Projection'!$BL$19:$BL$28))*(1+'Model Inputs'!$B$35)^(J163-1)+IF(J163&lt;=10,INDEX('Savings Projection'!$BM$19:$BM$28,J163),LOOKUP(2,1/('Savings Projection'!$BM$19:$BM$28&lt;&gt;""),'Savings Projection'!$BM$19:$BM$28))*(1+'Model Inputs'!$B$36)^(J163-1)</f>
        <v>256566.24644645851</v>
      </c>
      <c r="AA163" s="230">
        <f t="shared" si="69"/>
        <v>6948453.2135535413</v>
      </c>
      <c r="AB163" s="230">
        <f>MIN(MAX(AA163,0),'Tax Assumptions'!$B$20)</f>
        <v>7500</v>
      </c>
      <c r="AC163" s="230">
        <f t="shared" si="70"/>
        <v>6940953.2135535413</v>
      </c>
      <c r="AD163" s="230">
        <f>MAX(AD162*(1+'Model Inputs'!$B$13)+AC163,0)</f>
        <v>230072831.80078906</v>
      </c>
      <c r="AE163" s="230">
        <f>MAX(AE162*(1+'Model Inputs'!$B$13)+U163+AB163,0)</f>
        <v>1626098.4753426341</v>
      </c>
      <c r="AF163" s="230">
        <f t="shared" si="71"/>
        <v>231698930.27613169</v>
      </c>
      <c r="AG163" s="226" t="str">
        <f t="shared" si="80"/>
        <v/>
      </c>
      <c r="AH163" s="226" t="str">
        <f t="shared" si="81"/>
        <v/>
      </c>
      <c r="AI163" s="226" t="str">
        <f t="shared" si="82"/>
        <v/>
      </c>
      <c r="AJ163" s="226" t="str">
        <f t="shared" si="83"/>
        <v/>
      </c>
    </row>
    <row r="164" spans="1:36" ht="18" customHeight="1" x14ac:dyDescent="0.2">
      <c r="A164" s="226" t="str">
        <f t="shared" si="72"/>
        <v>3Y -&gt; PM Y7 Tail</v>
      </c>
      <c r="B164" s="226">
        <f t="shared" si="73"/>
        <v>3</v>
      </c>
      <c r="C164" s="235">
        <f t="shared" si="74"/>
        <v>3</v>
      </c>
      <c r="D164" s="226">
        <f t="shared" si="75"/>
        <v>7</v>
      </c>
      <c r="E164" s="226" t="str">
        <f t="shared" si="76"/>
        <v>Tail</v>
      </c>
      <c r="F164" s="230">
        <f t="shared" si="77"/>
        <v>100000000</v>
      </c>
      <c r="G164" s="236">
        <f t="shared" si="78"/>
        <v>0.15</v>
      </c>
      <c r="H164" s="230">
        <f t="shared" si="79"/>
        <v>300000</v>
      </c>
      <c r="I164" s="236">
        <f t="shared" si="62"/>
        <v>0</v>
      </c>
      <c r="J164" s="234">
        <v>25</v>
      </c>
      <c r="K164" s="234">
        <f t="shared" si="63"/>
        <v>2050</v>
      </c>
      <c r="L164" s="230">
        <f>IF(J164=1,'Model Inputs'!$B$25*(13-'Model Inputs'!$B$23)/12,'Model Inputs'!$B$25)</f>
        <v>300000</v>
      </c>
      <c r="M164" s="230">
        <f>IF(J164=1,'Model Inputs'!$B$27*(13-'Model Inputs'!$B$23)/12,IF(J164=2,'Model Inputs'!$B$27,IF(J164&lt;=MAX(3,'Model Inputs'!$B$30+1),'Model Inputs'!$B$27*(1+'Model Inputs'!$B$28)^(J164-3),'Model Inputs'!$B$27*(1+'Model Inputs'!$B$28)^(MAX(3,'Model Inputs'!$B$30+1)-3)*(1+'Model Inputs'!$B$29)^(J164-MAX(3,'Model Inputs'!$B$30+1)))))</f>
        <v>114761701.62653697</v>
      </c>
      <c r="N164" s="236">
        <f>IF(J164&lt;=2,0,'Model Inputs'!$B$32*SIN(2*PI()*(J164-3+'Model Inputs'!$B$34)/MAX(1,'Model Inputs'!$B$33)))</f>
        <v>0.10392304845413287</v>
      </c>
      <c r="O164" s="230">
        <f t="shared" si="64"/>
        <v>126688087.50535031</v>
      </c>
      <c r="P164" s="230">
        <f t="shared" si="84"/>
        <v>83643370.677900568</v>
      </c>
      <c r="Q164" s="230">
        <f>L164+P164+IF(J164=1,'Model Inputs'!$B$26,0)</f>
        <v>83943370.677900568</v>
      </c>
      <c r="R164" s="230">
        <f t="shared" si="65"/>
        <v>251830112.03370172</v>
      </c>
      <c r="S164" s="230">
        <f t="shared" si="66"/>
        <v>15300000</v>
      </c>
      <c r="T164" s="230">
        <f t="shared" si="67"/>
        <v>15300000</v>
      </c>
      <c r="U164" s="230">
        <f>MIN(T164,'Tax Assumptions'!$B$19)</f>
        <v>24500</v>
      </c>
      <c r="V164" s="230">
        <f>MAX(T164-U164-'Tax Assumptions'!$B$8,0)</f>
        <v>15259400</v>
      </c>
      <c r="W164" s="230">
        <f>MAX(T164-U164-'Tax Assumptions'!$B$9,0)</f>
        <v>15267500</v>
      </c>
      <c r="X164" s="230">
        <f>IF(V164=0,0,LOOKUP(V164,'Tax Assumptions'!$F$9:$F$15,'Tax Assumptions'!$I$9:$I$15)+(V164-LOOKUP(V164,'Tax Assumptions'!$F$9:$F$15,'Tax Assumptions'!$F$9:$F$15))*LOOKUP(V164,'Tax Assumptions'!$F$9:$F$15,'Tax Assumptions'!$H$9:$H$15))+MIN(MAX(T164,0),'Tax Assumptions'!$B$11)*'Tax Assumptions'!$B$10+MAX(T164,0)*'Tax Assumptions'!$B$12+MAX(MAX(T164,0)-'Tax Assumptions'!$B$14,0)*'Tax Assumptions'!$B$13+MIN(T164*'Tax Assumptions'!$B$15,'Tax Assumptions'!$B$16)+MIN(T164*'Tax Assumptions'!$B$17,'Tax Assumptions'!$B$18)+IF(W164=0,0,LOOKUP(W164,'Tax Assumptions'!$K$9:$K$17,'Tax Assumptions'!$N$9:$N$17)+(W164-LOOKUP(W164,'Tax Assumptions'!$K$9:$K$17,'Tax Assumptions'!$K$9:$K$17))*LOOKUP(W164,'Tax Assumptions'!$K$9:$K$17,'Tax Assumptions'!$M$9:$M$17))+IF(W164=0,0,LOOKUP(W164,'Tax Assumptions'!$P$9:$P$12,'Tax Assumptions'!$S$9:$S$12)+(W164-LOOKUP(W164,'Tax Assumptions'!$P$9:$P$12,'Tax Assumptions'!$P$9:$P$12))*LOOKUP(W164,'Tax Assumptions'!$P$9:$P$12,'Tax Assumptions'!$R$9:$R$12))</f>
        <v>8070480.54</v>
      </c>
      <c r="Y164" s="230">
        <f t="shared" si="68"/>
        <v>7205019.46</v>
      </c>
      <c r="Z164" s="230">
        <f>IF(J164&lt;=10,INDEX('Savings Projection'!$BL$19:$BL$28,J164),LOOKUP(2,1/('Savings Projection'!$BL$19:$BL$28&lt;&gt;""),'Savings Projection'!$BL$19:$BL$28))*(1+'Model Inputs'!$B$35)^(J164-1)+IF(J164&lt;=10,INDEX('Savings Projection'!$BM$19:$BM$28,J164),LOOKUP(2,1/('Savings Projection'!$BM$19:$BM$28&lt;&gt;""),'Savings Projection'!$BM$19:$BM$28))*(1+'Model Inputs'!$B$36)^(J164-1)</f>
        <v>264263.23383985227</v>
      </c>
      <c r="AA164" s="230">
        <f t="shared" si="69"/>
        <v>6940756.2261601482</v>
      </c>
      <c r="AB164" s="230">
        <f>MIN(MAX(AA164,0),'Tax Assumptions'!$B$20)</f>
        <v>7500</v>
      </c>
      <c r="AC164" s="230">
        <f t="shared" si="70"/>
        <v>6933256.2261601482</v>
      </c>
      <c r="AD164" s="230">
        <f>MAX(AD163*(1+'Model Inputs'!$B$13)+AC164,0)</f>
        <v>250810457.93499655</v>
      </c>
      <c r="AE164" s="230">
        <f>MAX(AE163*(1+'Model Inputs'!$B$13)+U164+AB164,0)</f>
        <v>1755664.3838631923</v>
      </c>
      <c r="AF164" s="230">
        <f t="shared" si="71"/>
        <v>252566122.31885973</v>
      </c>
      <c r="AG164" s="226" t="str">
        <f t="shared" si="80"/>
        <v/>
      </c>
      <c r="AH164" s="226" t="str">
        <f t="shared" si="81"/>
        <v/>
      </c>
      <c r="AI164" s="226" t="str">
        <f t="shared" si="82"/>
        <v/>
      </c>
      <c r="AJ164" s="226" t="str">
        <f t="shared" si="83"/>
        <v/>
      </c>
    </row>
    <row r="165" spans="1:36" ht="18" customHeight="1" x14ac:dyDescent="0.2">
      <c r="A165" s="226" t="str">
        <f t="shared" si="72"/>
        <v>3Y -&gt; PM Y7 Tail</v>
      </c>
      <c r="B165" s="226">
        <f t="shared" si="73"/>
        <v>3</v>
      </c>
      <c r="C165" s="235">
        <f t="shared" si="74"/>
        <v>3</v>
      </c>
      <c r="D165" s="226">
        <f t="shared" si="75"/>
        <v>7</v>
      </c>
      <c r="E165" s="226" t="str">
        <f t="shared" si="76"/>
        <v>Tail</v>
      </c>
      <c r="F165" s="230">
        <f t="shared" si="77"/>
        <v>100000000</v>
      </c>
      <c r="G165" s="236">
        <f t="shared" si="78"/>
        <v>0.15</v>
      </c>
      <c r="H165" s="230">
        <f t="shared" si="79"/>
        <v>300000</v>
      </c>
      <c r="I165" s="236">
        <f t="shared" si="62"/>
        <v>0</v>
      </c>
      <c r="J165" s="234">
        <v>26</v>
      </c>
      <c r="K165" s="234">
        <f t="shared" si="63"/>
        <v>2051</v>
      </c>
      <c r="L165" s="230">
        <f>IF(J165=1,'Model Inputs'!$B$25*(13-'Model Inputs'!$B$23)/12,'Model Inputs'!$B$25)</f>
        <v>300000</v>
      </c>
      <c r="M165" s="230">
        <f>IF(J165=1,'Model Inputs'!$B$27*(13-'Model Inputs'!$B$23)/12,IF(J165=2,'Model Inputs'!$B$27,IF(J165&lt;=MAX(3,'Model Inputs'!$B$30+1),'Model Inputs'!$B$27*(1+'Model Inputs'!$B$28)^(J165-3),'Model Inputs'!$B$27*(1+'Model Inputs'!$B$28)^(MAX(3,'Model Inputs'!$B$30+1)-3)*(1+'Model Inputs'!$B$29)^(J165-MAX(3,'Model Inputs'!$B$30+1)))))</f>
        <v>145848057.00524563</v>
      </c>
      <c r="N165" s="236">
        <f>IF(J165&lt;=2,0,'Model Inputs'!$B$32*SIN(2*PI()*(J165-3+'Model Inputs'!$B$34)/MAX(1,'Model Inputs'!$B$33)))</f>
        <v>-0.10392304845413224</v>
      </c>
      <c r="O165" s="230">
        <f t="shared" si="64"/>
        <v>130691082.31014845</v>
      </c>
      <c r="P165" s="230">
        <f t="shared" si="84"/>
        <v>117591354.65008041</v>
      </c>
      <c r="Q165" s="230">
        <f>L165+P165+IF(J165=1,'Model Inputs'!$B$26,0)</f>
        <v>117891354.65008041</v>
      </c>
      <c r="R165" s="230">
        <f t="shared" si="65"/>
        <v>353674063.95024121</v>
      </c>
      <c r="S165" s="230">
        <f t="shared" si="66"/>
        <v>15300000</v>
      </c>
      <c r="T165" s="230">
        <f t="shared" si="67"/>
        <v>15300000</v>
      </c>
      <c r="U165" s="230">
        <f>MIN(T165,'Tax Assumptions'!$B$19)</f>
        <v>24500</v>
      </c>
      <c r="V165" s="230">
        <f>MAX(T165-U165-'Tax Assumptions'!$B$8,0)</f>
        <v>15259400</v>
      </c>
      <c r="W165" s="230">
        <f>MAX(T165-U165-'Tax Assumptions'!$B$9,0)</f>
        <v>15267500</v>
      </c>
      <c r="X165" s="230">
        <f>IF(V165=0,0,LOOKUP(V165,'Tax Assumptions'!$F$9:$F$15,'Tax Assumptions'!$I$9:$I$15)+(V165-LOOKUP(V165,'Tax Assumptions'!$F$9:$F$15,'Tax Assumptions'!$F$9:$F$15))*LOOKUP(V165,'Tax Assumptions'!$F$9:$F$15,'Tax Assumptions'!$H$9:$H$15))+MIN(MAX(T165,0),'Tax Assumptions'!$B$11)*'Tax Assumptions'!$B$10+MAX(T165,0)*'Tax Assumptions'!$B$12+MAX(MAX(T165,0)-'Tax Assumptions'!$B$14,0)*'Tax Assumptions'!$B$13+MIN(T165*'Tax Assumptions'!$B$15,'Tax Assumptions'!$B$16)+MIN(T165*'Tax Assumptions'!$B$17,'Tax Assumptions'!$B$18)+IF(W165=0,0,LOOKUP(W165,'Tax Assumptions'!$K$9:$K$17,'Tax Assumptions'!$N$9:$N$17)+(W165-LOOKUP(W165,'Tax Assumptions'!$K$9:$K$17,'Tax Assumptions'!$K$9:$K$17))*LOOKUP(W165,'Tax Assumptions'!$K$9:$K$17,'Tax Assumptions'!$M$9:$M$17))+IF(W165=0,0,LOOKUP(W165,'Tax Assumptions'!$P$9:$P$12,'Tax Assumptions'!$S$9:$S$12)+(W165-LOOKUP(W165,'Tax Assumptions'!$P$9:$P$12,'Tax Assumptions'!$P$9:$P$12))*LOOKUP(W165,'Tax Assumptions'!$P$9:$P$12,'Tax Assumptions'!$R$9:$R$12))</f>
        <v>8070480.54</v>
      </c>
      <c r="Y165" s="230">
        <f t="shared" si="68"/>
        <v>7205019.46</v>
      </c>
      <c r="Z165" s="230">
        <f>IF(J165&lt;=10,INDEX('Savings Projection'!$BL$19:$BL$28,J165),LOOKUP(2,1/('Savings Projection'!$BL$19:$BL$28&lt;&gt;""),'Savings Projection'!$BL$19:$BL$28))*(1+'Model Inputs'!$B$35)^(J165-1)+IF(J165&lt;=10,INDEX('Savings Projection'!$BM$19:$BM$28,J165),LOOKUP(2,1/('Savings Projection'!$BM$19:$BM$28&lt;&gt;""),'Savings Projection'!$BM$19:$BM$28))*(1+'Model Inputs'!$B$36)^(J165-1)</f>
        <v>272191.13085504784</v>
      </c>
      <c r="AA165" s="230">
        <f t="shared" si="69"/>
        <v>6932828.3291449519</v>
      </c>
      <c r="AB165" s="230">
        <f>MIN(MAX(AA165,0),'Tax Assumptions'!$B$20)</f>
        <v>7500</v>
      </c>
      <c r="AC165" s="230">
        <f t="shared" si="70"/>
        <v>6925328.3291449519</v>
      </c>
      <c r="AD165" s="230">
        <f>MAX(AD164*(1+'Model Inputs'!$B$13)+AC165,0)</f>
        <v>272784413.74024129</v>
      </c>
      <c r="AE165" s="230">
        <f>MAX(AE164*(1+'Model Inputs'!$B$13)+U165+AB165,0)</f>
        <v>1893004.2468949838</v>
      </c>
      <c r="AF165" s="230">
        <f t="shared" si="71"/>
        <v>274677417.98713624</v>
      </c>
      <c r="AG165" s="226" t="str">
        <f t="shared" si="80"/>
        <v/>
      </c>
      <c r="AH165" s="226" t="str">
        <f t="shared" si="81"/>
        <v/>
      </c>
      <c r="AI165" s="226" t="str">
        <f t="shared" si="82"/>
        <v/>
      </c>
      <c r="AJ165" s="226" t="str">
        <f t="shared" si="83"/>
        <v/>
      </c>
    </row>
    <row r="166" spans="1:36" ht="18" customHeight="1" x14ac:dyDescent="0.2">
      <c r="A166" s="226" t="str">
        <f t="shared" si="72"/>
        <v>3Y -&gt; PM Y7 Tail</v>
      </c>
      <c r="B166" s="226">
        <f t="shared" si="73"/>
        <v>3</v>
      </c>
      <c r="C166" s="235">
        <f t="shared" si="74"/>
        <v>3</v>
      </c>
      <c r="D166" s="226">
        <f t="shared" si="75"/>
        <v>7</v>
      </c>
      <c r="E166" s="226" t="str">
        <f t="shared" si="76"/>
        <v>Tail</v>
      </c>
      <c r="F166" s="230">
        <f t="shared" si="77"/>
        <v>100000000</v>
      </c>
      <c r="G166" s="236">
        <f t="shared" si="78"/>
        <v>0.15</v>
      </c>
      <c r="H166" s="230">
        <f t="shared" si="79"/>
        <v>300000</v>
      </c>
      <c r="I166" s="236">
        <f t="shared" si="62"/>
        <v>0</v>
      </c>
      <c r="J166" s="234">
        <v>27</v>
      </c>
      <c r="K166" s="234">
        <f t="shared" si="63"/>
        <v>2052</v>
      </c>
      <c r="L166" s="230">
        <f>IF(J166=1,'Model Inputs'!$B$25*(13-'Model Inputs'!$B$23)/12,'Model Inputs'!$B$25)</f>
        <v>300000</v>
      </c>
      <c r="M166" s="230">
        <f>IF(J166=1,'Model Inputs'!$B$27*(13-'Model Inputs'!$B$23)/12,IF(J166=2,'Model Inputs'!$B$27,IF(J166&lt;=MAX(3,'Model Inputs'!$B$30+1),'Model Inputs'!$B$27*(1+'Model Inputs'!$B$28)^(J166-3),'Model Inputs'!$B$27*(1+'Model Inputs'!$B$28)^(MAX(3,'Model Inputs'!$B$30+1)-3)*(1+'Model Inputs'!$B$29)^(J166-MAX(3,'Model Inputs'!$B$30+1)))))</f>
        <v>185355004.59402937</v>
      </c>
      <c r="N166" s="236">
        <f>IF(J166&lt;=2,0,'Model Inputs'!$B$32*SIN(2*PI()*(J166-3+'Model Inputs'!$B$34)/MAX(1,'Model Inputs'!$B$33)))</f>
        <v>-2.3513218543629179E-16</v>
      </c>
      <c r="O166" s="230">
        <f t="shared" si="64"/>
        <v>185355004.59402934</v>
      </c>
      <c r="P166" s="230">
        <f t="shared" si="84"/>
        <v>129690333.6089489</v>
      </c>
      <c r="Q166" s="230">
        <f>L166+P166+IF(J166=1,'Model Inputs'!$B$26,0)</f>
        <v>129990333.6089489</v>
      </c>
      <c r="R166" s="230">
        <f t="shared" si="65"/>
        <v>389971000.82684672</v>
      </c>
      <c r="S166" s="230">
        <f t="shared" si="66"/>
        <v>15300000</v>
      </c>
      <c r="T166" s="230">
        <f t="shared" si="67"/>
        <v>15300000</v>
      </c>
      <c r="U166" s="230">
        <f>MIN(T166,'Tax Assumptions'!$B$19)</f>
        <v>24500</v>
      </c>
      <c r="V166" s="230">
        <f>MAX(T166-U166-'Tax Assumptions'!$B$8,0)</f>
        <v>15259400</v>
      </c>
      <c r="W166" s="230">
        <f>MAX(T166-U166-'Tax Assumptions'!$B$9,0)</f>
        <v>15267500</v>
      </c>
      <c r="X166" s="230">
        <f>IF(V166=0,0,LOOKUP(V166,'Tax Assumptions'!$F$9:$F$15,'Tax Assumptions'!$I$9:$I$15)+(V166-LOOKUP(V166,'Tax Assumptions'!$F$9:$F$15,'Tax Assumptions'!$F$9:$F$15))*LOOKUP(V166,'Tax Assumptions'!$F$9:$F$15,'Tax Assumptions'!$H$9:$H$15))+MIN(MAX(T166,0),'Tax Assumptions'!$B$11)*'Tax Assumptions'!$B$10+MAX(T166,0)*'Tax Assumptions'!$B$12+MAX(MAX(T166,0)-'Tax Assumptions'!$B$14,0)*'Tax Assumptions'!$B$13+MIN(T166*'Tax Assumptions'!$B$15,'Tax Assumptions'!$B$16)+MIN(T166*'Tax Assumptions'!$B$17,'Tax Assumptions'!$B$18)+IF(W166=0,0,LOOKUP(W166,'Tax Assumptions'!$K$9:$K$17,'Tax Assumptions'!$N$9:$N$17)+(W166-LOOKUP(W166,'Tax Assumptions'!$K$9:$K$17,'Tax Assumptions'!$K$9:$K$17))*LOOKUP(W166,'Tax Assumptions'!$K$9:$K$17,'Tax Assumptions'!$M$9:$M$17))+IF(W166=0,0,LOOKUP(W166,'Tax Assumptions'!$P$9:$P$12,'Tax Assumptions'!$S$9:$S$12)+(W166-LOOKUP(W166,'Tax Assumptions'!$P$9:$P$12,'Tax Assumptions'!$P$9:$P$12))*LOOKUP(W166,'Tax Assumptions'!$P$9:$P$12,'Tax Assumptions'!$R$9:$R$12))</f>
        <v>8070480.54</v>
      </c>
      <c r="Y166" s="230">
        <f t="shared" si="68"/>
        <v>7205019.46</v>
      </c>
      <c r="Z166" s="230">
        <f>IF(J166&lt;=10,INDEX('Savings Projection'!$BL$19:$BL$28,J166),LOOKUP(2,1/('Savings Projection'!$BL$19:$BL$28&lt;&gt;""),'Savings Projection'!$BL$19:$BL$28))*(1+'Model Inputs'!$B$35)^(J166-1)+IF(J166&lt;=10,INDEX('Savings Projection'!$BM$19:$BM$28,J166),LOOKUP(2,1/('Savings Projection'!$BM$19:$BM$28&lt;&gt;""),'Savings Projection'!$BM$19:$BM$28))*(1+'Model Inputs'!$B$36)^(J166-1)</f>
        <v>280356.86478069925</v>
      </c>
      <c r="AA166" s="230">
        <f t="shared" si="69"/>
        <v>6924662.5952193011</v>
      </c>
      <c r="AB166" s="230">
        <f>MIN(MAX(AA166,0),'Tax Assumptions'!$B$20)</f>
        <v>7500</v>
      </c>
      <c r="AC166" s="230">
        <f t="shared" si="70"/>
        <v>6917162.5952193011</v>
      </c>
      <c r="AD166" s="230">
        <f>MAX(AD165*(1+'Model Inputs'!$B$13)+AC166,0)</f>
        <v>296068641.15987509</v>
      </c>
      <c r="AE166" s="230">
        <f>MAX(AE165*(1+'Model Inputs'!$B$13)+U166+AB166,0)</f>
        <v>2038584.5017086829</v>
      </c>
      <c r="AF166" s="230">
        <f t="shared" si="71"/>
        <v>298107225.66158378</v>
      </c>
      <c r="AG166" s="226" t="str">
        <f t="shared" si="80"/>
        <v/>
      </c>
      <c r="AH166" s="226" t="str">
        <f t="shared" si="81"/>
        <v/>
      </c>
      <c r="AI166" s="226" t="str">
        <f t="shared" si="82"/>
        <v/>
      </c>
      <c r="AJ166" s="226" t="str">
        <f t="shared" si="83"/>
        <v/>
      </c>
    </row>
    <row r="167" spans="1:36" ht="18" customHeight="1" x14ac:dyDescent="0.2">
      <c r="A167" s="226" t="str">
        <f t="shared" si="72"/>
        <v>3Y -&gt; PM Y7 Tail</v>
      </c>
      <c r="B167" s="226">
        <f t="shared" si="73"/>
        <v>3</v>
      </c>
      <c r="C167" s="235">
        <f t="shared" si="74"/>
        <v>3</v>
      </c>
      <c r="D167" s="226">
        <f t="shared" si="75"/>
        <v>7</v>
      </c>
      <c r="E167" s="226" t="str">
        <f t="shared" si="76"/>
        <v>Tail</v>
      </c>
      <c r="F167" s="230">
        <f t="shared" si="77"/>
        <v>100000000</v>
      </c>
      <c r="G167" s="236">
        <f t="shared" si="78"/>
        <v>0.15</v>
      </c>
      <c r="H167" s="230">
        <f t="shared" si="79"/>
        <v>300000</v>
      </c>
      <c r="I167" s="236">
        <f t="shared" si="62"/>
        <v>0</v>
      </c>
      <c r="J167" s="234">
        <v>28</v>
      </c>
      <c r="K167" s="234">
        <f t="shared" si="63"/>
        <v>2053</v>
      </c>
      <c r="L167" s="230">
        <f>IF(J167=1,'Model Inputs'!$B$25*(13-'Model Inputs'!$B$23)/12,'Model Inputs'!$B$25)</f>
        <v>300000</v>
      </c>
      <c r="M167" s="230">
        <f>IF(J167=1,'Model Inputs'!$B$27*(13-'Model Inputs'!$B$23)/12,IF(J167=2,'Model Inputs'!$B$27,IF(J167&lt;=MAX(3,'Model Inputs'!$B$30+1),'Model Inputs'!$B$27*(1+'Model Inputs'!$B$28)^(J167-3),'Model Inputs'!$B$27*(1+'Model Inputs'!$B$28)^(MAX(3,'Model Inputs'!$B$30+1)-3)*(1+'Model Inputs'!$B$29)^(J167-MAX(3,'Model Inputs'!$B$30+1)))))</f>
        <v>235563492.81236541</v>
      </c>
      <c r="N167" s="236">
        <f>IF(J167&lt;=2,0,'Model Inputs'!$B$32*SIN(2*PI()*(J167-3+'Model Inputs'!$B$34)/MAX(1,'Model Inputs'!$B$33)))</f>
        <v>0.10392304845413247</v>
      </c>
      <c r="O167" s="230">
        <f t="shared" si="64"/>
        <v>260043969.08992955</v>
      </c>
      <c r="P167" s="230">
        <f t="shared" si="84"/>
        <v>171689024.02305913</v>
      </c>
      <c r="Q167" s="230">
        <f>L167+P167+IF(J167=1,'Model Inputs'!$B$26,0)</f>
        <v>171989024.02305913</v>
      </c>
      <c r="R167" s="230">
        <f t="shared" si="65"/>
        <v>515967072.06917739</v>
      </c>
      <c r="S167" s="230">
        <f t="shared" si="66"/>
        <v>15300000</v>
      </c>
      <c r="T167" s="230">
        <f t="shared" si="67"/>
        <v>15300000</v>
      </c>
      <c r="U167" s="230">
        <f>MIN(T167,'Tax Assumptions'!$B$19)</f>
        <v>24500</v>
      </c>
      <c r="V167" s="230">
        <f>MAX(T167-U167-'Tax Assumptions'!$B$8,0)</f>
        <v>15259400</v>
      </c>
      <c r="W167" s="230">
        <f>MAX(T167-U167-'Tax Assumptions'!$B$9,0)</f>
        <v>15267500</v>
      </c>
      <c r="X167" s="230">
        <f>IF(V167=0,0,LOOKUP(V167,'Tax Assumptions'!$F$9:$F$15,'Tax Assumptions'!$I$9:$I$15)+(V167-LOOKUP(V167,'Tax Assumptions'!$F$9:$F$15,'Tax Assumptions'!$F$9:$F$15))*LOOKUP(V167,'Tax Assumptions'!$F$9:$F$15,'Tax Assumptions'!$H$9:$H$15))+MIN(MAX(T167,0),'Tax Assumptions'!$B$11)*'Tax Assumptions'!$B$10+MAX(T167,0)*'Tax Assumptions'!$B$12+MAX(MAX(T167,0)-'Tax Assumptions'!$B$14,0)*'Tax Assumptions'!$B$13+MIN(T167*'Tax Assumptions'!$B$15,'Tax Assumptions'!$B$16)+MIN(T167*'Tax Assumptions'!$B$17,'Tax Assumptions'!$B$18)+IF(W167=0,0,LOOKUP(W167,'Tax Assumptions'!$K$9:$K$17,'Tax Assumptions'!$N$9:$N$17)+(W167-LOOKUP(W167,'Tax Assumptions'!$K$9:$K$17,'Tax Assumptions'!$K$9:$K$17))*LOOKUP(W167,'Tax Assumptions'!$K$9:$K$17,'Tax Assumptions'!$M$9:$M$17))+IF(W167=0,0,LOOKUP(W167,'Tax Assumptions'!$P$9:$P$12,'Tax Assumptions'!$S$9:$S$12)+(W167-LOOKUP(W167,'Tax Assumptions'!$P$9:$P$12,'Tax Assumptions'!$P$9:$P$12))*LOOKUP(W167,'Tax Assumptions'!$P$9:$P$12,'Tax Assumptions'!$R$9:$R$12))</f>
        <v>8070480.54</v>
      </c>
      <c r="Y167" s="230">
        <f t="shared" si="68"/>
        <v>7205019.46</v>
      </c>
      <c r="Z167" s="230">
        <f>IF(J167&lt;=10,INDEX('Savings Projection'!$BL$19:$BL$28,J167),LOOKUP(2,1/('Savings Projection'!$BL$19:$BL$28&lt;&gt;""),'Savings Projection'!$BL$19:$BL$28))*(1+'Model Inputs'!$B$35)^(J167-1)+IF(J167&lt;=10,INDEX('Savings Projection'!$BM$19:$BM$28,J167),LOOKUP(2,1/('Savings Projection'!$BM$19:$BM$28&lt;&gt;""),'Savings Projection'!$BM$19:$BM$28))*(1+'Model Inputs'!$B$36)^(J167-1)</f>
        <v>288767.57072412025</v>
      </c>
      <c r="AA167" s="230">
        <f t="shared" si="69"/>
        <v>6916251.8892758796</v>
      </c>
      <c r="AB167" s="230">
        <f>MIN(MAX(AA167,0),'Tax Assumptions'!$B$20)</f>
        <v>7500</v>
      </c>
      <c r="AC167" s="230">
        <f t="shared" si="70"/>
        <v>6908751.8892758796</v>
      </c>
      <c r="AD167" s="230">
        <f>MAX(AD166*(1+'Model Inputs'!$B$13)+AC167,0)</f>
        <v>320741511.51874352</v>
      </c>
      <c r="AE167" s="230">
        <f>MAX(AE166*(1+'Model Inputs'!$B$13)+U167+AB167,0)</f>
        <v>2192899.5718112038</v>
      </c>
      <c r="AF167" s="230">
        <f t="shared" si="71"/>
        <v>322934411.09055471</v>
      </c>
      <c r="AG167" s="226" t="str">
        <f t="shared" si="80"/>
        <v/>
      </c>
      <c r="AH167" s="226" t="str">
        <f t="shared" si="81"/>
        <v/>
      </c>
      <c r="AI167" s="226" t="str">
        <f t="shared" si="82"/>
        <v/>
      </c>
      <c r="AJ167" s="226" t="str">
        <f t="shared" si="83"/>
        <v/>
      </c>
    </row>
    <row r="168" spans="1:36" ht="18" customHeight="1" x14ac:dyDescent="0.2">
      <c r="A168" s="226" t="str">
        <f t="shared" si="72"/>
        <v>3Y -&gt; PM Y7 Tail</v>
      </c>
      <c r="B168" s="226">
        <f t="shared" si="73"/>
        <v>3</v>
      </c>
      <c r="C168" s="235">
        <f t="shared" si="74"/>
        <v>3</v>
      </c>
      <c r="D168" s="226">
        <f t="shared" si="75"/>
        <v>7</v>
      </c>
      <c r="E168" s="226" t="str">
        <f t="shared" si="76"/>
        <v>Tail</v>
      </c>
      <c r="F168" s="230">
        <f t="shared" si="77"/>
        <v>100000000</v>
      </c>
      <c r="G168" s="236">
        <f t="shared" si="78"/>
        <v>0.15</v>
      </c>
      <c r="H168" s="230">
        <f t="shared" si="79"/>
        <v>300000</v>
      </c>
      <c r="I168" s="236">
        <f t="shared" si="62"/>
        <v>0</v>
      </c>
      <c r="J168" s="234">
        <v>29</v>
      </c>
      <c r="K168" s="234">
        <f t="shared" si="63"/>
        <v>2054</v>
      </c>
      <c r="L168" s="230">
        <f>IF(J168=1,'Model Inputs'!$B$25*(13-'Model Inputs'!$B$23)/12,'Model Inputs'!$B$25)</f>
        <v>300000</v>
      </c>
      <c r="M168" s="230">
        <f>IF(J168=1,'Model Inputs'!$B$27*(13-'Model Inputs'!$B$23)/12,IF(J168=2,'Model Inputs'!$B$27,IF(J168&lt;=MAX(3,'Model Inputs'!$B$30+1),'Model Inputs'!$B$27*(1+'Model Inputs'!$B$28)^(J168-3),'Model Inputs'!$B$27*(1+'Model Inputs'!$B$28)^(MAX(3,'Model Inputs'!$B$30+1)-3)*(1+'Model Inputs'!$B$29)^(J168-MAX(3,'Model Inputs'!$B$30+1)))))</f>
        <v>299372327.53708321</v>
      </c>
      <c r="N168" s="236">
        <f>IF(J168&lt;=2,0,'Model Inputs'!$B$32*SIN(2*PI()*(J168-3+'Model Inputs'!$B$34)/MAX(1,'Model Inputs'!$B$33)))</f>
        <v>-0.10392304845413265</v>
      </c>
      <c r="O168" s="230">
        <f t="shared" si="64"/>
        <v>268260642.63662043</v>
      </c>
      <c r="P168" s="230">
        <f t="shared" si="84"/>
        <v>241371727.96595448</v>
      </c>
      <c r="Q168" s="230">
        <f>L168+P168+IF(J168=1,'Model Inputs'!$B$26,0)</f>
        <v>241671727.96595448</v>
      </c>
      <c r="R168" s="230">
        <f t="shared" si="65"/>
        <v>725015183.89786339</v>
      </c>
      <c r="S168" s="230">
        <f t="shared" si="66"/>
        <v>15300000</v>
      </c>
      <c r="T168" s="230">
        <f t="shared" si="67"/>
        <v>15300000</v>
      </c>
      <c r="U168" s="230">
        <f>MIN(T168,'Tax Assumptions'!$B$19)</f>
        <v>24500</v>
      </c>
      <c r="V168" s="230">
        <f>MAX(T168-U168-'Tax Assumptions'!$B$8,0)</f>
        <v>15259400</v>
      </c>
      <c r="W168" s="230">
        <f>MAX(T168-U168-'Tax Assumptions'!$B$9,0)</f>
        <v>15267500</v>
      </c>
      <c r="X168" s="230">
        <f>IF(V168=0,0,LOOKUP(V168,'Tax Assumptions'!$F$9:$F$15,'Tax Assumptions'!$I$9:$I$15)+(V168-LOOKUP(V168,'Tax Assumptions'!$F$9:$F$15,'Tax Assumptions'!$F$9:$F$15))*LOOKUP(V168,'Tax Assumptions'!$F$9:$F$15,'Tax Assumptions'!$H$9:$H$15))+MIN(MAX(T168,0),'Tax Assumptions'!$B$11)*'Tax Assumptions'!$B$10+MAX(T168,0)*'Tax Assumptions'!$B$12+MAX(MAX(T168,0)-'Tax Assumptions'!$B$14,0)*'Tax Assumptions'!$B$13+MIN(T168*'Tax Assumptions'!$B$15,'Tax Assumptions'!$B$16)+MIN(T168*'Tax Assumptions'!$B$17,'Tax Assumptions'!$B$18)+IF(W168=0,0,LOOKUP(W168,'Tax Assumptions'!$K$9:$K$17,'Tax Assumptions'!$N$9:$N$17)+(W168-LOOKUP(W168,'Tax Assumptions'!$K$9:$K$17,'Tax Assumptions'!$K$9:$K$17))*LOOKUP(W168,'Tax Assumptions'!$K$9:$K$17,'Tax Assumptions'!$M$9:$M$17))+IF(W168=0,0,LOOKUP(W168,'Tax Assumptions'!$P$9:$P$12,'Tax Assumptions'!$S$9:$S$12)+(W168-LOOKUP(W168,'Tax Assumptions'!$P$9:$P$12,'Tax Assumptions'!$P$9:$P$12))*LOOKUP(W168,'Tax Assumptions'!$P$9:$P$12,'Tax Assumptions'!$R$9:$R$12))</f>
        <v>8070480.54</v>
      </c>
      <c r="Y168" s="230">
        <f t="shared" si="68"/>
        <v>7205019.46</v>
      </c>
      <c r="Z168" s="230">
        <f>IF(J168&lt;=10,INDEX('Savings Projection'!$BL$19:$BL$28,J168),LOOKUP(2,1/('Savings Projection'!$BL$19:$BL$28&lt;&gt;""),'Savings Projection'!$BL$19:$BL$28))*(1+'Model Inputs'!$B$35)^(J168-1)+IF(J168&lt;=10,INDEX('Savings Projection'!$BM$19:$BM$28,J168),LOOKUP(2,1/('Savings Projection'!$BM$19:$BM$28&lt;&gt;""),'Savings Projection'!$BM$19:$BM$28))*(1+'Model Inputs'!$B$36)^(J168-1)</f>
        <v>297430.59784584382</v>
      </c>
      <c r="AA168" s="230">
        <f t="shared" si="69"/>
        <v>6907588.862154156</v>
      </c>
      <c r="AB168" s="230">
        <f>MIN(MAX(AA168,0),'Tax Assumptions'!$B$20)</f>
        <v>7500</v>
      </c>
      <c r="AC168" s="230">
        <f t="shared" si="70"/>
        <v>6900088.862154156</v>
      </c>
      <c r="AD168" s="230">
        <f>MAX(AD167*(1+'Model Inputs'!$B$13)+AC168,0)</f>
        <v>346886091.07202232</v>
      </c>
      <c r="AE168" s="230">
        <f>MAX(AE167*(1+'Model Inputs'!$B$13)+U168+AB168,0)</f>
        <v>2356473.5461198762</v>
      </c>
      <c r="AF168" s="230">
        <f t="shared" si="71"/>
        <v>349242564.61814219</v>
      </c>
      <c r="AG168" s="226" t="str">
        <f t="shared" si="80"/>
        <v/>
      </c>
      <c r="AH168" s="226" t="str">
        <f t="shared" si="81"/>
        <v/>
      </c>
      <c r="AI168" s="226" t="str">
        <f t="shared" si="82"/>
        <v/>
      </c>
      <c r="AJ168" s="226" t="str">
        <f t="shared" si="83"/>
        <v/>
      </c>
    </row>
    <row r="169" spans="1:36" ht="18" customHeight="1" x14ac:dyDescent="0.2">
      <c r="A169" s="226" t="str">
        <f t="shared" si="72"/>
        <v>3Y -&gt; PM Y7 Tail</v>
      </c>
      <c r="B169" s="226">
        <f t="shared" si="73"/>
        <v>3</v>
      </c>
      <c r="C169" s="235">
        <f t="shared" si="74"/>
        <v>3</v>
      </c>
      <c r="D169" s="226">
        <f t="shared" si="75"/>
        <v>7</v>
      </c>
      <c r="E169" s="226" t="str">
        <f t="shared" si="76"/>
        <v>Tail</v>
      </c>
      <c r="F169" s="230">
        <f t="shared" si="77"/>
        <v>100000000</v>
      </c>
      <c r="G169" s="236">
        <f t="shared" si="78"/>
        <v>0.15</v>
      </c>
      <c r="H169" s="230">
        <f t="shared" si="79"/>
        <v>300000</v>
      </c>
      <c r="I169" s="236">
        <f t="shared" si="62"/>
        <v>0</v>
      </c>
      <c r="J169" s="234">
        <v>30</v>
      </c>
      <c r="K169" s="234">
        <f t="shared" si="63"/>
        <v>2055</v>
      </c>
      <c r="L169" s="230">
        <f>IF(J169=1,'Model Inputs'!$B$25*(13-'Model Inputs'!$B$23)/12,'Model Inputs'!$B$25)</f>
        <v>300000</v>
      </c>
      <c r="M169" s="230">
        <f>IF(J169=1,'Model Inputs'!$B$27*(13-'Model Inputs'!$B$23)/12,IF(J169=2,'Model Inputs'!$B$27,IF(J169&lt;=MAX(3,'Model Inputs'!$B$30+1),'Model Inputs'!$B$27*(1+'Model Inputs'!$B$28)^(J169-3),'Model Inputs'!$B$27*(1+'Model Inputs'!$B$28)^(MAX(3,'Model Inputs'!$B$30+1)-3)*(1+'Model Inputs'!$B$29)^(J169-MAX(3,'Model Inputs'!$B$30+1)))))</f>
        <v>380465535.74563926</v>
      </c>
      <c r="N169" s="236">
        <f>IF(J169&lt;=2,0,'Model Inputs'!$B$32*SIN(2*PI()*(J169-3+'Model Inputs'!$B$34)/MAX(1,'Model Inputs'!$B$33)))</f>
        <v>-2.645237086158283E-16</v>
      </c>
      <c r="O169" s="230">
        <f t="shared" si="64"/>
        <v>380465535.7456392</v>
      </c>
      <c r="P169" s="230">
        <f t="shared" si="84"/>
        <v>266206474.24994773</v>
      </c>
      <c r="Q169" s="230">
        <f>L169+P169+IF(J169=1,'Model Inputs'!$B$26,0)</f>
        <v>266506474.24994773</v>
      </c>
      <c r="R169" s="230">
        <f t="shared" si="65"/>
        <v>799519422.74984312</v>
      </c>
      <c r="S169" s="230">
        <f t="shared" si="66"/>
        <v>15300000</v>
      </c>
      <c r="T169" s="230">
        <f t="shared" si="67"/>
        <v>15300000</v>
      </c>
      <c r="U169" s="230">
        <f>MIN(T169,'Tax Assumptions'!$B$19)</f>
        <v>24500</v>
      </c>
      <c r="V169" s="230">
        <f>MAX(T169-U169-'Tax Assumptions'!$B$8,0)</f>
        <v>15259400</v>
      </c>
      <c r="W169" s="230">
        <f>MAX(T169-U169-'Tax Assumptions'!$B$9,0)</f>
        <v>15267500</v>
      </c>
      <c r="X169" s="230">
        <f>IF(V169=0,0,LOOKUP(V169,'Tax Assumptions'!$F$9:$F$15,'Tax Assumptions'!$I$9:$I$15)+(V169-LOOKUP(V169,'Tax Assumptions'!$F$9:$F$15,'Tax Assumptions'!$F$9:$F$15))*LOOKUP(V169,'Tax Assumptions'!$F$9:$F$15,'Tax Assumptions'!$H$9:$H$15))+MIN(MAX(T169,0),'Tax Assumptions'!$B$11)*'Tax Assumptions'!$B$10+MAX(T169,0)*'Tax Assumptions'!$B$12+MAX(MAX(T169,0)-'Tax Assumptions'!$B$14,0)*'Tax Assumptions'!$B$13+MIN(T169*'Tax Assumptions'!$B$15,'Tax Assumptions'!$B$16)+MIN(T169*'Tax Assumptions'!$B$17,'Tax Assumptions'!$B$18)+IF(W169=0,0,LOOKUP(W169,'Tax Assumptions'!$K$9:$K$17,'Tax Assumptions'!$N$9:$N$17)+(W169-LOOKUP(W169,'Tax Assumptions'!$K$9:$K$17,'Tax Assumptions'!$K$9:$K$17))*LOOKUP(W169,'Tax Assumptions'!$K$9:$K$17,'Tax Assumptions'!$M$9:$M$17))+IF(W169=0,0,LOOKUP(W169,'Tax Assumptions'!$P$9:$P$12,'Tax Assumptions'!$S$9:$S$12)+(W169-LOOKUP(W169,'Tax Assumptions'!$P$9:$P$12,'Tax Assumptions'!$P$9:$P$12))*LOOKUP(W169,'Tax Assumptions'!$P$9:$P$12,'Tax Assumptions'!$R$9:$R$12))</f>
        <v>8070480.54</v>
      </c>
      <c r="Y169" s="230">
        <f t="shared" si="68"/>
        <v>7205019.46</v>
      </c>
      <c r="Z169" s="230">
        <f>IF(J169&lt;=10,INDEX('Savings Projection'!$BL$19:$BL$28,J169),LOOKUP(2,1/('Savings Projection'!$BL$19:$BL$28&lt;&gt;""),'Savings Projection'!$BL$19:$BL$28))*(1+'Model Inputs'!$B$35)^(J169-1)+IF(J169&lt;=10,INDEX('Savings Projection'!$BM$19:$BM$28,J169),LOOKUP(2,1/('Savings Projection'!$BM$19:$BM$28&lt;&gt;""),'Savings Projection'!$BM$19:$BM$28))*(1+'Model Inputs'!$B$36)^(J169-1)</f>
        <v>306353.51578121912</v>
      </c>
      <c r="AA169" s="230">
        <f t="shared" si="69"/>
        <v>6898665.9442187808</v>
      </c>
      <c r="AB169" s="230">
        <f>MIN(MAX(AA169,0),'Tax Assumptions'!$B$20)</f>
        <v>7500</v>
      </c>
      <c r="AC169" s="230">
        <f t="shared" si="70"/>
        <v>6891165.9442187808</v>
      </c>
      <c r="AD169" s="230">
        <f>MAX(AD168*(1+'Model Inputs'!$B$13)+AC169,0)</f>
        <v>374590422.48056245</v>
      </c>
      <c r="AE169" s="230">
        <f>MAX(AE168*(1+'Model Inputs'!$B$13)+U169+AB169,0)</f>
        <v>2529861.958887069</v>
      </c>
      <c r="AF169" s="230">
        <f t="shared" si="71"/>
        <v>377120284.43944949</v>
      </c>
      <c r="AG169" s="226" t="str">
        <f t="shared" si="80"/>
        <v/>
      </c>
      <c r="AH169" s="226" t="str">
        <f t="shared" si="81"/>
        <v/>
      </c>
      <c r="AI169" s="226" t="str">
        <f t="shared" si="82"/>
        <v/>
      </c>
      <c r="AJ169" s="226" t="str">
        <f t="shared" si="83"/>
        <v/>
      </c>
    </row>
    <row r="170" spans="1:36" ht="18" customHeight="1" x14ac:dyDescent="0.2">
      <c r="A170" s="226" t="str">
        <f t="shared" ref="A170:A199" si="85">$A$26</f>
        <v>3Y -&gt; PM Y8 Starter</v>
      </c>
      <c r="B170" s="226">
        <f t="shared" ref="B170:B199" si="86">$B$26</f>
        <v>3</v>
      </c>
      <c r="C170" s="235">
        <f t="shared" ref="C170:C199" si="87">$C$26</f>
        <v>3</v>
      </c>
      <c r="D170" s="226">
        <f t="shared" ref="D170:D199" si="88">$D$26</f>
        <v>8</v>
      </c>
      <c r="E170" s="226" t="str">
        <f t="shared" ref="E170:E199" si="89">$E$26</f>
        <v>Starter</v>
      </c>
      <c r="F170" s="230">
        <f t="shared" ref="F170:F199" si="90">$F$26</f>
        <v>10000000</v>
      </c>
      <c r="G170" s="236">
        <f t="shared" ref="G170:G199" si="91">$G$26</f>
        <v>0.15</v>
      </c>
      <c r="H170" s="230">
        <f t="shared" ref="H170:H199" si="92">$H$26</f>
        <v>300000</v>
      </c>
      <c r="I170" s="236">
        <f t="shared" si="62"/>
        <v>0</v>
      </c>
      <c r="J170" s="234">
        <v>1</v>
      </c>
      <c r="K170" s="234">
        <f t="shared" si="63"/>
        <v>2026</v>
      </c>
      <c r="L170" s="230">
        <f>IF(J170=1,'Model Inputs'!$B$25*(13-'Model Inputs'!$B$23)/12,'Model Inputs'!$B$25)</f>
        <v>100000</v>
      </c>
      <c r="M170" s="230">
        <f>IF(J170=1,'Model Inputs'!$B$27*(13-'Model Inputs'!$B$23)/12,IF(J170=2,'Model Inputs'!$B$27,IF(J170&lt;=MAX(3,'Model Inputs'!$B$30+1),'Model Inputs'!$B$27*(1+'Model Inputs'!$B$28)^(J170-3),'Model Inputs'!$B$27*(1+'Model Inputs'!$B$28)^(MAX(3,'Model Inputs'!$B$30+1)-3)*(1+'Model Inputs'!$B$29)^(J170-MAX(3,'Model Inputs'!$B$30+1)))))</f>
        <v>150000</v>
      </c>
      <c r="N170" s="236">
        <f>IF(J170&lt;=2,0,'Model Inputs'!$B$32*SIN(2*PI()*(J170-3+'Model Inputs'!$B$34)/MAX(1,'Model Inputs'!$B$33)))</f>
        <v>0</v>
      </c>
      <c r="O170" s="230">
        <f t="shared" si="64"/>
        <v>150000</v>
      </c>
      <c r="P170" s="230">
        <f>0</f>
        <v>0</v>
      </c>
      <c r="Q170" s="230">
        <f>L170+P170+IF(J170=1,'Model Inputs'!$B$26,0)</f>
        <v>550000</v>
      </c>
      <c r="R170" s="230">
        <f t="shared" si="65"/>
        <v>550000</v>
      </c>
      <c r="S170" s="230">
        <f t="shared" si="66"/>
        <v>1800000</v>
      </c>
      <c r="T170" s="230">
        <f t="shared" si="67"/>
        <v>550000</v>
      </c>
      <c r="U170" s="230">
        <f>MIN(T170,'Tax Assumptions'!$B$19)</f>
        <v>24500</v>
      </c>
      <c r="V170" s="230">
        <f>MAX(T170-U170-'Tax Assumptions'!$B$8,0)</f>
        <v>509400</v>
      </c>
      <c r="W170" s="230">
        <f>MAX(T170-U170-'Tax Assumptions'!$B$9,0)</f>
        <v>517500</v>
      </c>
      <c r="X170" s="230">
        <f>IF(V170=0,0,LOOKUP(V170,'Tax Assumptions'!$F$9:$F$15,'Tax Assumptions'!$I$9:$I$15)+(V170-LOOKUP(V170,'Tax Assumptions'!$F$9:$F$15,'Tax Assumptions'!$F$9:$F$15))*LOOKUP(V170,'Tax Assumptions'!$F$9:$F$15,'Tax Assumptions'!$H$9:$H$15))+MIN(MAX(T170,0),'Tax Assumptions'!$B$11)*'Tax Assumptions'!$B$10+MAX(T170,0)*'Tax Assumptions'!$B$12+MAX(MAX(T170,0)-'Tax Assumptions'!$B$14,0)*'Tax Assumptions'!$B$13+MIN(T170*'Tax Assumptions'!$B$15,'Tax Assumptions'!$B$16)+MIN(T170*'Tax Assumptions'!$B$17,'Tax Assumptions'!$B$18)+IF(W170=0,0,LOOKUP(W170,'Tax Assumptions'!$K$9:$K$17,'Tax Assumptions'!$N$9:$N$17)+(W170-LOOKUP(W170,'Tax Assumptions'!$K$9:$K$17,'Tax Assumptions'!$K$9:$K$17))*LOOKUP(W170,'Tax Assumptions'!$K$9:$K$17,'Tax Assumptions'!$M$9:$M$17))+IF(W170=0,0,LOOKUP(W170,'Tax Assumptions'!$P$9:$P$12,'Tax Assumptions'!$S$9:$S$12)+(W170-LOOKUP(W170,'Tax Assumptions'!$P$9:$P$12,'Tax Assumptions'!$P$9:$P$12))*LOOKUP(W170,'Tax Assumptions'!$P$9:$P$12,'Tax Assumptions'!$R$9:$R$12))</f>
        <v>222834.53000000003</v>
      </c>
      <c r="Y170" s="230">
        <f t="shared" si="68"/>
        <v>302665.46999999997</v>
      </c>
      <c r="Z170" s="230">
        <f>IF(J170&lt;=10,INDEX('Savings Projection'!$BL$19:$BL$28,J170),LOOKUP(2,1/('Savings Projection'!$BL$19:$BL$28&lt;&gt;""),'Savings Projection'!$BL$19:$BL$28))*(1+'Model Inputs'!$B$35)^(J170-1)+IF(J170&lt;=10,INDEX('Savings Projection'!$BM$19:$BM$28,J170),LOOKUP(2,1/('Savings Projection'!$BM$19:$BM$28&lt;&gt;""),'Savings Projection'!$BM$19:$BM$28))*(1+'Model Inputs'!$B$36)^(J170-1)</f>
        <v>118000</v>
      </c>
      <c r="AA170" s="230">
        <f t="shared" si="69"/>
        <v>184665.46999999997</v>
      </c>
      <c r="AB170" s="230">
        <f>MIN(MAX(AA170,0),'Tax Assumptions'!$B$20)</f>
        <v>7500</v>
      </c>
      <c r="AC170" s="230">
        <f t="shared" si="70"/>
        <v>177165.46999999997</v>
      </c>
      <c r="AD170" s="230">
        <f>MAX('Model Inputs'!$B$7*(1+'Model Inputs'!$B$13)+AC170,0)</f>
        <v>336165.47</v>
      </c>
      <c r="AE170" s="230">
        <f>MAX(('Model Inputs'!$B$8+'Model Inputs'!$B$9+'Model Inputs'!$B$10)*(1+'Model Inputs'!$B$13)+U170+AB170,0)</f>
        <v>32000</v>
      </c>
      <c r="AF170" s="230">
        <f t="shared" si="71"/>
        <v>368165.47</v>
      </c>
      <c r="AG170" s="226" t="str">
        <f>IF(AND(AF170&gt;=$F$14,0&lt;$F$14),J170,"")</f>
        <v/>
      </c>
      <c r="AH170" s="226" t="str">
        <f>IF(AND(AF170&gt;=$F$15,0&lt;$F$15),J170,"")</f>
        <v/>
      </c>
      <c r="AI170" s="226" t="str">
        <f>IF(AND(AF170&gt;=$F$16,0&lt;$F$16),J170,"")</f>
        <v/>
      </c>
      <c r="AJ170" s="226" t="str">
        <f>IF(AND(AF170&gt;=$F$17,0&lt;$F$17),J170,"")</f>
        <v/>
      </c>
    </row>
    <row r="171" spans="1:36" ht="18" customHeight="1" x14ac:dyDescent="0.2">
      <c r="A171" s="226" t="str">
        <f t="shared" si="85"/>
        <v>3Y -&gt; PM Y8 Starter</v>
      </c>
      <c r="B171" s="226">
        <f t="shared" si="86"/>
        <v>3</v>
      </c>
      <c r="C171" s="235">
        <f t="shared" si="87"/>
        <v>3</v>
      </c>
      <c r="D171" s="226">
        <f t="shared" si="88"/>
        <v>8</v>
      </c>
      <c r="E171" s="226" t="str">
        <f t="shared" si="89"/>
        <v>Starter</v>
      </c>
      <c r="F171" s="230">
        <f t="shared" si="90"/>
        <v>10000000</v>
      </c>
      <c r="G171" s="236">
        <f t="shared" si="91"/>
        <v>0.15</v>
      </c>
      <c r="H171" s="230">
        <f t="shared" si="92"/>
        <v>300000</v>
      </c>
      <c r="I171" s="236">
        <f t="shared" si="62"/>
        <v>0</v>
      </c>
      <c r="J171" s="234">
        <v>2</v>
      </c>
      <c r="K171" s="234">
        <f t="shared" si="63"/>
        <v>2027</v>
      </c>
      <c r="L171" s="230">
        <f>IF(J171=1,'Model Inputs'!$B$25*(13-'Model Inputs'!$B$23)/12,'Model Inputs'!$B$25)</f>
        <v>300000</v>
      </c>
      <c r="M171" s="230">
        <f>IF(J171=1,'Model Inputs'!$B$27*(13-'Model Inputs'!$B$23)/12,IF(J171=2,'Model Inputs'!$B$27,IF(J171&lt;=MAX(3,'Model Inputs'!$B$30+1),'Model Inputs'!$B$27*(1+'Model Inputs'!$B$28)^(J171-3),'Model Inputs'!$B$27*(1+'Model Inputs'!$B$28)^(MAX(3,'Model Inputs'!$B$30+1)-3)*(1+'Model Inputs'!$B$29)^(J171-MAX(3,'Model Inputs'!$B$30+1)))))</f>
        <v>450000</v>
      </c>
      <c r="N171" s="236">
        <f>IF(J171&lt;=2,0,'Model Inputs'!$B$32*SIN(2*PI()*(J171-3+'Model Inputs'!$B$34)/MAX(1,'Model Inputs'!$B$33)))</f>
        <v>0</v>
      </c>
      <c r="O171" s="230">
        <f t="shared" si="64"/>
        <v>450000</v>
      </c>
      <c r="P171" s="230">
        <f>0.75*O170</f>
        <v>112500</v>
      </c>
      <c r="Q171" s="230">
        <f>L171+P171+IF(J171=1,'Model Inputs'!$B$26,0)</f>
        <v>412500</v>
      </c>
      <c r="R171" s="230">
        <f t="shared" si="65"/>
        <v>412500</v>
      </c>
      <c r="S171" s="230">
        <f t="shared" si="66"/>
        <v>1800000</v>
      </c>
      <c r="T171" s="230">
        <f t="shared" si="67"/>
        <v>412500</v>
      </c>
      <c r="U171" s="230">
        <f>MIN(T171,'Tax Assumptions'!$B$19)</f>
        <v>24500</v>
      </c>
      <c r="V171" s="230">
        <f>MAX(T171-U171-'Tax Assumptions'!$B$8,0)</f>
        <v>371900</v>
      </c>
      <c r="W171" s="230">
        <f>MAX(T171-U171-'Tax Assumptions'!$B$9,0)</f>
        <v>380000</v>
      </c>
      <c r="X171" s="230">
        <f>IF(V171=0,0,LOOKUP(V171,'Tax Assumptions'!$F$9:$F$15,'Tax Assumptions'!$I$9:$I$15)+(V171-LOOKUP(V171,'Tax Assumptions'!$F$9:$F$15,'Tax Assumptions'!$F$9:$F$15))*LOOKUP(V171,'Tax Assumptions'!$F$9:$F$15,'Tax Assumptions'!$H$9:$H$15))+MIN(MAX(T171,0),'Tax Assumptions'!$B$11)*'Tax Assumptions'!$B$10+MAX(T171,0)*'Tax Assumptions'!$B$12+MAX(MAX(T171,0)-'Tax Assumptions'!$B$14,0)*'Tax Assumptions'!$B$13+MIN(T171*'Tax Assumptions'!$B$15,'Tax Assumptions'!$B$16)+MIN(T171*'Tax Assumptions'!$B$17,'Tax Assumptions'!$B$18)+IF(W171=0,0,LOOKUP(W171,'Tax Assumptions'!$K$9:$K$17,'Tax Assumptions'!$N$9:$N$17)+(W171-LOOKUP(W171,'Tax Assumptions'!$K$9:$K$17,'Tax Assumptions'!$K$9:$K$17))*LOOKUP(W171,'Tax Assumptions'!$K$9:$K$17,'Tax Assumptions'!$M$9:$M$17))+IF(W171=0,0,LOOKUP(W171,'Tax Assumptions'!$P$9:$P$12,'Tax Assumptions'!$S$9:$S$12)+(W171-LOOKUP(W171,'Tax Assumptions'!$P$9:$P$12,'Tax Assumptions'!$P$9:$P$12))*LOOKUP(W171,'Tax Assumptions'!$P$9:$P$12,'Tax Assumptions'!$R$9:$R$12))</f>
        <v>156730.03</v>
      </c>
      <c r="Y171" s="230">
        <f t="shared" si="68"/>
        <v>231269.97</v>
      </c>
      <c r="Z171" s="230">
        <f>IF(J171&lt;=10,INDEX('Savings Projection'!$BL$19:$BL$28,J171),LOOKUP(2,1/('Savings Projection'!$BL$19:$BL$28&lt;&gt;""),'Savings Projection'!$BL$19:$BL$28))*(1+'Model Inputs'!$B$35)^(J171-1)+IF(J171&lt;=10,INDEX('Savings Projection'!$BM$19:$BM$28,J171),LOOKUP(2,1/('Savings Projection'!$BM$19:$BM$28&lt;&gt;""),'Savings Projection'!$BM$19:$BM$28))*(1+'Model Inputs'!$B$36)^(J171-1)</f>
        <v>121540</v>
      </c>
      <c r="AA171" s="230">
        <f t="shared" si="69"/>
        <v>109729.97</v>
      </c>
      <c r="AB171" s="230">
        <f>MIN(MAX(AA171,0),'Tax Assumptions'!$B$20)</f>
        <v>7500</v>
      </c>
      <c r="AC171" s="230">
        <f t="shared" si="70"/>
        <v>102229.97</v>
      </c>
      <c r="AD171" s="230">
        <f>MAX(AD170*(1+'Model Inputs'!$B$13)+AC171,0)</f>
        <v>458565.36820000003</v>
      </c>
      <c r="AE171" s="230">
        <f>MAX(AE170*(1+'Model Inputs'!$B$13)+U171+AB171,0)</f>
        <v>65920</v>
      </c>
      <c r="AF171" s="230">
        <f t="shared" si="71"/>
        <v>524485.36820000003</v>
      </c>
      <c r="AG171" s="226" t="str">
        <f t="shared" ref="AG171:AG199" si="93">IF(AND(AF171&gt;=$F$14,AF170&lt;$F$14),J171,"")</f>
        <v/>
      </c>
      <c r="AH171" s="226" t="str">
        <f t="shared" ref="AH171:AH199" si="94">IF(AND(AF171&gt;=$F$15,AF170&lt;$F$15),J171,"")</f>
        <v/>
      </c>
      <c r="AI171" s="226" t="str">
        <f t="shared" ref="AI171:AI199" si="95">IF(AND(AF171&gt;=$F$16,AF170&lt;$F$16),J171,"")</f>
        <v/>
      </c>
      <c r="AJ171" s="226" t="str">
        <f t="shared" ref="AJ171:AJ199" si="96">IF(AND(AF171&gt;=$F$17,AF170&lt;$F$17),J171,"")</f>
        <v/>
      </c>
    </row>
    <row r="172" spans="1:36" ht="18" customHeight="1" x14ac:dyDescent="0.2">
      <c r="A172" s="226" t="str">
        <f t="shared" si="85"/>
        <v>3Y -&gt; PM Y8 Starter</v>
      </c>
      <c r="B172" s="226">
        <f t="shared" si="86"/>
        <v>3</v>
      </c>
      <c r="C172" s="235">
        <f t="shared" si="87"/>
        <v>3</v>
      </c>
      <c r="D172" s="226">
        <f t="shared" si="88"/>
        <v>8</v>
      </c>
      <c r="E172" s="226" t="str">
        <f t="shared" si="89"/>
        <v>Starter</v>
      </c>
      <c r="F172" s="230">
        <f t="shared" si="90"/>
        <v>10000000</v>
      </c>
      <c r="G172" s="236">
        <f t="shared" si="91"/>
        <v>0.15</v>
      </c>
      <c r="H172" s="230">
        <f t="shared" si="92"/>
        <v>300000</v>
      </c>
      <c r="I172" s="236">
        <f t="shared" si="62"/>
        <v>0</v>
      </c>
      <c r="J172" s="234">
        <v>3</v>
      </c>
      <c r="K172" s="234">
        <f t="shared" si="63"/>
        <v>2028</v>
      </c>
      <c r="L172" s="230">
        <f>IF(J172=1,'Model Inputs'!$B$25*(13-'Model Inputs'!$B$23)/12,'Model Inputs'!$B$25)</f>
        <v>300000</v>
      </c>
      <c r="M172" s="230">
        <f>IF(J172=1,'Model Inputs'!$B$27*(13-'Model Inputs'!$B$23)/12,IF(J172=2,'Model Inputs'!$B$27,IF(J172&lt;=MAX(3,'Model Inputs'!$B$30+1),'Model Inputs'!$B$27*(1+'Model Inputs'!$B$28)^(J172-3),'Model Inputs'!$B$27*(1+'Model Inputs'!$B$28)^(MAX(3,'Model Inputs'!$B$30+1)-3)*(1+'Model Inputs'!$B$29)^(J172-MAX(3,'Model Inputs'!$B$30+1)))))</f>
        <v>450000</v>
      </c>
      <c r="N172" s="236">
        <f>IF(J172&lt;=2,0,'Model Inputs'!$B$32*SIN(2*PI()*(J172-3+'Model Inputs'!$B$34)/MAX(1,'Model Inputs'!$B$33)))</f>
        <v>0</v>
      </c>
      <c r="O172" s="230">
        <f t="shared" si="64"/>
        <v>450000</v>
      </c>
      <c r="P172" s="230">
        <f t="shared" ref="P172:P199" si="97">0.75*O171+0.25*O170</f>
        <v>375000</v>
      </c>
      <c r="Q172" s="230">
        <f>L172+P172+IF(J172=1,'Model Inputs'!$B$26,0)</f>
        <v>675000</v>
      </c>
      <c r="R172" s="230">
        <f t="shared" si="65"/>
        <v>675000</v>
      </c>
      <c r="S172" s="230">
        <f t="shared" si="66"/>
        <v>1800000</v>
      </c>
      <c r="T172" s="230">
        <f t="shared" si="67"/>
        <v>675000</v>
      </c>
      <c r="U172" s="230">
        <f>MIN(T172,'Tax Assumptions'!$B$19)</f>
        <v>24500</v>
      </c>
      <c r="V172" s="230">
        <f>MAX(T172-U172-'Tax Assumptions'!$B$8,0)</f>
        <v>634400</v>
      </c>
      <c r="W172" s="230">
        <f>MAX(T172-U172-'Tax Assumptions'!$B$9,0)</f>
        <v>642500</v>
      </c>
      <c r="X172" s="230">
        <f>IF(V172=0,0,LOOKUP(V172,'Tax Assumptions'!$F$9:$F$15,'Tax Assumptions'!$I$9:$I$15)+(V172-LOOKUP(V172,'Tax Assumptions'!$F$9:$F$15,'Tax Assumptions'!$F$9:$F$15))*LOOKUP(V172,'Tax Assumptions'!$F$9:$F$15,'Tax Assumptions'!$H$9:$H$15))+MIN(MAX(T172,0),'Tax Assumptions'!$B$11)*'Tax Assumptions'!$B$10+MAX(T172,0)*'Tax Assumptions'!$B$12+MAX(MAX(T172,0)-'Tax Assumptions'!$B$14,0)*'Tax Assumptions'!$B$13+MIN(T172*'Tax Assumptions'!$B$15,'Tax Assumptions'!$B$16)+MIN(T172*'Tax Assumptions'!$B$17,'Tax Assumptions'!$B$18)+IF(W172=0,0,LOOKUP(W172,'Tax Assumptions'!$K$9:$K$17,'Tax Assumptions'!$N$9:$N$17)+(W172-LOOKUP(W172,'Tax Assumptions'!$K$9:$K$17,'Tax Assumptions'!$K$9:$K$17))*LOOKUP(W172,'Tax Assumptions'!$K$9:$K$17,'Tax Assumptions'!$M$9:$M$17))+IF(W172=0,0,LOOKUP(W172,'Tax Assumptions'!$P$9:$P$12,'Tax Assumptions'!$S$9:$S$12)+(W172-LOOKUP(W172,'Tax Assumptions'!$P$9:$P$12,'Tax Assumptions'!$P$9:$P$12))*LOOKUP(W172,'Tax Assumptions'!$P$9:$P$12,'Tax Assumptions'!$R$9:$R$12))</f>
        <v>282929.53000000003</v>
      </c>
      <c r="Y172" s="230">
        <f t="shared" si="68"/>
        <v>367570.47</v>
      </c>
      <c r="Z172" s="230">
        <f>IF(J172&lt;=10,INDEX('Savings Projection'!$BL$19:$BL$28,J172),LOOKUP(2,1/('Savings Projection'!$BL$19:$BL$28&lt;&gt;""),'Savings Projection'!$BL$19:$BL$28))*(1+'Model Inputs'!$B$35)^(J172-1)+IF(J172&lt;=10,INDEX('Savings Projection'!$BM$19:$BM$28,J172),LOOKUP(2,1/('Savings Projection'!$BM$19:$BM$28&lt;&gt;""),'Savings Projection'!$BM$19:$BM$28))*(1+'Model Inputs'!$B$36)^(J172-1)</f>
        <v>135795.20000000001</v>
      </c>
      <c r="AA172" s="230">
        <f t="shared" si="69"/>
        <v>231775.26999999996</v>
      </c>
      <c r="AB172" s="230">
        <f>MIN(MAX(AA172,0),'Tax Assumptions'!$B$20)</f>
        <v>7500</v>
      </c>
      <c r="AC172" s="230">
        <f t="shared" si="70"/>
        <v>224275.26999999996</v>
      </c>
      <c r="AD172" s="230">
        <f>MAX(AD171*(1+'Model Inputs'!$B$13)+AC172,0)</f>
        <v>710354.56029199995</v>
      </c>
      <c r="AE172" s="230">
        <f>MAX(AE171*(1+'Model Inputs'!$B$13)+U172+AB172,0)</f>
        <v>101875.2</v>
      </c>
      <c r="AF172" s="230">
        <f t="shared" si="71"/>
        <v>812229.7602919999</v>
      </c>
      <c r="AG172" s="226" t="str">
        <f t="shared" si="93"/>
        <v/>
      </c>
      <c r="AH172" s="226" t="str">
        <f t="shared" si="94"/>
        <v/>
      </c>
      <c r="AI172" s="226" t="str">
        <f t="shared" si="95"/>
        <v/>
      </c>
      <c r="AJ172" s="226" t="str">
        <f t="shared" si="96"/>
        <v/>
      </c>
    </row>
    <row r="173" spans="1:36" ht="18" customHeight="1" x14ac:dyDescent="0.2">
      <c r="A173" s="226" t="str">
        <f t="shared" si="85"/>
        <v>3Y -&gt; PM Y8 Starter</v>
      </c>
      <c r="B173" s="226">
        <f t="shared" si="86"/>
        <v>3</v>
      </c>
      <c r="C173" s="235">
        <f t="shared" si="87"/>
        <v>3</v>
      </c>
      <c r="D173" s="226">
        <f t="shared" si="88"/>
        <v>8</v>
      </c>
      <c r="E173" s="226" t="str">
        <f t="shared" si="89"/>
        <v>Starter</v>
      </c>
      <c r="F173" s="230">
        <f t="shared" si="90"/>
        <v>10000000</v>
      </c>
      <c r="G173" s="236">
        <f t="shared" si="91"/>
        <v>0.15</v>
      </c>
      <c r="H173" s="230">
        <f t="shared" si="92"/>
        <v>300000</v>
      </c>
      <c r="I173" s="236">
        <f t="shared" si="62"/>
        <v>0</v>
      </c>
      <c r="J173" s="234">
        <v>4</v>
      </c>
      <c r="K173" s="234">
        <f t="shared" si="63"/>
        <v>2029</v>
      </c>
      <c r="L173" s="230">
        <f>IF(J173=1,'Model Inputs'!$B$25*(13-'Model Inputs'!$B$23)/12,'Model Inputs'!$B$25)</f>
        <v>300000</v>
      </c>
      <c r="M173" s="230">
        <f>IF(J173=1,'Model Inputs'!$B$27*(13-'Model Inputs'!$B$23)/12,IF(J173=2,'Model Inputs'!$B$27,IF(J173&lt;=MAX(3,'Model Inputs'!$B$30+1),'Model Inputs'!$B$27*(1+'Model Inputs'!$B$28)^(J173-3),'Model Inputs'!$B$27*(1+'Model Inputs'!$B$28)^(MAX(3,'Model Inputs'!$B$30+1)-3)*(1+'Model Inputs'!$B$29)^(J173-MAX(3,'Model Inputs'!$B$30+1)))))</f>
        <v>653834.84153110103</v>
      </c>
      <c r="N173" s="236">
        <f>IF(J173&lt;=2,0,'Model Inputs'!$B$32*SIN(2*PI()*(J173-3+'Model Inputs'!$B$34)/MAX(1,'Model Inputs'!$B$33)))</f>
        <v>0.10392304845413264</v>
      </c>
      <c r="O173" s="230">
        <f t="shared" si="64"/>
        <v>721783.35144853778</v>
      </c>
      <c r="P173" s="230">
        <f t="shared" si="97"/>
        <v>450000</v>
      </c>
      <c r="Q173" s="230">
        <f>L173+P173+IF(J173=1,'Model Inputs'!$B$26,0)</f>
        <v>750000</v>
      </c>
      <c r="R173" s="230">
        <f t="shared" si="65"/>
        <v>2250000</v>
      </c>
      <c r="S173" s="230">
        <f t="shared" si="66"/>
        <v>1800000</v>
      </c>
      <c r="T173" s="230">
        <f t="shared" si="67"/>
        <v>2250000</v>
      </c>
      <c r="U173" s="230">
        <f>MIN(T173,'Tax Assumptions'!$B$19)</f>
        <v>24500</v>
      </c>
      <c r="V173" s="230">
        <f>MAX(T173-U173-'Tax Assumptions'!$B$8,0)</f>
        <v>2209400</v>
      </c>
      <c r="W173" s="230">
        <f>MAX(T173-U173-'Tax Assumptions'!$B$9,0)</f>
        <v>2217500</v>
      </c>
      <c r="X173" s="230">
        <f>IF(V173=0,0,LOOKUP(V173,'Tax Assumptions'!$F$9:$F$15,'Tax Assumptions'!$I$9:$I$15)+(V173-LOOKUP(V173,'Tax Assumptions'!$F$9:$F$15,'Tax Assumptions'!$F$9:$F$15))*LOOKUP(V173,'Tax Assumptions'!$F$9:$F$15,'Tax Assumptions'!$H$9:$H$15))+MIN(MAX(T173,0),'Tax Assumptions'!$B$11)*'Tax Assumptions'!$B$10+MAX(T173,0)*'Tax Assumptions'!$B$12+MAX(MAX(T173,0)-'Tax Assumptions'!$B$14,0)*'Tax Assumptions'!$B$13+MIN(T173*'Tax Assumptions'!$B$15,'Tax Assumptions'!$B$16)+MIN(T173*'Tax Assumptions'!$B$17,'Tax Assumptions'!$B$18)+IF(W173=0,0,LOOKUP(W173,'Tax Assumptions'!$K$9:$K$17,'Tax Assumptions'!$N$9:$N$17)+(W173-LOOKUP(W173,'Tax Assumptions'!$K$9:$K$17,'Tax Assumptions'!$K$9:$K$17))*LOOKUP(W173,'Tax Assumptions'!$K$9:$K$17,'Tax Assumptions'!$M$9:$M$17))+IF(W173=0,0,LOOKUP(W173,'Tax Assumptions'!$P$9:$P$12,'Tax Assumptions'!$S$9:$S$12)+(W173-LOOKUP(W173,'Tax Assumptions'!$P$9:$P$12,'Tax Assumptions'!$P$9:$P$12))*LOOKUP(W173,'Tax Assumptions'!$P$9:$P$12,'Tax Assumptions'!$R$9:$R$12))</f>
        <v>1103420.635</v>
      </c>
      <c r="Y173" s="230">
        <f t="shared" si="68"/>
        <v>1122079.365</v>
      </c>
      <c r="Z173" s="230">
        <f>IF(J173&lt;=10,INDEX('Savings Projection'!$BL$19:$BL$28,J173),LOOKUP(2,1/('Savings Projection'!$BL$19:$BL$28&lt;&gt;""),'Savings Projection'!$BL$19:$BL$28))*(1+'Model Inputs'!$B$35)^(J173-1)+IF(J173&lt;=10,INDEX('Savings Projection'!$BM$19:$BM$28,J173),LOOKUP(2,1/('Savings Projection'!$BM$19:$BM$28&lt;&gt;""),'Savings Projection'!$BM$19:$BM$28))*(1+'Model Inputs'!$B$36)^(J173-1)</f>
        <v>139869.05600000001</v>
      </c>
      <c r="AA173" s="230">
        <f t="shared" si="69"/>
        <v>982210.30900000001</v>
      </c>
      <c r="AB173" s="230">
        <f>MIN(MAX(AA173,0),'Tax Assumptions'!$B$20)</f>
        <v>7500</v>
      </c>
      <c r="AC173" s="230">
        <f t="shared" si="70"/>
        <v>974710.30900000001</v>
      </c>
      <c r="AD173" s="230">
        <f>MAX(AD172*(1+'Model Inputs'!$B$13)+AC173,0)</f>
        <v>1727686.1429095198</v>
      </c>
      <c r="AE173" s="230">
        <f>MAX(AE172*(1+'Model Inputs'!$B$13)+U173+AB173,0)</f>
        <v>139987.712</v>
      </c>
      <c r="AF173" s="230">
        <f t="shared" si="71"/>
        <v>1867673.8549095199</v>
      </c>
      <c r="AG173" s="226" t="str">
        <f t="shared" si="93"/>
        <v/>
      </c>
      <c r="AH173" s="226" t="str">
        <f t="shared" si="94"/>
        <v/>
      </c>
      <c r="AI173" s="226" t="str">
        <f t="shared" si="95"/>
        <v/>
      </c>
      <c r="AJ173" s="226" t="str">
        <f t="shared" si="96"/>
        <v/>
      </c>
    </row>
    <row r="174" spans="1:36" ht="18" customHeight="1" x14ac:dyDescent="0.2">
      <c r="A174" s="226" t="str">
        <f t="shared" si="85"/>
        <v>3Y -&gt; PM Y8 Starter</v>
      </c>
      <c r="B174" s="226">
        <f t="shared" si="86"/>
        <v>3</v>
      </c>
      <c r="C174" s="235">
        <f t="shared" si="87"/>
        <v>3</v>
      </c>
      <c r="D174" s="226">
        <f t="shared" si="88"/>
        <v>8</v>
      </c>
      <c r="E174" s="226" t="str">
        <f t="shared" si="89"/>
        <v>Starter</v>
      </c>
      <c r="F174" s="230">
        <f t="shared" si="90"/>
        <v>10000000</v>
      </c>
      <c r="G174" s="236">
        <f t="shared" si="91"/>
        <v>0.15</v>
      </c>
      <c r="H174" s="230">
        <f t="shared" si="92"/>
        <v>300000</v>
      </c>
      <c r="I174" s="236">
        <f t="shared" si="62"/>
        <v>0</v>
      </c>
      <c r="J174" s="234">
        <v>5</v>
      </c>
      <c r="K174" s="234">
        <f t="shared" si="63"/>
        <v>2030</v>
      </c>
      <c r="L174" s="230">
        <f>IF(J174=1,'Model Inputs'!$B$25*(13-'Model Inputs'!$B$23)/12,'Model Inputs'!$B$25)</f>
        <v>300000</v>
      </c>
      <c r="M174" s="230">
        <f>IF(J174=1,'Model Inputs'!$B$27*(13-'Model Inputs'!$B$23)/12,IF(J174=2,'Model Inputs'!$B$27,IF(J174&lt;=MAX(3,'Model Inputs'!$B$30+1),'Model Inputs'!$B$27*(1+'Model Inputs'!$B$28)^(J174-3),'Model Inputs'!$B$27*(1+'Model Inputs'!$B$28)^(MAX(3,'Model Inputs'!$B$30+1)-3)*(1+'Model Inputs'!$B$29)^(J174-MAX(3,'Model Inputs'!$B$30+1)))))</f>
        <v>950000</v>
      </c>
      <c r="N174" s="236">
        <f>IF(J174&lt;=2,0,'Model Inputs'!$B$32*SIN(2*PI()*(J174-3+'Model Inputs'!$B$34)/MAX(1,'Model Inputs'!$B$33)))</f>
        <v>-0.1039230484541326</v>
      </c>
      <c r="O174" s="230">
        <f t="shared" si="64"/>
        <v>851273.10396857408</v>
      </c>
      <c r="P174" s="230">
        <f t="shared" si="97"/>
        <v>653837.51358640334</v>
      </c>
      <c r="Q174" s="230">
        <f>L174+P174+IF(J174=1,'Model Inputs'!$B$26,0)</f>
        <v>953837.51358640334</v>
      </c>
      <c r="R174" s="230">
        <f t="shared" si="65"/>
        <v>2861512.54075921</v>
      </c>
      <c r="S174" s="230">
        <f t="shared" si="66"/>
        <v>1800000</v>
      </c>
      <c r="T174" s="230">
        <f t="shared" si="67"/>
        <v>2861512.54075921</v>
      </c>
      <c r="U174" s="230">
        <f>MIN(T174,'Tax Assumptions'!$B$19)</f>
        <v>24500</v>
      </c>
      <c r="V174" s="230">
        <f>MAX(T174-U174-'Tax Assumptions'!$B$8,0)</f>
        <v>2820912.54075921</v>
      </c>
      <c r="W174" s="230">
        <f>MAX(T174-U174-'Tax Assumptions'!$B$9,0)</f>
        <v>2829012.54075921</v>
      </c>
      <c r="X174" s="230">
        <f>IF(V174=0,0,LOOKUP(V174,'Tax Assumptions'!$F$9:$F$15,'Tax Assumptions'!$I$9:$I$15)+(V174-LOOKUP(V174,'Tax Assumptions'!$F$9:$F$15,'Tax Assumptions'!$F$9:$F$15))*LOOKUP(V174,'Tax Assumptions'!$F$9:$F$15,'Tax Assumptions'!$H$9:$H$15))+MIN(MAX(T174,0),'Tax Assumptions'!$B$11)*'Tax Assumptions'!$B$10+MAX(T174,0)*'Tax Assumptions'!$B$12+MAX(MAX(T174,0)-'Tax Assumptions'!$B$14,0)*'Tax Assumptions'!$B$13+MIN(T174*'Tax Assumptions'!$B$15,'Tax Assumptions'!$B$16)+MIN(T174*'Tax Assumptions'!$B$17,'Tax Assumptions'!$B$18)+IF(W174=0,0,LOOKUP(W174,'Tax Assumptions'!$K$9:$K$17,'Tax Assumptions'!$N$9:$N$17)+(W174-LOOKUP(W174,'Tax Assumptions'!$K$9:$K$17,'Tax Assumptions'!$K$9:$K$17))*LOOKUP(W174,'Tax Assumptions'!$K$9:$K$17,'Tax Assumptions'!$M$9:$M$17))+IF(W174=0,0,LOOKUP(W174,'Tax Assumptions'!$P$9:$P$12,'Tax Assumptions'!$S$9:$S$12)+(W174-LOOKUP(W174,'Tax Assumptions'!$P$9:$P$12,'Tax Assumptions'!$P$9:$P$12))*LOOKUP(W174,'Tax Assumptions'!$P$9:$P$12,'Tax Assumptions'!$R$9:$R$12))</f>
        <v>1426764.0060518396</v>
      </c>
      <c r="Y174" s="230">
        <f t="shared" si="68"/>
        <v>1410248.5347073704</v>
      </c>
      <c r="Z174" s="230">
        <f>IF(J174&lt;=10,INDEX('Savings Projection'!$BL$19:$BL$28,J174),LOOKUP(2,1/('Savings Projection'!$BL$19:$BL$28&lt;&gt;""),'Savings Projection'!$BL$19:$BL$28))*(1+'Model Inputs'!$B$35)^(J174-1)+IF(J174&lt;=10,INDEX('Savings Projection'!$BM$19:$BM$28,J174),LOOKUP(2,1/('Savings Projection'!$BM$19:$BM$28&lt;&gt;""),'Savings Projection'!$BM$19:$BM$28))*(1+'Model Inputs'!$B$36)^(J174-1)</f>
        <v>144065.12767999998</v>
      </c>
      <c r="AA174" s="230">
        <f t="shared" si="69"/>
        <v>1266183.4070273705</v>
      </c>
      <c r="AB174" s="230">
        <f>MIN(MAX(AA174,0),'Tax Assumptions'!$B$20)</f>
        <v>7500</v>
      </c>
      <c r="AC174" s="230">
        <f t="shared" si="70"/>
        <v>1258683.4070273705</v>
      </c>
      <c r="AD174" s="230">
        <f>MAX(AD173*(1+'Model Inputs'!$B$13)+AC174,0)</f>
        <v>3090030.7185114617</v>
      </c>
      <c r="AE174" s="230">
        <f>MAX(AE173*(1+'Model Inputs'!$B$13)+U174+AB174,0)</f>
        <v>180386.97472</v>
      </c>
      <c r="AF174" s="230">
        <f t="shared" si="71"/>
        <v>3270417.6932314616</v>
      </c>
      <c r="AG174" s="226" t="str">
        <f t="shared" si="93"/>
        <v/>
      </c>
      <c r="AH174" s="226" t="str">
        <f t="shared" si="94"/>
        <v/>
      </c>
      <c r="AI174" s="226" t="str">
        <f t="shared" si="95"/>
        <v/>
      </c>
      <c r="AJ174" s="226" t="str">
        <f t="shared" si="96"/>
        <v/>
      </c>
    </row>
    <row r="175" spans="1:36" ht="18" customHeight="1" x14ac:dyDescent="0.2">
      <c r="A175" s="226" t="str">
        <f t="shared" si="85"/>
        <v>3Y -&gt; PM Y8 Starter</v>
      </c>
      <c r="B175" s="226">
        <f t="shared" si="86"/>
        <v>3</v>
      </c>
      <c r="C175" s="235">
        <f t="shared" si="87"/>
        <v>3</v>
      </c>
      <c r="D175" s="226">
        <f t="shared" si="88"/>
        <v>8</v>
      </c>
      <c r="E175" s="226" t="str">
        <f t="shared" si="89"/>
        <v>Starter</v>
      </c>
      <c r="F175" s="230">
        <f t="shared" si="90"/>
        <v>10000000</v>
      </c>
      <c r="G175" s="236">
        <f t="shared" si="91"/>
        <v>0.15</v>
      </c>
      <c r="H175" s="230">
        <f t="shared" si="92"/>
        <v>300000</v>
      </c>
      <c r="I175" s="236">
        <f t="shared" si="62"/>
        <v>0</v>
      </c>
      <c r="J175" s="234">
        <v>6</v>
      </c>
      <c r="K175" s="234">
        <f t="shared" si="63"/>
        <v>2031</v>
      </c>
      <c r="L175" s="230">
        <f>IF(J175=1,'Model Inputs'!$B$25*(13-'Model Inputs'!$B$23)/12,'Model Inputs'!$B$25)</f>
        <v>300000</v>
      </c>
      <c r="M175" s="230">
        <f>IF(J175=1,'Model Inputs'!$B$27*(13-'Model Inputs'!$B$23)/12,IF(J175=2,'Model Inputs'!$B$27,IF(J175&lt;=MAX(3,'Model Inputs'!$B$30+1),'Model Inputs'!$B$27*(1+'Model Inputs'!$B$28)^(J175-3),'Model Inputs'!$B$27*(1+'Model Inputs'!$B$28)^(MAX(3,'Model Inputs'!$B$30+1)-3)*(1+'Model Inputs'!$B$29)^(J175-MAX(3,'Model Inputs'!$B$30+1)))))</f>
        <v>1207333.5632986501</v>
      </c>
      <c r="N175" s="236">
        <f>IF(J175&lt;=2,0,'Model Inputs'!$B$32*SIN(2*PI()*(J175-3+'Model Inputs'!$B$34)/MAX(1,'Model Inputs'!$B$33)))</f>
        <v>-2.9391523179536474E-17</v>
      </c>
      <c r="O175" s="230">
        <f t="shared" si="64"/>
        <v>1207333.5632986501</v>
      </c>
      <c r="P175" s="230">
        <f t="shared" si="97"/>
        <v>818900.66583856498</v>
      </c>
      <c r="Q175" s="230">
        <f>L175+P175+IF(J175=1,'Model Inputs'!$B$26,0)</f>
        <v>1118900.665838565</v>
      </c>
      <c r="R175" s="230">
        <f t="shared" si="65"/>
        <v>3356701.9975156952</v>
      </c>
      <c r="S175" s="230">
        <f t="shared" si="66"/>
        <v>1800000</v>
      </c>
      <c r="T175" s="230">
        <f t="shared" si="67"/>
        <v>3356701.9975156952</v>
      </c>
      <c r="U175" s="230">
        <f>MIN(T175,'Tax Assumptions'!$B$19)</f>
        <v>24500</v>
      </c>
      <c r="V175" s="230">
        <f>MAX(T175-U175-'Tax Assumptions'!$B$8,0)</f>
        <v>3316101.9975156952</v>
      </c>
      <c r="W175" s="230">
        <f>MAX(T175-U175-'Tax Assumptions'!$B$9,0)</f>
        <v>3324201.9975156952</v>
      </c>
      <c r="X175" s="230">
        <f>IF(V175=0,0,LOOKUP(V175,'Tax Assumptions'!$F$9:$F$15,'Tax Assumptions'!$I$9:$I$15)+(V175-LOOKUP(V175,'Tax Assumptions'!$F$9:$F$15,'Tax Assumptions'!$F$9:$F$15))*LOOKUP(V175,'Tax Assumptions'!$F$9:$F$15,'Tax Assumptions'!$H$9:$H$15))+MIN(MAX(T175,0),'Tax Assumptions'!$B$11)*'Tax Assumptions'!$B$10+MAX(T175,0)*'Tax Assumptions'!$B$12+MAX(MAX(T175,0)-'Tax Assumptions'!$B$14,0)*'Tax Assumptions'!$B$13+MIN(T175*'Tax Assumptions'!$B$15,'Tax Assumptions'!$B$16)+MIN(T175*'Tax Assumptions'!$B$17,'Tax Assumptions'!$B$18)+IF(W175=0,0,LOOKUP(W175,'Tax Assumptions'!$K$9:$K$17,'Tax Assumptions'!$N$9:$N$17)+(W175-LOOKUP(W175,'Tax Assumptions'!$K$9:$K$17,'Tax Assumptions'!$K$9:$K$17))*LOOKUP(W175,'Tax Assumptions'!$K$9:$K$17,'Tax Assumptions'!$M$9:$M$17))+IF(W175=0,0,LOOKUP(W175,'Tax Assumptions'!$P$9:$P$12,'Tax Assumptions'!$S$9:$S$12)+(W175-LOOKUP(W175,'Tax Assumptions'!$P$9:$P$12,'Tax Assumptions'!$P$9:$P$12))*LOOKUP(W175,'Tax Assumptions'!$P$9:$P$12,'Tax Assumptions'!$R$9:$R$12))</f>
        <v>1688600.3832063989</v>
      </c>
      <c r="Y175" s="230">
        <f t="shared" si="68"/>
        <v>1643601.6143092962</v>
      </c>
      <c r="Z175" s="230">
        <f>IF(J175&lt;=10,INDEX('Savings Projection'!$BL$19:$BL$28,J175),LOOKUP(2,1/('Savings Projection'!$BL$19:$BL$28&lt;&gt;""),'Savings Projection'!$BL$19:$BL$28))*(1+'Model Inputs'!$B$35)^(J175-1)+IF(J175&lt;=10,INDEX('Savings Projection'!$BM$19:$BM$28,J175),LOOKUP(2,1/('Savings Projection'!$BM$19:$BM$28&lt;&gt;""),'Savings Projection'!$BM$19:$BM$28))*(1+'Model Inputs'!$B$36)^(J175-1)</f>
        <v>150705.62965899997</v>
      </c>
      <c r="AA175" s="230">
        <f t="shared" si="69"/>
        <v>1492895.9846502962</v>
      </c>
      <c r="AB175" s="230">
        <f>MIN(MAX(AA175,0),'Tax Assumptions'!$B$20)</f>
        <v>7500</v>
      </c>
      <c r="AC175" s="230">
        <f t="shared" si="70"/>
        <v>1485395.9846502962</v>
      </c>
      <c r="AD175" s="230">
        <f>MAX(AD174*(1+'Model Inputs'!$B$13)+AC175,0)</f>
        <v>4760828.5462724455</v>
      </c>
      <c r="AE175" s="230">
        <f>MAX(AE174*(1+'Model Inputs'!$B$13)+U175+AB175,0)</f>
        <v>223210.1932032</v>
      </c>
      <c r="AF175" s="230">
        <f t="shared" si="71"/>
        <v>4984038.7394756451</v>
      </c>
      <c r="AG175" s="226" t="str">
        <f t="shared" si="93"/>
        <v/>
      </c>
      <c r="AH175" s="226" t="str">
        <f t="shared" si="94"/>
        <v/>
      </c>
      <c r="AI175" s="226" t="str">
        <f t="shared" si="95"/>
        <v/>
      </c>
      <c r="AJ175" s="226" t="str">
        <f t="shared" si="96"/>
        <v/>
      </c>
    </row>
    <row r="176" spans="1:36" ht="18" customHeight="1" x14ac:dyDescent="0.2">
      <c r="A176" s="226" t="str">
        <f t="shared" si="85"/>
        <v>3Y -&gt; PM Y8 Starter</v>
      </c>
      <c r="B176" s="226">
        <f t="shared" si="86"/>
        <v>3</v>
      </c>
      <c r="C176" s="235">
        <f t="shared" si="87"/>
        <v>3</v>
      </c>
      <c r="D176" s="226">
        <f t="shared" si="88"/>
        <v>8</v>
      </c>
      <c r="E176" s="226" t="str">
        <f t="shared" si="89"/>
        <v>Starter</v>
      </c>
      <c r="F176" s="230">
        <f t="shared" si="90"/>
        <v>10000000</v>
      </c>
      <c r="G176" s="236">
        <f t="shared" si="91"/>
        <v>0.15</v>
      </c>
      <c r="H176" s="230">
        <f t="shared" si="92"/>
        <v>300000</v>
      </c>
      <c r="I176" s="236">
        <f t="shared" si="62"/>
        <v>0</v>
      </c>
      <c r="J176" s="234">
        <v>7</v>
      </c>
      <c r="K176" s="234">
        <f t="shared" si="63"/>
        <v>2032</v>
      </c>
      <c r="L176" s="230">
        <f>IF(J176=1,'Model Inputs'!$B$25*(13-'Model Inputs'!$B$23)/12,'Model Inputs'!$B$25)</f>
        <v>300000</v>
      </c>
      <c r="M176" s="230">
        <f>IF(J176=1,'Model Inputs'!$B$27*(13-'Model Inputs'!$B$23)/12,IF(J176=2,'Model Inputs'!$B$27,IF(J176&lt;=MAX(3,'Model Inputs'!$B$30+1),'Model Inputs'!$B$27*(1+'Model Inputs'!$B$28)^(J176-3),'Model Inputs'!$B$27*(1+'Model Inputs'!$B$28)^(MAX(3,'Model Inputs'!$B$30+1)-3)*(1+'Model Inputs'!$B$29)^(J176-MAX(3,'Model Inputs'!$B$30+1)))))</f>
        <v>1534372.9821762268</v>
      </c>
      <c r="N176" s="236">
        <f>IF(J176&lt;=2,0,'Model Inputs'!$B$32*SIN(2*PI()*(J176-3+'Model Inputs'!$B$34)/MAX(1,'Model Inputs'!$B$33)))</f>
        <v>0.10392304845413269</v>
      </c>
      <c r="O176" s="230">
        <f t="shared" si="64"/>
        <v>1693829.6999496389</v>
      </c>
      <c r="P176" s="230">
        <f t="shared" si="97"/>
        <v>1118318.448466131</v>
      </c>
      <c r="Q176" s="230">
        <f>L176+P176+IF(J176=1,'Model Inputs'!$B$26,0)</f>
        <v>1418318.448466131</v>
      </c>
      <c r="R176" s="230">
        <f t="shared" si="65"/>
        <v>4254955.3453983925</v>
      </c>
      <c r="S176" s="230">
        <f t="shared" si="66"/>
        <v>1800000</v>
      </c>
      <c r="T176" s="230">
        <f t="shared" si="67"/>
        <v>4254955.3453983925</v>
      </c>
      <c r="U176" s="230">
        <f>MIN(T176,'Tax Assumptions'!$B$19)</f>
        <v>24500</v>
      </c>
      <c r="V176" s="230">
        <f>MAX(T176-U176-'Tax Assumptions'!$B$8,0)</f>
        <v>4214355.3453983925</v>
      </c>
      <c r="W176" s="230">
        <f>MAX(T176-U176-'Tax Assumptions'!$B$9,0)</f>
        <v>4222455.3453983925</v>
      </c>
      <c r="X176" s="230">
        <f>IF(V176=0,0,LOOKUP(V176,'Tax Assumptions'!$F$9:$F$15,'Tax Assumptions'!$I$9:$I$15)+(V176-LOOKUP(V176,'Tax Assumptions'!$F$9:$F$15,'Tax Assumptions'!$F$9:$F$15))*LOOKUP(V176,'Tax Assumptions'!$F$9:$F$15,'Tax Assumptions'!$H$9:$H$15))+MIN(MAX(T176,0),'Tax Assumptions'!$B$11)*'Tax Assumptions'!$B$10+MAX(T176,0)*'Tax Assumptions'!$B$12+MAX(MAX(T176,0)-'Tax Assumptions'!$B$14,0)*'Tax Assumptions'!$B$13+MIN(T176*'Tax Assumptions'!$B$15,'Tax Assumptions'!$B$16)+MIN(T176*'Tax Assumptions'!$B$17,'Tax Assumptions'!$B$18)+IF(W176=0,0,LOOKUP(W176,'Tax Assumptions'!$K$9:$K$17,'Tax Assumptions'!$N$9:$N$17)+(W176-LOOKUP(W176,'Tax Assumptions'!$K$9:$K$17,'Tax Assumptions'!$K$9:$K$17))*LOOKUP(W176,'Tax Assumptions'!$K$9:$K$17,'Tax Assumptions'!$M$9:$M$17))+IF(W176=0,0,LOOKUP(W176,'Tax Assumptions'!$P$9:$P$12,'Tax Assumptions'!$S$9:$S$12)+(W176-LOOKUP(W176,'Tax Assumptions'!$P$9:$P$12,'Tax Assumptions'!$P$9:$P$12))*LOOKUP(W176,'Tax Assumptions'!$P$9:$P$12,'Tax Assumptions'!$R$9:$R$12))</f>
        <v>2163560.8234328539</v>
      </c>
      <c r="Y176" s="230">
        <f t="shared" si="68"/>
        <v>2066894.5219655386</v>
      </c>
      <c r="Z176" s="230">
        <f>IF(J176&lt;=10,INDEX('Savings Projection'!$BL$19:$BL$28,J176),LOOKUP(2,1/('Savings Projection'!$BL$19:$BL$28&lt;&gt;""),'Savings Projection'!$BL$19:$BL$28))*(1+'Model Inputs'!$B$35)^(J176-1)+IF(J176&lt;=10,INDEX('Savings Projection'!$BM$19:$BM$28,J176),LOOKUP(2,1/('Savings Projection'!$BM$19:$BM$28&lt;&gt;""),'Savings Projection'!$BM$19:$BM$28))*(1+'Model Inputs'!$B$36)^(J176-1)</f>
        <v>155226.79854876999</v>
      </c>
      <c r="AA176" s="230">
        <f t="shared" si="69"/>
        <v>1911667.7234167687</v>
      </c>
      <c r="AB176" s="230">
        <f>MIN(MAX(AA176,0),'Tax Assumptions'!$B$20)</f>
        <v>7500</v>
      </c>
      <c r="AC176" s="230">
        <f t="shared" si="70"/>
        <v>1904167.7234167687</v>
      </c>
      <c r="AD176" s="230">
        <f>MAX(AD175*(1+'Model Inputs'!$B$13)+AC176,0)</f>
        <v>6950645.9824655615</v>
      </c>
      <c r="AE176" s="230">
        <f>MAX(AE175*(1+'Model Inputs'!$B$13)+U176+AB176,0)</f>
        <v>268602.80479539197</v>
      </c>
      <c r="AF176" s="230">
        <f t="shared" si="71"/>
        <v>7219248.7872609533</v>
      </c>
      <c r="AG176" s="226" t="str">
        <f t="shared" si="93"/>
        <v/>
      </c>
      <c r="AH176" s="226" t="str">
        <f t="shared" si="94"/>
        <v/>
      </c>
      <c r="AI176" s="226" t="str">
        <f t="shared" si="95"/>
        <v/>
      </c>
      <c r="AJ176" s="226" t="str">
        <f t="shared" si="96"/>
        <v/>
      </c>
    </row>
    <row r="177" spans="1:36" ht="18" customHeight="1" x14ac:dyDescent="0.2">
      <c r="A177" s="226" t="str">
        <f t="shared" si="85"/>
        <v>3Y -&gt; PM Y8 Starter</v>
      </c>
      <c r="B177" s="226">
        <f t="shared" si="86"/>
        <v>3</v>
      </c>
      <c r="C177" s="235">
        <f t="shared" si="87"/>
        <v>3</v>
      </c>
      <c r="D177" s="226">
        <f t="shared" si="88"/>
        <v>8</v>
      </c>
      <c r="E177" s="226" t="str">
        <f t="shared" si="89"/>
        <v>Starter</v>
      </c>
      <c r="F177" s="230">
        <f t="shared" si="90"/>
        <v>10000000</v>
      </c>
      <c r="G177" s="236">
        <f t="shared" si="91"/>
        <v>0.15</v>
      </c>
      <c r="H177" s="230">
        <f t="shared" si="92"/>
        <v>300000</v>
      </c>
      <c r="I177" s="236">
        <f t="shared" si="62"/>
        <v>0</v>
      </c>
      <c r="J177" s="234">
        <v>8</v>
      </c>
      <c r="K177" s="234">
        <f t="shared" si="63"/>
        <v>2033</v>
      </c>
      <c r="L177" s="230">
        <f>IF(J177=1,'Model Inputs'!$B$25*(13-'Model Inputs'!$B$23)/12,'Model Inputs'!$B$25)</f>
        <v>300000</v>
      </c>
      <c r="M177" s="230">
        <f>IF(J177=1,'Model Inputs'!$B$27*(13-'Model Inputs'!$B$23)/12,IF(J177=2,'Model Inputs'!$B$27,IF(J177&lt;=MAX(3,'Model Inputs'!$B$30+1),'Model Inputs'!$B$27*(1+'Model Inputs'!$B$28)^(J177-3),'Model Inputs'!$B$27*(1+'Model Inputs'!$B$28)^(MAX(3,'Model Inputs'!$B$30+1)-3)*(1+'Model Inputs'!$B$29)^(J177-MAX(3,'Model Inputs'!$B$30+1)))))</f>
        <v>1950000.0000000002</v>
      </c>
      <c r="N177" s="236">
        <f>IF(J177&lt;=2,0,'Model Inputs'!$B$32*SIN(2*PI()*(J177-3+'Model Inputs'!$B$34)/MAX(1,'Model Inputs'!$B$33)))</f>
        <v>-0.10392304845413264</v>
      </c>
      <c r="O177" s="230">
        <f t="shared" si="64"/>
        <v>1747350.0555144416</v>
      </c>
      <c r="P177" s="230">
        <f t="shared" si="97"/>
        <v>1572205.6657868917</v>
      </c>
      <c r="Q177" s="230">
        <f>L177+P177+IF(J177=1,'Model Inputs'!$B$26,0)</f>
        <v>1872205.6657868917</v>
      </c>
      <c r="R177" s="230">
        <f t="shared" si="65"/>
        <v>5616616.9973606747</v>
      </c>
      <c r="S177" s="230">
        <f t="shared" si="66"/>
        <v>1800000</v>
      </c>
      <c r="T177" s="230">
        <f t="shared" si="67"/>
        <v>1800000</v>
      </c>
      <c r="U177" s="230">
        <f>MIN(T177,'Tax Assumptions'!$B$19)</f>
        <v>24500</v>
      </c>
      <c r="V177" s="230">
        <f>MAX(T177-U177-'Tax Assumptions'!$B$8,0)</f>
        <v>1759400</v>
      </c>
      <c r="W177" s="230">
        <f>MAX(T177-U177-'Tax Assumptions'!$B$9,0)</f>
        <v>1767500</v>
      </c>
      <c r="X177" s="230">
        <f>IF(V177=0,0,LOOKUP(V177,'Tax Assumptions'!$F$9:$F$15,'Tax Assumptions'!$I$9:$I$15)+(V177-LOOKUP(V177,'Tax Assumptions'!$F$9:$F$15,'Tax Assumptions'!$F$9:$F$15))*LOOKUP(V177,'Tax Assumptions'!$F$9:$F$15,'Tax Assumptions'!$H$9:$H$15))+MIN(MAX(T177,0),'Tax Assumptions'!$B$11)*'Tax Assumptions'!$B$10+MAX(T177,0)*'Tax Assumptions'!$B$12+MAX(MAX(T177,0)-'Tax Assumptions'!$B$14,0)*'Tax Assumptions'!$B$13+MIN(T177*'Tax Assumptions'!$B$15,'Tax Assumptions'!$B$16)+MIN(T177*'Tax Assumptions'!$B$17,'Tax Assumptions'!$B$18)+IF(W177=0,0,LOOKUP(W177,'Tax Assumptions'!$K$9:$K$17,'Tax Assumptions'!$N$9:$N$17)+(W177-LOOKUP(W177,'Tax Assumptions'!$K$9:$K$17,'Tax Assumptions'!$K$9:$K$17))*LOOKUP(W177,'Tax Assumptions'!$K$9:$K$17,'Tax Assumptions'!$M$9:$M$17))+IF(W177=0,0,LOOKUP(W177,'Tax Assumptions'!$P$9:$P$12,'Tax Assumptions'!$S$9:$S$12)+(W177-LOOKUP(W177,'Tax Assumptions'!$P$9:$P$12,'Tax Assumptions'!$P$9:$P$12))*LOOKUP(W177,'Tax Assumptions'!$P$9:$P$12,'Tax Assumptions'!$R$9:$R$12))</f>
        <v>865478.63500000001</v>
      </c>
      <c r="Y177" s="230">
        <f t="shared" si="68"/>
        <v>910021.36499999999</v>
      </c>
      <c r="Z177" s="230">
        <f>IF(J177&lt;=10,INDEX('Savings Projection'!$BL$19:$BL$28,J177),LOOKUP(2,1/('Savings Projection'!$BL$19:$BL$28&lt;&gt;""),'Savings Projection'!$BL$19:$BL$28))*(1+'Model Inputs'!$B$35)^(J177-1)+IF(J177&lt;=10,INDEX('Savings Projection'!$BM$19:$BM$28,J177),LOOKUP(2,1/('Savings Projection'!$BM$19:$BM$28&lt;&gt;""),'Savings Projection'!$BM$19:$BM$28))*(1+'Model Inputs'!$B$36)^(J177-1)</f>
        <v>159883.60250523311</v>
      </c>
      <c r="AA177" s="230">
        <f t="shared" si="69"/>
        <v>750137.76249476685</v>
      </c>
      <c r="AB177" s="230">
        <f>MIN(MAX(AA177,0),'Tax Assumptions'!$B$20)</f>
        <v>7500</v>
      </c>
      <c r="AC177" s="230">
        <f t="shared" si="70"/>
        <v>742637.76249476685</v>
      </c>
      <c r="AD177" s="230">
        <f>MAX(AD176*(1+'Model Inputs'!$B$13)+AC177,0)</f>
        <v>8110322.5039082626</v>
      </c>
      <c r="AE177" s="230">
        <f>MAX(AE176*(1+'Model Inputs'!$B$13)+U177+AB177,0)</f>
        <v>316718.97308311553</v>
      </c>
      <c r="AF177" s="230">
        <f t="shared" si="71"/>
        <v>8427041.4769913778</v>
      </c>
      <c r="AG177" s="226" t="str">
        <f t="shared" si="93"/>
        <v/>
      </c>
      <c r="AH177" s="226" t="str">
        <f t="shared" si="94"/>
        <v/>
      </c>
      <c r="AI177" s="226" t="str">
        <f t="shared" si="95"/>
        <v/>
      </c>
      <c r="AJ177" s="226" t="str">
        <f t="shared" si="96"/>
        <v/>
      </c>
    </row>
    <row r="178" spans="1:36" ht="18" customHeight="1" x14ac:dyDescent="0.2">
      <c r="A178" s="226" t="str">
        <f t="shared" si="85"/>
        <v>3Y -&gt; PM Y8 Starter</v>
      </c>
      <c r="B178" s="226">
        <f t="shared" si="86"/>
        <v>3</v>
      </c>
      <c r="C178" s="235">
        <f t="shared" si="87"/>
        <v>3</v>
      </c>
      <c r="D178" s="226">
        <f t="shared" si="88"/>
        <v>8</v>
      </c>
      <c r="E178" s="226" t="str">
        <f t="shared" si="89"/>
        <v>Starter</v>
      </c>
      <c r="F178" s="230">
        <f t="shared" si="90"/>
        <v>10000000</v>
      </c>
      <c r="G178" s="236">
        <f t="shared" si="91"/>
        <v>0.15</v>
      </c>
      <c r="H178" s="230">
        <f t="shared" si="92"/>
        <v>300000</v>
      </c>
      <c r="I178" s="236">
        <f t="shared" ref="I178:I241" si="98">$J$17</f>
        <v>0</v>
      </c>
      <c r="J178" s="234">
        <v>9</v>
      </c>
      <c r="K178" s="234">
        <f t="shared" ref="K178:K241" si="99">2025+J178</f>
        <v>2034</v>
      </c>
      <c r="L178" s="230">
        <f>IF(J178=1,'Model Inputs'!$B$25*(13-'Model Inputs'!$B$23)/12,'Model Inputs'!$B$25)</f>
        <v>300000</v>
      </c>
      <c r="M178" s="230">
        <f>IF(J178=1,'Model Inputs'!$B$27*(13-'Model Inputs'!$B$23)/12,IF(J178=2,'Model Inputs'!$B$27,IF(J178&lt;=MAX(3,'Model Inputs'!$B$30+1),'Model Inputs'!$B$27*(1+'Model Inputs'!$B$28)^(J178-3),'Model Inputs'!$B$27*(1+'Model Inputs'!$B$28)^(MAX(3,'Model Inputs'!$B$30+1)-3)*(1+'Model Inputs'!$B$29)^(J178-MAX(3,'Model Inputs'!$B$30+1)))))</f>
        <v>2478210.9983498608</v>
      </c>
      <c r="N178" s="236">
        <f>IF(J178&lt;=2,0,'Model Inputs'!$B$32*SIN(2*PI()*(J178-3+'Model Inputs'!$B$34)/MAX(1,'Model Inputs'!$B$33)))</f>
        <v>-5.8783046359072947E-17</v>
      </c>
      <c r="O178" s="230">
        <f t="shared" ref="O178:O241" si="100">M178*(1+N178)</f>
        <v>2478210.9983498603</v>
      </c>
      <c r="P178" s="230">
        <f t="shared" si="97"/>
        <v>1733969.9666232408</v>
      </c>
      <c r="Q178" s="230">
        <f>L178+P178+IF(J178=1,'Model Inputs'!$B$26,0)</f>
        <v>2033969.9666232408</v>
      </c>
      <c r="R178" s="230">
        <f t="shared" ref="R178:R241" si="101">IF(J178&lt;=B178,Q178,Q178*C178)</f>
        <v>6101909.8998697223</v>
      </c>
      <c r="S178" s="230">
        <f t="shared" ref="S178:S241" si="102">H178+F178*G178*(1+I178)^MAX(0,J178-D178)</f>
        <v>1800000</v>
      </c>
      <c r="T178" s="230">
        <f t="shared" ref="T178:T241" si="103">IF(J178&gt;=D178,S178,R178)</f>
        <v>1800000</v>
      </c>
      <c r="U178" s="230">
        <f>MIN(T178,'Tax Assumptions'!$B$19)</f>
        <v>24500</v>
      </c>
      <c r="V178" s="230">
        <f>MAX(T178-U178-'Tax Assumptions'!$B$8,0)</f>
        <v>1759400</v>
      </c>
      <c r="W178" s="230">
        <f>MAX(T178-U178-'Tax Assumptions'!$B$9,0)</f>
        <v>1767500</v>
      </c>
      <c r="X178" s="230">
        <f>IF(V178=0,0,LOOKUP(V178,'Tax Assumptions'!$F$9:$F$15,'Tax Assumptions'!$I$9:$I$15)+(V178-LOOKUP(V178,'Tax Assumptions'!$F$9:$F$15,'Tax Assumptions'!$F$9:$F$15))*LOOKUP(V178,'Tax Assumptions'!$F$9:$F$15,'Tax Assumptions'!$H$9:$H$15))+MIN(MAX(T178,0),'Tax Assumptions'!$B$11)*'Tax Assumptions'!$B$10+MAX(T178,0)*'Tax Assumptions'!$B$12+MAX(MAX(T178,0)-'Tax Assumptions'!$B$14,0)*'Tax Assumptions'!$B$13+MIN(T178*'Tax Assumptions'!$B$15,'Tax Assumptions'!$B$16)+MIN(T178*'Tax Assumptions'!$B$17,'Tax Assumptions'!$B$18)+IF(W178=0,0,LOOKUP(W178,'Tax Assumptions'!$K$9:$K$17,'Tax Assumptions'!$N$9:$N$17)+(W178-LOOKUP(W178,'Tax Assumptions'!$K$9:$K$17,'Tax Assumptions'!$K$9:$K$17))*LOOKUP(W178,'Tax Assumptions'!$K$9:$K$17,'Tax Assumptions'!$M$9:$M$17))+IF(W178=0,0,LOOKUP(W178,'Tax Assumptions'!$P$9:$P$12,'Tax Assumptions'!$S$9:$S$12)+(W178-LOOKUP(W178,'Tax Assumptions'!$P$9:$P$12,'Tax Assumptions'!$P$9:$P$12))*LOOKUP(W178,'Tax Assumptions'!$P$9:$P$12,'Tax Assumptions'!$R$9:$R$12))</f>
        <v>865478.63500000001</v>
      </c>
      <c r="Y178" s="230">
        <f t="shared" ref="Y178:Y241" si="104">T178-U178-X178</f>
        <v>910021.36499999999</v>
      </c>
      <c r="Z178" s="230">
        <f>IF(J178&lt;=10,INDEX('Savings Projection'!$BL$19:$BL$28,J178),LOOKUP(2,1/('Savings Projection'!$BL$19:$BL$28&lt;&gt;""),'Savings Projection'!$BL$19:$BL$28))*(1+'Model Inputs'!$B$35)^(J178-1)+IF(J178&lt;=10,INDEX('Savings Projection'!$BM$19:$BM$28,J178),LOOKUP(2,1/('Savings Projection'!$BM$19:$BM$28&lt;&gt;""),'Savings Projection'!$BM$19:$BM$28))*(1+'Model Inputs'!$B$36)^(J178-1)</f>
        <v>164680.11058039009</v>
      </c>
      <c r="AA178" s="230">
        <f t="shared" ref="AA178:AA241" si="105">Y178-Z178</f>
        <v>745341.2544196099</v>
      </c>
      <c r="AB178" s="230">
        <f>MIN(MAX(AA178,0),'Tax Assumptions'!$B$20)</f>
        <v>7500</v>
      </c>
      <c r="AC178" s="230">
        <f t="shared" ref="AC178:AC241" si="106">AA178-AB178</f>
        <v>737841.2544196099</v>
      </c>
      <c r="AD178" s="230">
        <f>MAX(AD177*(1+'Model Inputs'!$B$13)+AC178,0)</f>
        <v>9334783.1085623689</v>
      </c>
      <c r="AE178" s="230">
        <f>MAX(AE177*(1+'Model Inputs'!$B$13)+U178+AB178,0)</f>
        <v>367722.11146810249</v>
      </c>
      <c r="AF178" s="230">
        <f t="shared" ref="AF178:AF241" si="107">AD178+AE178</f>
        <v>9702505.2200304717</v>
      </c>
      <c r="AG178" s="226" t="str">
        <f t="shared" si="93"/>
        <v/>
      </c>
      <c r="AH178" s="226" t="str">
        <f t="shared" si="94"/>
        <v/>
      </c>
      <c r="AI178" s="226" t="str">
        <f t="shared" si="95"/>
        <v/>
      </c>
      <c r="AJ178" s="226" t="str">
        <f t="shared" si="96"/>
        <v/>
      </c>
    </row>
    <row r="179" spans="1:36" ht="18" customHeight="1" x14ac:dyDescent="0.2">
      <c r="A179" s="226" t="str">
        <f t="shared" si="85"/>
        <v>3Y -&gt; PM Y8 Starter</v>
      </c>
      <c r="B179" s="226">
        <f t="shared" si="86"/>
        <v>3</v>
      </c>
      <c r="C179" s="235">
        <f t="shared" si="87"/>
        <v>3</v>
      </c>
      <c r="D179" s="226">
        <f t="shared" si="88"/>
        <v>8</v>
      </c>
      <c r="E179" s="226" t="str">
        <f t="shared" si="89"/>
        <v>Starter</v>
      </c>
      <c r="F179" s="230">
        <f t="shared" si="90"/>
        <v>10000000</v>
      </c>
      <c r="G179" s="236">
        <f t="shared" si="91"/>
        <v>0.15</v>
      </c>
      <c r="H179" s="230">
        <f t="shared" si="92"/>
        <v>300000</v>
      </c>
      <c r="I179" s="236">
        <f t="shared" si="98"/>
        <v>0</v>
      </c>
      <c r="J179" s="234">
        <v>10</v>
      </c>
      <c r="K179" s="234">
        <f t="shared" si="99"/>
        <v>2035</v>
      </c>
      <c r="L179" s="230">
        <f>IF(J179=1,'Model Inputs'!$B$25*(13-'Model Inputs'!$B$23)/12,'Model Inputs'!$B$25)</f>
        <v>300000</v>
      </c>
      <c r="M179" s="230">
        <f>IF(J179=1,'Model Inputs'!$B$27*(13-'Model Inputs'!$B$23)/12,IF(J179=2,'Model Inputs'!$B$27,IF(J179&lt;=MAX(3,'Model Inputs'!$B$30+1),'Model Inputs'!$B$27*(1+'Model Inputs'!$B$28)^(J179-3),'Model Inputs'!$B$27*(1+'Model Inputs'!$B$28)^(MAX(3,'Model Inputs'!$B$30+1)-3)*(1+'Model Inputs'!$B$29)^(J179-MAX(3,'Model Inputs'!$B$30+1)))))</f>
        <v>3149502.4370985711</v>
      </c>
      <c r="N179" s="236">
        <f>IF(J179&lt;=2,0,'Model Inputs'!$B$32*SIN(2*PI()*(J179-3+'Model Inputs'!$B$34)/MAX(1,'Model Inputs'!$B$33)))</f>
        <v>0.10392304845413271</v>
      </c>
      <c r="O179" s="230">
        <f t="shared" si="100"/>
        <v>3476808.331475575</v>
      </c>
      <c r="P179" s="230">
        <f t="shared" si="97"/>
        <v>2295495.7626410057</v>
      </c>
      <c r="Q179" s="230">
        <f>L179+P179+IF(J179=1,'Model Inputs'!$B$26,0)</f>
        <v>2595495.7626410057</v>
      </c>
      <c r="R179" s="230">
        <f t="shared" si="101"/>
        <v>7786487.2879230175</v>
      </c>
      <c r="S179" s="230">
        <f t="shared" si="102"/>
        <v>1800000</v>
      </c>
      <c r="T179" s="230">
        <f t="shared" si="103"/>
        <v>1800000</v>
      </c>
      <c r="U179" s="230">
        <f>MIN(T179,'Tax Assumptions'!$B$19)</f>
        <v>24500</v>
      </c>
      <c r="V179" s="230">
        <f>MAX(T179-U179-'Tax Assumptions'!$B$8,0)</f>
        <v>1759400</v>
      </c>
      <c r="W179" s="230">
        <f>MAX(T179-U179-'Tax Assumptions'!$B$9,0)</f>
        <v>1767500</v>
      </c>
      <c r="X179" s="230">
        <f>IF(V179=0,0,LOOKUP(V179,'Tax Assumptions'!$F$9:$F$15,'Tax Assumptions'!$I$9:$I$15)+(V179-LOOKUP(V179,'Tax Assumptions'!$F$9:$F$15,'Tax Assumptions'!$F$9:$F$15))*LOOKUP(V179,'Tax Assumptions'!$F$9:$F$15,'Tax Assumptions'!$H$9:$H$15))+MIN(MAX(T179,0),'Tax Assumptions'!$B$11)*'Tax Assumptions'!$B$10+MAX(T179,0)*'Tax Assumptions'!$B$12+MAX(MAX(T179,0)-'Tax Assumptions'!$B$14,0)*'Tax Assumptions'!$B$13+MIN(T179*'Tax Assumptions'!$B$15,'Tax Assumptions'!$B$16)+MIN(T179*'Tax Assumptions'!$B$17,'Tax Assumptions'!$B$18)+IF(W179=0,0,LOOKUP(W179,'Tax Assumptions'!$K$9:$K$17,'Tax Assumptions'!$N$9:$N$17)+(W179-LOOKUP(W179,'Tax Assumptions'!$K$9:$K$17,'Tax Assumptions'!$K$9:$K$17))*LOOKUP(W179,'Tax Assumptions'!$K$9:$K$17,'Tax Assumptions'!$M$9:$M$17))+IF(W179=0,0,LOOKUP(W179,'Tax Assumptions'!$P$9:$P$12,'Tax Assumptions'!$S$9:$S$12)+(W179-LOOKUP(W179,'Tax Assumptions'!$P$9:$P$12,'Tax Assumptions'!$P$9:$P$12))*LOOKUP(W179,'Tax Assumptions'!$P$9:$P$12,'Tax Assumptions'!$R$9:$R$12))</f>
        <v>865478.63500000001</v>
      </c>
      <c r="Y179" s="230">
        <f t="shared" si="104"/>
        <v>910021.36499999999</v>
      </c>
      <c r="Z179" s="230">
        <f>IF(J179&lt;=10,INDEX('Savings Projection'!$BL$19:$BL$28,J179),LOOKUP(2,1/('Savings Projection'!$BL$19:$BL$28&lt;&gt;""),'Savings Projection'!$BL$19:$BL$28))*(1+'Model Inputs'!$B$35)^(J179-1)+IF(J179&lt;=10,INDEX('Savings Projection'!$BM$19:$BM$28,J179),LOOKUP(2,1/('Savings Projection'!$BM$19:$BM$28&lt;&gt;""),'Savings Projection'!$BM$19:$BM$28))*(1+'Model Inputs'!$B$36)^(J179-1)</f>
        <v>169620.51389780178</v>
      </c>
      <c r="AA179" s="230">
        <f t="shared" si="105"/>
        <v>740400.85110219824</v>
      </c>
      <c r="AB179" s="230">
        <f>MIN(MAX(AA179,0),'Tax Assumptions'!$B$20)</f>
        <v>7500</v>
      </c>
      <c r="AC179" s="230">
        <f t="shared" si="106"/>
        <v>732900.85110219824</v>
      </c>
      <c r="AD179" s="230">
        <f>MAX(AD178*(1+'Model Inputs'!$B$13)+AC179,0)</f>
        <v>10627770.94617831</v>
      </c>
      <c r="AE179" s="230">
        <f>MAX(AE178*(1+'Model Inputs'!$B$13)+U179+AB179,0)</f>
        <v>421785.43815618864</v>
      </c>
      <c r="AF179" s="230">
        <f t="shared" si="107"/>
        <v>11049556.384334499</v>
      </c>
      <c r="AG179" s="226" t="str">
        <f t="shared" si="93"/>
        <v/>
      </c>
      <c r="AH179" s="226" t="str">
        <f t="shared" si="94"/>
        <v/>
      </c>
      <c r="AI179" s="226" t="str">
        <f t="shared" si="95"/>
        <v/>
      </c>
      <c r="AJ179" s="226" t="str">
        <f t="shared" si="96"/>
        <v/>
      </c>
    </row>
    <row r="180" spans="1:36" ht="18" customHeight="1" x14ac:dyDescent="0.2">
      <c r="A180" s="226" t="str">
        <f t="shared" si="85"/>
        <v>3Y -&gt; PM Y8 Starter</v>
      </c>
      <c r="B180" s="226">
        <f t="shared" si="86"/>
        <v>3</v>
      </c>
      <c r="C180" s="235">
        <f t="shared" si="87"/>
        <v>3</v>
      </c>
      <c r="D180" s="226">
        <f t="shared" si="88"/>
        <v>8</v>
      </c>
      <c r="E180" s="226" t="str">
        <f t="shared" si="89"/>
        <v>Starter</v>
      </c>
      <c r="F180" s="230">
        <f t="shared" si="90"/>
        <v>10000000</v>
      </c>
      <c r="G180" s="236">
        <f t="shared" si="91"/>
        <v>0.15</v>
      </c>
      <c r="H180" s="230">
        <f t="shared" si="92"/>
        <v>300000</v>
      </c>
      <c r="I180" s="236">
        <f t="shared" si="98"/>
        <v>0</v>
      </c>
      <c r="J180" s="234">
        <v>11</v>
      </c>
      <c r="K180" s="234">
        <f t="shared" si="99"/>
        <v>2036</v>
      </c>
      <c r="L180" s="230">
        <f>IF(J180=1,'Model Inputs'!$B$25*(13-'Model Inputs'!$B$23)/12,'Model Inputs'!$B$25)</f>
        <v>300000</v>
      </c>
      <c r="M180" s="230">
        <f>IF(J180=1,'Model Inputs'!$B$27*(13-'Model Inputs'!$B$23)/12,IF(J180=2,'Model Inputs'!$B$27,IF(J180&lt;=MAX(3,'Model Inputs'!$B$30+1),'Model Inputs'!$B$27*(1+'Model Inputs'!$B$28)^(J180-3),'Model Inputs'!$B$27*(1+'Model Inputs'!$B$28)^(MAX(3,'Model Inputs'!$B$30+1)-3)*(1+'Model Inputs'!$B$29)^(J180-MAX(3,'Model Inputs'!$B$30+1)))))</f>
        <v>4002631.578947369</v>
      </c>
      <c r="N180" s="236">
        <f>IF(J180&lt;=2,0,'Model Inputs'!$B$32*SIN(2*PI()*(J180-3+'Model Inputs'!$B$34)/MAX(1,'Model Inputs'!$B$33)))</f>
        <v>-0.10392304845413253</v>
      </c>
      <c r="O180" s="230">
        <f t="shared" si="100"/>
        <v>3586665.9034243808</v>
      </c>
      <c r="P180" s="230">
        <f t="shared" si="97"/>
        <v>3227158.9981941464</v>
      </c>
      <c r="Q180" s="230">
        <f>L180+P180+IF(J180=1,'Model Inputs'!$B$26,0)</f>
        <v>3527158.9981941464</v>
      </c>
      <c r="R180" s="230">
        <f t="shared" si="101"/>
        <v>10581476.994582439</v>
      </c>
      <c r="S180" s="230">
        <f t="shared" si="102"/>
        <v>1800000</v>
      </c>
      <c r="T180" s="230">
        <f t="shared" si="103"/>
        <v>1800000</v>
      </c>
      <c r="U180" s="230">
        <f>MIN(T180,'Tax Assumptions'!$B$19)</f>
        <v>24500</v>
      </c>
      <c r="V180" s="230">
        <f>MAX(T180-U180-'Tax Assumptions'!$B$8,0)</f>
        <v>1759400</v>
      </c>
      <c r="W180" s="230">
        <f>MAX(T180-U180-'Tax Assumptions'!$B$9,0)</f>
        <v>1767500</v>
      </c>
      <c r="X180" s="230">
        <f>IF(V180=0,0,LOOKUP(V180,'Tax Assumptions'!$F$9:$F$15,'Tax Assumptions'!$I$9:$I$15)+(V180-LOOKUP(V180,'Tax Assumptions'!$F$9:$F$15,'Tax Assumptions'!$F$9:$F$15))*LOOKUP(V180,'Tax Assumptions'!$F$9:$F$15,'Tax Assumptions'!$H$9:$H$15))+MIN(MAX(T180,0),'Tax Assumptions'!$B$11)*'Tax Assumptions'!$B$10+MAX(T180,0)*'Tax Assumptions'!$B$12+MAX(MAX(T180,0)-'Tax Assumptions'!$B$14,0)*'Tax Assumptions'!$B$13+MIN(T180*'Tax Assumptions'!$B$15,'Tax Assumptions'!$B$16)+MIN(T180*'Tax Assumptions'!$B$17,'Tax Assumptions'!$B$18)+IF(W180=0,0,LOOKUP(W180,'Tax Assumptions'!$K$9:$K$17,'Tax Assumptions'!$N$9:$N$17)+(W180-LOOKUP(W180,'Tax Assumptions'!$K$9:$K$17,'Tax Assumptions'!$K$9:$K$17))*LOOKUP(W180,'Tax Assumptions'!$K$9:$K$17,'Tax Assumptions'!$M$9:$M$17))+IF(W180=0,0,LOOKUP(W180,'Tax Assumptions'!$P$9:$P$12,'Tax Assumptions'!$S$9:$S$12)+(W180-LOOKUP(W180,'Tax Assumptions'!$P$9:$P$12,'Tax Assumptions'!$P$9:$P$12))*LOOKUP(W180,'Tax Assumptions'!$P$9:$P$12,'Tax Assumptions'!$R$9:$R$12))</f>
        <v>865478.63500000001</v>
      </c>
      <c r="Y180" s="230">
        <f t="shared" si="104"/>
        <v>910021.36499999999</v>
      </c>
      <c r="Z180" s="230">
        <f>IF(J180&lt;=10,INDEX('Savings Projection'!$BL$19:$BL$28,J180),LOOKUP(2,1/('Savings Projection'!$BL$19:$BL$28&lt;&gt;""),'Savings Projection'!$BL$19:$BL$28))*(1+'Model Inputs'!$B$35)^(J180-1)+IF(J180&lt;=10,INDEX('Savings Projection'!$BM$19:$BM$28,J180),LOOKUP(2,1/('Savings Projection'!$BM$19:$BM$28&lt;&gt;""),'Savings Projection'!$BM$19:$BM$28))*(1+'Model Inputs'!$B$36)^(J180-1)</f>
        <v>174709.12931473582</v>
      </c>
      <c r="AA180" s="230">
        <f t="shared" si="105"/>
        <v>735312.23568526423</v>
      </c>
      <c r="AB180" s="230">
        <f>MIN(MAX(AA180,0),'Tax Assumptions'!$B$20)</f>
        <v>7500</v>
      </c>
      <c r="AC180" s="230">
        <f t="shared" si="106"/>
        <v>727812.23568526423</v>
      </c>
      <c r="AD180" s="230">
        <f>MAX(AD179*(1+'Model Inputs'!$B$13)+AC180,0)</f>
        <v>11993249.438634273</v>
      </c>
      <c r="AE180" s="230">
        <f>MAX(AE179*(1+'Model Inputs'!$B$13)+U180+AB180,0)</f>
        <v>479092.56444555998</v>
      </c>
      <c r="AF180" s="230">
        <f t="shared" si="107"/>
        <v>12472342.003079833</v>
      </c>
      <c r="AG180" s="226" t="str">
        <f t="shared" si="93"/>
        <v/>
      </c>
      <c r="AH180" s="226" t="str">
        <f t="shared" si="94"/>
        <v/>
      </c>
      <c r="AI180" s="226" t="str">
        <f t="shared" si="95"/>
        <v/>
      </c>
      <c r="AJ180" s="226" t="str">
        <f t="shared" si="96"/>
        <v/>
      </c>
    </row>
    <row r="181" spans="1:36" ht="18" customHeight="1" x14ac:dyDescent="0.2">
      <c r="A181" s="226" t="str">
        <f t="shared" si="85"/>
        <v>3Y -&gt; PM Y8 Starter</v>
      </c>
      <c r="B181" s="226">
        <f t="shared" si="86"/>
        <v>3</v>
      </c>
      <c r="C181" s="235">
        <f t="shared" si="87"/>
        <v>3</v>
      </c>
      <c r="D181" s="226">
        <f t="shared" si="88"/>
        <v>8</v>
      </c>
      <c r="E181" s="226" t="str">
        <f t="shared" si="89"/>
        <v>Starter</v>
      </c>
      <c r="F181" s="230">
        <f t="shared" si="90"/>
        <v>10000000</v>
      </c>
      <c r="G181" s="236">
        <f t="shared" si="91"/>
        <v>0.15</v>
      </c>
      <c r="H181" s="230">
        <f t="shared" si="92"/>
        <v>300000</v>
      </c>
      <c r="I181" s="236">
        <f t="shared" si="98"/>
        <v>0</v>
      </c>
      <c r="J181" s="234">
        <v>12</v>
      </c>
      <c r="K181" s="234">
        <f t="shared" si="99"/>
        <v>2037</v>
      </c>
      <c r="L181" s="230">
        <f>IF(J181=1,'Model Inputs'!$B$25*(13-'Model Inputs'!$B$23)/12,'Model Inputs'!$B$25)</f>
        <v>300000</v>
      </c>
      <c r="M181" s="230">
        <f>IF(J181=1,'Model Inputs'!$B$27*(13-'Model Inputs'!$B$23)/12,IF(J181=2,'Model Inputs'!$B$27,IF(J181&lt;=MAX(3,'Model Inputs'!$B$30+1),'Model Inputs'!$B$27*(1+'Model Inputs'!$B$28)^(J181-3),'Model Inputs'!$B$27*(1+'Model Inputs'!$B$28)^(MAX(3,'Model Inputs'!$B$30+1)-3)*(1+'Model Inputs'!$B$29)^(J181-MAX(3,'Model Inputs'!$B$30+1)))))</f>
        <v>5086854.15450761</v>
      </c>
      <c r="N181" s="236">
        <f>IF(J181&lt;=2,0,'Model Inputs'!$B$32*SIN(2*PI()*(J181-3+'Model Inputs'!$B$34)/MAX(1,'Model Inputs'!$B$33)))</f>
        <v>-8.8174569538609421E-17</v>
      </c>
      <c r="O181" s="230">
        <f t="shared" si="100"/>
        <v>5086854.1545076091</v>
      </c>
      <c r="P181" s="230">
        <f t="shared" si="97"/>
        <v>3559201.5104371794</v>
      </c>
      <c r="Q181" s="230">
        <f>L181+P181+IF(J181=1,'Model Inputs'!$B$26,0)</f>
        <v>3859201.5104371794</v>
      </c>
      <c r="R181" s="230">
        <f t="shared" si="101"/>
        <v>11577604.531311538</v>
      </c>
      <c r="S181" s="230">
        <f t="shared" si="102"/>
        <v>1800000</v>
      </c>
      <c r="T181" s="230">
        <f t="shared" si="103"/>
        <v>1800000</v>
      </c>
      <c r="U181" s="230">
        <f>MIN(T181,'Tax Assumptions'!$B$19)</f>
        <v>24500</v>
      </c>
      <c r="V181" s="230">
        <f>MAX(T181-U181-'Tax Assumptions'!$B$8,0)</f>
        <v>1759400</v>
      </c>
      <c r="W181" s="230">
        <f>MAX(T181-U181-'Tax Assumptions'!$B$9,0)</f>
        <v>1767500</v>
      </c>
      <c r="X181" s="230">
        <f>IF(V181=0,0,LOOKUP(V181,'Tax Assumptions'!$F$9:$F$15,'Tax Assumptions'!$I$9:$I$15)+(V181-LOOKUP(V181,'Tax Assumptions'!$F$9:$F$15,'Tax Assumptions'!$F$9:$F$15))*LOOKUP(V181,'Tax Assumptions'!$F$9:$F$15,'Tax Assumptions'!$H$9:$H$15))+MIN(MAX(T181,0),'Tax Assumptions'!$B$11)*'Tax Assumptions'!$B$10+MAX(T181,0)*'Tax Assumptions'!$B$12+MAX(MAX(T181,0)-'Tax Assumptions'!$B$14,0)*'Tax Assumptions'!$B$13+MIN(T181*'Tax Assumptions'!$B$15,'Tax Assumptions'!$B$16)+MIN(T181*'Tax Assumptions'!$B$17,'Tax Assumptions'!$B$18)+IF(W181=0,0,LOOKUP(W181,'Tax Assumptions'!$K$9:$K$17,'Tax Assumptions'!$N$9:$N$17)+(W181-LOOKUP(W181,'Tax Assumptions'!$K$9:$K$17,'Tax Assumptions'!$K$9:$K$17))*LOOKUP(W181,'Tax Assumptions'!$K$9:$K$17,'Tax Assumptions'!$M$9:$M$17))+IF(W181=0,0,LOOKUP(W181,'Tax Assumptions'!$P$9:$P$12,'Tax Assumptions'!$S$9:$S$12)+(W181-LOOKUP(W181,'Tax Assumptions'!$P$9:$P$12,'Tax Assumptions'!$P$9:$P$12))*LOOKUP(W181,'Tax Assumptions'!$P$9:$P$12,'Tax Assumptions'!$R$9:$R$12))</f>
        <v>865478.63500000001</v>
      </c>
      <c r="Y181" s="230">
        <f t="shared" si="104"/>
        <v>910021.36499999999</v>
      </c>
      <c r="Z181" s="230">
        <f>IF(J181&lt;=10,INDEX('Savings Projection'!$BL$19:$BL$28,J181),LOOKUP(2,1/('Savings Projection'!$BL$19:$BL$28&lt;&gt;""),'Savings Projection'!$BL$19:$BL$28))*(1+'Model Inputs'!$B$35)^(J181-1)+IF(J181&lt;=10,INDEX('Savings Projection'!$BM$19:$BM$28,J181),LOOKUP(2,1/('Savings Projection'!$BM$19:$BM$28&lt;&gt;""),'Savings Projection'!$BM$19:$BM$28))*(1+'Model Inputs'!$B$36)^(J181-1)</f>
        <v>179950.4031941779</v>
      </c>
      <c r="AA181" s="230">
        <f t="shared" si="105"/>
        <v>730070.96180582209</v>
      </c>
      <c r="AB181" s="230">
        <f>MIN(MAX(AA181,0),'Tax Assumptions'!$B$20)</f>
        <v>7500</v>
      </c>
      <c r="AC181" s="230">
        <f t="shared" si="106"/>
        <v>722570.96180582209</v>
      </c>
      <c r="AD181" s="230">
        <f>MAX(AD180*(1+'Model Inputs'!$B$13)+AC181,0)</f>
        <v>13435415.366758153</v>
      </c>
      <c r="AE181" s="230">
        <f>MAX(AE180*(1+'Model Inputs'!$B$13)+U181+AB181,0)</f>
        <v>539838.11831229366</v>
      </c>
      <c r="AF181" s="230">
        <f t="shared" si="107"/>
        <v>13975253.485070447</v>
      </c>
      <c r="AG181" s="226" t="str">
        <f t="shared" si="93"/>
        <v/>
      </c>
      <c r="AH181" s="226" t="str">
        <f t="shared" si="94"/>
        <v/>
      </c>
      <c r="AI181" s="226" t="str">
        <f t="shared" si="95"/>
        <v/>
      </c>
      <c r="AJ181" s="226" t="str">
        <f t="shared" si="96"/>
        <v/>
      </c>
    </row>
    <row r="182" spans="1:36" ht="18" customHeight="1" x14ac:dyDescent="0.2">
      <c r="A182" s="226" t="str">
        <f t="shared" si="85"/>
        <v>3Y -&gt; PM Y8 Starter</v>
      </c>
      <c r="B182" s="226">
        <f t="shared" si="86"/>
        <v>3</v>
      </c>
      <c r="C182" s="235">
        <f t="shared" si="87"/>
        <v>3</v>
      </c>
      <c r="D182" s="226">
        <f t="shared" si="88"/>
        <v>8</v>
      </c>
      <c r="E182" s="226" t="str">
        <f t="shared" si="89"/>
        <v>Starter</v>
      </c>
      <c r="F182" s="230">
        <f t="shared" si="90"/>
        <v>10000000</v>
      </c>
      <c r="G182" s="236">
        <f t="shared" si="91"/>
        <v>0.15</v>
      </c>
      <c r="H182" s="230">
        <f t="shared" si="92"/>
        <v>300000</v>
      </c>
      <c r="I182" s="236">
        <f t="shared" si="98"/>
        <v>0</v>
      </c>
      <c r="J182" s="234">
        <v>13</v>
      </c>
      <c r="K182" s="234">
        <f t="shared" si="99"/>
        <v>2038</v>
      </c>
      <c r="L182" s="230">
        <f>IF(J182=1,'Model Inputs'!$B$25*(13-'Model Inputs'!$B$23)/12,'Model Inputs'!$B$25)</f>
        <v>300000</v>
      </c>
      <c r="M182" s="230">
        <f>IF(J182=1,'Model Inputs'!$B$27*(13-'Model Inputs'!$B$23)/12,IF(J182=2,'Model Inputs'!$B$27,IF(J182&lt;=MAX(3,'Model Inputs'!$B$30+1),'Model Inputs'!$B$27*(1+'Model Inputs'!$B$28)^(J182-3),'Model Inputs'!$B$27*(1+'Model Inputs'!$B$28)^(MAX(3,'Model Inputs'!$B$30+1)-3)*(1+'Model Inputs'!$B$29)^(J182-MAX(3,'Model Inputs'!$B$30+1)))))</f>
        <v>6464768.1603602255</v>
      </c>
      <c r="N182" s="236">
        <f>IF(J182&lt;=2,0,'Model Inputs'!$B$32*SIN(2*PI()*(J182-3+'Model Inputs'!$B$34)/MAX(1,'Model Inputs'!$B$33)))</f>
        <v>0.10392304845413261</v>
      </c>
      <c r="O182" s="230">
        <f t="shared" si="100"/>
        <v>7136606.5751340752</v>
      </c>
      <c r="P182" s="230">
        <f t="shared" si="97"/>
        <v>4711807.0917368019</v>
      </c>
      <c r="Q182" s="230">
        <f>L182+P182+IF(J182=1,'Model Inputs'!$B$26,0)</f>
        <v>5011807.0917368019</v>
      </c>
      <c r="R182" s="230">
        <f t="shared" si="101"/>
        <v>15035421.275210407</v>
      </c>
      <c r="S182" s="230">
        <f t="shared" si="102"/>
        <v>1800000</v>
      </c>
      <c r="T182" s="230">
        <f t="shared" si="103"/>
        <v>1800000</v>
      </c>
      <c r="U182" s="230">
        <f>MIN(T182,'Tax Assumptions'!$B$19)</f>
        <v>24500</v>
      </c>
      <c r="V182" s="230">
        <f>MAX(T182-U182-'Tax Assumptions'!$B$8,0)</f>
        <v>1759400</v>
      </c>
      <c r="W182" s="230">
        <f>MAX(T182-U182-'Tax Assumptions'!$B$9,0)</f>
        <v>1767500</v>
      </c>
      <c r="X182" s="230">
        <f>IF(V182=0,0,LOOKUP(V182,'Tax Assumptions'!$F$9:$F$15,'Tax Assumptions'!$I$9:$I$15)+(V182-LOOKUP(V182,'Tax Assumptions'!$F$9:$F$15,'Tax Assumptions'!$F$9:$F$15))*LOOKUP(V182,'Tax Assumptions'!$F$9:$F$15,'Tax Assumptions'!$H$9:$H$15))+MIN(MAX(T182,0),'Tax Assumptions'!$B$11)*'Tax Assumptions'!$B$10+MAX(T182,0)*'Tax Assumptions'!$B$12+MAX(MAX(T182,0)-'Tax Assumptions'!$B$14,0)*'Tax Assumptions'!$B$13+MIN(T182*'Tax Assumptions'!$B$15,'Tax Assumptions'!$B$16)+MIN(T182*'Tax Assumptions'!$B$17,'Tax Assumptions'!$B$18)+IF(W182=0,0,LOOKUP(W182,'Tax Assumptions'!$K$9:$K$17,'Tax Assumptions'!$N$9:$N$17)+(W182-LOOKUP(W182,'Tax Assumptions'!$K$9:$K$17,'Tax Assumptions'!$K$9:$K$17))*LOOKUP(W182,'Tax Assumptions'!$K$9:$K$17,'Tax Assumptions'!$M$9:$M$17))+IF(W182=0,0,LOOKUP(W182,'Tax Assumptions'!$P$9:$P$12,'Tax Assumptions'!$S$9:$S$12)+(W182-LOOKUP(W182,'Tax Assumptions'!$P$9:$P$12,'Tax Assumptions'!$P$9:$P$12))*LOOKUP(W182,'Tax Assumptions'!$P$9:$P$12,'Tax Assumptions'!$R$9:$R$12))</f>
        <v>865478.63500000001</v>
      </c>
      <c r="Y182" s="230">
        <f t="shared" si="104"/>
        <v>910021.36499999999</v>
      </c>
      <c r="Z182" s="230">
        <f>IF(J182&lt;=10,INDEX('Savings Projection'!$BL$19:$BL$28,J182),LOOKUP(2,1/('Savings Projection'!$BL$19:$BL$28&lt;&gt;""),'Savings Projection'!$BL$19:$BL$28))*(1+'Model Inputs'!$B$35)^(J182-1)+IF(J182&lt;=10,INDEX('Savings Projection'!$BM$19:$BM$28,J182),LOOKUP(2,1/('Savings Projection'!$BM$19:$BM$28&lt;&gt;""),'Savings Projection'!$BM$19:$BM$28))*(1+'Model Inputs'!$B$36)^(J182-1)</f>
        <v>185348.91529000323</v>
      </c>
      <c r="AA182" s="230">
        <f t="shared" si="105"/>
        <v>724672.44970999681</v>
      </c>
      <c r="AB182" s="230">
        <f>MIN(MAX(AA182,0),'Tax Assumptions'!$B$20)</f>
        <v>7500</v>
      </c>
      <c r="AC182" s="230">
        <f t="shared" si="106"/>
        <v>717172.44970999681</v>
      </c>
      <c r="AD182" s="230">
        <f>MAX(AD181*(1+'Model Inputs'!$B$13)+AC182,0)</f>
        <v>14958712.738473639</v>
      </c>
      <c r="AE182" s="230">
        <f>MAX(AE181*(1+'Model Inputs'!$B$13)+U182+AB182,0)</f>
        <v>604228.40541103133</v>
      </c>
      <c r="AF182" s="230">
        <f t="shared" si="107"/>
        <v>15562941.14388467</v>
      </c>
      <c r="AG182" s="226">
        <f t="shared" si="93"/>
        <v>13</v>
      </c>
      <c r="AH182" s="226" t="str">
        <f t="shared" si="94"/>
        <v/>
      </c>
      <c r="AI182" s="226" t="str">
        <f t="shared" si="95"/>
        <v/>
      </c>
      <c r="AJ182" s="226" t="str">
        <f t="shared" si="96"/>
        <v/>
      </c>
    </row>
    <row r="183" spans="1:36" ht="18" customHeight="1" x14ac:dyDescent="0.2">
      <c r="A183" s="226" t="str">
        <f t="shared" si="85"/>
        <v>3Y -&gt; PM Y8 Starter</v>
      </c>
      <c r="B183" s="226">
        <f t="shared" si="86"/>
        <v>3</v>
      </c>
      <c r="C183" s="235">
        <f t="shared" si="87"/>
        <v>3</v>
      </c>
      <c r="D183" s="226">
        <f t="shared" si="88"/>
        <v>8</v>
      </c>
      <c r="E183" s="226" t="str">
        <f t="shared" si="89"/>
        <v>Starter</v>
      </c>
      <c r="F183" s="230">
        <f t="shared" si="90"/>
        <v>10000000</v>
      </c>
      <c r="G183" s="236">
        <f t="shared" si="91"/>
        <v>0.15</v>
      </c>
      <c r="H183" s="230">
        <f t="shared" si="92"/>
        <v>300000</v>
      </c>
      <c r="I183" s="236">
        <f t="shared" si="98"/>
        <v>0</v>
      </c>
      <c r="J183" s="234">
        <v>14</v>
      </c>
      <c r="K183" s="234">
        <f t="shared" si="99"/>
        <v>2039</v>
      </c>
      <c r="L183" s="230">
        <f>IF(J183=1,'Model Inputs'!$B$25*(13-'Model Inputs'!$B$23)/12,'Model Inputs'!$B$25)</f>
        <v>300000</v>
      </c>
      <c r="M183" s="230">
        <f>IF(J183=1,'Model Inputs'!$B$27*(13-'Model Inputs'!$B$23)/12,IF(J183=2,'Model Inputs'!$B$27,IF(J183&lt;=MAX(3,'Model Inputs'!$B$30+1),'Model Inputs'!$B$27*(1+'Model Inputs'!$B$28)^(J183-3),'Model Inputs'!$B$27*(1+'Model Inputs'!$B$28)^(MAX(3,'Model Inputs'!$B$30+1)-3)*(1+'Model Inputs'!$B$29)^(J183-MAX(3,'Model Inputs'!$B$30+1)))))</f>
        <v>8215927.9778393377</v>
      </c>
      <c r="N183" s="236">
        <f>IF(J183&lt;=2,0,'Model Inputs'!$B$32*SIN(2*PI()*(J183-3+'Model Inputs'!$B$34)/MAX(1,'Model Inputs'!$B$33)))</f>
        <v>-0.10392304845413251</v>
      </c>
      <c r="O183" s="230">
        <f t="shared" si="100"/>
        <v>7362103.6965026772</v>
      </c>
      <c r="P183" s="230">
        <f t="shared" si="97"/>
        <v>6624168.4699774589</v>
      </c>
      <c r="Q183" s="230">
        <f>L183+P183+IF(J183=1,'Model Inputs'!$B$26,0)</f>
        <v>6924168.4699774589</v>
      </c>
      <c r="R183" s="230">
        <f t="shared" si="101"/>
        <v>20772505.409932375</v>
      </c>
      <c r="S183" s="230">
        <f t="shared" si="102"/>
        <v>1800000</v>
      </c>
      <c r="T183" s="230">
        <f t="shared" si="103"/>
        <v>1800000</v>
      </c>
      <c r="U183" s="230">
        <f>MIN(T183,'Tax Assumptions'!$B$19)</f>
        <v>24500</v>
      </c>
      <c r="V183" s="230">
        <f>MAX(T183-U183-'Tax Assumptions'!$B$8,0)</f>
        <v>1759400</v>
      </c>
      <c r="W183" s="230">
        <f>MAX(T183-U183-'Tax Assumptions'!$B$9,0)</f>
        <v>1767500</v>
      </c>
      <c r="X183" s="230">
        <f>IF(V183=0,0,LOOKUP(V183,'Tax Assumptions'!$F$9:$F$15,'Tax Assumptions'!$I$9:$I$15)+(V183-LOOKUP(V183,'Tax Assumptions'!$F$9:$F$15,'Tax Assumptions'!$F$9:$F$15))*LOOKUP(V183,'Tax Assumptions'!$F$9:$F$15,'Tax Assumptions'!$H$9:$H$15))+MIN(MAX(T183,0),'Tax Assumptions'!$B$11)*'Tax Assumptions'!$B$10+MAX(T183,0)*'Tax Assumptions'!$B$12+MAX(MAX(T183,0)-'Tax Assumptions'!$B$14,0)*'Tax Assumptions'!$B$13+MIN(T183*'Tax Assumptions'!$B$15,'Tax Assumptions'!$B$16)+MIN(T183*'Tax Assumptions'!$B$17,'Tax Assumptions'!$B$18)+IF(W183=0,0,LOOKUP(W183,'Tax Assumptions'!$K$9:$K$17,'Tax Assumptions'!$N$9:$N$17)+(W183-LOOKUP(W183,'Tax Assumptions'!$K$9:$K$17,'Tax Assumptions'!$K$9:$K$17))*LOOKUP(W183,'Tax Assumptions'!$K$9:$K$17,'Tax Assumptions'!$M$9:$M$17))+IF(W183=0,0,LOOKUP(W183,'Tax Assumptions'!$P$9:$P$12,'Tax Assumptions'!$S$9:$S$12)+(W183-LOOKUP(W183,'Tax Assumptions'!$P$9:$P$12,'Tax Assumptions'!$P$9:$P$12))*LOOKUP(W183,'Tax Assumptions'!$P$9:$P$12,'Tax Assumptions'!$R$9:$R$12))</f>
        <v>865478.63500000001</v>
      </c>
      <c r="Y183" s="230">
        <f t="shared" si="104"/>
        <v>910021.36499999999</v>
      </c>
      <c r="Z183" s="230">
        <f>IF(J183&lt;=10,INDEX('Savings Projection'!$BL$19:$BL$28,J183),LOOKUP(2,1/('Savings Projection'!$BL$19:$BL$28&lt;&gt;""),'Savings Projection'!$BL$19:$BL$28))*(1+'Model Inputs'!$B$35)^(J183-1)+IF(J183&lt;=10,INDEX('Savings Projection'!$BM$19:$BM$28,J183),LOOKUP(2,1/('Savings Projection'!$BM$19:$BM$28&lt;&gt;""),'Savings Projection'!$BM$19:$BM$28))*(1+'Model Inputs'!$B$36)^(J183-1)</f>
        <v>190909.3827487033</v>
      </c>
      <c r="AA183" s="230">
        <f t="shared" si="105"/>
        <v>719111.98225129675</v>
      </c>
      <c r="AB183" s="230">
        <f>MIN(MAX(AA183,0),'Tax Assumptions'!$B$20)</f>
        <v>7500</v>
      </c>
      <c r="AC183" s="230">
        <f t="shared" si="106"/>
        <v>711611.98225129675</v>
      </c>
      <c r="AD183" s="230">
        <f>MAX(AD182*(1+'Model Inputs'!$B$13)+AC183,0)</f>
        <v>16567847.485033356</v>
      </c>
      <c r="AE183" s="230">
        <f>MAX(AE182*(1+'Model Inputs'!$B$13)+U183+AB183,0)</f>
        <v>672482.1097356932</v>
      </c>
      <c r="AF183" s="230">
        <f t="shared" si="107"/>
        <v>17240329.594769049</v>
      </c>
      <c r="AG183" s="226" t="str">
        <f t="shared" si="93"/>
        <v/>
      </c>
      <c r="AH183" s="226">
        <f t="shared" si="94"/>
        <v>14</v>
      </c>
      <c r="AI183" s="226" t="str">
        <f t="shared" si="95"/>
        <v/>
      </c>
      <c r="AJ183" s="226" t="str">
        <f t="shared" si="96"/>
        <v/>
      </c>
    </row>
    <row r="184" spans="1:36" ht="18" customHeight="1" x14ac:dyDescent="0.2">
      <c r="A184" s="226" t="str">
        <f t="shared" si="85"/>
        <v>3Y -&gt; PM Y8 Starter</v>
      </c>
      <c r="B184" s="226">
        <f t="shared" si="86"/>
        <v>3</v>
      </c>
      <c r="C184" s="235">
        <f t="shared" si="87"/>
        <v>3</v>
      </c>
      <c r="D184" s="226">
        <f t="shared" si="88"/>
        <v>8</v>
      </c>
      <c r="E184" s="226" t="str">
        <f t="shared" si="89"/>
        <v>Starter</v>
      </c>
      <c r="F184" s="230">
        <f t="shared" si="90"/>
        <v>10000000</v>
      </c>
      <c r="G184" s="236">
        <f t="shared" si="91"/>
        <v>0.15</v>
      </c>
      <c r="H184" s="230">
        <f t="shared" si="92"/>
        <v>300000</v>
      </c>
      <c r="I184" s="236">
        <f t="shared" si="98"/>
        <v>0</v>
      </c>
      <c r="J184" s="234">
        <v>15</v>
      </c>
      <c r="K184" s="234">
        <f t="shared" si="99"/>
        <v>2040</v>
      </c>
      <c r="L184" s="230">
        <f>IF(J184=1,'Model Inputs'!$B$25*(13-'Model Inputs'!$B$23)/12,'Model Inputs'!$B$25)</f>
        <v>300000</v>
      </c>
      <c r="M184" s="230">
        <f>IF(J184=1,'Model Inputs'!$B$27*(13-'Model Inputs'!$B$23)/12,IF(J184=2,'Model Inputs'!$B$27,IF(J184&lt;=MAX(3,'Model Inputs'!$B$30+1),'Model Inputs'!$B$27*(1+'Model Inputs'!$B$28)^(J184-3),'Model Inputs'!$B$27*(1+'Model Inputs'!$B$28)^(MAX(3,'Model Inputs'!$B$30+1)-3)*(1+'Model Inputs'!$B$29)^(J184-MAX(3,'Model Inputs'!$B$30+1)))))</f>
        <v>10441437.475041937</v>
      </c>
      <c r="N184" s="236">
        <f>IF(J184&lt;=2,0,'Model Inputs'!$B$32*SIN(2*PI()*(J184-3+'Model Inputs'!$B$34)/MAX(1,'Model Inputs'!$B$33)))</f>
        <v>-1.1756609271814589E-16</v>
      </c>
      <c r="O184" s="230">
        <f t="shared" si="100"/>
        <v>10441437.475041935</v>
      </c>
      <c r="P184" s="230">
        <f t="shared" si="97"/>
        <v>7305729.4161605267</v>
      </c>
      <c r="Q184" s="230">
        <f>L184+P184+IF(J184=1,'Model Inputs'!$B$26,0)</f>
        <v>7605729.4161605267</v>
      </c>
      <c r="R184" s="230">
        <f t="shared" si="101"/>
        <v>22817188.248481579</v>
      </c>
      <c r="S184" s="230">
        <f t="shared" si="102"/>
        <v>1800000</v>
      </c>
      <c r="T184" s="230">
        <f t="shared" si="103"/>
        <v>1800000</v>
      </c>
      <c r="U184" s="230">
        <f>MIN(T184,'Tax Assumptions'!$B$19)</f>
        <v>24500</v>
      </c>
      <c r="V184" s="230">
        <f>MAX(T184-U184-'Tax Assumptions'!$B$8,0)</f>
        <v>1759400</v>
      </c>
      <c r="W184" s="230">
        <f>MAX(T184-U184-'Tax Assumptions'!$B$9,0)</f>
        <v>1767500</v>
      </c>
      <c r="X184" s="230">
        <f>IF(V184=0,0,LOOKUP(V184,'Tax Assumptions'!$F$9:$F$15,'Tax Assumptions'!$I$9:$I$15)+(V184-LOOKUP(V184,'Tax Assumptions'!$F$9:$F$15,'Tax Assumptions'!$F$9:$F$15))*LOOKUP(V184,'Tax Assumptions'!$F$9:$F$15,'Tax Assumptions'!$H$9:$H$15))+MIN(MAX(T184,0),'Tax Assumptions'!$B$11)*'Tax Assumptions'!$B$10+MAX(T184,0)*'Tax Assumptions'!$B$12+MAX(MAX(T184,0)-'Tax Assumptions'!$B$14,0)*'Tax Assumptions'!$B$13+MIN(T184*'Tax Assumptions'!$B$15,'Tax Assumptions'!$B$16)+MIN(T184*'Tax Assumptions'!$B$17,'Tax Assumptions'!$B$18)+IF(W184=0,0,LOOKUP(W184,'Tax Assumptions'!$K$9:$K$17,'Tax Assumptions'!$N$9:$N$17)+(W184-LOOKUP(W184,'Tax Assumptions'!$K$9:$K$17,'Tax Assumptions'!$K$9:$K$17))*LOOKUP(W184,'Tax Assumptions'!$K$9:$K$17,'Tax Assumptions'!$M$9:$M$17))+IF(W184=0,0,LOOKUP(W184,'Tax Assumptions'!$P$9:$P$12,'Tax Assumptions'!$S$9:$S$12)+(W184-LOOKUP(W184,'Tax Assumptions'!$P$9:$P$12,'Tax Assumptions'!$P$9:$P$12))*LOOKUP(W184,'Tax Assumptions'!$P$9:$P$12,'Tax Assumptions'!$R$9:$R$12))</f>
        <v>865478.63500000001</v>
      </c>
      <c r="Y184" s="230">
        <f t="shared" si="104"/>
        <v>910021.36499999999</v>
      </c>
      <c r="Z184" s="230">
        <f>IF(J184&lt;=10,INDEX('Savings Projection'!$BL$19:$BL$28,J184),LOOKUP(2,1/('Savings Projection'!$BL$19:$BL$28&lt;&gt;""),'Savings Projection'!$BL$19:$BL$28))*(1+'Model Inputs'!$B$35)^(J184-1)+IF(J184&lt;=10,INDEX('Savings Projection'!$BM$19:$BM$28,J184),LOOKUP(2,1/('Savings Projection'!$BM$19:$BM$28&lt;&gt;""),'Savings Projection'!$BM$19:$BM$28))*(1+'Model Inputs'!$B$36)^(J184-1)</f>
        <v>196636.66423116444</v>
      </c>
      <c r="AA184" s="230">
        <f t="shared" si="105"/>
        <v>713384.70076883561</v>
      </c>
      <c r="AB184" s="230">
        <f>MIN(MAX(AA184,0),'Tax Assumptions'!$B$20)</f>
        <v>7500</v>
      </c>
      <c r="AC184" s="230">
        <f t="shared" si="106"/>
        <v>705884.70076883561</v>
      </c>
      <c r="AD184" s="230">
        <f>MAX(AD183*(1+'Model Inputs'!$B$13)+AC184,0)</f>
        <v>18267803.034904193</v>
      </c>
      <c r="AE184" s="230">
        <f>MAX(AE183*(1+'Model Inputs'!$B$13)+U184+AB184,0)</f>
        <v>744831.03631983488</v>
      </c>
      <c r="AF184" s="230">
        <f t="shared" si="107"/>
        <v>19012634.071224026</v>
      </c>
      <c r="AG184" s="226" t="str">
        <f t="shared" si="93"/>
        <v/>
      </c>
      <c r="AH184" s="226" t="str">
        <f t="shared" si="94"/>
        <v/>
      </c>
      <c r="AI184" s="226">
        <f t="shared" si="95"/>
        <v>15</v>
      </c>
      <c r="AJ184" s="226" t="str">
        <f t="shared" si="96"/>
        <v/>
      </c>
    </row>
    <row r="185" spans="1:36" ht="18" customHeight="1" x14ac:dyDescent="0.2">
      <c r="A185" s="226" t="str">
        <f t="shared" si="85"/>
        <v>3Y -&gt; PM Y8 Starter</v>
      </c>
      <c r="B185" s="226">
        <f t="shared" si="86"/>
        <v>3</v>
      </c>
      <c r="C185" s="235">
        <f t="shared" si="87"/>
        <v>3</v>
      </c>
      <c r="D185" s="226">
        <f t="shared" si="88"/>
        <v>8</v>
      </c>
      <c r="E185" s="226" t="str">
        <f t="shared" si="89"/>
        <v>Starter</v>
      </c>
      <c r="F185" s="230">
        <f t="shared" si="90"/>
        <v>10000000</v>
      </c>
      <c r="G185" s="236">
        <f t="shared" si="91"/>
        <v>0.15</v>
      </c>
      <c r="H185" s="230">
        <f t="shared" si="92"/>
        <v>300000</v>
      </c>
      <c r="I185" s="236">
        <f t="shared" si="98"/>
        <v>0</v>
      </c>
      <c r="J185" s="234">
        <v>16</v>
      </c>
      <c r="K185" s="234">
        <f t="shared" si="99"/>
        <v>2041</v>
      </c>
      <c r="L185" s="230">
        <f>IF(J185=1,'Model Inputs'!$B$25*(13-'Model Inputs'!$B$23)/12,'Model Inputs'!$B$25)</f>
        <v>300000</v>
      </c>
      <c r="M185" s="230">
        <f>IF(J185=1,'Model Inputs'!$B$27*(13-'Model Inputs'!$B$23)/12,IF(J185=2,'Model Inputs'!$B$27,IF(J185&lt;=MAX(3,'Model Inputs'!$B$30+1),'Model Inputs'!$B$27*(1+'Model Inputs'!$B$28)^(J185-3),'Model Inputs'!$B$27*(1+'Model Inputs'!$B$28)^(MAX(3,'Model Inputs'!$B$30+1)-3)*(1+'Model Inputs'!$B$29)^(J185-MAX(3,'Model Inputs'!$B$30+1)))))</f>
        <v>13269787.276528884</v>
      </c>
      <c r="N185" s="236">
        <f>IF(J185&lt;=2,0,'Model Inputs'!$B$32*SIN(2*PI()*(J185-3+'Model Inputs'!$B$34)/MAX(1,'Model Inputs'!$B$33)))</f>
        <v>0.10392304845413262</v>
      </c>
      <c r="O185" s="230">
        <f t="shared" si="100"/>
        <v>14648824.022643628</v>
      </c>
      <c r="P185" s="230">
        <f t="shared" si="97"/>
        <v>9671604.0304071214</v>
      </c>
      <c r="Q185" s="230">
        <f>L185+P185+IF(J185=1,'Model Inputs'!$B$26,0)</f>
        <v>9971604.0304071214</v>
      </c>
      <c r="R185" s="230">
        <f t="shared" si="101"/>
        <v>29914812.091221362</v>
      </c>
      <c r="S185" s="230">
        <f t="shared" si="102"/>
        <v>1800000</v>
      </c>
      <c r="T185" s="230">
        <f t="shared" si="103"/>
        <v>1800000</v>
      </c>
      <c r="U185" s="230">
        <f>MIN(T185,'Tax Assumptions'!$B$19)</f>
        <v>24500</v>
      </c>
      <c r="V185" s="230">
        <f>MAX(T185-U185-'Tax Assumptions'!$B$8,0)</f>
        <v>1759400</v>
      </c>
      <c r="W185" s="230">
        <f>MAX(T185-U185-'Tax Assumptions'!$B$9,0)</f>
        <v>1767500</v>
      </c>
      <c r="X185" s="230">
        <f>IF(V185=0,0,LOOKUP(V185,'Tax Assumptions'!$F$9:$F$15,'Tax Assumptions'!$I$9:$I$15)+(V185-LOOKUP(V185,'Tax Assumptions'!$F$9:$F$15,'Tax Assumptions'!$F$9:$F$15))*LOOKUP(V185,'Tax Assumptions'!$F$9:$F$15,'Tax Assumptions'!$H$9:$H$15))+MIN(MAX(T185,0),'Tax Assumptions'!$B$11)*'Tax Assumptions'!$B$10+MAX(T185,0)*'Tax Assumptions'!$B$12+MAX(MAX(T185,0)-'Tax Assumptions'!$B$14,0)*'Tax Assumptions'!$B$13+MIN(T185*'Tax Assumptions'!$B$15,'Tax Assumptions'!$B$16)+MIN(T185*'Tax Assumptions'!$B$17,'Tax Assumptions'!$B$18)+IF(W185=0,0,LOOKUP(W185,'Tax Assumptions'!$K$9:$K$17,'Tax Assumptions'!$N$9:$N$17)+(W185-LOOKUP(W185,'Tax Assumptions'!$K$9:$K$17,'Tax Assumptions'!$K$9:$K$17))*LOOKUP(W185,'Tax Assumptions'!$K$9:$K$17,'Tax Assumptions'!$M$9:$M$17))+IF(W185=0,0,LOOKUP(W185,'Tax Assumptions'!$P$9:$P$12,'Tax Assumptions'!$S$9:$S$12)+(W185-LOOKUP(W185,'Tax Assumptions'!$P$9:$P$12,'Tax Assumptions'!$P$9:$P$12))*LOOKUP(W185,'Tax Assumptions'!$P$9:$P$12,'Tax Assumptions'!$R$9:$R$12))</f>
        <v>865478.63500000001</v>
      </c>
      <c r="Y185" s="230">
        <f t="shared" si="104"/>
        <v>910021.36499999999</v>
      </c>
      <c r="Z185" s="230">
        <f>IF(J185&lt;=10,INDEX('Savings Projection'!$BL$19:$BL$28,J185),LOOKUP(2,1/('Savings Projection'!$BL$19:$BL$28&lt;&gt;""),'Savings Projection'!$BL$19:$BL$28))*(1+'Model Inputs'!$B$35)^(J185-1)+IF(J185&lt;=10,INDEX('Savings Projection'!$BM$19:$BM$28,J185),LOOKUP(2,1/('Savings Projection'!$BM$19:$BM$28&lt;&gt;""),'Savings Projection'!$BM$19:$BM$28))*(1+'Model Inputs'!$B$36)^(J185-1)</f>
        <v>202535.76415809937</v>
      </c>
      <c r="AA185" s="230">
        <f t="shared" si="105"/>
        <v>707485.60084190057</v>
      </c>
      <c r="AB185" s="230">
        <f>MIN(MAX(AA185,0),'Tax Assumptions'!$B$20)</f>
        <v>7500</v>
      </c>
      <c r="AC185" s="230">
        <f t="shared" si="106"/>
        <v>699985.60084190057</v>
      </c>
      <c r="AD185" s="230">
        <f>MAX(AD184*(1+'Model Inputs'!$B$13)+AC185,0)</f>
        <v>20063856.817840349</v>
      </c>
      <c r="AE185" s="230">
        <f>MAX(AE184*(1+'Model Inputs'!$B$13)+U185+AB185,0)</f>
        <v>821520.89849902503</v>
      </c>
      <c r="AF185" s="230">
        <f t="shared" si="107"/>
        <v>20885377.716339372</v>
      </c>
      <c r="AG185" s="226" t="str">
        <f t="shared" si="93"/>
        <v/>
      </c>
      <c r="AH185" s="226" t="str">
        <f t="shared" si="94"/>
        <v/>
      </c>
      <c r="AI185" s="226" t="str">
        <f t="shared" si="95"/>
        <v/>
      </c>
      <c r="AJ185" s="226" t="str">
        <f t="shared" si="96"/>
        <v/>
      </c>
    </row>
    <row r="186" spans="1:36" ht="18" customHeight="1" x14ac:dyDescent="0.2">
      <c r="A186" s="226" t="str">
        <f t="shared" si="85"/>
        <v>3Y -&gt; PM Y8 Starter</v>
      </c>
      <c r="B186" s="226">
        <f t="shared" si="86"/>
        <v>3</v>
      </c>
      <c r="C186" s="235">
        <f t="shared" si="87"/>
        <v>3</v>
      </c>
      <c r="D186" s="226">
        <f t="shared" si="88"/>
        <v>8</v>
      </c>
      <c r="E186" s="226" t="str">
        <f t="shared" si="89"/>
        <v>Starter</v>
      </c>
      <c r="F186" s="230">
        <f t="shared" si="90"/>
        <v>10000000</v>
      </c>
      <c r="G186" s="236">
        <f t="shared" si="91"/>
        <v>0.15</v>
      </c>
      <c r="H186" s="230">
        <f t="shared" si="92"/>
        <v>300000</v>
      </c>
      <c r="I186" s="236">
        <f t="shared" si="98"/>
        <v>0</v>
      </c>
      <c r="J186" s="234">
        <v>17</v>
      </c>
      <c r="K186" s="234">
        <f t="shared" si="99"/>
        <v>2042</v>
      </c>
      <c r="L186" s="230">
        <f>IF(J186=1,'Model Inputs'!$B$25*(13-'Model Inputs'!$B$23)/12,'Model Inputs'!$B$25)</f>
        <v>300000</v>
      </c>
      <c r="M186" s="230">
        <f>IF(J186=1,'Model Inputs'!$B$27*(13-'Model Inputs'!$B$23)/12,IF(J186=2,'Model Inputs'!$B$27,IF(J186&lt;=MAX(3,'Model Inputs'!$B$30+1),'Model Inputs'!$B$27*(1+'Model Inputs'!$B$28)^(J186-3),'Model Inputs'!$B$27*(1+'Model Inputs'!$B$28)^(MAX(3,'Model Inputs'!$B$30+1)-3)*(1+'Model Inputs'!$B$29)^(J186-MAX(3,'Model Inputs'!$B$30+1)))))</f>
        <v>16864273.217670217</v>
      </c>
      <c r="N186" s="236">
        <f>IF(J186&lt;=2,0,'Model Inputs'!$B$32*SIN(2*PI()*(J186-3+'Model Inputs'!$B$34)/MAX(1,'Model Inputs'!$B$33)))</f>
        <v>-0.1039230484541325</v>
      </c>
      <c r="O186" s="230">
        <f t="shared" si="100"/>
        <v>15111686.534926547</v>
      </c>
      <c r="P186" s="230">
        <f t="shared" si="97"/>
        <v>13596977.385743205</v>
      </c>
      <c r="Q186" s="230">
        <f>L186+P186+IF(J186=1,'Model Inputs'!$B$26,0)</f>
        <v>13896977.385743205</v>
      </c>
      <c r="R186" s="230">
        <f t="shared" si="101"/>
        <v>41690932.157229617</v>
      </c>
      <c r="S186" s="230">
        <f t="shared" si="102"/>
        <v>1800000</v>
      </c>
      <c r="T186" s="230">
        <f t="shared" si="103"/>
        <v>1800000</v>
      </c>
      <c r="U186" s="230">
        <f>MIN(T186,'Tax Assumptions'!$B$19)</f>
        <v>24500</v>
      </c>
      <c r="V186" s="230">
        <f>MAX(T186-U186-'Tax Assumptions'!$B$8,0)</f>
        <v>1759400</v>
      </c>
      <c r="W186" s="230">
        <f>MAX(T186-U186-'Tax Assumptions'!$B$9,0)</f>
        <v>1767500</v>
      </c>
      <c r="X186" s="230">
        <f>IF(V186=0,0,LOOKUP(V186,'Tax Assumptions'!$F$9:$F$15,'Tax Assumptions'!$I$9:$I$15)+(V186-LOOKUP(V186,'Tax Assumptions'!$F$9:$F$15,'Tax Assumptions'!$F$9:$F$15))*LOOKUP(V186,'Tax Assumptions'!$F$9:$F$15,'Tax Assumptions'!$H$9:$H$15))+MIN(MAX(T186,0),'Tax Assumptions'!$B$11)*'Tax Assumptions'!$B$10+MAX(T186,0)*'Tax Assumptions'!$B$12+MAX(MAX(T186,0)-'Tax Assumptions'!$B$14,0)*'Tax Assumptions'!$B$13+MIN(T186*'Tax Assumptions'!$B$15,'Tax Assumptions'!$B$16)+MIN(T186*'Tax Assumptions'!$B$17,'Tax Assumptions'!$B$18)+IF(W186=0,0,LOOKUP(W186,'Tax Assumptions'!$K$9:$K$17,'Tax Assumptions'!$N$9:$N$17)+(W186-LOOKUP(W186,'Tax Assumptions'!$K$9:$K$17,'Tax Assumptions'!$K$9:$K$17))*LOOKUP(W186,'Tax Assumptions'!$K$9:$K$17,'Tax Assumptions'!$M$9:$M$17))+IF(W186=0,0,LOOKUP(W186,'Tax Assumptions'!$P$9:$P$12,'Tax Assumptions'!$S$9:$S$12)+(W186-LOOKUP(W186,'Tax Assumptions'!$P$9:$P$12,'Tax Assumptions'!$P$9:$P$12))*LOOKUP(W186,'Tax Assumptions'!$P$9:$P$12,'Tax Assumptions'!$R$9:$R$12))</f>
        <v>865478.63500000001</v>
      </c>
      <c r="Y186" s="230">
        <f t="shared" si="104"/>
        <v>910021.36499999999</v>
      </c>
      <c r="Z186" s="230">
        <f>IF(J186&lt;=10,INDEX('Savings Projection'!$BL$19:$BL$28,J186),LOOKUP(2,1/('Savings Projection'!$BL$19:$BL$28&lt;&gt;""),'Savings Projection'!$BL$19:$BL$28))*(1+'Model Inputs'!$B$35)^(J186-1)+IF(J186&lt;=10,INDEX('Savings Projection'!$BM$19:$BM$28,J186),LOOKUP(2,1/('Savings Projection'!$BM$19:$BM$28&lt;&gt;""),'Savings Projection'!$BM$19:$BM$28))*(1+'Model Inputs'!$B$36)^(J186-1)</f>
        <v>208611.83708284231</v>
      </c>
      <c r="AA186" s="230">
        <f t="shared" si="105"/>
        <v>701409.52791715763</v>
      </c>
      <c r="AB186" s="230">
        <f>MIN(MAX(AA186,0),'Tax Assumptions'!$B$20)</f>
        <v>7500</v>
      </c>
      <c r="AC186" s="230">
        <f t="shared" si="106"/>
        <v>693909.52791715763</v>
      </c>
      <c r="AD186" s="230">
        <f>MAX(AD185*(1+'Model Inputs'!$B$13)+AC186,0)</f>
        <v>21961597.754827928</v>
      </c>
      <c r="AE186" s="230">
        <f>MAX(AE185*(1+'Model Inputs'!$B$13)+U186+AB186,0)</f>
        <v>902812.15240896656</v>
      </c>
      <c r="AF186" s="230">
        <f t="shared" si="107"/>
        <v>22864409.907236893</v>
      </c>
      <c r="AG186" s="226" t="str">
        <f t="shared" si="93"/>
        <v/>
      </c>
      <c r="AH186" s="226" t="str">
        <f t="shared" si="94"/>
        <v/>
      </c>
      <c r="AI186" s="226" t="str">
        <f t="shared" si="95"/>
        <v/>
      </c>
      <c r="AJ186" s="226">
        <f t="shared" si="96"/>
        <v>17</v>
      </c>
    </row>
    <row r="187" spans="1:36" ht="18" customHeight="1" x14ac:dyDescent="0.2">
      <c r="A187" s="226" t="str">
        <f t="shared" si="85"/>
        <v>3Y -&gt; PM Y8 Starter</v>
      </c>
      <c r="B187" s="226">
        <f t="shared" si="86"/>
        <v>3</v>
      </c>
      <c r="C187" s="235">
        <f t="shared" si="87"/>
        <v>3</v>
      </c>
      <c r="D187" s="226">
        <f t="shared" si="88"/>
        <v>8</v>
      </c>
      <c r="E187" s="226" t="str">
        <f t="shared" si="89"/>
        <v>Starter</v>
      </c>
      <c r="F187" s="230">
        <f t="shared" si="90"/>
        <v>10000000</v>
      </c>
      <c r="G187" s="236">
        <f t="shared" si="91"/>
        <v>0.15</v>
      </c>
      <c r="H187" s="230">
        <f t="shared" si="92"/>
        <v>300000</v>
      </c>
      <c r="I187" s="236">
        <f t="shared" si="98"/>
        <v>0</v>
      </c>
      <c r="J187" s="234">
        <v>18</v>
      </c>
      <c r="K187" s="234">
        <f t="shared" si="99"/>
        <v>2043</v>
      </c>
      <c r="L187" s="230">
        <f>IF(J187=1,'Model Inputs'!$B$25*(13-'Model Inputs'!$B$23)/12,'Model Inputs'!$B$25)</f>
        <v>300000</v>
      </c>
      <c r="M187" s="230">
        <f>IF(J187=1,'Model Inputs'!$B$27*(13-'Model Inputs'!$B$23)/12,IF(J187=2,'Model Inputs'!$B$27,IF(J187&lt;=MAX(3,'Model Inputs'!$B$30+1),'Model Inputs'!$B$27*(1+'Model Inputs'!$B$28)^(J187-3),'Model Inputs'!$B$27*(1+'Model Inputs'!$B$28)^(MAX(3,'Model Inputs'!$B$30+1)-3)*(1+'Model Inputs'!$B$29)^(J187-MAX(3,'Model Inputs'!$B$30+1)))))</f>
        <v>21432424.290875554</v>
      </c>
      <c r="N187" s="236">
        <f>IF(J187&lt;=2,0,'Model Inputs'!$B$32*SIN(2*PI()*(J187-3+'Model Inputs'!$B$34)/MAX(1,'Model Inputs'!$B$33)))</f>
        <v>-5.7328325735374245E-16</v>
      </c>
      <c r="O187" s="230">
        <f t="shared" si="100"/>
        <v>21432424.290875543</v>
      </c>
      <c r="P187" s="230">
        <f t="shared" si="97"/>
        <v>14995970.906855816</v>
      </c>
      <c r="Q187" s="230">
        <f>L187+P187+IF(J187=1,'Model Inputs'!$B$26,0)</f>
        <v>15295970.906855816</v>
      </c>
      <c r="R187" s="230">
        <f t="shared" si="101"/>
        <v>45887912.72056745</v>
      </c>
      <c r="S187" s="230">
        <f t="shared" si="102"/>
        <v>1800000</v>
      </c>
      <c r="T187" s="230">
        <f t="shared" si="103"/>
        <v>1800000</v>
      </c>
      <c r="U187" s="230">
        <f>MIN(T187,'Tax Assumptions'!$B$19)</f>
        <v>24500</v>
      </c>
      <c r="V187" s="230">
        <f>MAX(T187-U187-'Tax Assumptions'!$B$8,0)</f>
        <v>1759400</v>
      </c>
      <c r="W187" s="230">
        <f>MAX(T187-U187-'Tax Assumptions'!$B$9,0)</f>
        <v>1767500</v>
      </c>
      <c r="X187" s="230">
        <f>IF(V187=0,0,LOOKUP(V187,'Tax Assumptions'!$F$9:$F$15,'Tax Assumptions'!$I$9:$I$15)+(V187-LOOKUP(V187,'Tax Assumptions'!$F$9:$F$15,'Tax Assumptions'!$F$9:$F$15))*LOOKUP(V187,'Tax Assumptions'!$F$9:$F$15,'Tax Assumptions'!$H$9:$H$15))+MIN(MAX(T187,0),'Tax Assumptions'!$B$11)*'Tax Assumptions'!$B$10+MAX(T187,0)*'Tax Assumptions'!$B$12+MAX(MAX(T187,0)-'Tax Assumptions'!$B$14,0)*'Tax Assumptions'!$B$13+MIN(T187*'Tax Assumptions'!$B$15,'Tax Assumptions'!$B$16)+MIN(T187*'Tax Assumptions'!$B$17,'Tax Assumptions'!$B$18)+IF(W187=0,0,LOOKUP(W187,'Tax Assumptions'!$K$9:$K$17,'Tax Assumptions'!$N$9:$N$17)+(W187-LOOKUP(W187,'Tax Assumptions'!$K$9:$K$17,'Tax Assumptions'!$K$9:$K$17))*LOOKUP(W187,'Tax Assumptions'!$K$9:$K$17,'Tax Assumptions'!$M$9:$M$17))+IF(W187=0,0,LOOKUP(W187,'Tax Assumptions'!$P$9:$P$12,'Tax Assumptions'!$S$9:$S$12)+(W187-LOOKUP(W187,'Tax Assumptions'!$P$9:$P$12,'Tax Assumptions'!$P$9:$P$12))*LOOKUP(W187,'Tax Assumptions'!$P$9:$P$12,'Tax Assumptions'!$R$9:$R$12))</f>
        <v>865478.63500000001</v>
      </c>
      <c r="Y187" s="230">
        <f t="shared" si="104"/>
        <v>910021.36499999999</v>
      </c>
      <c r="Z187" s="230">
        <f>IF(J187&lt;=10,INDEX('Savings Projection'!$BL$19:$BL$28,J187),LOOKUP(2,1/('Savings Projection'!$BL$19:$BL$28&lt;&gt;""),'Savings Projection'!$BL$19:$BL$28))*(1+'Model Inputs'!$B$35)^(J187-1)+IF(J187&lt;=10,INDEX('Savings Projection'!$BM$19:$BM$28,J187),LOOKUP(2,1/('Savings Projection'!$BM$19:$BM$28&lt;&gt;""),'Savings Projection'!$BM$19:$BM$28))*(1+'Model Inputs'!$B$36)^(J187-1)</f>
        <v>214870.1921953276</v>
      </c>
      <c r="AA187" s="230">
        <f t="shared" si="105"/>
        <v>695151.17280467239</v>
      </c>
      <c r="AB187" s="230">
        <f>MIN(MAX(AA187,0),'Tax Assumptions'!$B$20)</f>
        <v>7500</v>
      </c>
      <c r="AC187" s="230">
        <f t="shared" si="106"/>
        <v>687651.17280467239</v>
      </c>
      <c r="AD187" s="230">
        <f>MAX(AD186*(1+'Model Inputs'!$B$13)+AC187,0)</f>
        <v>23966944.792922277</v>
      </c>
      <c r="AE187" s="230">
        <f>MAX(AE186*(1+'Model Inputs'!$B$13)+U187+AB187,0)</f>
        <v>988980.88155350462</v>
      </c>
      <c r="AF187" s="230">
        <f t="shared" si="107"/>
        <v>24955925.674475782</v>
      </c>
      <c r="AG187" s="226" t="str">
        <f t="shared" si="93"/>
        <v/>
      </c>
      <c r="AH187" s="226" t="str">
        <f t="shared" si="94"/>
        <v/>
      </c>
      <c r="AI187" s="226" t="str">
        <f t="shared" si="95"/>
        <v/>
      </c>
      <c r="AJ187" s="226" t="str">
        <f t="shared" si="96"/>
        <v/>
      </c>
    </row>
    <row r="188" spans="1:36" ht="18" customHeight="1" x14ac:dyDescent="0.2">
      <c r="A188" s="226" t="str">
        <f t="shared" si="85"/>
        <v>3Y -&gt; PM Y8 Starter</v>
      </c>
      <c r="B188" s="226">
        <f t="shared" si="86"/>
        <v>3</v>
      </c>
      <c r="C188" s="235">
        <f t="shared" si="87"/>
        <v>3</v>
      </c>
      <c r="D188" s="226">
        <f t="shared" si="88"/>
        <v>8</v>
      </c>
      <c r="E188" s="226" t="str">
        <f t="shared" si="89"/>
        <v>Starter</v>
      </c>
      <c r="F188" s="230">
        <f t="shared" si="90"/>
        <v>10000000</v>
      </c>
      <c r="G188" s="236">
        <f t="shared" si="91"/>
        <v>0.15</v>
      </c>
      <c r="H188" s="230">
        <f t="shared" si="92"/>
        <v>300000</v>
      </c>
      <c r="I188" s="236">
        <f t="shared" si="98"/>
        <v>0</v>
      </c>
      <c r="J188" s="234">
        <v>19</v>
      </c>
      <c r="K188" s="234">
        <f t="shared" si="99"/>
        <v>2044</v>
      </c>
      <c r="L188" s="230">
        <f>IF(J188=1,'Model Inputs'!$B$25*(13-'Model Inputs'!$B$23)/12,'Model Inputs'!$B$25)</f>
        <v>300000</v>
      </c>
      <c r="M188" s="230">
        <f>IF(J188=1,'Model Inputs'!$B$27*(13-'Model Inputs'!$B$23)/12,IF(J188=2,'Model Inputs'!$B$27,IF(J188&lt;=MAX(3,'Model Inputs'!$B$30+1),'Model Inputs'!$B$27*(1+'Model Inputs'!$B$28)^(J188-3),'Model Inputs'!$B$27*(1+'Model Inputs'!$B$28)^(MAX(3,'Model Inputs'!$B$30+1)-3)*(1+'Model Inputs'!$B$29)^(J188-MAX(3,'Model Inputs'!$B$30+1)))))</f>
        <v>27237984.409717187</v>
      </c>
      <c r="N188" s="236">
        <f>IF(J188&lt;=2,0,'Model Inputs'!$B$32*SIN(2*PI()*(J188-3+'Model Inputs'!$B$34)/MAX(1,'Model Inputs'!$B$33)))</f>
        <v>0.10392304845413286</v>
      </c>
      <c r="O188" s="230">
        <f t="shared" si="100"/>
        <v>30068638.783321142</v>
      </c>
      <c r="P188" s="230">
        <f t="shared" si="97"/>
        <v>19852239.851888295</v>
      </c>
      <c r="Q188" s="230">
        <f>L188+P188+IF(J188=1,'Model Inputs'!$B$26,0)</f>
        <v>20152239.851888295</v>
      </c>
      <c r="R188" s="230">
        <f t="shared" si="101"/>
        <v>60456719.555664882</v>
      </c>
      <c r="S188" s="230">
        <f t="shared" si="102"/>
        <v>1800000</v>
      </c>
      <c r="T188" s="230">
        <f t="shared" si="103"/>
        <v>1800000</v>
      </c>
      <c r="U188" s="230">
        <f>MIN(T188,'Tax Assumptions'!$B$19)</f>
        <v>24500</v>
      </c>
      <c r="V188" s="230">
        <f>MAX(T188-U188-'Tax Assumptions'!$B$8,0)</f>
        <v>1759400</v>
      </c>
      <c r="W188" s="230">
        <f>MAX(T188-U188-'Tax Assumptions'!$B$9,0)</f>
        <v>1767500</v>
      </c>
      <c r="X188" s="230">
        <f>IF(V188=0,0,LOOKUP(V188,'Tax Assumptions'!$F$9:$F$15,'Tax Assumptions'!$I$9:$I$15)+(V188-LOOKUP(V188,'Tax Assumptions'!$F$9:$F$15,'Tax Assumptions'!$F$9:$F$15))*LOOKUP(V188,'Tax Assumptions'!$F$9:$F$15,'Tax Assumptions'!$H$9:$H$15))+MIN(MAX(T188,0),'Tax Assumptions'!$B$11)*'Tax Assumptions'!$B$10+MAX(T188,0)*'Tax Assumptions'!$B$12+MAX(MAX(T188,0)-'Tax Assumptions'!$B$14,0)*'Tax Assumptions'!$B$13+MIN(T188*'Tax Assumptions'!$B$15,'Tax Assumptions'!$B$16)+MIN(T188*'Tax Assumptions'!$B$17,'Tax Assumptions'!$B$18)+IF(W188=0,0,LOOKUP(W188,'Tax Assumptions'!$K$9:$K$17,'Tax Assumptions'!$N$9:$N$17)+(W188-LOOKUP(W188,'Tax Assumptions'!$K$9:$K$17,'Tax Assumptions'!$K$9:$K$17))*LOOKUP(W188,'Tax Assumptions'!$K$9:$K$17,'Tax Assumptions'!$M$9:$M$17))+IF(W188=0,0,LOOKUP(W188,'Tax Assumptions'!$P$9:$P$12,'Tax Assumptions'!$S$9:$S$12)+(W188-LOOKUP(W188,'Tax Assumptions'!$P$9:$P$12,'Tax Assumptions'!$P$9:$P$12))*LOOKUP(W188,'Tax Assumptions'!$P$9:$P$12,'Tax Assumptions'!$R$9:$R$12))</f>
        <v>865478.63500000001</v>
      </c>
      <c r="Y188" s="230">
        <f t="shared" si="104"/>
        <v>910021.36499999999</v>
      </c>
      <c r="Z188" s="230">
        <f>IF(J188&lt;=10,INDEX('Savings Projection'!$BL$19:$BL$28,J188),LOOKUP(2,1/('Savings Projection'!$BL$19:$BL$28&lt;&gt;""),'Savings Projection'!$BL$19:$BL$28))*(1+'Model Inputs'!$B$35)^(J188-1)+IF(J188&lt;=10,INDEX('Savings Projection'!$BM$19:$BM$28,J188),LOOKUP(2,1/('Savings Projection'!$BM$19:$BM$28&lt;&gt;""),'Savings Projection'!$BM$19:$BM$28))*(1+'Model Inputs'!$B$36)^(J188-1)</f>
        <v>221316.29796118743</v>
      </c>
      <c r="AA188" s="230">
        <f t="shared" si="105"/>
        <v>688705.06703881256</v>
      </c>
      <c r="AB188" s="230">
        <f>MIN(MAX(AA188,0),'Tax Assumptions'!$B$20)</f>
        <v>7500</v>
      </c>
      <c r="AC188" s="230">
        <f t="shared" si="106"/>
        <v>681205.06703881256</v>
      </c>
      <c r="AD188" s="230">
        <f>MAX(AD187*(1+'Model Inputs'!$B$13)+AC188,0)</f>
        <v>26086166.547536425</v>
      </c>
      <c r="AE188" s="230">
        <f>MAX(AE187*(1+'Model Inputs'!$B$13)+U188+AB188,0)</f>
        <v>1080319.7344467151</v>
      </c>
      <c r="AF188" s="230">
        <f t="shared" si="107"/>
        <v>27166486.281983141</v>
      </c>
      <c r="AG188" s="226" t="str">
        <f t="shared" si="93"/>
        <v/>
      </c>
      <c r="AH188" s="226" t="str">
        <f t="shared" si="94"/>
        <v/>
      </c>
      <c r="AI188" s="226" t="str">
        <f t="shared" si="95"/>
        <v/>
      </c>
      <c r="AJ188" s="226" t="str">
        <f t="shared" si="96"/>
        <v/>
      </c>
    </row>
    <row r="189" spans="1:36" ht="18" customHeight="1" x14ac:dyDescent="0.2">
      <c r="A189" s="226" t="str">
        <f t="shared" si="85"/>
        <v>3Y -&gt; PM Y8 Starter</v>
      </c>
      <c r="B189" s="226">
        <f t="shared" si="86"/>
        <v>3</v>
      </c>
      <c r="C189" s="235">
        <f t="shared" si="87"/>
        <v>3</v>
      </c>
      <c r="D189" s="226">
        <f t="shared" si="88"/>
        <v>8</v>
      </c>
      <c r="E189" s="226" t="str">
        <f t="shared" si="89"/>
        <v>Starter</v>
      </c>
      <c r="F189" s="230">
        <f t="shared" si="90"/>
        <v>10000000</v>
      </c>
      <c r="G189" s="236">
        <f t="shared" si="91"/>
        <v>0.15</v>
      </c>
      <c r="H189" s="230">
        <f t="shared" si="92"/>
        <v>300000</v>
      </c>
      <c r="I189" s="236">
        <f t="shared" si="98"/>
        <v>0</v>
      </c>
      <c r="J189" s="234">
        <v>20</v>
      </c>
      <c r="K189" s="234">
        <f t="shared" si="99"/>
        <v>2045</v>
      </c>
      <c r="L189" s="230">
        <f>IF(J189=1,'Model Inputs'!$B$25*(13-'Model Inputs'!$B$23)/12,'Model Inputs'!$B$25)</f>
        <v>300000</v>
      </c>
      <c r="M189" s="230">
        <f>IF(J189=1,'Model Inputs'!$B$27*(13-'Model Inputs'!$B$23)/12,IF(J189=2,'Model Inputs'!$B$27,IF(J189&lt;=MAX(3,'Model Inputs'!$B$30+1),'Model Inputs'!$B$27*(1+'Model Inputs'!$B$28)^(J189-3),'Model Inputs'!$B$27*(1+'Model Inputs'!$B$28)^(MAX(3,'Model Inputs'!$B$30+1)-3)*(1+'Model Inputs'!$B$29)^(J189-MAX(3,'Model Inputs'!$B$30+1)))))</f>
        <v>34616139.762586243</v>
      </c>
      <c r="N189" s="236">
        <f>IF(J189&lt;=2,0,'Model Inputs'!$B$32*SIN(2*PI()*(J189-3+'Model Inputs'!$B$34)/MAX(1,'Model Inputs'!$B$33)))</f>
        <v>-0.10392304845413269</v>
      </c>
      <c r="O189" s="230">
        <f t="shared" si="100"/>
        <v>31018724.992743965</v>
      </c>
      <c r="P189" s="230">
        <f t="shared" si="97"/>
        <v>27909585.160209741</v>
      </c>
      <c r="Q189" s="230">
        <f>L189+P189+IF(J189=1,'Model Inputs'!$B$26,0)</f>
        <v>28209585.160209741</v>
      </c>
      <c r="R189" s="230">
        <f t="shared" si="101"/>
        <v>84628755.480629221</v>
      </c>
      <c r="S189" s="230">
        <f t="shared" si="102"/>
        <v>1800000</v>
      </c>
      <c r="T189" s="230">
        <f t="shared" si="103"/>
        <v>1800000</v>
      </c>
      <c r="U189" s="230">
        <f>MIN(T189,'Tax Assumptions'!$B$19)</f>
        <v>24500</v>
      </c>
      <c r="V189" s="230">
        <f>MAX(T189-U189-'Tax Assumptions'!$B$8,0)</f>
        <v>1759400</v>
      </c>
      <c r="W189" s="230">
        <f>MAX(T189-U189-'Tax Assumptions'!$B$9,0)</f>
        <v>1767500</v>
      </c>
      <c r="X189" s="230">
        <f>IF(V189=0,0,LOOKUP(V189,'Tax Assumptions'!$F$9:$F$15,'Tax Assumptions'!$I$9:$I$15)+(V189-LOOKUP(V189,'Tax Assumptions'!$F$9:$F$15,'Tax Assumptions'!$F$9:$F$15))*LOOKUP(V189,'Tax Assumptions'!$F$9:$F$15,'Tax Assumptions'!$H$9:$H$15))+MIN(MAX(T189,0),'Tax Assumptions'!$B$11)*'Tax Assumptions'!$B$10+MAX(T189,0)*'Tax Assumptions'!$B$12+MAX(MAX(T189,0)-'Tax Assumptions'!$B$14,0)*'Tax Assumptions'!$B$13+MIN(T189*'Tax Assumptions'!$B$15,'Tax Assumptions'!$B$16)+MIN(T189*'Tax Assumptions'!$B$17,'Tax Assumptions'!$B$18)+IF(W189=0,0,LOOKUP(W189,'Tax Assumptions'!$K$9:$K$17,'Tax Assumptions'!$N$9:$N$17)+(W189-LOOKUP(W189,'Tax Assumptions'!$K$9:$K$17,'Tax Assumptions'!$K$9:$K$17))*LOOKUP(W189,'Tax Assumptions'!$K$9:$K$17,'Tax Assumptions'!$M$9:$M$17))+IF(W189=0,0,LOOKUP(W189,'Tax Assumptions'!$P$9:$P$12,'Tax Assumptions'!$S$9:$S$12)+(W189-LOOKUP(W189,'Tax Assumptions'!$P$9:$P$12,'Tax Assumptions'!$P$9:$P$12))*LOOKUP(W189,'Tax Assumptions'!$P$9:$P$12,'Tax Assumptions'!$R$9:$R$12))</f>
        <v>865478.63500000001</v>
      </c>
      <c r="Y189" s="230">
        <f t="shared" si="104"/>
        <v>910021.36499999999</v>
      </c>
      <c r="Z189" s="230">
        <f>IF(J189&lt;=10,INDEX('Savings Projection'!$BL$19:$BL$28,J189),LOOKUP(2,1/('Savings Projection'!$BL$19:$BL$28&lt;&gt;""),'Savings Projection'!$BL$19:$BL$28))*(1+'Model Inputs'!$B$35)^(J189-1)+IF(J189&lt;=10,INDEX('Savings Projection'!$BM$19:$BM$28,J189),LOOKUP(2,1/('Savings Projection'!$BM$19:$BM$28&lt;&gt;""),'Savings Projection'!$BM$19:$BM$28))*(1+'Model Inputs'!$B$36)^(J189-1)</f>
        <v>227955.78690002306</v>
      </c>
      <c r="AA189" s="230">
        <f t="shared" si="105"/>
        <v>682065.57809997699</v>
      </c>
      <c r="AB189" s="230">
        <f>MIN(MAX(AA189,0),'Tax Assumptions'!$B$20)</f>
        <v>7500</v>
      </c>
      <c r="AC189" s="230">
        <f t="shared" si="106"/>
        <v>674565.57809997699</v>
      </c>
      <c r="AD189" s="230">
        <f>MAX(AD188*(1+'Model Inputs'!$B$13)+AC189,0)</f>
        <v>28325902.118488591</v>
      </c>
      <c r="AE189" s="230">
        <f>MAX(AE188*(1+'Model Inputs'!$B$13)+U189+AB189,0)</f>
        <v>1177138.9185135181</v>
      </c>
      <c r="AF189" s="230">
        <f t="shared" si="107"/>
        <v>29503041.037002109</v>
      </c>
      <c r="AG189" s="226" t="str">
        <f t="shared" si="93"/>
        <v/>
      </c>
      <c r="AH189" s="226" t="str">
        <f t="shared" si="94"/>
        <v/>
      </c>
      <c r="AI189" s="226" t="str">
        <f t="shared" si="95"/>
        <v/>
      </c>
      <c r="AJ189" s="226" t="str">
        <f t="shared" si="96"/>
        <v/>
      </c>
    </row>
    <row r="190" spans="1:36" ht="18" customHeight="1" x14ac:dyDescent="0.2">
      <c r="A190" s="226" t="str">
        <f t="shared" si="85"/>
        <v>3Y -&gt; PM Y8 Starter</v>
      </c>
      <c r="B190" s="226">
        <f t="shared" si="86"/>
        <v>3</v>
      </c>
      <c r="C190" s="235">
        <f t="shared" si="87"/>
        <v>3</v>
      </c>
      <c r="D190" s="226">
        <f t="shared" si="88"/>
        <v>8</v>
      </c>
      <c r="E190" s="226" t="str">
        <f t="shared" si="89"/>
        <v>Starter</v>
      </c>
      <c r="F190" s="230">
        <f t="shared" si="90"/>
        <v>10000000</v>
      </c>
      <c r="G190" s="236">
        <f t="shared" si="91"/>
        <v>0.15</v>
      </c>
      <c r="H190" s="230">
        <f t="shared" si="92"/>
        <v>300000</v>
      </c>
      <c r="I190" s="236">
        <f t="shared" si="98"/>
        <v>0</v>
      </c>
      <c r="J190" s="234">
        <v>21</v>
      </c>
      <c r="K190" s="234">
        <f t="shared" si="99"/>
        <v>2046</v>
      </c>
      <c r="L190" s="230">
        <f>IF(J190=1,'Model Inputs'!$B$25*(13-'Model Inputs'!$B$23)/12,'Model Inputs'!$B$25)</f>
        <v>300000</v>
      </c>
      <c r="M190" s="230">
        <f>IF(J190=1,'Model Inputs'!$B$27*(13-'Model Inputs'!$B$23)/12,IF(J190=2,'Model Inputs'!$B$27,IF(J190&lt;=MAX(3,'Model Inputs'!$B$30+1),'Model Inputs'!$B$27*(1+'Model Inputs'!$B$28)^(J190-3),'Model Inputs'!$B$27*(1+'Model Inputs'!$B$28)^(MAX(3,'Model Inputs'!$B$30+1)-3)*(1+'Model Inputs'!$B$29)^(J190-MAX(3,'Model Inputs'!$B$30+1)))))</f>
        <v>43992870.912849829</v>
      </c>
      <c r="N190" s="236">
        <f>IF(J190&lt;=2,0,'Model Inputs'!$B$32*SIN(2*PI()*(J190-3+'Model Inputs'!$B$34)/MAX(1,'Model Inputs'!$B$33)))</f>
        <v>-1.7634913907721884E-16</v>
      </c>
      <c r="O190" s="230">
        <f t="shared" si="100"/>
        <v>43992870.912849821</v>
      </c>
      <c r="P190" s="230">
        <f t="shared" si="97"/>
        <v>30781203.440388259</v>
      </c>
      <c r="Q190" s="230">
        <f>L190+P190+IF(J190=1,'Model Inputs'!$B$26,0)</f>
        <v>31081203.440388259</v>
      </c>
      <c r="R190" s="230">
        <f t="shared" si="101"/>
        <v>93243610.321164772</v>
      </c>
      <c r="S190" s="230">
        <f t="shared" si="102"/>
        <v>1800000</v>
      </c>
      <c r="T190" s="230">
        <f t="shared" si="103"/>
        <v>1800000</v>
      </c>
      <c r="U190" s="230">
        <f>MIN(T190,'Tax Assumptions'!$B$19)</f>
        <v>24500</v>
      </c>
      <c r="V190" s="230">
        <f>MAX(T190-U190-'Tax Assumptions'!$B$8,0)</f>
        <v>1759400</v>
      </c>
      <c r="W190" s="230">
        <f>MAX(T190-U190-'Tax Assumptions'!$B$9,0)</f>
        <v>1767500</v>
      </c>
      <c r="X190" s="230">
        <f>IF(V190=0,0,LOOKUP(V190,'Tax Assumptions'!$F$9:$F$15,'Tax Assumptions'!$I$9:$I$15)+(V190-LOOKUP(V190,'Tax Assumptions'!$F$9:$F$15,'Tax Assumptions'!$F$9:$F$15))*LOOKUP(V190,'Tax Assumptions'!$F$9:$F$15,'Tax Assumptions'!$H$9:$H$15))+MIN(MAX(T190,0),'Tax Assumptions'!$B$11)*'Tax Assumptions'!$B$10+MAX(T190,0)*'Tax Assumptions'!$B$12+MAX(MAX(T190,0)-'Tax Assumptions'!$B$14,0)*'Tax Assumptions'!$B$13+MIN(T190*'Tax Assumptions'!$B$15,'Tax Assumptions'!$B$16)+MIN(T190*'Tax Assumptions'!$B$17,'Tax Assumptions'!$B$18)+IF(W190=0,0,LOOKUP(W190,'Tax Assumptions'!$K$9:$K$17,'Tax Assumptions'!$N$9:$N$17)+(W190-LOOKUP(W190,'Tax Assumptions'!$K$9:$K$17,'Tax Assumptions'!$K$9:$K$17))*LOOKUP(W190,'Tax Assumptions'!$K$9:$K$17,'Tax Assumptions'!$M$9:$M$17))+IF(W190=0,0,LOOKUP(W190,'Tax Assumptions'!$P$9:$P$12,'Tax Assumptions'!$S$9:$S$12)+(W190-LOOKUP(W190,'Tax Assumptions'!$P$9:$P$12,'Tax Assumptions'!$P$9:$P$12))*LOOKUP(W190,'Tax Assumptions'!$P$9:$P$12,'Tax Assumptions'!$R$9:$R$12))</f>
        <v>865478.63500000001</v>
      </c>
      <c r="Y190" s="230">
        <f t="shared" si="104"/>
        <v>910021.36499999999</v>
      </c>
      <c r="Z190" s="230">
        <f>IF(J190&lt;=10,INDEX('Savings Projection'!$BL$19:$BL$28,J190),LOOKUP(2,1/('Savings Projection'!$BL$19:$BL$28&lt;&gt;""),'Savings Projection'!$BL$19:$BL$28))*(1+'Model Inputs'!$B$35)^(J190-1)+IF(J190&lt;=10,INDEX('Savings Projection'!$BM$19:$BM$28,J190),LOOKUP(2,1/('Savings Projection'!$BM$19:$BM$28&lt;&gt;""),'Savings Projection'!$BM$19:$BM$28))*(1+'Model Inputs'!$B$36)^(J190-1)</f>
        <v>234794.46050702373</v>
      </c>
      <c r="AA190" s="230">
        <f t="shared" si="105"/>
        <v>675226.90449297626</v>
      </c>
      <c r="AB190" s="230">
        <f>MIN(MAX(AA190,0),'Tax Assumptions'!$B$20)</f>
        <v>7500</v>
      </c>
      <c r="AC190" s="230">
        <f t="shared" si="106"/>
        <v>667726.90449297626</v>
      </c>
      <c r="AD190" s="230">
        <f>MAX(AD189*(1+'Model Inputs'!$B$13)+AC190,0)</f>
        <v>30693183.150090884</v>
      </c>
      <c r="AE190" s="230">
        <f>MAX(AE189*(1+'Model Inputs'!$B$13)+U190+AB190,0)</f>
        <v>1279767.2536243291</v>
      </c>
      <c r="AF190" s="230">
        <f t="shared" si="107"/>
        <v>31972950.403715212</v>
      </c>
      <c r="AG190" s="226" t="str">
        <f t="shared" si="93"/>
        <v/>
      </c>
      <c r="AH190" s="226" t="str">
        <f t="shared" si="94"/>
        <v/>
      </c>
      <c r="AI190" s="226" t="str">
        <f t="shared" si="95"/>
        <v/>
      </c>
      <c r="AJ190" s="226" t="str">
        <f t="shared" si="96"/>
        <v/>
      </c>
    </row>
    <row r="191" spans="1:36" ht="18" customHeight="1" x14ac:dyDescent="0.2">
      <c r="A191" s="226" t="str">
        <f t="shared" si="85"/>
        <v>3Y -&gt; PM Y8 Starter</v>
      </c>
      <c r="B191" s="226">
        <f t="shared" si="86"/>
        <v>3</v>
      </c>
      <c r="C191" s="235">
        <f t="shared" si="87"/>
        <v>3</v>
      </c>
      <c r="D191" s="226">
        <f t="shared" si="88"/>
        <v>8</v>
      </c>
      <c r="E191" s="226" t="str">
        <f t="shared" si="89"/>
        <v>Starter</v>
      </c>
      <c r="F191" s="230">
        <f t="shared" si="90"/>
        <v>10000000</v>
      </c>
      <c r="G191" s="236">
        <f t="shared" si="91"/>
        <v>0.15</v>
      </c>
      <c r="H191" s="230">
        <f t="shared" si="92"/>
        <v>300000</v>
      </c>
      <c r="I191" s="236">
        <f t="shared" si="98"/>
        <v>0</v>
      </c>
      <c r="J191" s="234">
        <v>22</v>
      </c>
      <c r="K191" s="234">
        <f t="shared" si="99"/>
        <v>2047</v>
      </c>
      <c r="L191" s="230">
        <f>IF(J191=1,'Model Inputs'!$B$25*(13-'Model Inputs'!$B$23)/12,'Model Inputs'!$B$25)</f>
        <v>300000</v>
      </c>
      <c r="M191" s="230">
        <f>IF(J191=1,'Model Inputs'!$B$27*(13-'Model Inputs'!$B$23)/12,IF(J191=2,'Model Inputs'!$B$27,IF(J191&lt;=MAX(3,'Model Inputs'!$B$30+1),'Model Inputs'!$B$27*(1+'Model Inputs'!$B$28)^(J191-3),'Model Inputs'!$B$27*(1+'Model Inputs'!$B$28)^(MAX(3,'Model Inputs'!$B$30+1)-3)*(1+'Model Inputs'!$B$29)^(J191-MAX(3,'Model Inputs'!$B$30+1)))))</f>
        <v>55909546.9462616</v>
      </c>
      <c r="N191" s="236">
        <f>IF(J191&lt;=2,0,'Model Inputs'!$B$32*SIN(2*PI()*(J191-3+'Model Inputs'!$B$34)/MAX(1,'Model Inputs'!$B$33)))</f>
        <v>0.10392304845413287</v>
      </c>
      <c r="O191" s="230">
        <f t="shared" si="100"/>
        <v>61719837.502606563</v>
      </c>
      <c r="P191" s="230">
        <f t="shared" si="97"/>
        <v>40749334.43282336</v>
      </c>
      <c r="Q191" s="230">
        <f>L191+P191+IF(J191=1,'Model Inputs'!$B$26,0)</f>
        <v>41049334.43282336</v>
      </c>
      <c r="R191" s="230">
        <f t="shared" si="101"/>
        <v>123148003.29847008</v>
      </c>
      <c r="S191" s="230">
        <f t="shared" si="102"/>
        <v>1800000</v>
      </c>
      <c r="T191" s="230">
        <f t="shared" si="103"/>
        <v>1800000</v>
      </c>
      <c r="U191" s="230">
        <f>MIN(T191,'Tax Assumptions'!$B$19)</f>
        <v>24500</v>
      </c>
      <c r="V191" s="230">
        <f>MAX(T191-U191-'Tax Assumptions'!$B$8,0)</f>
        <v>1759400</v>
      </c>
      <c r="W191" s="230">
        <f>MAX(T191-U191-'Tax Assumptions'!$B$9,0)</f>
        <v>1767500</v>
      </c>
      <c r="X191" s="230">
        <f>IF(V191=0,0,LOOKUP(V191,'Tax Assumptions'!$F$9:$F$15,'Tax Assumptions'!$I$9:$I$15)+(V191-LOOKUP(V191,'Tax Assumptions'!$F$9:$F$15,'Tax Assumptions'!$F$9:$F$15))*LOOKUP(V191,'Tax Assumptions'!$F$9:$F$15,'Tax Assumptions'!$H$9:$H$15))+MIN(MAX(T191,0),'Tax Assumptions'!$B$11)*'Tax Assumptions'!$B$10+MAX(T191,0)*'Tax Assumptions'!$B$12+MAX(MAX(T191,0)-'Tax Assumptions'!$B$14,0)*'Tax Assumptions'!$B$13+MIN(T191*'Tax Assumptions'!$B$15,'Tax Assumptions'!$B$16)+MIN(T191*'Tax Assumptions'!$B$17,'Tax Assumptions'!$B$18)+IF(W191=0,0,LOOKUP(W191,'Tax Assumptions'!$K$9:$K$17,'Tax Assumptions'!$N$9:$N$17)+(W191-LOOKUP(W191,'Tax Assumptions'!$K$9:$K$17,'Tax Assumptions'!$K$9:$K$17))*LOOKUP(W191,'Tax Assumptions'!$K$9:$K$17,'Tax Assumptions'!$M$9:$M$17))+IF(W191=0,0,LOOKUP(W191,'Tax Assumptions'!$P$9:$P$12,'Tax Assumptions'!$S$9:$S$12)+(W191-LOOKUP(W191,'Tax Assumptions'!$P$9:$P$12,'Tax Assumptions'!$P$9:$P$12))*LOOKUP(W191,'Tax Assumptions'!$P$9:$P$12,'Tax Assumptions'!$R$9:$R$12))</f>
        <v>865478.63500000001</v>
      </c>
      <c r="Y191" s="230">
        <f t="shared" si="104"/>
        <v>910021.36499999999</v>
      </c>
      <c r="Z191" s="230">
        <f>IF(J191&lt;=10,INDEX('Savings Projection'!$BL$19:$BL$28,J191),LOOKUP(2,1/('Savings Projection'!$BL$19:$BL$28&lt;&gt;""),'Savings Projection'!$BL$19:$BL$28))*(1+'Model Inputs'!$B$35)^(J191-1)+IF(J191&lt;=10,INDEX('Savings Projection'!$BM$19:$BM$28,J191),LOOKUP(2,1/('Savings Projection'!$BM$19:$BM$28&lt;&gt;""),'Savings Projection'!$BM$19:$BM$28))*(1+'Model Inputs'!$B$36)^(J191-1)</f>
        <v>241838.2943222344</v>
      </c>
      <c r="AA191" s="230">
        <f t="shared" si="105"/>
        <v>668183.07067776565</v>
      </c>
      <c r="AB191" s="230">
        <f>MIN(MAX(AA191,0),'Tax Assumptions'!$B$20)</f>
        <v>7500</v>
      </c>
      <c r="AC191" s="230">
        <f t="shared" si="106"/>
        <v>660683.07067776565</v>
      </c>
      <c r="AD191" s="230">
        <f>MAX(AD190*(1+'Model Inputs'!$B$13)+AC191,0)</f>
        <v>33195457.209774103</v>
      </c>
      <c r="AE191" s="230">
        <f>MAX(AE190*(1+'Model Inputs'!$B$13)+U191+AB191,0)</f>
        <v>1388553.2888417889</v>
      </c>
      <c r="AF191" s="230">
        <f t="shared" si="107"/>
        <v>34584010.498615891</v>
      </c>
      <c r="AG191" s="226" t="str">
        <f t="shared" si="93"/>
        <v/>
      </c>
      <c r="AH191" s="226" t="str">
        <f t="shared" si="94"/>
        <v/>
      </c>
      <c r="AI191" s="226" t="str">
        <f t="shared" si="95"/>
        <v/>
      </c>
      <c r="AJ191" s="226" t="str">
        <f t="shared" si="96"/>
        <v/>
      </c>
    </row>
    <row r="192" spans="1:36" ht="18" customHeight="1" x14ac:dyDescent="0.2">
      <c r="A192" s="226" t="str">
        <f t="shared" si="85"/>
        <v>3Y -&gt; PM Y8 Starter</v>
      </c>
      <c r="B192" s="226">
        <f t="shared" si="86"/>
        <v>3</v>
      </c>
      <c r="C192" s="235">
        <f t="shared" si="87"/>
        <v>3</v>
      </c>
      <c r="D192" s="226">
        <f t="shared" si="88"/>
        <v>8</v>
      </c>
      <c r="E192" s="226" t="str">
        <f t="shared" si="89"/>
        <v>Starter</v>
      </c>
      <c r="F192" s="230">
        <f t="shared" si="90"/>
        <v>10000000</v>
      </c>
      <c r="G192" s="236">
        <f t="shared" si="91"/>
        <v>0.15</v>
      </c>
      <c r="H192" s="230">
        <f t="shared" si="92"/>
        <v>300000</v>
      </c>
      <c r="I192" s="236">
        <f t="shared" si="98"/>
        <v>0</v>
      </c>
      <c r="J192" s="234">
        <v>23</v>
      </c>
      <c r="K192" s="234">
        <f t="shared" si="99"/>
        <v>2048</v>
      </c>
      <c r="L192" s="230">
        <f>IF(J192=1,'Model Inputs'!$B$25*(13-'Model Inputs'!$B$23)/12,'Model Inputs'!$B$25)</f>
        <v>300000</v>
      </c>
      <c r="M192" s="230">
        <f>IF(J192=1,'Model Inputs'!$B$27*(13-'Model Inputs'!$B$23)/12,IF(J192=2,'Model Inputs'!$B$27,IF(J192&lt;=MAX(3,'Model Inputs'!$B$30+1),'Model Inputs'!$B$27*(1+'Model Inputs'!$B$28)^(J192-3),'Model Inputs'!$B$27*(1+'Model Inputs'!$B$28)^(MAX(3,'Model Inputs'!$B$30+1)-3)*(1+'Model Inputs'!$B$29)^(J192-MAX(3,'Model Inputs'!$B$30+1)))))</f>
        <v>71054181.617940187</v>
      </c>
      <c r="N192" s="236">
        <f>IF(J192&lt;=2,0,'Model Inputs'!$B$32*SIN(2*PI()*(J192-3+'Model Inputs'!$B$34)/MAX(1,'Model Inputs'!$B$33)))</f>
        <v>-0.10392304845413268</v>
      </c>
      <c r="O192" s="230">
        <f t="shared" si="100"/>
        <v>63670014.458790243</v>
      </c>
      <c r="P192" s="230">
        <f t="shared" si="97"/>
        <v>57288095.855167374</v>
      </c>
      <c r="Q192" s="230">
        <f>L192+P192+IF(J192=1,'Model Inputs'!$B$26,0)</f>
        <v>57588095.855167374</v>
      </c>
      <c r="R192" s="230">
        <f t="shared" si="101"/>
        <v>172764287.56550211</v>
      </c>
      <c r="S192" s="230">
        <f t="shared" si="102"/>
        <v>1800000</v>
      </c>
      <c r="T192" s="230">
        <f t="shared" si="103"/>
        <v>1800000</v>
      </c>
      <c r="U192" s="230">
        <f>MIN(T192,'Tax Assumptions'!$B$19)</f>
        <v>24500</v>
      </c>
      <c r="V192" s="230">
        <f>MAX(T192-U192-'Tax Assumptions'!$B$8,0)</f>
        <v>1759400</v>
      </c>
      <c r="W192" s="230">
        <f>MAX(T192-U192-'Tax Assumptions'!$B$9,0)</f>
        <v>1767500</v>
      </c>
      <c r="X192" s="230">
        <f>IF(V192=0,0,LOOKUP(V192,'Tax Assumptions'!$F$9:$F$15,'Tax Assumptions'!$I$9:$I$15)+(V192-LOOKUP(V192,'Tax Assumptions'!$F$9:$F$15,'Tax Assumptions'!$F$9:$F$15))*LOOKUP(V192,'Tax Assumptions'!$F$9:$F$15,'Tax Assumptions'!$H$9:$H$15))+MIN(MAX(T192,0),'Tax Assumptions'!$B$11)*'Tax Assumptions'!$B$10+MAX(T192,0)*'Tax Assumptions'!$B$12+MAX(MAX(T192,0)-'Tax Assumptions'!$B$14,0)*'Tax Assumptions'!$B$13+MIN(T192*'Tax Assumptions'!$B$15,'Tax Assumptions'!$B$16)+MIN(T192*'Tax Assumptions'!$B$17,'Tax Assumptions'!$B$18)+IF(W192=0,0,LOOKUP(W192,'Tax Assumptions'!$K$9:$K$17,'Tax Assumptions'!$N$9:$N$17)+(W192-LOOKUP(W192,'Tax Assumptions'!$K$9:$K$17,'Tax Assumptions'!$K$9:$K$17))*LOOKUP(W192,'Tax Assumptions'!$K$9:$K$17,'Tax Assumptions'!$M$9:$M$17))+IF(W192=0,0,LOOKUP(W192,'Tax Assumptions'!$P$9:$P$12,'Tax Assumptions'!$S$9:$S$12)+(W192-LOOKUP(W192,'Tax Assumptions'!$P$9:$P$12,'Tax Assumptions'!$P$9:$P$12))*LOOKUP(W192,'Tax Assumptions'!$P$9:$P$12,'Tax Assumptions'!$R$9:$R$12))</f>
        <v>865478.63500000001</v>
      </c>
      <c r="Y192" s="230">
        <f t="shared" si="104"/>
        <v>910021.36499999999</v>
      </c>
      <c r="Z192" s="230">
        <f>IF(J192&lt;=10,INDEX('Savings Projection'!$BL$19:$BL$28,J192),LOOKUP(2,1/('Savings Projection'!$BL$19:$BL$28&lt;&gt;""),'Savings Projection'!$BL$19:$BL$28))*(1+'Model Inputs'!$B$35)^(J192-1)+IF(J192&lt;=10,INDEX('Savings Projection'!$BM$19:$BM$28,J192),LOOKUP(2,1/('Savings Projection'!$BM$19:$BM$28&lt;&gt;""),'Savings Projection'!$BM$19:$BM$28))*(1+'Model Inputs'!$B$36)^(J192-1)</f>
        <v>249093.44315190148</v>
      </c>
      <c r="AA192" s="230">
        <f t="shared" si="105"/>
        <v>660927.92184809851</v>
      </c>
      <c r="AB192" s="230">
        <f>MIN(MAX(AA192,0),'Tax Assumptions'!$B$20)</f>
        <v>7500</v>
      </c>
      <c r="AC192" s="230">
        <f t="shared" si="106"/>
        <v>653427.92184809851</v>
      </c>
      <c r="AD192" s="230">
        <f>MAX(AD191*(1+'Model Inputs'!$B$13)+AC192,0)</f>
        <v>35840612.564208649</v>
      </c>
      <c r="AE192" s="230">
        <f>MAX(AE191*(1+'Model Inputs'!$B$13)+U192+AB192,0)</f>
        <v>1503866.4861722963</v>
      </c>
      <c r="AF192" s="230">
        <f t="shared" si="107"/>
        <v>37344479.050380945</v>
      </c>
      <c r="AG192" s="226" t="str">
        <f t="shared" si="93"/>
        <v/>
      </c>
      <c r="AH192" s="226" t="str">
        <f t="shared" si="94"/>
        <v/>
      </c>
      <c r="AI192" s="226" t="str">
        <f t="shared" si="95"/>
        <v/>
      </c>
      <c r="AJ192" s="226" t="str">
        <f t="shared" si="96"/>
        <v/>
      </c>
    </row>
    <row r="193" spans="1:36" ht="18" customHeight="1" x14ac:dyDescent="0.2">
      <c r="A193" s="226" t="str">
        <f t="shared" si="85"/>
        <v>3Y -&gt; PM Y8 Starter</v>
      </c>
      <c r="B193" s="226">
        <f t="shared" si="86"/>
        <v>3</v>
      </c>
      <c r="C193" s="235">
        <f t="shared" si="87"/>
        <v>3</v>
      </c>
      <c r="D193" s="226">
        <f t="shared" si="88"/>
        <v>8</v>
      </c>
      <c r="E193" s="226" t="str">
        <f t="shared" si="89"/>
        <v>Starter</v>
      </c>
      <c r="F193" s="230">
        <f t="shared" si="90"/>
        <v>10000000</v>
      </c>
      <c r="G193" s="236">
        <f t="shared" si="91"/>
        <v>0.15</v>
      </c>
      <c r="H193" s="230">
        <f t="shared" si="92"/>
        <v>300000</v>
      </c>
      <c r="I193" s="236">
        <f t="shared" si="98"/>
        <v>0</v>
      </c>
      <c r="J193" s="234">
        <v>24</v>
      </c>
      <c r="K193" s="234">
        <f t="shared" si="99"/>
        <v>2049</v>
      </c>
      <c r="L193" s="230">
        <f>IF(J193=1,'Model Inputs'!$B$25*(13-'Model Inputs'!$B$23)/12,'Model Inputs'!$B$25)</f>
        <v>300000</v>
      </c>
      <c r="M193" s="230">
        <f>IF(J193=1,'Model Inputs'!$B$27*(13-'Model Inputs'!$B$23)/12,IF(J193=2,'Model Inputs'!$B$27,IF(J193&lt;=MAX(3,'Model Inputs'!$B$30+1),'Model Inputs'!$B$27*(1+'Model Inputs'!$B$28)^(J193-3),'Model Inputs'!$B$27*(1+'Model Inputs'!$B$28)^(MAX(3,'Model Inputs'!$B$30+1)-3)*(1+'Model Inputs'!$B$29)^(J193-MAX(3,'Model Inputs'!$B$30+1)))))</f>
        <v>90301156.084270701</v>
      </c>
      <c r="N193" s="236">
        <f>IF(J193&lt;=2,0,'Model Inputs'!$B$32*SIN(2*PI()*(J193-3+'Model Inputs'!$B$34)/MAX(1,'Model Inputs'!$B$33)))</f>
        <v>-2.0574066225675533E-16</v>
      </c>
      <c r="O193" s="230">
        <f t="shared" si="100"/>
        <v>90301156.084270686</v>
      </c>
      <c r="P193" s="230">
        <f t="shared" si="97"/>
        <v>63182470.219744325</v>
      </c>
      <c r="Q193" s="230">
        <f>L193+P193+IF(J193=1,'Model Inputs'!$B$26,0)</f>
        <v>63482470.219744325</v>
      </c>
      <c r="R193" s="230">
        <f t="shared" si="101"/>
        <v>190447410.65923297</v>
      </c>
      <c r="S193" s="230">
        <f t="shared" si="102"/>
        <v>1800000</v>
      </c>
      <c r="T193" s="230">
        <f t="shared" si="103"/>
        <v>1800000</v>
      </c>
      <c r="U193" s="230">
        <f>MIN(T193,'Tax Assumptions'!$B$19)</f>
        <v>24500</v>
      </c>
      <c r="V193" s="230">
        <f>MAX(T193-U193-'Tax Assumptions'!$B$8,0)</f>
        <v>1759400</v>
      </c>
      <c r="W193" s="230">
        <f>MAX(T193-U193-'Tax Assumptions'!$B$9,0)</f>
        <v>1767500</v>
      </c>
      <c r="X193" s="230">
        <f>IF(V193=0,0,LOOKUP(V193,'Tax Assumptions'!$F$9:$F$15,'Tax Assumptions'!$I$9:$I$15)+(V193-LOOKUP(V193,'Tax Assumptions'!$F$9:$F$15,'Tax Assumptions'!$F$9:$F$15))*LOOKUP(V193,'Tax Assumptions'!$F$9:$F$15,'Tax Assumptions'!$H$9:$H$15))+MIN(MAX(T193,0),'Tax Assumptions'!$B$11)*'Tax Assumptions'!$B$10+MAX(T193,0)*'Tax Assumptions'!$B$12+MAX(MAX(T193,0)-'Tax Assumptions'!$B$14,0)*'Tax Assumptions'!$B$13+MIN(T193*'Tax Assumptions'!$B$15,'Tax Assumptions'!$B$16)+MIN(T193*'Tax Assumptions'!$B$17,'Tax Assumptions'!$B$18)+IF(W193=0,0,LOOKUP(W193,'Tax Assumptions'!$K$9:$K$17,'Tax Assumptions'!$N$9:$N$17)+(W193-LOOKUP(W193,'Tax Assumptions'!$K$9:$K$17,'Tax Assumptions'!$K$9:$K$17))*LOOKUP(W193,'Tax Assumptions'!$K$9:$K$17,'Tax Assumptions'!$M$9:$M$17))+IF(W193=0,0,LOOKUP(W193,'Tax Assumptions'!$P$9:$P$12,'Tax Assumptions'!$S$9:$S$12)+(W193-LOOKUP(W193,'Tax Assumptions'!$P$9:$P$12,'Tax Assumptions'!$P$9:$P$12))*LOOKUP(W193,'Tax Assumptions'!$P$9:$P$12,'Tax Assumptions'!$R$9:$R$12))</f>
        <v>865478.63500000001</v>
      </c>
      <c r="Y193" s="230">
        <f t="shared" si="104"/>
        <v>910021.36499999999</v>
      </c>
      <c r="Z193" s="230">
        <f>IF(J193&lt;=10,INDEX('Savings Projection'!$BL$19:$BL$28,J193),LOOKUP(2,1/('Savings Projection'!$BL$19:$BL$28&lt;&gt;""),'Savings Projection'!$BL$19:$BL$28))*(1+'Model Inputs'!$B$35)^(J193-1)+IF(J193&lt;=10,INDEX('Savings Projection'!$BM$19:$BM$28,J193),LOOKUP(2,1/('Savings Projection'!$BM$19:$BM$28&lt;&gt;""),'Savings Projection'!$BM$19:$BM$28))*(1+'Model Inputs'!$B$36)^(J193-1)</f>
        <v>256566.24644645851</v>
      </c>
      <c r="AA193" s="230">
        <f t="shared" si="105"/>
        <v>653455.11855354148</v>
      </c>
      <c r="AB193" s="230">
        <f>MIN(MAX(AA193,0),'Tax Assumptions'!$B$20)</f>
        <v>7500</v>
      </c>
      <c r="AC193" s="230">
        <f t="shared" si="106"/>
        <v>645955.11855354148</v>
      </c>
      <c r="AD193" s="230">
        <f>MAX(AD192*(1+'Model Inputs'!$B$13)+AC193,0)</f>
        <v>38637004.436614715</v>
      </c>
      <c r="AE193" s="230">
        <f>MAX(AE192*(1+'Model Inputs'!$B$13)+U193+AB193,0)</f>
        <v>1626098.4753426341</v>
      </c>
      <c r="AF193" s="230">
        <f t="shared" si="107"/>
        <v>40263102.911957346</v>
      </c>
      <c r="AG193" s="226" t="str">
        <f t="shared" si="93"/>
        <v/>
      </c>
      <c r="AH193" s="226" t="str">
        <f t="shared" si="94"/>
        <v/>
      </c>
      <c r="AI193" s="226" t="str">
        <f t="shared" si="95"/>
        <v/>
      </c>
      <c r="AJ193" s="226" t="str">
        <f t="shared" si="96"/>
        <v/>
      </c>
    </row>
    <row r="194" spans="1:36" ht="18" customHeight="1" x14ac:dyDescent="0.2">
      <c r="A194" s="226" t="str">
        <f t="shared" si="85"/>
        <v>3Y -&gt; PM Y8 Starter</v>
      </c>
      <c r="B194" s="226">
        <f t="shared" si="86"/>
        <v>3</v>
      </c>
      <c r="C194" s="235">
        <f t="shared" si="87"/>
        <v>3</v>
      </c>
      <c r="D194" s="226">
        <f t="shared" si="88"/>
        <v>8</v>
      </c>
      <c r="E194" s="226" t="str">
        <f t="shared" si="89"/>
        <v>Starter</v>
      </c>
      <c r="F194" s="230">
        <f t="shared" si="90"/>
        <v>10000000</v>
      </c>
      <c r="G194" s="236">
        <f t="shared" si="91"/>
        <v>0.15</v>
      </c>
      <c r="H194" s="230">
        <f t="shared" si="92"/>
        <v>300000</v>
      </c>
      <c r="I194" s="236">
        <f t="shared" si="98"/>
        <v>0</v>
      </c>
      <c r="J194" s="234">
        <v>25</v>
      </c>
      <c r="K194" s="234">
        <f t="shared" si="99"/>
        <v>2050</v>
      </c>
      <c r="L194" s="230">
        <f>IF(J194=1,'Model Inputs'!$B$25*(13-'Model Inputs'!$B$23)/12,'Model Inputs'!$B$25)</f>
        <v>300000</v>
      </c>
      <c r="M194" s="230">
        <f>IF(J194=1,'Model Inputs'!$B$27*(13-'Model Inputs'!$B$23)/12,IF(J194=2,'Model Inputs'!$B$27,IF(J194&lt;=MAX(3,'Model Inputs'!$B$30+1),'Model Inputs'!$B$27*(1+'Model Inputs'!$B$28)^(J194-3),'Model Inputs'!$B$27*(1+'Model Inputs'!$B$28)^(MAX(3,'Model Inputs'!$B$30+1)-3)*(1+'Model Inputs'!$B$29)^(J194-MAX(3,'Model Inputs'!$B$30+1)))))</f>
        <v>114761701.62653697</v>
      </c>
      <c r="N194" s="236">
        <f>IF(J194&lt;=2,0,'Model Inputs'!$B$32*SIN(2*PI()*(J194-3+'Model Inputs'!$B$34)/MAX(1,'Model Inputs'!$B$33)))</f>
        <v>0.10392304845413287</v>
      </c>
      <c r="O194" s="230">
        <f t="shared" si="100"/>
        <v>126688087.50535031</v>
      </c>
      <c r="P194" s="230">
        <f t="shared" si="97"/>
        <v>83643370.677900568</v>
      </c>
      <c r="Q194" s="230">
        <f>L194+P194+IF(J194=1,'Model Inputs'!$B$26,0)</f>
        <v>83943370.677900568</v>
      </c>
      <c r="R194" s="230">
        <f t="shared" si="101"/>
        <v>251830112.03370172</v>
      </c>
      <c r="S194" s="230">
        <f t="shared" si="102"/>
        <v>1800000</v>
      </c>
      <c r="T194" s="230">
        <f t="shared" si="103"/>
        <v>1800000</v>
      </c>
      <c r="U194" s="230">
        <f>MIN(T194,'Tax Assumptions'!$B$19)</f>
        <v>24500</v>
      </c>
      <c r="V194" s="230">
        <f>MAX(T194-U194-'Tax Assumptions'!$B$8,0)</f>
        <v>1759400</v>
      </c>
      <c r="W194" s="230">
        <f>MAX(T194-U194-'Tax Assumptions'!$B$9,0)</f>
        <v>1767500</v>
      </c>
      <c r="X194" s="230">
        <f>IF(V194=0,0,LOOKUP(V194,'Tax Assumptions'!$F$9:$F$15,'Tax Assumptions'!$I$9:$I$15)+(V194-LOOKUP(V194,'Tax Assumptions'!$F$9:$F$15,'Tax Assumptions'!$F$9:$F$15))*LOOKUP(V194,'Tax Assumptions'!$F$9:$F$15,'Tax Assumptions'!$H$9:$H$15))+MIN(MAX(T194,0),'Tax Assumptions'!$B$11)*'Tax Assumptions'!$B$10+MAX(T194,0)*'Tax Assumptions'!$B$12+MAX(MAX(T194,0)-'Tax Assumptions'!$B$14,0)*'Tax Assumptions'!$B$13+MIN(T194*'Tax Assumptions'!$B$15,'Tax Assumptions'!$B$16)+MIN(T194*'Tax Assumptions'!$B$17,'Tax Assumptions'!$B$18)+IF(W194=0,0,LOOKUP(W194,'Tax Assumptions'!$K$9:$K$17,'Tax Assumptions'!$N$9:$N$17)+(W194-LOOKUP(W194,'Tax Assumptions'!$K$9:$K$17,'Tax Assumptions'!$K$9:$K$17))*LOOKUP(W194,'Tax Assumptions'!$K$9:$K$17,'Tax Assumptions'!$M$9:$M$17))+IF(W194=0,0,LOOKUP(W194,'Tax Assumptions'!$P$9:$P$12,'Tax Assumptions'!$S$9:$S$12)+(W194-LOOKUP(W194,'Tax Assumptions'!$P$9:$P$12,'Tax Assumptions'!$P$9:$P$12))*LOOKUP(W194,'Tax Assumptions'!$P$9:$P$12,'Tax Assumptions'!$R$9:$R$12))</f>
        <v>865478.63500000001</v>
      </c>
      <c r="Y194" s="230">
        <f t="shared" si="104"/>
        <v>910021.36499999999</v>
      </c>
      <c r="Z194" s="230">
        <f>IF(J194&lt;=10,INDEX('Savings Projection'!$BL$19:$BL$28,J194),LOOKUP(2,1/('Savings Projection'!$BL$19:$BL$28&lt;&gt;""),'Savings Projection'!$BL$19:$BL$28))*(1+'Model Inputs'!$B$35)^(J194-1)+IF(J194&lt;=10,INDEX('Savings Projection'!$BM$19:$BM$28,J194),LOOKUP(2,1/('Savings Projection'!$BM$19:$BM$28&lt;&gt;""),'Savings Projection'!$BM$19:$BM$28))*(1+'Model Inputs'!$B$36)^(J194-1)</f>
        <v>264263.23383985227</v>
      </c>
      <c r="AA194" s="230">
        <f t="shared" si="105"/>
        <v>645758.13116014772</v>
      </c>
      <c r="AB194" s="230">
        <f>MIN(MAX(AA194,0),'Tax Assumptions'!$B$20)</f>
        <v>7500</v>
      </c>
      <c r="AC194" s="230">
        <f t="shared" si="106"/>
        <v>638258.13116014772</v>
      </c>
      <c r="AD194" s="230">
        <f>MAX(AD193*(1+'Model Inputs'!$B$13)+AC194,0)</f>
        <v>41593482.833971746</v>
      </c>
      <c r="AE194" s="230">
        <f>MAX(AE193*(1+'Model Inputs'!$B$13)+U194+AB194,0)</f>
        <v>1755664.3838631923</v>
      </c>
      <c r="AF194" s="230">
        <f t="shared" si="107"/>
        <v>43349147.217834942</v>
      </c>
      <c r="AG194" s="226" t="str">
        <f t="shared" si="93"/>
        <v/>
      </c>
      <c r="AH194" s="226" t="str">
        <f t="shared" si="94"/>
        <v/>
      </c>
      <c r="AI194" s="226" t="str">
        <f t="shared" si="95"/>
        <v/>
      </c>
      <c r="AJ194" s="226" t="str">
        <f t="shared" si="96"/>
        <v/>
      </c>
    </row>
    <row r="195" spans="1:36" ht="18" customHeight="1" x14ac:dyDescent="0.2">
      <c r="A195" s="226" t="str">
        <f t="shared" si="85"/>
        <v>3Y -&gt; PM Y8 Starter</v>
      </c>
      <c r="B195" s="226">
        <f t="shared" si="86"/>
        <v>3</v>
      </c>
      <c r="C195" s="235">
        <f t="shared" si="87"/>
        <v>3</v>
      </c>
      <c r="D195" s="226">
        <f t="shared" si="88"/>
        <v>8</v>
      </c>
      <c r="E195" s="226" t="str">
        <f t="shared" si="89"/>
        <v>Starter</v>
      </c>
      <c r="F195" s="230">
        <f t="shared" si="90"/>
        <v>10000000</v>
      </c>
      <c r="G195" s="236">
        <f t="shared" si="91"/>
        <v>0.15</v>
      </c>
      <c r="H195" s="230">
        <f t="shared" si="92"/>
        <v>300000</v>
      </c>
      <c r="I195" s="236">
        <f t="shared" si="98"/>
        <v>0</v>
      </c>
      <c r="J195" s="234">
        <v>26</v>
      </c>
      <c r="K195" s="234">
        <f t="shared" si="99"/>
        <v>2051</v>
      </c>
      <c r="L195" s="230">
        <f>IF(J195=1,'Model Inputs'!$B$25*(13-'Model Inputs'!$B$23)/12,'Model Inputs'!$B$25)</f>
        <v>300000</v>
      </c>
      <c r="M195" s="230">
        <f>IF(J195=1,'Model Inputs'!$B$27*(13-'Model Inputs'!$B$23)/12,IF(J195=2,'Model Inputs'!$B$27,IF(J195&lt;=MAX(3,'Model Inputs'!$B$30+1),'Model Inputs'!$B$27*(1+'Model Inputs'!$B$28)^(J195-3),'Model Inputs'!$B$27*(1+'Model Inputs'!$B$28)^(MAX(3,'Model Inputs'!$B$30+1)-3)*(1+'Model Inputs'!$B$29)^(J195-MAX(3,'Model Inputs'!$B$30+1)))))</f>
        <v>145848057.00524563</v>
      </c>
      <c r="N195" s="236">
        <f>IF(J195&lt;=2,0,'Model Inputs'!$B$32*SIN(2*PI()*(J195-3+'Model Inputs'!$B$34)/MAX(1,'Model Inputs'!$B$33)))</f>
        <v>-0.10392304845413224</v>
      </c>
      <c r="O195" s="230">
        <f t="shared" si="100"/>
        <v>130691082.31014845</v>
      </c>
      <c r="P195" s="230">
        <f t="shared" si="97"/>
        <v>117591354.65008041</v>
      </c>
      <c r="Q195" s="230">
        <f>L195+P195+IF(J195=1,'Model Inputs'!$B$26,0)</f>
        <v>117891354.65008041</v>
      </c>
      <c r="R195" s="230">
        <f t="shared" si="101"/>
        <v>353674063.95024121</v>
      </c>
      <c r="S195" s="230">
        <f t="shared" si="102"/>
        <v>1800000</v>
      </c>
      <c r="T195" s="230">
        <f t="shared" si="103"/>
        <v>1800000</v>
      </c>
      <c r="U195" s="230">
        <f>MIN(T195,'Tax Assumptions'!$B$19)</f>
        <v>24500</v>
      </c>
      <c r="V195" s="230">
        <f>MAX(T195-U195-'Tax Assumptions'!$B$8,0)</f>
        <v>1759400</v>
      </c>
      <c r="W195" s="230">
        <f>MAX(T195-U195-'Tax Assumptions'!$B$9,0)</f>
        <v>1767500</v>
      </c>
      <c r="X195" s="230">
        <f>IF(V195=0,0,LOOKUP(V195,'Tax Assumptions'!$F$9:$F$15,'Tax Assumptions'!$I$9:$I$15)+(V195-LOOKUP(V195,'Tax Assumptions'!$F$9:$F$15,'Tax Assumptions'!$F$9:$F$15))*LOOKUP(V195,'Tax Assumptions'!$F$9:$F$15,'Tax Assumptions'!$H$9:$H$15))+MIN(MAX(T195,0),'Tax Assumptions'!$B$11)*'Tax Assumptions'!$B$10+MAX(T195,0)*'Tax Assumptions'!$B$12+MAX(MAX(T195,0)-'Tax Assumptions'!$B$14,0)*'Tax Assumptions'!$B$13+MIN(T195*'Tax Assumptions'!$B$15,'Tax Assumptions'!$B$16)+MIN(T195*'Tax Assumptions'!$B$17,'Tax Assumptions'!$B$18)+IF(W195=0,0,LOOKUP(W195,'Tax Assumptions'!$K$9:$K$17,'Tax Assumptions'!$N$9:$N$17)+(W195-LOOKUP(W195,'Tax Assumptions'!$K$9:$K$17,'Tax Assumptions'!$K$9:$K$17))*LOOKUP(W195,'Tax Assumptions'!$K$9:$K$17,'Tax Assumptions'!$M$9:$M$17))+IF(W195=0,0,LOOKUP(W195,'Tax Assumptions'!$P$9:$P$12,'Tax Assumptions'!$S$9:$S$12)+(W195-LOOKUP(W195,'Tax Assumptions'!$P$9:$P$12,'Tax Assumptions'!$P$9:$P$12))*LOOKUP(W195,'Tax Assumptions'!$P$9:$P$12,'Tax Assumptions'!$R$9:$R$12))</f>
        <v>865478.63500000001</v>
      </c>
      <c r="Y195" s="230">
        <f t="shared" si="104"/>
        <v>910021.36499999999</v>
      </c>
      <c r="Z195" s="230">
        <f>IF(J195&lt;=10,INDEX('Savings Projection'!$BL$19:$BL$28,J195),LOOKUP(2,1/('Savings Projection'!$BL$19:$BL$28&lt;&gt;""),'Savings Projection'!$BL$19:$BL$28))*(1+'Model Inputs'!$B$35)^(J195-1)+IF(J195&lt;=10,INDEX('Savings Projection'!$BM$19:$BM$28,J195),LOOKUP(2,1/('Savings Projection'!$BM$19:$BM$28&lt;&gt;""),'Savings Projection'!$BM$19:$BM$28))*(1+'Model Inputs'!$B$36)^(J195-1)</f>
        <v>272191.13085504784</v>
      </c>
      <c r="AA195" s="230">
        <f t="shared" si="105"/>
        <v>637830.23414495215</v>
      </c>
      <c r="AB195" s="230">
        <f>MIN(MAX(AA195,0),'Tax Assumptions'!$B$20)</f>
        <v>7500</v>
      </c>
      <c r="AC195" s="230">
        <f t="shared" si="106"/>
        <v>630330.23414495215</v>
      </c>
      <c r="AD195" s="230">
        <f>MAX(AD194*(1+'Model Inputs'!$B$13)+AC195,0)</f>
        <v>44719422.038155004</v>
      </c>
      <c r="AE195" s="230">
        <f>MAX(AE194*(1+'Model Inputs'!$B$13)+U195+AB195,0)</f>
        <v>1893004.2468949838</v>
      </c>
      <c r="AF195" s="230">
        <f t="shared" si="107"/>
        <v>46612426.28504999</v>
      </c>
      <c r="AG195" s="226" t="str">
        <f t="shared" si="93"/>
        <v/>
      </c>
      <c r="AH195" s="226" t="str">
        <f t="shared" si="94"/>
        <v/>
      </c>
      <c r="AI195" s="226" t="str">
        <f t="shared" si="95"/>
        <v/>
      </c>
      <c r="AJ195" s="226" t="str">
        <f t="shared" si="96"/>
        <v/>
      </c>
    </row>
    <row r="196" spans="1:36" ht="18" customHeight="1" x14ac:dyDescent="0.2">
      <c r="A196" s="226" t="str">
        <f t="shared" si="85"/>
        <v>3Y -&gt; PM Y8 Starter</v>
      </c>
      <c r="B196" s="226">
        <f t="shared" si="86"/>
        <v>3</v>
      </c>
      <c r="C196" s="235">
        <f t="shared" si="87"/>
        <v>3</v>
      </c>
      <c r="D196" s="226">
        <f t="shared" si="88"/>
        <v>8</v>
      </c>
      <c r="E196" s="226" t="str">
        <f t="shared" si="89"/>
        <v>Starter</v>
      </c>
      <c r="F196" s="230">
        <f t="shared" si="90"/>
        <v>10000000</v>
      </c>
      <c r="G196" s="236">
        <f t="shared" si="91"/>
        <v>0.15</v>
      </c>
      <c r="H196" s="230">
        <f t="shared" si="92"/>
        <v>300000</v>
      </c>
      <c r="I196" s="236">
        <f t="shared" si="98"/>
        <v>0</v>
      </c>
      <c r="J196" s="234">
        <v>27</v>
      </c>
      <c r="K196" s="234">
        <f t="shared" si="99"/>
        <v>2052</v>
      </c>
      <c r="L196" s="230">
        <f>IF(J196=1,'Model Inputs'!$B$25*(13-'Model Inputs'!$B$23)/12,'Model Inputs'!$B$25)</f>
        <v>300000</v>
      </c>
      <c r="M196" s="230">
        <f>IF(J196=1,'Model Inputs'!$B$27*(13-'Model Inputs'!$B$23)/12,IF(J196=2,'Model Inputs'!$B$27,IF(J196&lt;=MAX(3,'Model Inputs'!$B$30+1),'Model Inputs'!$B$27*(1+'Model Inputs'!$B$28)^(J196-3),'Model Inputs'!$B$27*(1+'Model Inputs'!$B$28)^(MAX(3,'Model Inputs'!$B$30+1)-3)*(1+'Model Inputs'!$B$29)^(J196-MAX(3,'Model Inputs'!$B$30+1)))))</f>
        <v>185355004.59402937</v>
      </c>
      <c r="N196" s="236">
        <f>IF(J196&lt;=2,0,'Model Inputs'!$B$32*SIN(2*PI()*(J196-3+'Model Inputs'!$B$34)/MAX(1,'Model Inputs'!$B$33)))</f>
        <v>-2.3513218543629179E-16</v>
      </c>
      <c r="O196" s="230">
        <f t="shared" si="100"/>
        <v>185355004.59402934</v>
      </c>
      <c r="P196" s="230">
        <f t="shared" si="97"/>
        <v>129690333.6089489</v>
      </c>
      <c r="Q196" s="230">
        <f>L196+P196+IF(J196=1,'Model Inputs'!$B$26,0)</f>
        <v>129990333.6089489</v>
      </c>
      <c r="R196" s="230">
        <f t="shared" si="101"/>
        <v>389971000.82684672</v>
      </c>
      <c r="S196" s="230">
        <f t="shared" si="102"/>
        <v>1800000</v>
      </c>
      <c r="T196" s="230">
        <f t="shared" si="103"/>
        <v>1800000</v>
      </c>
      <c r="U196" s="230">
        <f>MIN(T196,'Tax Assumptions'!$B$19)</f>
        <v>24500</v>
      </c>
      <c r="V196" s="230">
        <f>MAX(T196-U196-'Tax Assumptions'!$B$8,0)</f>
        <v>1759400</v>
      </c>
      <c r="W196" s="230">
        <f>MAX(T196-U196-'Tax Assumptions'!$B$9,0)</f>
        <v>1767500</v>
      </c>
      <c r="X196" s="230">
        <f>IF(V196=0,0,LOOKUP(V196,'Tax Assumptions'!$F$9:$F$15,'Tax Assumptions'!$I$9:$I$15)+(V196-LOOKUP(V196,'Tax Assumptions'!$F$9:$F$15,'Tax Assumptions'!$F$9:$F$15))*LOOKUP(V196,'Tax Assumptions'!$F$9:$F$15,'Tax Assumptions'!$H$9:$H$15))+MIN(MAX(T196,0),'Tax Assumptions'!$B$11)*'Tax Assumptions'!$B$10+MAX(T196,0)*'Tax Assumptions'!$B$12+MAX(MAX(T196,0)-'Tax Assumptions'!$B$14,0)*'Tax Assumptions'!$B$13+MIN(T196*'Tax Assumptions'!$B$15,'Tax Assumptions'!$B$16)+MIN(T196*'Tax Assumptions'!$B$17,'Tax Assumptions'!$B$18)+IF(W196=0,0,LOOKUP(W196,'Tax Assumptions'!$K$9:$K$17,'Tax Assumptions'!$N$9:$N$17)+(W196-LOOKUP(W196,'Tax Assumptions'!$K$9:$K$17,'Tax Assumptions'!$K$9:$K$17))*LOOKUP(W196,'Tax Assumptions'!$K$9:$K$17,'Tax Assumptions'!$M$9:$M$17))+IF(W196=0,0,LOOKUP(W196,'Tax Assumptions'!$P$9:$P$12,'Tax Assumptions'!$S$9:$S$12)+(W196-LOOKUP(W196,'Tax Assumptions'!$P$9:$P$12,'Tax Assumptions'!$P$9:$P$12))*LOOKUP(W196,'Tax Assumptions'!$P$9:$P$12,'Tax Assumptions'!$R$9:$R$12))</f>
        <v>865478.63500000001</v>
      </c>
      <c r="Y196" s="230">
        <f t="shared" si="104"/>
        <v>910021.36499999999</v>
      </c>
      <c r="Z196" s="230">
        <f>IF(J196&lt;=10,INDEX('Savings Projection'!$BL$19:$BL$28,J196),LOOKUP(2,1/('Savings Projection'!$BL$19:$BL$28&lt;&gt;""),'Savings Projection'!$BL$19:$BL$28))*(1+'Model Inputs'!$B$35)^(J196-1)+IF(J196&lt;=10,INDEX('Savings Projection'!$BM$19:$BM$28,J196),LOOKUP(2,1/('Savings Projection'!$BM$19:$BM$28&lt;&gt;""),'Savings Projection'!$BM$19:$BM$28))*(1+'Model Inputs'!$B$36)^(J196-1)</f>
        <v>280356.86478069925</v>
      </c>
      <c r="AA196" s="230">
        <f t="shared" si="105"/>
        <v>629664.50021930074</v>
      </c>
      <c r="AB196" s="230">
        <f>MIN(MAX(AA196,0),'Tax Assumptions'!$B$20)</f>
        <v>7500</v>
      </c>
      <c r="AC196" s="230">
        <f t="shared" si="106"/>
        <v>622164.50021930074</v>
      </c>
      <c r="AD196" s="230">
        <f>MAX(AD195*(1+'Model Inputs'!$B$13)+AC196,0)</f>
        <v>48024751.860663608</v>
      </c>
      <c r="AE196" s="230">
        <f>MAX(AE195*(1+'Model Inputs'!$B$13)+U196+AB196,0)</f>
        <v>2038584.5017086829</v>
      </c>
      <c r="AF196" s="230">
        <f t="shared" si="107"/>
        <v>50063336.362372294</v>
      </c>
      <c r="AG196" s="226" t="str">
        <f t="shared" si="93"/>
        <v/>
      </c>
      <c r="AH196" s="226" t="str">
        <f t="shared" si="94"/>
        <v/>
      </c>
      <c r="AI196" s="226" t="str">
        <f t="shared" si="95"/>
        <v/>
      </c>
      <c r="AJ196" s="226" t="str">
        <f t="shared" si="96"/>
        <v/>
      </c>
    </row>
    <row r="197" spans="1:36" ht="18" customHeight="1" x14ac:dyDescent="0.2">
      <c r="A197" s="226" t="str">
        <f t="shared" si="85"/>
        <v>3Y -&gt; PM Y8 Starter</v>
      </c>
      <c r="B197" s="226">
        <f t="shared" si="86"/>
        <v>3</v>
      </c>
      <c r="C197" s="235">
        <f t="shared" si="87"/>
        <v>3</v>
      </c>
      <c r="D197" s="226">
        <f t="shared" si="88"/>
        <v>8</v>
      </c>
      <c r="E197" s="226" t="str">
        <f t="shared" si="89"/>
        <v>Starter</v>
      </c>
      <c r="F197" s="230">
        <f t="shared" si="90"/>
        <v>10000000</v>
      </c>
      <c r="G197" s="236">
        <f t="shared" si="91"/>
        <v>0.15</v>
      </c>
      <c r="H197" s="230">
        <f t="shared" si="92"/>
        <v>300000</v>
      </c>
      <c r="I197" s="236">
        <f t="shared" si="98"/>
        <v>0</v>
      </c>
      <c r="J197" s="234">
        <v>28</v>
      </c>
      <c r="K197" s="234">
        <f t="shared" si="99"/>
        <v>2053</v>
      </c>
      <c r="L197" s="230">
        <f>IF(J197=1,'Model Inputs'!$B$25*(13-'Model Inputs'!$B$23)/12,'Model Inputs'!$B$25)</f>
        <v>300000</v>
      </c>
      <c r="M197" s="230">
        <f>IF(J197=1,'Model Inputs'!$B$27*(13-'Model Inputs'!$B$23)/12,IF(J197=2,'Model Inputs'!$B$27,IF(J197&lt;=MAX(3,'Model Inputs'!$B$30+1),'Model Inputs'!$B$27*(1+'Model Inputs'!$B$28)^(J197-3),'Model Inputs'!$B$27*(1+'Model Inputs'!$B$28)^(MAX(3,'Model Inputs'!$B$30+1)-3)*(1+'Model Inputs'!$B$29)^(J197-MAX(3,'Model Inputs'!$B$30+1)))))</f>
        <v>235563492.81236541</v>
      </c>
      <c r="N197" s="236">
        <f>IF(J197&lt;=2,0,'Model Inputs'!$B$32*SIN(2*PI()*(J197-3+'Model Inputs'!$B$34)/MAX(1,'Model Inputs'!$B$33)))</f>
        <v>0.10392304845413247</v>
      </c>
      <c r="O197" s="230">
        <f t="shared" si="100"/>
        <v>260043969.08992955</v>
      </c>
      <c r="P197" s="230">
        <f t="shared" si="97"/>
        <v>171689024.02305913</v>
      </c>
      <c r="Q197" s="230">
        <f>L197+P197+IF(J197=1,'Model Inputs'!$B$26,0)</f>
        <v>171989024.02305913</v>
      </c>
      <c r="R197" s="230">
        <f t="shared" si="101"/>
        <v>515967072.06917739</v>
      </c>
      <c r="S197" s="230">
        <f t="shared" si="102"/>
        <v>1800000</v>
      </c>
      <c r="T197" s="230">
        <f t="shared" si="103"/>
        <v>1800000</v>
      </c>
      <c r="U197" s="230">
        <f>MIN(T197,'Tax Assumptions'!$B$19)</f>
        <v>24500</v>
      </c>
      <c r="V197" s="230">
        <f>MAX(T197-U197-'Tax Assumptions'!$B$8,0)</f>
        <v>1759400</v>
      </c>
      <c r="W197" s="230">
        <f>MAX(T197-U197-'Tax Assumptions'!$B$9,0)</f>
        <v>1767500</v>
      </c>
      <c r="X197" s="230">
        <f>IF(V197=0,0,LOOKUP(V197,'Tax Assumptions'!$F$9:$F$15,'Tax Assumptions'!$I$9:$I$15)+(V197-LOOKUP(V197,'Tax Assumptions'!$F$9:$F$15,'Tax Assumptions'!$F$9:$F$15))*LOOKUP(V197,'Tax Assumptions'!$F$9:$F$15,'Tax Assumptions'!$H$9:$H$15))+MIN(MAX(T197,0),'Tax Assumptions'!$B$11)*'Tax Assumptions'!$B$10+MAX(T197,0)*'Tax Assumptions'!$B$12+MAX(MAX(T197,0)-'Tax Assumptions'!$B$14,0)*'Tax Assumptions'!$B$13+MIN(T197*'Tax Assumptions'!$B$15,'Tax Assumptions'!$B$16)+MIN(T197*'Tax Assumptions'!$B$17,'Tax Assumptions'!$B$18)+IF(W197=0,0,LOOKUP(W197,'Tax Assumptions'!$K$9:$K$17,'Tax Assumptions'!$N$9:$N$17)+(W197-LOOKUP(W197,'Tax Assumptions'!$K$9:$K$17,'Tax Assumptions'!$K$9:$K$17))*LOOKUP(W197,'Tax Assumptions'!$K$9:$K$17,'Tax Assumptions'!$M$9:$M$17))+IF(W197=0,0,LOOKUP(W197,'Tax Assumptions'!$P$9:$P$12,'Tax Assumptions'!$S$9:$S$12)+(W197-LOOKUP(W197,'Tax Assumptions'!$P$9:$P$12,'Tax Assumptions'!$P$9:$P$12))*LOOKUP(W197,'Tax Assumptions'!$P$9:$P$12,'Tax Assumptions'!$R$9:$R$12))</f>
        <v>865478.63500000001</v>
      </c>
      <c r="Y197" s="230">
        <f t="shared" si="104"/>
        <v>910021.36499999999</v>
      </c>
      <c r="Z197" s="230">
        <f>IF(J197&lt;=10,INDEX('Savings Projection'!$BL$19:$BL$28,J197),LOOKUP(2,1/('Savings Projection'!$BL$19:$BL$28&lt;&gt;""),'Savings Projection'!$BL$19:$BL$28))*(1+'Model Inputs'!$B$35)^(J197-1)+IF(J197&lt;=10,INDEX('Savings Projection'!$BM$19:$BM$28,J197),LOOKUP(2,1/('Savings Projection'!$BM$19:$BM$28&lt;&gt;""),'Savings Projection'!$BM$19:$BM$28))*(1+'Model Inputs'!$B$36)^(J197-1)</f>
        <v>288767.57072412025</v>
      </c>
      <c r="AA197" s="230">
        <f t="shared" si="105"/>
        <v>621253.79427587974</v>
      </c>
      <c r="AB197" s="230">
        <f>MIN(MAX(AA197,0),'Tax Assumptions'!$B$20)</f>
        <v>7500</v>
      </c>
      <c r="AC197" s="230">
        <f t="shared" si="106"/>
        <v>613753.79427587974</v>
      </c>
      <c r="AD197" s="230">
        <f>MAX(AD196*(1+'Model Inputs'!$B$13)+AC197,0)</f>
        <v>51519990.766579308</v>
      </c>
      <c r="AE197" s="230">
        <f>MAX(AE196*(1+'Model Inputs'!$B$13)+U197+AB197,0)</f>
        <v>2192899.5718112038</v>
      </c>
      <c r="AF197" s="230">
        <f t="shared" si="107"/>
        <v>53712890.338390514</v>
      </c>
      <c r="AG197" s="226" t="str">
        <f t="shared" si="93"/>
        <v/>
      </c>
      <c r="AH197" s="226" t="str">
        <f t="shared" si="94"/>
        <v/>
      </c>
      <c r="AI197" s="226" t="str">
        <f t="shared" si="95"/>
        <v/>
      </c>
      <c r="AJ197" s="226" t="str">
        <f t="shared" si="96"/>
        <v/>
      </c>
    </row>
    <row r="198" spans="1:36" ht="18" customHeight="1" x14ac:dyDescent="0.2">
      <c r="A198" s="226" t="str">
        <f t="shared" si="85"/>
        <v>3Y -&gt; PM Y8 Starter</v>
      </c>
      <c r="B198" s="226">
        <f t="shared" si="86"/>
        <v>3</v>
      </c>
      <c r="C198" s="235">
        <f t="shared" si="87"/>
        <v>3</v>
      </c>
      <c r="D198" s="226">
        <f t="shared" si="88"/>
        <v>8</v>
      </c>
      <c r="E198" s="226" t="str">
        <f t="shared" si="89"/>
        <v>Starter</v>
      </c>
      <c r="F198" s="230">
        <f t="shared" si="90"/>
        <v>10000000</v>
      </c>
      <c r="G198" s="236">
        <f t="shared" si="91"/>
        <v>0.15</v>
      </c>
      <c r="H198" s="230">
        <f t="shared" si="92"/>
        <v>300000</v>
      </c>
      <c r="I198" s="236">
        <f t="shared" si="98"/>
        <v>0</v>
      </c>
      <c r="J198" s="234">
        <v>29</v>
      </c>
      <c r="K198" s="234">
        <f t="shared" si="99"/>
        <v>2054</v>
      </c>
      <c r="L198" s="230">
        <f>IF(J198=1,'Model Inputs'!$B$25*(13-'Model Inputs'!$B$23)/12,'Model Inputs'!$B$25)</f>
        <v>300000</v>
      </c>
      <c r="M198" s="230">
        <f>IF(J198=1,'Model Inputs'!$B$27*(13-'Model Inputs'!$B$23)/12,IF(J198=2,'Model Inputs'!$B$27,IF(J198&lt;=MAX(3,'Model Inputs'!$B$30+1),'Model Inputs'!$B$27*(1+'Model Inputs'!$B$28)^(J198-3),'Model Inputs'!$B$27*(1+'Model Inputs'!$B$28)^(MAX(3,'Model Inputs'!$B$30+1)-3)*(1+'Model Inputs'!$B$29)^(J198-MAX(3,'Model Inputs'!$B$30+1)))))</f>
        <v>299372327.53708321</v>
      </c>
      <c r="N198" s="236">
        <f>IF(J198&lt;=2,0,'Model Inputs'!$B$32*SIN(2*PI()*(J198-3+'Model Inputs'!$B$34)/MAX(1,'Model Inputs'!$B$33)))</f>
        <v>-0.10392304845413265</v>
      </c>
      <c r="O198" s="230">
        <f t="shared" si="100"/>
        <v>268260642.63662043</v>
      </c>
      <c r="P198" s="230">
        <f t="shared" si="97"/>
        <v>241371727.96595448</v>
      </c>
      <c r="Q198" s="230">
        <f>L198+P198+IF(J198=1,'Model Inputs'!$B$26,0)</f>
        <v>241671727.96595448</v>
      </c>
      <c r="R198" s="230">
        <f t="shared" si="101"/>
        <v>725015183.89786339</v>
      </c>
      <c r="S198" s="230">
        <f t="shared" si="102"/>
        <v>1800000</v>
      </c>
      <c r="T198" s="230">
        <f t="shared" si="103"/>
        <v>1800000</v>
      </c>
      <c r="U198" s="230">
        <f>MIN(T198,'Tax Assumptions'!$B$19)</f>
        <v>24500</v>
      </c>
      <c r="V198" s="230">
        <f>MAX(T198-U198-'Tax Assumptions'!$B$8,0)</f>
        <v>1759400</v>
      </c>
      <c r="W198" s="230">
        <f>MAX(T198-U198-'Tax Assumptions'!$B$9,0)</f>
        <v>1767500</v>
      </c>
      <c r="X198" s="230">
        <f>IF(V198=0,0,LOOKUP(V198,'Tax Assumptions'!$F$9:$F$15,'Tax Assumptions'!$I$9:$I$15)+(V198-LOOKUP(V198,'Tax Assumptions'!$F$9:$F$15,'Tax Assumptions'!$F$9:$F$15))*LOOKUP(V198,'Tax Assumptions'!$F$9:$F$15,'Tax Assumptions'!$H$9:$H$15))+MIN(MAX(T198,0),'Tax Assumptions'!$B$11)*'Tax Assumptions'!$B$10+MAX(T198,0)*'Tax Assumptions'!$B$12+MAX(MAX(T198,0)-'Tax Assumptions'!$B$14,0)*'Tax Assumptions'!$B$13+MIN(T198*'Tax Assumptions'!$B$15,'Tax Assumptions'!$B$16)+MIN(T198*'Tax Assumptions'!$B$17,'Tax Assumptions'!$B$18)+IF(W198=0,0,LOOKUP(W198,'Tax Assumptions'!$K$9:$K$17,'Tax Assumptions'!$N$9:$N$17)+(W198-LOOKUP(W198,'Tax Assumptions'!$K$9:$K$17,'Tax Assumptions'!$K$9:$K$17))*LOOKUP(W198,'Tax Assumptions'!$K$9:$K$17,'Tax Assumptions'!$M$9:$M$17))+IF(W198=0,0,LOOKUP(W198,'Tax Assumptions'!$P$9:$P$12,'Tax Assumptions'!$S$9:$S$12)+(W198-LOOKUP(W198,'Tax Assumptions'!$P$9:$P$12,'Tax Assumptions'!$P$9:$P$12))*LOOKUP(W198,'Tax Assumptions'!$P$9:$P$12,'Tax Assumptions'!$R$9:$R$12))</f>
        <v>865478.63500000001</v>
      </c>
      <c r="Y198" s="230">
        <f t="shared" si="104"/>
        <v>910021.36499999999</v>
      </c>
      <c r="Z198" s="230">
        <f>IF(J198&lt;=10,INDEX('Savings Projection'!$BL$19:$BL$28,J198),LOOKUP(2,1/('Savings Projection'!$BL$19:$BL$28&lt;&gt;""),'Savings Projection'!$BL$19:$BL$28))*(1+'Model Inputs'!$B$35)^(J198-1)+IF(J198&lt;=10,INDEX('Savings Projection'!$BM$19:$BM$28,J198),LOOKUP(2,1/('Savings Projection'!$BM$19:$BM$28&lt;&gt;""),'Savings Projection'!$BM$19:$BM$28))*(1+'Model Inputs'!$B$36)^(J198-1)</f>
        <v>297430.59784584382</v>
      </c>
      <c r="AA198" s="230">
        <f t="shared" si="105"/>
        <v>612590.76715415623</v>
      </c>
      <c r="AB198" s="230">
        <f>MIN(MAX(AA198,0),'Tax Assumptions'!$B$20)</f>
        <v>7500</v>
      </c>
      <c r="AC198" s="230">
        <f t="shared" si="106"/>
        <v>605090.76715415623</v>
      </c>
      <c r="AD198" s="230">
        <f>MAX(AD197*(1+'Model Inputs'!$B$13)+AC198,0)</f>
        <v>55216280.979728229</v>
      </c>
      <c r="AE198" s="230">
        <f>MAX(AE197*(1+'Model Inputs'!$B$13)+U198+AB198,0)</f>
        <v>2356473.5461198762</v>
      </c>
      <c r="AF198" s="230">
        <f t="shared" si="107"/>
        <v>57572754.525848106</v>
      </c>
      <c r="AG198" s="226" t="str">
        <f t="shared" si="93"/>
        <v/>
      </c>
      <c r="AH198" s="226" t="str">
        <f t="shared" si="94"/>
        <v/>
      </c>
      <c r="AI198" s="226" t="str">
        <f t="shared" si="95"/>
        <v/>
      </c>
      <c r="AJ198" s="226" t="str">
        <f t="shared" si="96"/>
        <v/>
      </c>
    </row>
    <row r="199" spans="1:36" ht="18" customHeight="1" x14ac:dyDescent="0.2">
      <c r="A199" s="226" t="str">
        <f t="shared" si="85"/>
        <v>3Y -&gt; PM Y8 Starter</v>
      </c>
      <c r="B199" s="226">
        <f t="shared" si="86"/>
        <v>3</v>
      </c>
      <c r="C199" s="235">
        <f t="shared" si="87"/>
        <v>3</v>
      </c>
      <c r="D199" s="226">
        <f t="shared" si="88"/>
        <v>8</v>
      </c>
      <c r="E199" s="226" t="str">
        <f t="shared" si="89"/>
        <v>Starter</v>
      </c>
      <c r="F199" s="230">
        <f t="shared" si="90"/>
        <v>10000000</v>
      </c>
      <c r="G199" s="236">
        <f t="shared" si="91"/>
        <v>0.15</v>
      </c>
      <c r="H199" s="230">
        <f t="shared" si="92"/>
        <v>300000</v>
      </c>
      <c r="I199" s="236">
        <f t="shared" si="98"/>
        <v>0</v>
      </c>
      <c r="J199" s="234">
        <v>30</v>
      </c>
      <c r="K199" s="234">
        <f t="shared" si="99"/>
        <v>2055</v>
      </c>
      <c r="L199" s="230">
        <f>IF(J199=1,'Model Inputs'!$B$25*(13-'Model Inputs'!$B$23)/12,'Model Inputs'!$B$25)</f>
        <v>300000</v>
      </c>
      <c r="M199" s="230">
        <f>IF(J199=1,'Model Inputs'!$B$27*(13-'Model Inputs'!$B$23)/12,IF(J199=2,'Model Inputs'!$B$27,IF(J199&lt;=MAX(3,'Model Inputs'!$B$30+1),'Model Inputs'!$B$27*(1+'Model Inputs'!$B$28)^(J199-3),'Model Inputs'!$B$27*(1+'Model Inputs'!$B$28)^(MAX(3,'Model Inputs'!$B$30+1)-3)*(1+'Model Inputs'!$B$29)^(J199-MAX(3,'Model Inputs'!$B$30+1)))))</f>
        <v>380465535.74563926</v>
      </c>
      <c r="N199" s="236">
        <f>IF(J199&lt;=2,0,'Model Inputs'!$B$32*SIN(2*PI()*(J199-3+'Model Inputs'!$B$34)/MAX(1,'Model Inputs'!$B$33)))</f>
        <v>-2.645237086158283E-16</v>
      </c>
      <c r="O199" s="230">
        <f t="shared" si="100"/>
        <v>380465535.7456392</v>
      </c>
      <c r="P199" s="230">
        <f t="shared" si="97"/>
        <v>266206474.24994773</v>
      </c>
      <c r="Q199" s="230">
        <f>L199+P199+IF(J199=1,'Model Inputs'!$B$26,0)</f>
        <v>266506474.24994773</v>
      </c>
      <c r="R199" s="230">
        <f t="shared" si="101"/>
        <v>799519422.74984312</v>
      </c>
      <c r="S199" s="230">
        <f t="shared" si="102"/>
        <v>1800000</v>
      </c>
      <c r="T199" s="230">
        <f t="shared" si="103"/>
        <v>1800000</v>
      </c>
      <c r="U199" s="230">
        <f>MIN(T199,'Tax Assumptions'!$B$19)</f>
        <v>24500</v>
      </c>
      <c r="V199" s="230">
        <f>MAX(T199-U199-'Tax Assumptions'!$B$8,0)</f>
        <v>1759400</v>
      </c>
      <c r="W199" s="230">
        <f>MAX(T199-U199-'Tax Assumptions'!$B$9,0)</f>
        <v>1767500</v>
      </c>
      <c r="X199" s="230">
        <f>IF(V199=0,0,LOOKUP(V199,'Tax Assumptions'!$F$9:$F$15,'Tax Assumptions'!$I$9:$I$15)+(V199-LOOKUP(V199,'Tax Assumptions'!$F$9:$F$15,'Tax Assumptions'!$F$9:$F$15))*LOOKUP(V199,'Tax Assumptions'!$F$9:$F$15,'Tax Assumptions'!$H$9:$H$15))+MIN(MAX(T199,0),'Tax Assumptions'!$B$11)*'Tax Assumptions'!$B$10+MAX(T199,0)*'Tax Assumptions'!$B$12+MAX(MAX(T199,0)-'Tax Assumptions'!$B$14,0)*'Tax Assumptions'!$B$13+MIN(T199*'Tax Assumptions'!$B$15,'Tax Assumptions'!$B$16)+MIN(T199*'Tax Assumptions'!$B$17,'Tax Assumptions'!$B$18)+IF(W199=0,0,LOOKUP(W199,'Tax Assumptions'!$K$9:$K$17,'Tax Assumptions'!$N$9:$N$17)+(W199-LOOKUP(W199,'Tax Assumptions'!$K$9:$K$17,'Tax Assumptions'!$K$9:$K$17))*LOOKUP(W199,'Tax Assumptions'!$K$9:$K$17,'Tax Assumptions'!$M$9:$M$17))+IF(W199=0,0,LOOKUP(W199,'Tax Assumptions'!$P$9:$P$12,'Tax Assumptions'!$S$9:$S$12)+(W199-LOOKUP(W199,'Tax Assumptions'!$P$9:$P$12,'Tax Assumptions'!$P$9:$P$12))*LOOKUP(W199,'Tax Assumptions'!$P$9:$P$12,'Tax Assumptions'!$R$9:$R$12))</f>
        <v>865478.63500000001</v>
      </c>
      <c r="Y199" s="230">
        <f t="shared" si="104"/>
        <v>910021.36499999999</v>
      </c>
      <c r="Z199" s="230">
        <f>IF(J199&lt;=10,INDEX('Savings Projection'!$BL$19:$BL$28,J199),LOOKUP(2,1/('Savings Projection'!$BL$19:$BL$28&lt;&gt;""),'Savings Projection'!$BL$19:$BL$28))*(1+'Model Inputs'!$B$35)^(J199-1)+IF(J199&lt;=10,INDEX('Savings Projection'!$BM$19:$BM$28,J199),LOOKUP(2,1/('Savings Projection'!$BM$19:$BM$28&lt;&gt;""),'Savings Projection'!$BM$19:$BM$28))*(1+'Model Inputs'!$B$36)^(J199-1)</f>
        <v>306353.51578121912</v>
      </c>
      <c r="AA199" s="230">
        <f t="shared" si="105"/>
        <v>603667.84921878087</v>
      </c>
      <c r="AB199" s="230">
        <f>MIN(MAX(AA199,0),'Tax Assumptions'!$B$20)</f>
        <v>7500</v>
      </c>
      <c r="AC199" s="230">
        <f t="shared" si="106"/>
        <v>596167.84921878087</v>
      </c>
      <c r="AD199" s="230">
        <f>MAX(AD198*(1+'Model Inputs'!$B$13)+AC199,0)</f>
        <v>59125425.687730707</v>
      </c>
      <c r="AE199" s="230">
        <f>MAX(AE198*(1+'Model Inputs'!$B$13)+U199+AB199,0)</f>
        <v>2529861.958887069</v>
      </c>
      <c r="AF199" s="230">
        <f t="shared" si="107"/>
        <v>61655287.646617778</v>
      </c>
      <c r="AG199" s="226" t="str">
        <f t="shared" si="93"/>
        <v/>
      </c>
      <c r="AH199" s="226" t="str">
        <f t="shared" si="94"/>
        <v/>
      </c>
      <c r="AI199" s="226" t="str">
        <f t="shared" si="95"/>
        <v/>
      </c>
      <c r="AJ199" s="226" t="str">
        <f t="shared" si="96"/>
        <v/>
      </c>
    </row>
    <row r="200" spans="1:36" ht="18" customHeight="1" x14ac:dyDescent="0.2">
      <c r="A200" s="226" t="str">
        <f t="shared" ref="A200:A229" si="108">$A$27</f>
        <v>3Y -&gt; PM Y8 Base</v>
      </c>
      <c r="B200" s="226">
        <f t="shared" ref="B200:B229" si="109">$B$27</f>
        <v>3</v>
      </c>
      <c r="C200" s="235">
        <f t="shared" ref="C200:C229" si="110">$C$27</f>
        <v>3</v>
      </c>
      <c r="D200" s="226">
        <f t="shared" ref="D200:D229" si="111">$D$27</f>
        <v>8</v>
      </c>
      <c r="E200" s="226" t="str">
        <f t="shared" ref="E200:E229" si="112">$E$27</f>
        <v>Base</v>
      </c>
      <c r="F200" s="230">
        <f t="shared" ref="F200:F229" si="113">$F$27</f>
        <v>25000000</v>
      </c>
      <c r="G200" s="236">
        <f t="shared" ref="G200:G229" si="114">$G$27</f>
        <v>0.15</v>
      </c>
      <c r="H200" s="230">
        <f t="shared" ref="H200:H229" si="115">$H$27</f>
        <v>300000</v>
      </c>
      <c r="I200" s="236">
        <f t="shared" si="98"/>
        <v>0</v>
      </c>
      <c r="J200" s="234">
        <v>1</v>
      </c>
      <c r="K200" s="234">
        <f t="shared" si="99"/>
        <v>2026</v>
      </c>
      <c r="L200" s="230">
        <f>IF(J200=1,'Model Inputs'!$B$25*(13-'Model Inputs'!$B$23)/12,'Model Inputs'!$B$25)</f>
        <v>100000</v>
      </c>
      <c r="M200" s="230">
        <f>IF(J200=1,'Model Inputs'!$B$27*(13-'Model Inputs'!$B$23)/12,IF(J200=2,'Model Inputs'!$B$27,IF(J200&lt;=MAX(3,'Model Inputs'!$B$30+1),'Model Inputs'!$B$27*(1+'Model Inputs'!$B$28)^(J200-3),'Model Inputs'!$B$27*(1+'Model Inputs'!$B$28)^(MAX(3,'Model Inputs'!$B$30+1)-3)*(1+'Model Inputs'!$B$29)^(J200-MAX(3,'Model Inputs'!$B$30+1)))))</f>
        <v>150000</v>
      </c>
      <c r="N200" s="236">
        <f>IF(J200&lt;=2,0,'Model Inputs'!$B$32*SIN(2*PI()*(J200-3+'Model Inputs'!$B$34)/MAX(1,'Model Inputs'!$B$33)))</f>
        <v>0</v>
      </c>
      <c r="O200" s="230">
        <f t="shared" si="100"/>
        <v>150000</v>
      </c>
      <c r="P200" s="230">
        <f>0</f>
        <v>0</v>
      </c>
      <c r="Q200" s="230">
        <f>L200+P200+IF(J200=1,'Model Inputs'!$B$26,0)</f>
        <v>550000</v>
      </c>
      <c r="R200" s="230">
        <f t="shared" si="101"/>
        <v>550000</v>
      </c>
      <c r="S200" s="230">
        <f t="shared" si="102"/>
        <v>4050000</v>
      </c>
      <c r="T200" s="230">
        <f t="shared" si="103"/>
        <v>550000</v>
      </c>
      <c r="U200" s="230">
        <f>MIN(T200,'Tax Assumptions'!$B$19)</f>
        <v>24500</v>
      </c>
      <c r="V200" s="230">
        <f>MAX(T200-U200-'Tax Assumptions'!$B$8,0)</f>
        <v>509400</v>
      </c>
      <c r="W200" s="230">
        <f>MAX(T200-U200-'Tax Assumptions'!$B$9,0)</f>
        <v>517500</v>
      </c>
      <c r="X200" s="230">
        <f>IF(V200=0,0,LOOKUP(V200,'Tax Assumptions'!$F$9:$F$15,'Tax Assumptions'!$I$9:$I$15)+(V200-LOOKUP(V200,'Tax Assumptions'!$F$9:$F$15,'Tax Assumptions'!$F$9:$F$15))*LOOKUP(V200,'Tax Assumptions'!$F$9:$F$15,'Tax Assumptions'!$H$9:$H$15))+MIN(MAX(T200,0),'Tax Assumptions'!$B$11)*'Tax Assumptions'!$B$10+MAX(T200,0)*'Tax Assumptions'!$B$12+MAX(MAX(T200,0)-'Tax Assumptions'!$B$14,0)*'Tax Assumptions'!$B$13+MIN(T200*'Tax Assumptions'!$B$15,'Tax Assumptions'!$B$16)+MIN(T200*'Tax Assumptions'!$B$17,'Tax Assumptions'!$B$18)+IF(W200=0,0,LOOKUP(W200,'Tax Assumptions'!$K$9:$K$17,'Tax Assumptions'!$N$9:$N$17)+(W200-LOOKUP(W200,'Tax Assumptions'!$K$9:$K$17,'Tax Assumptions'!$K$9:$K$17))*LOOKUP(W200,'Tax Assumptions'!$K$9:$K$17,'Tax Assumptions'!$M$9:$M$17))+IF(W200=0,0,LOOKUP(W200,'Tax Assumptions'!$P$9:$P$12,'Tax Assumptions'!$S$9:$S$12)+(W200-LOOKUP(W200,'Tax Assumptions'!$P$9:$P$12,'Tax Assumptions'!$P$9:$P$12))*LOOKUP(W200,'Tax Assumptions'!$P$9:$P$12,'Tax Assumptions'!$R$9:$R$12))</f>
        <v>222834.53000000003</v>
      </c>
      <c r="Y200" s="230">
        <f t="shared" si="104"/>
        <v>302665.46999999997</v>
      </c>
      <c r="Z200" s="230">
        <f>IF(J200&lt;=10,INDEX('Savings Projection'!$BL$19:$BL$28,J200),LOOKUP(2,1/('Savings Projection'!$BL$19:$BL$28&lt;&gt;""),'Savings Projection'!$BL$19:$BL$28))*(1+'Model Inputs'!$B$35)^(J200-1)+IF(J200&lt;=10,INDEX('Savings Projection'!$BM$19:$BM$28,J200),LOOKUP(2,1/('Savings Projection'!$BM$19:$BM$28&lt;&gt;""),'Savings Projection'!$BM$19:$BM$28))*(1+'Model Inputs'!$B$36)^(J200-1)</f>
        <v>118000</v>
      </c>
      <c r="AA200" s="230">
        <f t="shared" si="105"/>
        <v>184665.46999999997</v>
      </c>
      <c r="AB200" s="230">
        <f>MIN(MAX(AA200,0),'Tax Assumptions'!$B$20)</f>
        <v>7500</v>
      </c>
      <c r="AC200" s="230">
        <f t="shared" si="106"/>
        <v>177165.46999999997</v>
      </c>
      <c r="AD200" s="230">
        <f>MAX('Model Inputs'!$B$7*(1+'Model Inputs'!$B$13)+AC200,0)</f>
        <v>336165.47</v>
      </c>
      <c r="AE200" s="230">
        <f>MAX(('Model Inputs'!$B$8+'Model Inputs'!$B$9+'Model Inputs'!$B$10)*(1+'Model Inputs'!$B$13)+U200+AB200,0)</f>
        <v>32000</v>
      </c>
      <c r="AF200" s="230">
        <f t="shared" si="107"/>
        <v>368165.47</v>
      </c>
      <c r="AG200" s="226" t="str">
        <f>IF(AND(AF200&gt;=$F$14,0&lt;$F$14),J200,"")</f>
        <v/>
      </c>
      <c r="AH200" s="226" t="str">
        <f>IF(AND(AF200&gt;=$F$15,0&lt;$F$15),J200,"")</f>
        <v/>
      </c>
      <c r="AI200" s="226" t="str">
        <f>IF(AND(AF200&gt;=$F$16,0&lt;$F$16),J200,"")</f>
        <v/>
      </c>
      <c r="AJ200" s="226" t="str">
        <f>IF(AND(AF200&gt;=$F$17,0&lt;$F$17),J200,"")</f>
        <v/>
      </c>
    </row>
    <row r="201" spans="1:36" ht="18" customHeight="1" x14ac:dyDescent="0.2">
      <c r="A201" s="226" t="str">
        <f t="shared" si="108"/>
        <v>3Y -&gt; PM Y8 Base</v>
      </c>
      <c r="B201" s="226">
        <f t="shared" si="109"/>
        <v>3</v>
      </c>
      <c r="C201" s="235">
        <f t="shared" si="110"/>
        <v>3</v>
      </c>
      <c r="D201" s="226">
        <f t="shared" si="111"/>
        <v>8</v>
      </c>
      <c r="E201" s="226" t="str">
        <f t="shared" si="112"/>
        <v>Base</v>
      </c>
      <c r="F201" s="230">
        <f t="shared" si="113"/>
        <v>25000000</v>
      </c>
      <c r="G201" s="236">
        <f t="shared" si="114"/>
        <v>0.15</v>
      </c>
      <c r="H201" s="230">
        <f t="shared" si="115"/>
        <v>300000</v>
      </c>
      <c r="I201" s="236">
        <f t="shared" si="98"/>
        <v>0</v>
      </c>
      <c r="J201" s="234">
        <v>2</v>
      </c>
      <c r="K201" s="234">
        <f t="shared" si="99"/>
        <v>2027</v>
      </c>
      <c r="L201" s="230">
        <f>IF(J201=1,'Model Inputs'!$B$25*(13-'Model Inputs'!$B$23)/12,'Model Inputs'!$B$25)</f>
        <v>300000</v>
      </c>
      <c r="M201" s="230">
        <f>IF(J201=1,'Model Inputs'!$B$27*(13-'Model Inputs'!$B$23)/12,IF(J201=2,'Model Inputs'!$B$27,IF(J201&lt;=MAX(3,'Model Inputs'!$B$30+1),'Model Inputs'!$B$27*(1+'Model Inputs'!$B$28)^(J201-3),'Model Inputs'!$B$27*(1+'Model Inputs'!$B$28)^(MAX(3,'Model Inputs'!$B$30+1)-3)*(1+'Model Inputs'!$B$29)^(J201-MAX(3,'Model Inputs'!$B$30+1)))))</f>
        <v>450000</v>
      </c>
      <c r="N201" s="236">
        <f>IF(J201&lt;=2,0,'Model Inputs'!$B$32*SIN(2*PI()*(J201-3+'Model Inputs'!$B$34)/MAX(1,'Model Inputs'!$B$33)))</f>
        <v>0</v>
      </c>
      <c r="O201" s="230">
        <f t="shared" si="100"/>
        <v>450000</v>
      </c>
      <c r="P201" s="230">
        <f>0.75*O200</f>
        <v>112500</v>
      </c>
      <c r="Q201" s="230">
        <f>L201+P201+IF(J201=1,'Model Inputs'!$B$26,0)</f>
        <v>412500</v>
      </c>
      <c r="R201" s="230">
        <f t="shared" si="101"/>
        <v>412500</v>
      </c>
      <c r="S201" s="230">
        <f t="shared" si="102"/>
        <v>4050000</v>
      </c>
      <c r="T201" s="230">
        <f t="shared" si="103"/>
        <v>412500</v>
      </c>
      <c r="U201" s="230">
        <f>MIN(T201,'Tax Assumptions'!$B$19)</f>
        <v>24500</v>
      </c>
      <c r="V201" s="230">
        <f>MAX(T201-U201-'Tax Assumptions'!$B$8,0)</f>
        <v>371900</v>
      </c>
      <c r="W201" s="230">
        <f>MAX(T201-U201-'Tax Assumptions'!$B$9,0)</f>
        <v>380000</v>
      </c>
      <c r="X201" s="230">
        <f>IF(V201=0,0,LOOKUP(V201,'Tax Assumptions'!$F$9:$F$15,'Tax Assumptions'!$I$9:$I$15)+(V201-LOOKUP(V201,'Tax Assumptions'!$F$9:$F$15,'Tax Assumptions'!$F$9:$F$15))*LOOKUP(V201,'Tax Assumptions'!$F$9:$F$15,'Tax Assumptions'!$H$9:$H$15))+MIN(MAX(T201,0),'Tax Assumptions'!$B$11)*'Tax Assumptions'!$B$10+MAX(T201,0)*'Tax Assumptions'!$B$12+MAX(MAX(T201,0)-'Tax Assumptions'!$B$14,0)*'Tax Assumptions'!$B$13+MIN(T201*'Tax Assumptions'!$B$15,'Tax Assumptions'!$B$16)+MIN(T201*'Tax Assumptions'!$B$17,'Tax Assumptions'!$B$18)+IF(W201=0,0,LOOKUP(W201,'Tax Assumptions'!$K$9:$K$17,'Tax Assumptions'!$N$9:$N$17)+(W201-LOOKUP(W201,'Tax Assumptions'!$K$9:$K$17,'Tax Assumptions'!$K$9:$K$17))*LOOKUP(W201,'Tax Assumptions'!$K$9:$K$17,'Tax Assumptions'!$M$9:$M$17))+IF(W201=0,0,LOOKUP(W201,'Tax Assumptions'!$P$9:$P$12,'Tax Assumptions'!$S$9:$S$12)+(W201-LOOKUP(W201,'Tax Assumptions'!$P$9:$P$12,'Tax Assumptions'!$P$9:$P$12))*LOOKUP(W201,'Tax Assumptions'!$P$9:$P$12,'Tax Assumptions'!$R$9:$R$12))</f>
        <v>156730.03</v>
      </c>
      <c r="Y201" s="230">
        <f t="shared" si="104"/>
        <v>231269.97</v>
      </c>
      <c r="Z201" s="230">
        <f>IF(J201&lt;=10,INDEX('Savings Projection'!$BL$19:$BL$28,J201),LOOKUP(2,1/('Savings Projection'!$BL$19:$BL$28&lt;&gt;""),'Savings Projection'!$BL$19:$BL$28))*(1+'Model Inputs'!$B$35)^(J201-1)+IF(J201&lt;=10,INDEX('Savings Projection'!$BM$19:$BM$28,J201),LOOKUP(2,1/('Savings Projection'!$BM$19:$BM$28&lt;&gt;""),'Savings Projection'!$BM$19:$BM$28))*(1+'Model Inputs'!$B$36)^(J201-1)</f>
        <v>121540</v>
      </c>
      <c r="AA201" s="230">
        <f t="shared" si="105"/>
        <v>109729.97</v>
      </c>
      <c r="AB201" s="230">
        <f>MIN(MAX(AA201,0),'Tax Assumptions'!$B$20)</f>
        <v>7500</v>
      </c>
      <c r="AC201" s="230">
        <f t="shared" si="106"/>
        <v>102229.97</v>
      </c>
      <c r="AD201" s="230">
        <f>MAX(AD200*(1+'Model Inputs'!$B$13)+AC201,0)</f>
        <v>458565.36820000003</v>
      </c>
      <c r="AE201" s="230">
        <f>MAX(AE200*(1+'Model Inputs'!$B$13)+U201+AB201,0)</f>
        <v>65920</v>
      </c>
      <c r="AF201" s="230">
        <f t="shared" si="107"/>
        <v>524485.36820000003</v>
      </c>
      <c r="AG201" s="226" t="str">
        <f t="shared" ref="AG201:AG229" si="116">IF(AND(AF201&gt;=$F$14,AF200&lt;$F$14),J201,"")</f>
        <v/>
      </c>
      <c r="AH201" s="226" t="str">
        <f t="shared" ref="AH201:AH229" si="117">IF(AND(AF201&gt;=$F$15,AF200&lt;$F$15),J201,"")</f>
        <v/>
      </c>
      <c r="AI201" s="226" t="str">
        <f t="shared" ref="AI201:AI229" si="118">IF(AND(AF201&gt;=$F$16,AF200&lt;$F$16),J201,"")</f>
        <v/>
      </c>
      <c r="AJ201" s="226" t="str">
        <f t="shared" ref="AJ201:AJ229" si="119">IF(AND(AF201&gt;=$F$17,AF200&lt;$F$17),J201,"")</f>
        <v/>
      </c>
    </row>
    <row r="202" spans="1:36" ht="18" customHeight="1" x14ac:dyDescent="0.2">
      <c r="A202" s="226" t="str">
        <f t="shared" si="108"/>
        <v>3Y -&gt; PM Y8 Base</v>
      </c>
      <c r="B202" s="226">
        <f t="shared" si="109"/>
        <v>3</v>
      </c>
      <c r="C202" s="235">
        <f t="shared" si="110"/>
        <v>3</v>
      </c>
      <c r="D202" s="226">
        <f t="shared" si="111"/>
        <v>8</v>
      </c>
      <c r="E202" s="226" t="str">
        <f t="shared" si="112"/>
        <v>Base</v>
      </c>
      <c r="F202" s="230">
        <f t="shared" si="113"/>
        <v>25000000</v>
      </c>
      <c r="G202" s="236">
        <f t="shared" si="114"/>
        <v>0.15</v>
      </c>
      <c r="H202" s="230">
        <f t="shared" si="115"/>
        <v>300000</v>
      </c>
      <c r="I202" s="236">
        <f t="shared" si="98"/>
        <v>0</v>
      </c>
      <c r="J202" s="234">
        <v>3</v>
      </c>
      <c r="K202" s="234">
        <f t="shared" si="99"/>
        <v>2028</v>
      </c>
      <c r="L202" s="230">
        <f>IF(J202=1,'Model Inputs'!$B$25*(13-'Model Inputs'!$B$23)/12,'Model Inputs'!$B$25)</f>
        <v>300000</v>
      </c>
      <c r="M202" s="230">
        <f>IF(J202=1,'Model Inputs'!$B$27*(13-'Model Inputs'!$B$23)/12,IF(J202=2,'Model Inputs'!$B$27,IF(J202&lt;=MAX(3,'Model Inputs'!$B$30+1),'Model Inputs'!$B$27*(1+'Model Inputs'!$B$28)^(J202-3),'Model Inputs'!$B$27*(1+'Model Inputs'!$B$28)^(MAX(3,'Model Inputs'!$B$30+1)-3)*(1+'Model Inputs'!$B$29)^(J202-MAX(3,'Model Inputs'!$B$30+1)))))</f>
        <v>450000</v>
      </c>
      <c r="N202" s="236">
        <f>IF(J202&lt;=2,0,'Model Inputs'!$B$32*SIN(2*PI()*(J202-3+'Model Inputs'!$B$34)/MAX(1,'Model Inputs'!$B$33)))</f>
        <v>0</v>
      </c>
      <c r="O202" s="230">
        <f t="shared" si="100"/>
        <v>450000</v>
      </c>
      <c r="P202" s="230">
        <f t="shared" ref="P202:P229" si="120">0.75*O201+0.25*O200</f>
        <v>375000</v>
      </c>
      <c r="Q202" s="230">
        <f>L202+P202+IF(J202=1,'Model Inputs'!$B$26,0)</f>
        <v>675000</v>
      </c>
      <c r="R202" s="230">
        <f t="shared" si="101"/>
        <v>675000</v>
      </c>
      <c r="S202" s="230">
        <f t="shared" si="102"/>
        <v>4050000</v>
      </c>
      <c r="T202" s="230">
        <f t="shared" si="103"/>
        <v>675000</v>
      </c>
      <c r="U202" s="230">
        <f>MIN(T202,'Tax Assumptions'!$B$19)</f>
        <v>24500</v>
      </c>
      <c r="V202" s="230">
        <f>MAX(T202-U202-'Tax Assumptions'!$B$8,0)</f>
        <v>634400</v>
      </c>
      <c r="W202" s="230">
        <f>MAX(T202-U202-'Tax Assumptions'!$B$9,0)</f>
        <v>642500</v>
      </c>
      <c r="X202" s="230">
        <f>IF(V202=0,0,LOOKUP(V202,'Tax Assumptions'!$F$9:$F$15,'Tax Assumptions'!$I$9:$I$15)+(V202-LOOKUP(V202,'Tax Assumptions'!$F$9:$F$15,'Tax Assumptions'!$F$9:$F$15))*LOOKUP(V202,'Tax Assumptions'!$F$9:$F$15,'Tax Assumptions'!$H$9:$H$15))+MIN(MAX(T202,0),'Tax Assumptions'!$B$11)*'Tax Assumptions'!$B$10+MAX(T202,0)*'Tax Assumptions'!$B$12+MAX(MAX(T202,0)-'Tax Assumptions'!$B$14,0)*'Tax Assumptions'!$B$13+MIN(T202*'Tax Assumptions'!$B$15,'Tax Assumptions'!$B$16)+MIN(T202*'Tax Assumptions'!$B$17,'Tax Assumptions'!$B$18)+IF(W202=0,0,LOOKUP(W202,'Tax Assumptions'!$K$9:$K$17,'Tax Assumptions'!$N$9:$N$17)+(W202-LOOKUP(W202,'Tax Assumptions'!$K$9:$K$17,'Tax Assumptions'!$K$9:$K$17))*LOOKUP(W202,'Tax Assumptions'!$K$9:$K$17,'Tax Assumptions'!$M$9:$M$17))+IF(W202=0,0,LOOKUP(W202,'Tax Assumptions'!$P$9:$P$12,'Tax Assumptions'!$S$9:$S$12)+(W202-LOOKUP(W202,'Tax Assumptions'!$P$9:$P$12,'Tax Assumptions'!$P$9:$P$12))*LOOKUP(W202,'Tax Assumptions'!$P$9:$P$12,'Tax Assumptions'!$R$9:$R$12))</f>
        <v>282929.53000000003</v>
      </c>
      <c r="Y202" s="230">
        <f t="shared" si="104"/>
        <v>367570.47</v>
      </c>
      <c r="Z202" s="230">
        <f>IF(J202&lt;=10,INDEX('Savings Projection'!$BL$19:$BL$28,J202),LOOKUP(2,1/('Savings Projection'!$BL$19:$BL$28&lt;&gt;""),'Savings Projection'!$BL$19:$BL$28))*(1+'Model Inputs'!$B$35)^(J202-1)+IF(J202&lt;=10,INDEX('Savings Projection'!$BM$19:$BM$28,J202),LOOKUP(2,1/('Savings Projection'!$BM$19:$BM$28&lt;&gt;""),'Savings Projection'!$BM$19:$BM$28))*(1+'Model Inputs'!$B$36)^(J202-1)</f>
        <v>135795.20000000001</v>
      </c>
      <c r="AA202" s="230">
        <f t="shared" si="105"/>
        <v>231775.26999999996</v>
      </c>
      <c r="AB202" s="230">
        <f>MIN(MAX(AA202,0),'Tax Assumptions'!$B$20)</f>
        <v>7500</v>
      </c>
      <c r="AC202" s="230">
        <f t="shared" si="106"/>
        <v>224275.26999999996</v>
      </c>
      <c r="AD202" s="230">
        <f>MAX(AD201*(1+'Model Inputs'!$B$13)+AC202,0)</f>
        <v>710354.56029199995</v>
      </c>
      <c r="AE202" s="230">
        <f>MAX(AE201*(1+'Model Inputs'!$B$13)+U202+AB202,0)</f>
        <v>101875.2</v>
      </c>
      <c r="AF202" s="230">
        <f t="shared" si="107"/>
        <v>812229.7602919999</v>
      </c>
      <c r="AG202" s="226" t="str">
        <f t="shared" si="116"/>
        <v/>
      </c>
      <c r="AH202" s="226" t="str">
        <f t="shared" si="117"/>
        <v/>
      </c>
      <c r="AI202" s="226" t="str">
        <f t="shared" si="118"/>
        <v/>
      </c>
      <c r="AJ202" s="226" t="str">
        <f t="shared" si="119"/>
        <v/>
      </c>
    </row>
    <row r="203" spans="1:36" ht="18" customHeight="1" x14ac:dyDescent="0.2">
      <c r="A203" s="226" t="str">
        <f t="shared" si="108"/>
        <v>3Y -&gt; PM Y8 Base</v>
      </c>
      <c r="B203" s="226">
        <f t="shared" si="109"/>
        <v>3</v>
      </c>
      <c r="C203" s="235">
        <f t="shared" si="110"/>
        <v>3</v>
      </c>
      <c r="D203" s="226">
        <f t="shared" si="111"/>
        <v>8</v>
      </c>
      <c r="E203" s="226" t="str">
        <f t="shared" si="112"/>
        <v>Base</v>
      </c>
      <c r="F203" s="230">
        <f t="shared" si="113"/>
        <v>25000000</v>
      </c>
      <c r="G203" s="236">
        <f t="shared" si="114"/>
        <v>0.15</v>
      </c>
      <c r="H203" s="230">
        <f t="shared" si="115"/>
        <v>300000</v>
      </c>
      <c r="I203" s="236">
        <f t="shared" si="98"/>
        <v>0</v>
      </c>
      <c r="J203" s="234">
        <v>4</v>
      </c>
      <c r="K203" s="234">
        <f t="shared" si="99"/>
        <v>2029</v>
      </c>
      <c r="L203" s="230">
        <f>IF(J203=1,'Model Inputs'!$B$25*(13-'Model Inputs'!$B$23)/12,'Model Inputs'!$B$25)</f>
        <v>300000</v>
      </c>
      <c r="M203" s="230">
        <f>IF(J203=1,'Model Inputs'!$B$27*(13-'Model Inputs'!$B$23)/12,IF(J203=2,'Model Inputs'!$B$27,IF(J203&lt;=MAX(3,'Model Inputs'!$B$30+1),'Model Inputs'!$B$27*(1+'Model Inputs'!$B$28)^(J203-3),'Model Inputs'!$B$27*(1+'Model Inputs'!$B$28)^(MAX(3,'Model Inputs'!$B$30+1)-3)*(1+'Model Inputs'!$B$29)^(J203-MAX(3,'Model Inputs'!$B$30+1)))))</f>
        <v>653834.84153110103</v>
      </c>
      <c r="N203" s="236">
        <f>IF(J203&lt;=2,0,'Model Inputs'!$B$32*SIN(2*PI()*(J203-3+'Model Inputs'!$B$34)/MAX(1,'Model Inputs'!$B$33)))</f>
        <v>0.10392304845413264</v>
      </c>
      <c r="O203" s="230">
        <f t="shared" si="100"/>
        <v>721783.35144853778</v>
      </c>
      <c r="P203" s="230">
        <f t="shared" si="120"/>
        <v>450000</v>
      </c>
      <c r="Q203" s="230">
        <f>L203+P203+IF(J203=1,'Model Inputs'!$B$26,0)</f>
        <v>750000</v>
      </c>
      <c r="R203" s="230">
        <f t="shared" si="101"/>
        <v>2250000</v>
      </c>
      <c r="S203" s="230">
        <f t="shared" si="102"/>
        <v>4050000</v>
      </c>
      <c r="T203" s="230">
        <f t="shared" si="103"/>
        <v>2250000</v>
      </c>
      <c r="U203" s="230">
        <f>MIN(T203,'Tax Assumptions'!$B$19)</f>
        <v>24500</v>
      </c>
      <c r="V203" s="230">
        <f>MAX(T203-U203-'Tax Assumptions'!$B$8,0)</f>
        <v>2209400</v>
      </c>
      <c r="W203" s="230">
        <f>MAX(T203-U203-'Tax Assumptions'!$B$9,0)</f>
        <v>2217500</v>
      </c>
      <c r="X203" s="230">
        <f>IF(V203=0,0,LOOKUP(V203,'Tax Assumptions'!$F$9:$F$15,'Tax Assumptions'!$I$9:$I$15)+(V203-LOOKUP(V203,'Tax Assumptions'!$F$9:$F$15,'Tax Assumptions'!$F$9:$F$15))*LOOKUP(V203,'Tax Assumptions'!$F$9:$F$15,'Tax Assumptions'!$H$9:$H$15))+MIN(MAX(T203,0),'Tax Assumptions'!$B$11)*'Tax Assumptions'!$B$10+MAX(T203,0)*'Tax Assumptions'!$B$12+MAX(MAX(T203,0)-'Tax Assumptions'!$B$14,0)*'Tax Assumptions'!$B$13+MIN(T203*'Tax Assumptions'!$B$15,'Tax Assumptions'!$B$16)+MIN(T203*'Tax Assumptions'!$B$17,'Tax Assumptions'!$B$18)+IF(W203=0,0,LOOKUP(W203,'Tax Assumptions'!$K$9:$K$17,'Tax Assumptions'!$N$9:$N$17)+(W203-LOOKUP(W203,'Tax Assumptions'!$K$9:$K$17,'Tax Assumptions'!$K$9:$K$17))*LOOKUP(W203,'Tax Assumptions'!$K$9:$K$17,'Tax Assumptions'!$M$9:$M$17))+IF(W203=0,0,LOOKUP(W203,'Tax Assumptions'!$P$9:$P$12,'Tax Assumptions'!$S$9:$S$12)+(W203-LOOKUP(W203,'Tax Assumptions'!$P$9:$P$12,'Tax Assumptions'!$P$9:$P$12))*LOOKUP(W203,'Tax Assumptions'!$P$9:$P$12,'Tax Assumptions'!$R$9:$R$12))</f>
        <v>1103420.635</v>
      </c>
      <c r="Y203" s="230">
        <f t="shared" si="104"/>
        <v>1122079.365</v>
      </c>
      <c r="Z203" s="230">
        <f>IF(J203&lt;=10,INDEX('Savings Projection'!$BL$19:$BL$28,J203),LOOKUP(2,1/('Savings Projection'!$BL$19:$BL$28&lt;&gt;""),'Savings Projection'!$BL$19:$BL$28))*(1+'Model Inputs'!$B$35)^(J203-1)+IF(J203&lt;=10,INDEX('Savings Projection'!$BM$19:$BM$28,J203),LOOKUP(2,1/('Savings Projection'!$BM$19:$BM$28&lt;&gt;""),'Savings Projection'!$BM$19:$BM$28))*(1+'Model Inputs'!$B$36)^(J203-1)</f>
        <v>139869.05600000001</v>
      </c>
      <c r="AA203" s="230">
        <f t="shared" si="105"/>
        <v>982210.30900000001</v>
      </c>
      <c r="AB203" s="230">
        <f>MIN(MAX(AA203,0),'Tax Assumptions'!$B$20)</f>
        <v>7500</v>
      </c>
      <c r="AC203" s="230">
        <f t="shared" si="106"/>
        <v>974710.30900000001</v>
      </c>
      <c r="AD203" s="230">
        <f>MAX(AD202*(1+'Model Inputs'!$B$13)+AC203,0)</f>
        <v>1727686.1429095198</v>
      </c>
      <c r="AE203" s="230">
        <f>MAX(AE202*(1+'Model Inputs'!$B$13)+U203+AB203,0)</f>
        <v>139987.712</v>
      </c>
      <c r="AF203" s="230">
        <f t="shared" si="107"/>
        <v>1867673.8549095199</v>
      </c>
      <c r="AG203" s="226" t="str">
        <f t="shared" si="116"/>
        <v/>
      </c>
      <c r="AH203" s="226" t="str">
        <f t="shared" si="117"/>
        <v/>
      </c>
      <c r="AI203" s="226" t="str">
        <f t="shared" si="118"/>
        <v/>
      </c>
      <c r="AJ203" s="226" t="str">
        <f t="shared" si="119"/>
        <v/>
      </c>
    </row>
    <row r="204" spans="1:36" ht="18" customHeight="1" x14ac:dyDescent="0.2">
      <c r="A204" s="226" t="str">
        <f t="shared" si="108"/>
        <v>3Y -&gt; PM Y8 Base</v>
      </c>
      <c r="B204" s="226">
        <f t="shared" si="109"/>
        <v>3</v>
      </c>
      <c r="C204" s="235">
        <f t="shared" si="110"/>
        <v>3</v>
      </c>
      <c r="D204" s="226">
        <f t="shared" si="111"/>
        <v>8</v>
      </c>
      <c r="E204" s="226" t="str">
        <f t="shared" si="112"/>
        <v>Base</v>
      </c>
      <c r="F204" s="230">
        <f t="shared" si="113"/>
        <v>25000000</v>
      </c>
      <c r="G204" s="236">
        <f t="shared" si="114"/>
        <v>0.15</v>
      </c>
      <c r="H204" s="230">
        <f t="shared" si="115"/>
        <v>300000</v>
      </c>
      <c r="I204" s="236">
        <f t="shared" si="98"/>
        <v>0</v>
      </c>
      <c r="J204" s="234">
        <v>5</v>
      </c>
      <c r="K204" s="234">
        <f t="shared" si="99"/>
        <v>2030</v>
      </c>
      <c r="L204" s="230">
        <f>IF(J204=1,'Model Inputs'!$B$25*(13-'Model Inputs'!$B$23)/12,'Model Inputs'!$B$25)</f>
        <v>300000</v>
      </c>
      <c r="M204" s="230">
        <f>IF(J204=1,'Model Inputs'!$B$27*(13-'Model Inputs'!$B$23)/12,IF(J204=2,'Model Inputs'!$B$27,IF(J204&lt;=MAX(3,'Model Inputs'!$B$30+1),'Model Inputs'!$B$27*(1+'Model Inputs'!$B$28)^(J204-3),'Model Inputs'!$B$27*(1+'Model Inputs'!$B$28)^(MAX(3,'Model Inputs'!$B$30+1)-3)*(1+'Model Inputs'!$B$29)^(J204-MAX(3,'Model Inputs'!$B$30+1)))))</f>
        <v>950000</v>
      </c>
      <c r="N204" s="236">
        <f>IF(J204&lt;=2,0,'Model Inputs'!$B$32*SIN(2*PI()*(J204-3+'Model Inputs'!$B$34)/MAX(1,'Model Inputs'!$B$33)))</f>
        <v>-0.1039230484541326</v>
      </c>
      <c r="O204" s="230">
        <f t="shared" si="100"/>
        <v>851273.10396857408</v>
      </c>
      <c r="P204" s="230">
        <f t="shared" si="120"/>
        <v>653837.51358640334</v>
      </c>
      <c r="Q204" s="230">
        <f>L204+P204+IF(J204=1,'Model Inputs'!$B$26,0)</f>
        <v>953837.51358640334</v>
      </c>
      <c r="R204" s="230">
        <f t="shared" si="101"/>
        <v>2861512.54075921</v>
      </c>
      <c r="S204" s="230">
        <f t="shared" si="102"/>
        <v>4050000</v>
      </c>
      <c r="T204" s="230">
        <f t="shared" si="103"/>
        <v>2861512.54075921</v>
      </c>
      <c r="U204" s="230">
        <f>MIN(T204,'Tax Assumptions'!$B$19)</f>
        <v>24500</v>
      </c>
      <c r="V204" s="230">
        <f>MAX(T204-U204-'Tax Assumptions'!$B$8,0)</f>
        <v>2820912.54075921</v>
      </c>
      <c r="W204" s="230">
        <f>MAX(T204-U204-'Tax Assumptions'!$B$9,0)</f>
        <v>2829012.54075921</v>
      </c>
      <c r="X204" s="230">
        <f>IF(V204=0,0,LOOKUP(V204,'Tax Assumptions'!$F$9:$F$15,'Tax Assumptions'!$I$9:$I$15)+(V204-LOOKUP(V204,'Tax Assumptions'!$F$9:$F$15,'Tax Assumptions'!$F$9:$F$15))*LOOKUP(V204,'Tax Assumptions'!$F$9:$F$15,'Tax Assumptions'!$H$9:$H$15))+MIN(MAX(T204,0),'Tax Assumptions'!$B$11)*'Tax Assumptions'!$B$10+MAX(T204,0)*'Tax Assumptions'!$B$12+MAX(MAX(T204,0)-'Tax Assumptions'!$B$14,0)*'Tax Assumptions'!$B$13+MIN(T204*'Tax Assumptions'!$B$15,'Tax Assumptions'!$B$16)+MIN(T204*'Tax Assumptions'!$B$17,'Tax Assumptions'!$B$18)+IF(W204=0,0,LOOKUP(W204,'Tax Assumptions'!$K$9:$K$17,'Tax Assumptions'!$N$9:$N$17)+(W204-LOOKUP(W204,'Tax Assumptions'!$K$9:$K$17,'Tax Assumptions'!$K$9:$K$17))*LOOKUP(W204,'Tax Assumptions'!$K$9:$K$17,'Tax Assumptions'!$M$9:$M$17))+IF(W204=0,0,LOOKUP(W204,'Tax Assumptions'!$P$9:$P$12,'Tax Assumptions'!$S$9:$S$12)+(W204-LOOKUP(W204,'Tax Assumptions'!$P$9:$P$12,'Tax Assumptions'!$P$9:$P$12))*LOOKUP(W204,'Tax Assumptions'!$P$9:$P$12,'Tax Assumptions'!$R$9:$R$12))</f>
        <v>1426764.0060518396</v>
      </c>
      <c r="Y204" s="230">
        <f t="shared" si="104"/>
        <v>1410248.5347073704</v>
      </c>
      <c r="Z204" s="230">
        <f>IF(J204&lt;=10,INDEX('Savings Projection'!$BL$19:$BL$28,J204),LOOKUP(2,1/('Savings Projection'!$BL$19:$BL$28&lt;&gt;""),'Savings Projection'!$BL$19:$BL$28))*(1+'Model Inputs'!$B$35)^(J204-1)+IF(J204&lt;=10,INDEX('Savings Projection'!$BM$19:$BM$28,J204),LOOKUP(2,1/('Savings Projection'!$BM$19:$BM$28&lt;&gt;""),'Savings Projection'!$BM$19:$BM$28))*(1+'Model Inputs'!$B$36)^(J204-1)</f>
        <v>144065.12767999998</v>
      </c>
      <c r="AA204" s="230">
        <f t="shared" si="105"/>
        <v>1266183.4070273705</v>
      </c>
      <c r="AB204" s="230">
        <f>MIN(MAX(AA204,0),'Tax Assumptions'!$B$20)</f>
        <v>7500</v>
      </c>
      <c r="AC204" s="230">
        <f t="shared" si="106"/>
        <v>1258683.4070273705</v>
      </c>
      <c r="AD204" s="230">
        <f>MAX(AD203*(1+'Model Inputs'!$B$13)+AC204,0)</f>
        <v>3090030.7185114617</v>
      </c>
      <c r="AE204" s="230">
        <f>MAX(AE203*(1+'Model Inputs'!$B$13)+U204+AB204,0)</f>
        <v>180386.97472</v>
      </c>
      <c r="AF204" s="230">
        <f t="shared" si="107"/>
        <v>3270417.6932314616</v>
      </c>
      <c r="AG204" s="226" t="str">
        <f t="shared" si="116"/>
        <v/>
      </c>
      <c r="AH204" s="226" t="str">
        <f t="shared" si="117"/>
        <v/>
      </c>
      <c r="AI204" s="226" t="str">
        <f t="shared" si="118"/>
        <v/>
      </c>
      <c r="AJ204" s="226" t="str">
        <f t="shared" si="119"/>
        <v/>
      </c>
    </row>
    <row r="205" spans="1:36" ht="18" customHeight="1" x14ac:dyDescent="0.2">
      <c r="A205" s="226" t="str">
        <f t="shared" si="108"/>
        <v>3Y -&gt; PM Y8 Base</v>
      </c>
      <c r="B205" s="226">
        <f t="shared" si="109"/>
        <v>3</v>
      </c>
      <c r="C205" s="235">
        <f t="shared" si="110"/>
        <v>3</v>
      </c>
      <c r="D205" s="226">
        <f t="shared" si="111"/>
        <v>8</v>
      </c>
      <c r="E205" s="226" t="str">
        <f t="shared" si="112"/>
        <v>Base</v>
      </c>
      <c r="F205" s="230">
        <f t="shared" si="113"/>
        <v>25000000</v>
      </c>
      <c r="G205" s="236">
        <f t="shared" si="114"/>
        <v>0.15</v>
      </c>
      <c r="H205" s="230">
        <f t="shared" si="115"/>
        <v>300000</v>
      </c>
      <c r="I205" s="236">
        <f t="shared" si="98"/>
        <v>0</v>
      </c>
      <c r="J205" s="234">
        <v>6</v>
      </c>
      <c r="K205" s="234">
        <f t="shared" si="99"/>
        <v>2031</v>
      </c>
      <c r="L205" s="230">
        <f>IF(J205=1,'Model Inputs'!$B$25*(13-'Model Inputs'!$B$23)/12,'Model Inputs'!$B$25)</f>
        <v>300000</v>
      </c>
      <c r="M205" s="230">
        <f>IF(J205=1,'Model Inputs'!$B$27*(13-'Model Inputs'!$B$23)/12,IF(J205=2,'Model Inputs'!$B$27,IF(J205&lt;=MAX(3,'Model Inputs'!$B$30+1),'Model Inputs'!$B$27*(1+'Model Inputs'!$B$28)^(J205-3),'Model Inputs'!$B$27*(1+'Model Inputs'!$B$28)^(MAX(3,'Model Inputs'!$B$30+1)-3)*(1+'Model Inputs'!$B$29)^(J205-MAX(3,'Model Inputs'!$B$30+1)))))</f>
        <v>1207333.5632986501</v>
      </c>
      <c r="N205" s="236">
        <f>IF(J205&lt;=2,0,'Model Inputs'!$B$32*SIN(2*PI()*(J205-3+'Model Inputs'!$B$34)/MAX(1,'Model Inputs'!$B$33)))</f>
        <v>-2.9391523179536474E-17</v>
      </c>
      <c r="O205" s="230">
        <f t="shared" si="100"/>
        <v>1207333.5632986501</v>
      </c>
      <c r="P205" s="230">
        <f t="shared" si="120"/>
        <v>818900.66583856498</v>
      </c>
      <c r="Q205" s="230">
        <f>L205+P205+IF(J205=1,'Model Inputs'!$B$26,0)</f>
        <v>1118900.665838565</v>
      </c>
      <c r="R205" s="230">
        <f t="shared" si="101"/>
        <v>3356701.9975156952</v>
      </c>
      <c r="S205" s="230">
        <f t="shared" si="102"/>
        <v>4050000</v>
      </c>
      <c r="T205" s="230">
        <f t="shared" si="103"/>
        <v>3356701.9975156952</v>
      </c>
      <c r="U205" s="230">
        <f>MIN(T205,'Tax Assumptions'!$B$19)</f>
        <v>24500</v>
      </c>
      <c r="V205" s="230">
        <f>MAX(T205-U205-'Tax Assumptions'!$B$8,0)</f>
        <v>3316101.9975156952</v>
      </c>
      <c r="W205" s="230">
        <f>MAX(T205-U205-'Tax Assumptions'!$B$9,0)</f>
        <v>3324201.9975156952</v>
      </c>
      <c r="X205" s="230">
        <f>IF(V205=0,0,LOOKUP(V205,'Tax Assumptions'!$F$9:$F$15,'Tax Assumptions'!$I$9:$I$15)+(V205-LOOKUP(V205,'Tax Assumptions'!$F$9:$F$15,'Tax Assumptions'!$F$9:$F$15))*LOOKUP(V205,'Tax Assumptions'!$F$9:$F$15,'Tax Assumptions'!$H$9:$H$15))+MIN(MAX(T205,0),'Tax Assumptions'!$B$11)*'Tax Assumptions'!$B$10+MAX(T205,0)*'Tax Assumptions'!$B$12+MAX(MAX(T205,0)-'Tax Assumptions'!$B$14,0)*'Tax Assumptions'!$B$13+MIN(T205*'Tax Assumptions'!$B$15,'Tax Assumptions'!$B$16)+MIN(T205*'Tax Assumptions'!$B$17,'Tax Assumptions'!$B$18)+IF(W205=0,0,LOOKUP(W205,'Tax Assumptions'!$K$9:$K$17,'Tax Assumptions'!$N$9:$N$17)+(W205-LOOKUP(W205,'Tax Assumptions'!$K$9:$K$17,'Tax Assumptions'!$K$9:$K$17))*LOOKUP(W205,'Tax Assumptions'!$K$9:$K$17,'Tax Assumptions'!$M$9:$M$17))+IF(W205=0,0,LOOKUP(W205,'Tax Assumptions'!$P$9:$P$12,'Tax Assumptions'!$S$9:$S$12)+(W205-LOOKUP(W205,'Tax Assumptions'!$P$9:$P$12,'Tax Assumptions'!$P$9:$P$12))*LOOKUP(W205,'Tax Assumptions'!$P$9:$P$12,'Tax Assumptions'!$R$9:$R$12))</f>
        <v>1688600.3832063989</v>
      </c>
      <c r="Y205" s="230">
        <f t="shared" si="104"/>
        <v>1643601.6143092962</v>
      </c>
      <c r="Z205" s="230">
        <f>IF(J205&lt;=10,INDEX('Savings Projection'!$BL$19:$BL$28,J205),LOOKUP(2,1/('Savings Projection'!$BL$19:$BL$28&lt;&gt;""),'Savings Projection'!$BL$19:$BL$28))*(1+'Model Inputs'!$B$35)^(J205-1)+IF(J205&lt;=10,INDEX('Savings Projection'!$BM$19:$BM$28,J205),LOOKUP(2,1/('Savings Projection'!$BM$19:$BM$28&lt;&gt;""),'Savings Projection'!$BM$19:$BM$28))*(1+'Model Inputs'!$B$36)^(J205-1)</f>
        <v>150705.62965899997</v>
      </c>
      <c r="AA205" s="230">
        <f t="shared" si="105"/>
        <v>1492895.9846502962</v>
      </c>
      <c r="AB205" s="230">
        <f>MIN(MAX(AA205,0),'Tax Assumptions'!$B$20)</f>
        <v>7500</v>
      </c>
      <c r="AC205" s="230">
        <f t="shared" si="106"/>
        <v>1485395.9846502962</v>
      </c>
      <c r="AD205" s="230">
        <f>MAX(AD204*(1+'Model Inputs'!$B$13)+AC205,0)</f>
        <v>4760828.5462724455</v>
      </c>
      <c r="AE205" s="230">
        <f>MAX(AE204*(1+'Model Inputs'!$B$13)+U205+AB205,0)</f>
        <v>223210.1932032</v>
      </c>
      <c r="AF205" s="230">
        <f t="shared" si="107"/>
        <v>4984038.7394756451</v>
      </c>
      <c r="AG205" s="226" t="str">
        <f t="shared" si="116"/>
        <v/>
      </c>
      <c r="AH205" s="226" t="str">
        <f t="shared" si="117"/>
        <v/>
      </c>
      <c r="AI205" s="226" t="str">
        <f t="shared" si="118"/>
        <v/>
      </c>
      <c r="AJ205" s="226" t="str">
        <f t="shared" si="119"/>
        <v/>
      </c>
    </row>
    <row r="206" spans="1:36" ht="18" customHeight="1" x14ac:dyDescent="0.2">
      <c r="A206" s="226" t="str">
        <f t="shared" si="108"/>
        <v>3Y -&gt; PM Y8 Base</v>
      </c>
      <c r="B206" s="226">
        <f t="shared" si="109"/>
        <v>3</v>
      </c>
      <c r="C206" s="235">
        <f t="shared" si="110"/>
        <v>3</v>
      </c>
      <c r="D206" s="226">
        <f t="shared" si="111"/>
        <v>8</v>
      </c>
      <c r="E206" s="226" t="str">
        <f t="shared" si="112"/>
        <v>Base</v>
      </c>
      <c r="F206" s="230">
        <f t="shared" si="113"/>
        <v>25000000</v>
      </c>
      <c r="G206" s="236">
        <f t="shared" si="114"/>
        <v>0.15</v>
      </c>
      <c r="H206" s="230">
        <f t="shared" si="115"/>
        <v>300000</v>
      </c>
      <c r="I206" s="236">
        <f t="shared" si="98"/>
        <v>0</v>
      </c>
      <c r="J206" s="234">
        <v>7</v>
      </c>
      <c r="K206" s="234">
        <f t="shared" si="99"/>
        <v>2032</v>
      </c>
      <c r="L206" s="230">
        <f>IF(J206=1,'Model Inputs'!$B$25*(13-'Model Inputs'!$B$23)/12,'Model Inputs'!$B$25)</f>
        <v>300000</v>
      </c>
      <c r="M206" s="230">
        <f>IF(J206=1,'Model Inputs'!$B$27*(13-'Model Inputs'!$B$23)/12,IF(J206=2,'Model Inputs'!$B$27,IF(J206&lt;=MAX(3,'Model Inputs'!$B$30+1),'Model Inputs'!$B$27*(1+'Model Inputs'!$B$28)^(J206-3),'Model Inputs'!$B$27*(1+'Model Inputs'!$B$28)^(MAX(3,'Model Inputs'!$B$30+1)-3)*(1+'Model Inputs'!$B$29)^(J206-MAX(3,'Model Inputs'!$B$30+1)))))</f>
        <v>1534372.9821762268</v>
      </c>
      <c r="N206" s="236">
        <f>IF(J206&lt;=2,0,'Model Inputs'!$B$32*SIN(2*PI()*(J206-3+'Model Inputs'!$B$34)/MAX(1,'Model Inputs'!$B$33)))</f>
        <v>0.10392304845413269</v>
      </c>
      <c r="O206" s="230">
        <f t="shared" si="100"/>
        <v>1693829.6999496389</v>
      </c>
      <c r="P206" s="230">
        <f t="shared" si="120"/>
        <v>1118318.448466131</v>
      </c>
      <c r="Q206" s="230">
        <f>L206+P206+IF(J206=1,'Model Inputs'!$B$26,0)</f>
        <v>1418318.448466131</v>
      </c>
      <c r="R206" s="230">
        <f t="shared" si="101"/>
        <v>4254955.3453983925</v>
      </c>
      <c r="S206" s="230">
        <f t="shared" si="102"/>
        <v>4050000</v>
      </c>
      <c r="T206" s="230">
        <f t="shared" si="103"/>
        <v>4254955.3453983925</v>
      </c>
      <c r="U206" s="230">
        <f>MIN(T206,'Tax Assumptions'!$B$19)</f>
        <v>24500</v>
      </c>
      <c r="V206" s="230">
        <f>MAX(T206-U206-'Tax Assumptions'!$B$8,0)</f>
        <v>4214355.3453983925</v>
      </c>
      <c r="W206" s="230">
        <f>MAX(T206-U206-'Tax Assumptions'!$B$9,0)</f>
        <v>4222455.3453983925</v>
      </c>
      <c r="X206" s="230">
        <f>IF(V206=0,0,LOOKUP(V206,'Tax Assumptions'!$F$9:$F$15,'Tax Assumptions'!$I$9:$I$15)+(V206-LOOKUP(V206,'Tax Assumptions'!$F$9:$F$15,'Tax Assumptions'!$F$9:$F$15))*LOOKUP(V206,'Tax Assumptions'!$F$9:$F$15,'Tax Assumptions'!$H$9:$H$15))+MIN(MAX(T206,0),'Tax Assumptions'!$B$11)*'Tax Assumptions'!$B$10+MAX(T206,0)*'Tax Assumptions'!$B$12+MAX(MAX(T206,0)-'Tax Assumptions'!$B$14,0)*'Tax Assumptions'!$B$13+MIN(T206*'Tax Assumptions'!$B$15,'Tax Assumptions'!$B$16)+MIN(T206*'Tax Assumptions'!$B$17,'Tax Assumptions'!$B$18)+IF(W206=0,0,LOOKUP(W206,'Tax Assumptions'!$K$9:$K$17,'Tax Assumptions'!$N$9:$N$17)+(W206-LOOKUP(W206,'Tax Assumptions'!$K$9:$K$17,'Tax Assumptions'!$K$9:$K$17))*LOOKUP(W206,'Tax Assumptions'!$K$9:$K$17,'Tax Assumptions'!$M$9:$M$17))+IF(W206=0,0,LOOKUP(W206,'Tax Assumptions'!$P$9:$P$12,'Tax Assumptions'!$S$9:$S$12)+(W206-LOOKUP(W206,'Tax Assumptions'!$P$9:$P$12,'Tax Assumptions'!$P$9:$P$12))*LOOKUP(W206,'Tax Assumptions'!$P$9:$P$12,'Tax Assumptions'!$R$9:$R$12))</f>
        <v>2163560.8234328539</v>
      </c>
      <c r="Y206" s="230">
        <f t="shared" si="104"/>
        <v>2066894.5219655386</v>
      </c>
      <c r="Z206" s="230">
        <f>IF(J206&lt;=10,INDEX('Savings Projection'!$BL$19:$BL$28,J206),LOOKUP(2,1/('Savings Projection'!$BL$19:$BL$28&lt;&gt;""),'Savings Projection'!$BL$19:$BL$28))*(1+'Model Inputs'!$B$35)^(J206-1)+IF(J206&lt;=10,INDEX('Savings Projection'!$BM$19:$BM$28,J206),LOOKUP(2,1/('Savings Projection'!$BM$19:$BM$28&lt;&gt;""),'Savings Projection'!$BM$19:$BM$28))*(1+'Model Inputs'!$B$36)^(J206-1)</f>
        <v>155226.79854876999</v>
      </c>
      <c r="AA206" s="230">
        <f t="shared" si="105"/>
        <v>1911667.7234167687</v>
      </c>
      <c r="AB206" s="230">
        <f>MIN(MAX(AA206,0),'Tax Assumptions'!$B$20)</f>
        <v>7500</v>
      </c>
      <c r="AC206" s="230">
        <f t="shared" si="106"/>
        <v>1904167.7234167687</v>
      </c>
      <c r="AD206" s="230">
        <f>MAX(AD205*(1+'Model Inputs'!$B$13)+AC206,0)</f>
        <v>6950645.9824655615</v>
      </c>
      <c r="AE206" s="230">
        <f>MAX(AE205*(1+'Model Inputs'!$B$13)+U206+AB206,0)</f>
        <v>268602.80479539197</v>
      </c>
      <c r="AF206" s="230">
        <f t="shared" si="107"/>
        <v>7219248.7872609533</v>
      </c>
      <c r="AG206" s="226" t="str">
        <f t="shared" si="116"/>
        <v/>
      </c>
      <c r="AH206" s="226" t="str">
        <f t="shared" si="117"/>
        <v/>
      </c>
      <c r="AI206" s="226" t="str">
        <f t="shared" si="118"/>
        <v/>
      </c>
      <c r="AJ206" s="226" t="str">
        <f t="shared" si="119"/>
        <v/>
      </c>
    </row>
    <row r="207" spans="1:36" ht="18" customHeight="1" x14ac:dyDescent="0.2">
      <c r="A207" s="226" t="str">
        <f t="shared" si="108"/>
        <v>3Y -&gt; PM Y8 Base</v>
      </c>
      <c r="B207" s="226">
        <f t="shared" si="109"/>
        <v>3</v>
      </c>
      <c r="C207" s="235">
        <f t="shared" si="110"/>
        <v>3</v>
      </c>
      <c r="D207" s="226">
        <f t="shared" si="111"/>
        <v>8</v>
      </c>
      <c r="E207" s="226" t="str">
        <f t="shared" si="112"/>
        <v>Base</v>
      </c>
      <c r="F207" s="230">
        <f t="shared" si="113"/>
        <v>25000000</v>
      </c>
      <c r="G207" s="236">
        <f t="shared" si="114"/>
        <v>0.15</v>
      </c>
      <c r="H207" s="230">
        <f t="shared" si="115"/>
        <v>300000</v>
      </c>
      <c r="I207" s="236">
        <f t="shared" si="98"/>
        <v>0</v>
      </c>
      <c r="J207" s="234">
        <v>8</v>
      </c>
      <c r="K207" s="234">
        <f t="shared" si="99"/>
        <v>2033</v>
      </c>
      <c r="L207" s="230">
        <f>IF(J207=1,'Model Inputs'!$B$25*(13-'Model Inputs'!$B$23)/12,'Model Inputs'!$B$25)</f>
        <v>300000</v>
      </c>
      <c r="M207" s="230">
        <f>IF(J207=1,'Model Inputs'!$B$27*(13-'Model Inputs'!$B$23)/12,IF(J207=2,'Model Inputs'!$B$27,IF(J207&lt;=MAX(3,'Model Inputs'!$B$30+1),'Model Inputs'!$B$27*(1+'Model Inputs'!$B$28)^(J207-3),'Model Inputs'!$B$27*(1+'Model Inputs'!$B$28)^(MAX(3,'Model Inputs'!$B$30+1)-3)*(1+'Model Inputs'!$B$29)^(J207-MAX(3,'Model Inputs'!$B$30+1)))))</f>
        <v>1950000.0000000002</v>
      </c>
      <c r="N207" s="236">
        <f>IF(J207&lt;=2,0,'Model Inputs'!$B$32*SIN(2*PI()*(J207-3+'Model Inputs'!$B$34)/MAX(1,'Model Inputs'!$B$33)))</f>
        <v>-0.10392304845413264</v>
      </c>
      <c r="O207" s="230">
        <f t="shared" si="100"/>
        <v>1747350.0555144416</v>
      </c>
      <c r="P207" s="230">
        <f t="shared" si="120"/>
        <v>1572205.6657868917</v>
      </c>
      <c r="Q207" s="230">
        <f>L207+P207+IF(J207=1,'Model Inputs'!$B$26,0)</f>
        <v>1872205.6657868917</v>
      </c>
      <c r="R207" s="230">
        <f t="shared" si="101"/>
        <v>5616616.9973606747</v>
      </c>
      <c r="S207" s="230">
        <f t="shared" si="102"/>
        <v>4050000</v>
      </c>
      <c r="T207" s="230">
        <f t="shared" si="103"/>
        <v>4050000</v>
      </c>
      <c r="U207" s="230">
        <f>MIN(T207,'Tax Assumptions'!$B$19)</f>
        <v>24500</v>
      </c>
      <c r="V207" s="230">
        <f>MAX(T207-U207-'Tax Assumptions'!$B$8,0)</f>
        <v>4009400</v>
      </c>
      <c r="W207" s="230">
        <f>MAX(T207-U207-'Tax Assumptions'!$B$9,0)</f>
        <v>4017500</v>
      </c>
      <c r="X207" s="230">
        <f>IF(V207=0,0,LOOKUP(V207,'Tax Assumptions'!$F$9:$F$15,'Tax Assumptions'!$I$9:$I$15)+(V207-LOOKUP(V207,'Tax Assumptions'!$F$9:$F$15,'Tax Assumptions'!$F$9:$F$15))*LOOKUP(V207,'Tax Assumptions'!$F$9:$F$15,'Tax Assumptions'!$H$9:$H$15))+MIN(MAX(T207,0),'Tax Assumptions'!$B$11)*'Tax Assumptions'!$B$10+MAX(T207,0)*'Tax Assumptions'!$B$12+MAX(MAX(T207,0)-'Tax Assumptions'!$B$14,0)*'Tax Assumptions'!$B$13+MIN(T207*'Tax Assumptions'!$B$15,'Tax Assumptions'!$B$16)+MIN(T207*'Tax Assumptions'!$B$17,'Tax Assumptions'!$B$18)+IF(W207=0,0,LOOKUP(W207,'Tax Assumptions'!$K$9:$K$17,'Tax Assumptions'!$N$9:$N$17)+(W207-LOOKUP(W207,'Tax Assumptions'!$K$9:$K$17,'Tax Assumptions'!$K$9:$K$17))*LOOKUP(W207,'Tax Assumptions'!$K$9:$K$17,'Tax Assumptions'!$M$9:$M$17))+IF(W207=0,0,LOOKUP(W207,'Tax Assumptions'!$P$9:$P$12,'Tax Assumptions'!$S$9:$S$12)+(W207-LOOKUP(W207,'Tax Assumptions'!$P$9:$P$12,'Tax Assumptions'!$P$9:$P$12))*LOOKUP(W207,'Tax Assumptions'!$P$9:$P$12,'Tax Assumptions'!$R$9:$R$12))</f>
        <v>2055188.6349999998</v>
      </c>
      <c r="Y207" s="230">
        <f t="shared" si="104"/>
        <v>1970311.3650000002</v>
      </c>
      <c r="Z207" s="230">
        <f>IF(J207&lt;=10,INDEX('Savings Projection'!$BL$19:$BL$28,J207),LOOKUP(2,1/('Savings Projection'!$BL$19:$BL$28&lt;&gt;""),'Savings Projection'!$BL$19:$BL$28))*(1+'Model Inputs'!$B$35)^(J207-1)+IF(J207&lt;=10,INDEX('Savings Projection'!$BM$19:$BM$28,J207),LOOKUP(2,1/('Savings Projection'!$BM$19:$BM$28&lt;&gt;""),'Savings Projection'!$BM$19:$BM$28))*(1+'Model Inputs'!$B$36)^(J207-1)</f>
        <v>159883.60250523311</v>
      </c>
      <c r="AA207" s="230">
        <f t="shared" si="105"/>
        <v>1810427.7624947671</v>
      </c>
      <c r="AB207" s="230">
        <f>MIN(MAX(AA207,0),'Tax Assumptions'!$B$20)</f>
        <v>7500</v>
      </c>
      <c r="AC207" s="230">
        <f t="shared" si="106"/>
        <v>1802927.7624947671</v>
      </c>
      <c r="AD207" s="230">
        <f>MAX(AD206*(1+'Model Inputs'!$B$13)+AC207,0)</f>
        <v>9170612.5039082617</v>
      </c>
      <c r="AE207" s="230">
        <f>MAX(AE206*(1+'Model Inputs'!$B$13)+U207+AB207,0)</f>
        <v>316718.97308311553</v>
      </c>
      <c r="AF207" s="230">
        <f t="shared" si="107"/>
        <v>9487331.4769913778</v>
      </c>
      <c r="AG207" s="226" t="str">
        <f t="shared" si="116"/>
        <v/>
      </c>
      <c r="AH207" s="226" t="str">
        <f t="shared" si="117"/>
        <v/>
      </c>
      <c r="AI207" s="226" t="str">
        <f t="shared" si="118"/>
        <v/>
      </c>
      <c r="AJ207" s="226" t="str">
        <f t="shared" si="119"/>
        <v/>
      </c>
    </row>
    <row r="208" spans="1:36" ht="18" customHeight="1" x14ac:dyDescent="0.2">
      <c r="A208" s="226" t="str">
        <f t="shared" si="108"/>
        <v>3Y -&gt; PM Y8 Base</v>
      </c>
      <c r="B208" s="226">
        <f t="shared" si="109"/>
        <v>3</v>
      </c>
      <c r="C208" s="235">
        <f t="shared" si="110"/>
        <v>3</v>
      </c>
      <c r="D208" s="226">
        <f t="shared" si="111"/>
        <v>8</v>
      </c>
      <c r="E208" s="226" t="str">
        <f t="shared" si="112"/>
        <v>Base</v>
      </c>
      <c r="F208" s="230">
        <f t="shared" si="113"/>
        <v>25000000</v>
      </c>
      <c r="G208" s="236">
        <f t="shared" si="114"/>
        <v>0.15</v>
      </c>
      <c r="H208" s="230">
        <f t="shared" si="115"/>
        <v>300000</v>
      </c>
      <c r="I208" s="236">
        <f t="shared" si="98"/>
        <v>0</v>
      </c>
      <c r="J208" s="234">
        <v>9</v>
      </c>
      <c r="K208" s="234">
        <f t="shared" si="99"/>
        <v>2034</v>
      </c>
      <c r="L208" s="230">
        <f>IF(J208=1,'Model Inputs'!$B$25*(13-'Model Inputs'!$B$23)/12,'Model Inputs'!$B$25)</f>
        <v>300000</v>
      </c>
      <c r="M208" s="230">
        <f>IF(J208=1,'Model Inputs'!$B$27*(13-'Model Inputs'!$B$23)/12,IF(J208=2,'Model Inputs'!$B$27,IF(J208&lt;=MAX(3,'Model Inputs'!$B$30+1),'Model Inputs'!$B$27*(1+'Model Inputs'!$B$28)^(J208-3),'Model Inputs'!$B$27*(1+'Model Inputs'!$B$28)^(MAX(3,'Model Inputs'!$B$30+1)-3)*(1+'Model Inputs'!$B$29)^(J208-MAX(3,'Model Inputs'!$B$30+1)))))</f>
        <v>2478210.9983498608</v>
      </c>
      <c r="N208" s="236">
        <f>IF(J208&lt;=2,0,'Model Inputs'!$B$32*SIN(2*PI()*(J208-3+'Model Inputs'!$B$34)/MAX(1,'Model Inputs'!$B$33)))</f>
        <v>-5.8783046359072947E-17</v>
      </c>
      <c r="O208" s="230">
        <f t="shared" si="100"/>
        <v>2478210.9983498603</v>
      </c>
      <c r="P208" s="230">
        <f t="shared" si="120"/>
        <v>1733969.9666232408</v>
      </c>
      <c r="Q208" s="230">
        <f>L208+P208+IF(J208=1,'Model Inputs'!$B$26,0)</f>
        <v>2033969.9666232408</v>
      </c>
      <c r="R208" s="230">
        <f t="shared" si="101"/>
        <v>6101909.8998697223</v>
      </c>
      <c r="S208" s="230">
        <f t="shared" si="102"/>
        <v>4050000</v>
      </c>
      <c r="T208" s="230">
        <f t="shared" si="103"/>
        <v>4050000</v>
      </c>
      <c r="U208" s="230">
        <f>MIN(T208,'Tax Assumptions'!$B$19)</f>
        <v>24500</v>
      </c>
      <c r="V208" s="230">
        <f>MAX(T208-U208-'Tax Assumptions'!$B$8,0)</f>
        <v>4009400</v>
      </c>
      <c r="W208" s="230">
        <f>MAX(T208-U208-'Tax Assumptions'!$B$9,0)</f>
        <v>4017500</v>
      </c>
      <c r="X208" s="230">
        <f>IF(V208=0,0,LOOKUP(V208,'Tax Assumptions'!$F$9:$F$15,'Tax Assumptions'!$I$9:$I$15)+(V208-LOOKUP(V208,'Tax Assumptions'!$F$9:$F$15,'Tax Assumptions'!$F$9:$F$15))*LOOKUP(V208,'Tax Assumptions'!$F$9:$F$15,'Tax Assumptions'!$H$9:$H$15))+MIN(MAX(T208,0),'Tax Assumptions'!$B$11)*'Tax Assumptions'!$B$10+MAX(T208,0)*'Tax Assumptions'!$B$12+MAX(MAX(T208,0)-'Tax Assumptions'!$B$14,0)*'Tax Assumptions'!$B$13+MIN(T208*'Tax Assumptions'!$B$15,'Tax Assumptions'!$B$16)+MIN(T208*'Tax Assumptions'!$B$17,'Tax Assumptions'!$B$18)+IF(W208=0,0,LOOKUP(W208,'Tax Assumptions'!$K$9:$K$17,'Tax Assumptions'!$N$9:$N$17)+(W208-LOOKUP(W208,'Tax Assumptions'!$K$9:$K$17,'Tax Assumptions'!$K$9:$K$17))*LOOKUP(W208,'Tax Assumptions'!$K$9:$K$17,'Tax Assumptions'!$M$9:$M$17))+IF(W208=0,0,LOOKUP(W208,'Tax Assumptions'!$P$9:$P$12,'Tax Assumptions'!$S$9:$S$12)+(W208-LOOKUP(W208,'Tax Assumptions'!$P$9:$P$12,'Tax Assumptions'!$P$9:$P$12))*LOOKUP(W208,'Tax Assumptions'!$P$9:$P$12,'Tax Assumptions'!$R$9:$R$12))</f>
        <v>2055188.6349999998</v>
      </c>
      <c r="Y208" s="230">
        <f t="shared" si="104"/>
        <v>1970311.3650000002</v>
      </c>
      <c r="Z208" s="230">
        <f>IF(J208&lt;=10,INDEX('Savings Projection'!$BL$19:$BL$28,J208),LOOKUP(2,1/('Savings Projection'!$BL$19:$BL$28&lt;&gt;""),'Savings Projection'!$BL$19:$BL$28))*(1+'Model Inputs'!$B$35)^(J208-1)+IF(J208&lt;=10,INDEX('Savings Projection'!$BM$19:$BM$28,J208),LOOKUP(2,1/('Savings Projection'!$BM$19:$BM$28&lt;&gt;""),'Savings Projection'!$BM$19:$BM$28))*(1+'Model Inputs'!$B$36)^(J208-1)</f>
        <v>164680.11058039009</v>
      </c>
      <c r="AA208" s="230">
        <f t="shared" si="105"/>
        <v>1805631.2544196101</v>
      </c>
      <c r="AB208" s="230">
        <f>MIN(MAX(AA208,0),'Tax Assumptions'!$B$20)</f>
        <v>7500</v>
      </c>
      <c r="AC208" s="230">
        <f t="shared" si="106"/>
        <v>1798131.2544196101</v>
      </c>
      <c r="AD208" s="230">
        <f>MAX(AD207*(1+'Model Inputs'!$B$13)+AC208,0)</f>
        <v>11518980.508562367</v>
      </c>
      <c r="AE208" s="230">
        <f>MAX(AE207*(1+'Model Inputs'!$B$13)+U208+AB208,0)</f>
        <v>367722.11146810249</v>
      </c>
      <c r="AF208" s="230">
        <f t="shared" si="107"/>
        <v>11886702.62003047</v>
      </c>
      <c r="AG208" s="226" t="str">
        <f t="shared" si="116"/>
        <v/>
      </c>
      <c r="AH208" s="226" t="str">
        <f t="shared" si="117"/>
        <v/>
      </c>
      <c r="AI208" s="226" t="str">
        <f t="shared" si="118"/>
        <v/>
      </c>
      <c r="AJ208" s="226" t="str">
        <f t="shared" si="119"/>
        <v/>
      </c>
    </row>
    <row r="209" spans="1:36" ht="18" customHeight="1" x14ac:dyDescent="0.2">
      <c r="A209" s="226" t="str">
        <f t="shared" si="108"/>
        <v>3Y -&gt; PM Y8 Base</v>
      </c>
      <c r="B209" s="226">
        <f t="shared" si="109"/>
        <v>3</v>
      </c>
      <c r="C209" s="235">
        <f t="shared" si="110"/>
        <v>3</v>
      </c>
      <c r="D209" s="226">
        <f t="shared" si="111"/>
        <v>8</v>
      </c>
      <c r="E209" s="226" t="str">
        <f t="shared" si="112"/>
        <v>Base</v>
      </c>
      <c r="F209" s="230">
        <f t="shared" si="113"/>
        <v>25000000</v>
      </c>
      <c r="G209" s="236">
        <f t="shared" si="114"/>
        <v>0.15</v>
      </c>
      <c r="H209" s="230">
        <f t="shared" si="115"/>
        <v>300000</v>
      </c>
      <c r="I209" s="236">
        <f t="shared" si="98"/>
        <v>0</v>
      </c>
      <c r="J209" s="234">
        <v>10</v>
      </c>
      <c r="K209" s="234">
        <f t="shared" si="99"/>
        <v>2035</v>
      </c>
      <c r="L209" s="230">
        <f>IF(J209=1,'Model Inputs'!$B$25*(13-'Model Inputs'!$B$23)/12,'Model Inputs'!$B$25)</f>
        <v>300000</v>
      </c>
      <c r="M209" s="230">
        <f>IF(J209=1,'Model Inputs'!$B$27*(13-'Model Inputs'!$B$23)/12,IF(J209=2,'Model Inputs'!$B$27,IF(J209&lt;=MAX(3,'Model Inputs'!$B$30+1),'Model Inputs'!$B$27*(1+'Model Inputs'!$B$28)^(J209-3),'Model Inputs'!$B$27*(1+'Model Inputs'!$B$28)^(MAX(3,'Model Inputs'!$B$30+1)-3)*(1+'Model Inputs'!$B$29)^(J209-MAX(3,'Model Inputs'!$B$30+1)))))</f>
        <v>3149502.4370985711</v>
      </c>
      <c r="N209" s="236">
        <f>IF(J209&lt;=2,0,'Model Inputs'!$B$32*SIN(2*PI()*(J209-3+'Model Inputs'!$B$34)/MAX(1,'Model Inputs'!$B$33)))</f>
        <v>0.10392304845413271</v>
      </c>
      <c r="O209" s="230">
        <f t="shared" si="100"/>
        <v>3476808.331475575</v>
      </c>
      <c r="P209" s="230">
        <f t="shared" si="120"/>
        <v>2295495.7626410057</v>
      </c>
      <c r="Q209" s="230">
        <f>L209+P209+IF(J209=1,'Model Inputs'!$B$26,0)</f>
        <v>2595495.7626410057</v>
      </c>
      <c r="R209" s="230">
        <f t="shared" si="101"/>
        <v>7786487.2879230175</v>
      </c>
      <c r="S209" s="230">
        <f t="shared" si="102"/>
        <v>4050000</v>
      </c>
      <c r="T209" s="230">
        <f t="shared" si="103"/>
        <v>4050000</v>
      </c>
      <c r="U209" s="230">
        <f>MIN(T209,'Tax Assumptions'!$B$19)</f>
        <v>24500</v>
      </c>
      <c r="V209" s="230">
        <f>MAX(T209-U209-'Tax Assumptions'!$B$8,0)</f>
        <v>4009400</v>
      </c>
      <c r="W209" s="230">
        <f>MAX(T209-U209-'Tax Assumptions'!$B$9,0)</f>
        <v>4017500</v>
      </c>
      <c r="X209" s="230">
        <f>IF(V209=0,0,LOOKUP(V209,'Tax Assumptions'!$F$9:$F$15,'Tax Assumptions'!$I$9:$I$15)+(V209-LOOKUP(V209,'Tax Assumptions'!$F$9:$F$15,'Tax Assumptions'!$F$9:$F$15))*LOOKUP(V209,'Tax Assumptions'!$F$9:$F$15,'Tax Assumptions'!$H$9:$H$15))+MIN(MAX(T209,0),'Tax Assumptions'!$B$11)*'Tax Assumptions'!$B$10+MAX(T209,0)*'Tax Assumptions'!$B$12+MAX(MAX(T209,0)-'Tax Assumptions'!$B$14,0)*'Tax Assumptions'!$B$13+MIN(T209*'Tax Assumptions'!$B$15,'Tax Assumptions'!$B$16)+MIN(T209*'Tax Assumptions'!$B$17,'Tax Assumptions'!$B$18)+IF(W209=0,0,LOOKUP(W209,'Tax Assumptions'!$K$9:$K$17,'Tax Assumptions'!$N$9:$N$17)+(W209-LOOKUP(W209,'Tax Assumptions'!$K$9:$K$17,'Tax Assumptions'!$K$9:$K$17))*LOOKUP(W209,'Tax Assumptions'!$K$9:$K$17,'Tax Assumptions'!$M$9:$M$17))+IF(W209=0,0,LOOKUP(W209,'Tax Assumptions'!$P$9:$P$12,'Tax Assumptions'!$S$9:$S$12)+(W209-LOOKUP(W209,'Tax Assumptions'!$P$9:$P$12,'Tax Assumptions'!$P$9:$P$12))*LOOKUP(W209,'Tax Assumptions'!$P$9:$P$12,'Tax Assumptions'!$R$9:$R$12))</f>
        <v>2055188.6349999998</v>
      </c>
      <c r="Y209" s="230">
        <f t="shared" si="104"/>
        <v>1970311.3650000002</v>
      </c>
      <c r="Z209" s="230">
        <f>IF(J209&lt;=10,INDEX('Savings Projection'!$BL$19:$BL$28,J209),LOOKUP(2,1/('Savings Projection'!$BL$19:$BL$28&lt;&gt;""),'Savings Projection'!$BL$19:$BL$28))*(1+'Model Inputs'!$B$35)^(J209-1)+IF(J209&lt;=10,INDEX('Savings Projection'!$BM$19:$BM$28,J209),LOOKUP(2,1/('Savings Projection'!$BM$19:$BM$28&lt;&gt;""),'Savings Projection'!$BM$19:$BM$28))*(1+'Model Inputs'!$B$36)^(J209-1)</f>
        <v>169620.51389780178</v>
      </c>
      <c r="AA209" s="230">
        <f t="shared" si="105"/>
        <v>1800690.8511021985</v>
      </c>
      <c r="AB209" s="230">
        <f>MIN(MAX(AA209,0),'Tax Assumptions'!$B$20)</f>
        <v>7500</v>
      </c>
      <c r="AC209" s="230">
        <f t="shared" si="106"/>
        <v>1793190.8511021985</v>
      </c>
      <c r="AD209" s="230">
        <f>MAX(AD208*(1+'Model Inputs'!$B$13)+AC209,0)</f>
        <v>14003310.190178309</v>
      </c>
      <c r="AE209" s="230">
        <f>MAX(AE208*(1+'Model Inputs'!$B$13)+U209+AB209,0)</f>
        <v>421785.43815618864</v>
      </c>
      <c r="AF209" s="230">
        <f t="shared" si="107"/>
        <v>14425095.628334498</v>
      </c>
      <c r="AG209" s="226">
        <f t="shared" si="116"/>
        <v>10</v>
      </c>
      <c r="AH209" s="226" t="str">
        <f t="shared" si="117"/>
        <v/>
      </c>
      <c r="AI209" s="226" t="str">
        <f t="shared" si="118"/>
        <v/>
      </c>
      <c r="AJ209" s="226" t="str">
        <f t="shared" si="119"/>
        <v/>
      </c>
    </row>
    <row r="210" spans="1:36" ht="18" customHeight="1" x14ac:dyDescent="0.2">
      <c r="A210" s="226" t="str">
        <f t="shared" si="108"/>
        <v>3Y -&gt; PM Y8 Base</v>
      </c>
      <c r="B210" s="226">
        <f t="shared" si="109"/>
        <v>3</v>
      </c>
      <c r="C210" s="235">
        <f t="shared" si="110"/>
        <v>3</v>
      </c>
      <c r="D210" s="226">
        <f t="shared" si="111"/>
        <v>8</v>
      </c>
      <c r="E210" s="226" t="str">
        <f t="shared" si="112"/>
        <v>Base</v>
      </c>
      <c r="F210" s="230">
        <f t="shared" si="113"/>
        <v>25000000</v>
      </c>
      <c r="G210" s="236">
        <f t="shared" si="114"/>
        <v>0.15</v>
      </c>
      <c r="H210" s="230">
        <f t="shared" si="115"/>
        <v>300000</v>
      </c>
      <c r="I210" s="236">
        <f t="shared" si="98"/>
        <v>0</v>
      </c>
      <c r="J210" s="234">
        <v>11</v>
      </c>
      <c r="K210" s="234">
        <f t="shared" si="99"/>
        <v>2036</v>
      </c>
      <c r="L210" s="230">
        <f>IF(J210=1,'Model Inputs'!$B$25*(13-'Model Inputs'!$B$23)/12,'Model Inputs'!$B$25)</f>
        <v>300000</v>
      </c>
      <c r="M210" s="230">
        <f>IF(J210=1,'Model Inputs'!$B$27*(13-'Model Inputs'!$B$23)/12,IF(J210=2,'Model Inputs'!$B$27,IF(J210&lt;=MAX(3,'Model Inputs'!$B$30+1),'Model Inputs'!$B$27*(1+'Model Inputs'!$B$28)^(J210-3),'Model Inputs'!$B$27*(1+'Model Inputs'!$B$28)^(MAX(3,'Model Inputs'!$B$30+1)-3)*(1+'Model Inputs'!$B$29)^(J210-MAX(3,'Model Inputs'!$B$30+1)))))</f>
        <v>4002631.578947369</v>
      </c>
      <c r="N210" s="236">
        <f>IF(J210&lt;=2,0,'Model Inputs'!$B$32*SIN(2*PI()*(J210-3+'Model Inputs'!$B$34)/MAX(1,'Model Inputs'!$B$33)))</f>
        <v>-0.10392304845413253</v>
      </c>
      <c r="O210" s="230">
        <f t="shared" si="100"/>
        <v>3586665.9034243808</v>
      </c>
      <c r="P210" s="230">
        <f t="shared" si="120"/>
        <v>3227158.9981941464</v>
      </c>
      <c r="Q210" s="230">
        <f>L210+P210+IF(J210=1,'Model Inputs'!$B$26,0)</f>
        <v>3527158.9981941464</v>
      </c>
      <c r="R210" s="230">
        <f t="shared" si="101"/>
        <v>10581476.994582439</v>
      </c>
      <c r="S210" s="230">
        <f t="shared" si="102"/>
        <v>4050000</v>
      </c>
      <c r="T210" s="230">
        <f t="shared" si="103"/>
        <v>4050000</v>
      </c>
      <c r="U210" s="230">
        <f>MIN(T210,'Tax Assumptions'!$B$19)</f>
        <v>24500</v>
      </c>
      <c r="V210" s="230">
        <f>MAX(T210-U210-'Tax Assumptions'!$B$8,0)</f>
        <v>4009400</v>
      </c>
      <c r="W210" s="230">
        <f>MAX(T210-U210-'Tax Assumptions'!$B$9,0)</f>
        <v>4017500</v>
      </c>
      <c r="X210" s="230">
        <f>IF(V210=0,0,LOOKUP(V210,'Tax Assumptions'!$F$9:$F$15,'Tax Assumptions'!$I$9:$I$15)+(V210-LOOKUP(V210,'Tax Assumptions'!$F$9:$F$15,'Tax Assumptions'!$F$9:$F$15))*LOOKUP(V210,'Tax Assumptions'!$F$9:$F$15,'Tax Assumptions'!$H$9:$H$15))+MIN(MAX(T210,0),'Tax Assumptions'!$B$11)*'Tax Assumptions'!$B$10+MAX(T210,0)*'Tax Assumptions'!$B$12+MAX(MAX(T210,0)-'Tax Assumptions'!$B$14,0)*'Tax Assumptions'!$B$13+MIN(T210*'Tax Assumptions'!$B$15,'Tax Assumptions'!$B$16)+MIN(T210*'Tax Assumptions'!$B$17,'Tax Assumptions'!$B$18)+IF(W210=0,0,LOOKUP(W210,'Tax Assumptions'!$K$9:$K$17,'Tax Assumptions'!$N$9:$N$17)+(W210-LOOKUP(W210,'Tax Assumptions'!$K$9:$K$17,'Tax Assumptions'!$K$9:$K$17))*LOOKUP(W210,'Tax Assumptions'!$K$9:$K$17,'Tax Assumptions'!$M$9:$M$17))+IF(W210=0,0,LOOKUP(W210,'Tax Assumptions'!$P$9:$P$12,'Tax Assumptions'!$S$9:$S$12)+(W210-LOOKUP(W210,'Tax Assumptions'!$P$9:$P$12,'Tax Assumptions'!$P$9:$P$12))*LOOKUP(W210,'Tax Assumptions'!$P$9:$P$12,'Tax Assumptions'!$R$9:$R$12))</f>
        <v>2055188.6349999998</v>
      </c>
      <c r="Y210" s="230">
        <f t="shared" si="104"/>
        <v>1970311.3650000002</v>
      </c>
      <c r="Z210" s="230">
        <f>IF(J210&lt;=10,INDEX('Savings Projection'!$BL$19:$BL$28,J210),LOOKUP(2,1/('Savings Projection'!$BL$19:$BL$28&lt;&gt;""),'Savings Projection'!$BL$19:$BL$28))*(1+'Model Inputs'!$B$35)^(J210-1)+IF(J210&lt;=10,INDEX('Savings Projection'!$BM$19:$BM$28,J210),LOOKUP(2,1/('Savings Projection'!$BM$19:$BM$28&lt;&gt;""),'Savings Projection'!$BM$19:$BM$28))*(1+'Model Inputs'!$B$36)^(J210-1)</f>
        <v>174709.12931473582</v>
      </c>
      <c r="AA210" s="230">
        <f t="shared" si="105"/>
        <v>1795602.2356852645</v>
      </c>
      <c r="AB210" s="230">
        <f>MIN(MAX(AA210,0),'Tax Assumptions'!$B$20)</f>
        <v>7500</v>
      </c>
      <c r="AC210" s="230">
        <f t="shared" si="106"/>
        <v>1788102.2356852645</v>
      </c>
      <c r="AD210" s="230">
        <f>MAX(AD209*(1+'Model Inputs'!$B$13)+AC210,0)</f>
        <v>16631611.037274273</v>
      </c>
      <c r="AE210" s="230">
        <f>MAX(AE209*(1+'Model Inputs'!$B$13)+U210+AB210,0)</f>
        <v>479092.56444555998</v>
      </c>
      <c r="AF210" s="230">
        <f t="shared" si="107"/>
        <v>17110703.601719834</v>
      </c>
      <c r="AG210" s="226" t="str">
        <f t="shared" si="116"/>
        <v/>
      </c>
      <c r="AH210" s="226">
        <f t="shared" si="117"/>
        <v>11</v>
      </c>
      <c r="AI210" s="226" t="str">
        <f t="shared" si="118"/>
        <v/>
      </c>
      <c r="AJ210" s="226" t="str">
        <f t="shared" si="119"/>
        <v/>
      </c>
    </row>
    <row r="211" spans="1:36" ht="18" customHeight="1" x14ac:dyDescent="0.2">
      <c r="A211" s="226" t="str">
        <f t="shared" si="108"/>
        <v>3Y -&gt; PM Y8 Base</v>
      </c>
      <c r="B211" s="226">
        <f t="shared" si="109"/>
        <v>3</v>
      </c>
      <c r="C211" s="235">
        <f t="shared" si="110"/>
        <v>3</v>
      </c>
      <c r="D211" s="226">
        <f t="shared" si="111"/>
        <v>8</v>
      </c>
      <c r="E211" s="226" t="str">
        <f t="shared" si="112"/>
        <v>Base</v>
      </c>
      <c r="F211" s="230">
        <f t="shared" si="113"/>
        <v>25000000</v>
      </c>
      <c r="G211" s="236">
        <f t="shared" si="114"/>
        <v>0.15</v>
      </c>
      <c r="H211" s="230">
        <f t="shared" si="115"/>
        <v>300000</v>
      </c>
      <c r="I211" s="236">
        <f t="shared" si="98"/>
        <v>0</v>
      </c>
      <c r="J211" s="234">
        <v>12</v>
      </c>
      <c r="K211" s="234">
        <f t="shared" si="99"/>
        <v>2037</v>
      </c>
      <c r="L211" s="230">
        <f>IF(J211=1,'Model Inputs'!$B$25*(13-'Model Inputs'!$B$23)/12,'Model Inputs'!$B$25)</f>
        <v>300000</v>
      </c>
      <c r="M211" s="230">
        <f>IF(J211=1,'Model Inputs'!$B$27*(13-'Model Inputs'!$B$23)/12,IF(J211=2,'Model Inputs'!$B$27,IF(J211&lt;=MAX(3,'Model Inputs'!$B$30+1),'Model Inputs'!$B$27*(1+'Model Inputs'!$B$28)^(J211-3),'Model Inputs'!$B$27*(1+'Model Inputs'!$B$28)^(MAX(3,'Model Inputs'!$B$30+1)-3)*(1+'Model Inputs'!$B$29)^(J211-MAX(3,'Model Inputs'!$B$30+1)))))</f>
        <v>5086854.15450761</v>
      </c>
      <c r="N211" s="236">
        <f>IF(J211&lt;=2,0,'Model Inputs'!$B$32*SIN(2*PI()*(J211-3+'Model Inputs'!$B$34)/MAX(1,'Model Inputs'!$B$33)))</f>
        <v>-8.8174569538609421E-17</v>
      </c>
      <c r="O211" s="230">
        <f t="shared" si="100"/>
        <v>5086854.1545076091</v>
      </c>
      <c r="P211" s="230">
        <f t="shared" si="120"/>
        <v>3559201.5104371794</v>
      </c>
      <c r="Q211" s="230">
        <f>L211+P211+IF(J211=1,'Model Inputs'!$B$26,0)</f>
        <v>3859201.5104371794</v>
      </c>
      <c r="R211" s="230">
        <f t="shared" si="101"/>
        <v>11577604.531311538</v>
      </c>
      <c r="S211" s="230">
        <f t="shared" si="102"/>
        <v>4050000</v>
      </c>
      <c r="T211" s="230">
        <f t="shared" si="103"/>
        <v>4050000</v>
      </c>
      <c r="U211" s="230">
        <f>MIN(T211,'Tax Assumptions'!$B$19)</f>
        <v>24500</v>
      </c>
      <c r="V211" s="230">
        <f>MAX(T211-U211-'Tax Assumptions'!$B$8,0)</f>
        <v>4009400</v>
      </c>
      <c r="W211" s="230">
        <f>MAX(T211-U211-'Tax Assumptions'!$B$9,0)</f>
        <v>4017500</v>
      </c>
      <c r="X211" s="230">
        <f>IF(V211=0,0,LOOKUP(V211,'Tax Assumptions'!$F$9:$F$15,'Tax Assumptions'!$I$9:$I$15)+(V211-LOOKUP(V211,'Tax Assumptions'!$F$9:$F$15,'Tax Assumptions'!$F$9:$F$15))*LOOKUP(V211,'Tax Assumptions'!$F$9:$F$15,'Tax Assumptions'!$H$9:$H$15))+MIN(MAX(T211,0),'Tax Assumptions'!$B$11)*'Tax Assumptions'!$B$10+MAX(T211,0)*'Tax Assumptions'!$B$12+MAX(MAX(T211,0)-'Tax Assumptions'!$B$14,0)*'Tax Assumptions'!$B$13+MIN(T211*'Tax Assumptions'!$B$15,'Tax Assumptions'!$B$16)+MIN(T211*'Tax Assumptions'!$B$17,'Tax Assumptions'!$B$18)+IF(W211=0,0,LOOKUP(W211,'Tax Assumptions'!$K$9:$K$17,'Tax Assumptions'!$N$9:$N$17)+(W211-LOOKUP(W211,'Tax Assumptions'!$K$9:$K$17,'Tax Assumptions'!$K$9:$K$17))*LOOKUP(W211,'Tax Assumptions'!$K$9:$K$17,'Tax Assumptions'!$M$9:$M$17))+IF(W211=0,0,LOOKUP(W211,'Tax Assumptions'!$P$9:$P$12,'Tax Assumptions'!$S$9:$S$12)+(W211-LOOKUP(W211,'Tax Assumptions'!$P$9:$P$12,'Tax Assumptions'!$P$9:$P$12))*LOOKUP(W211,'Tax Assumptions'!$P$9:$P$12,'Tax Assumptions'!$R$9:$R$12))</f>
        <v>2055188.6349999998</v>
      </c>
      <c r="Y211" s="230">
        <f t="shared" si="104"/>
        <v>1970311.3650000002</v>
      </c>
      <c r="Z211" s="230">
        <f>IF(J211&lt;=10,INDEX('Savings Projection'!$BL$19:$BL$28,J211),LOOKUP(2,1/('Savings Projection'!$BL$19:$BL$28&lt;&gt;""),'Savings Projection'!$BL$19:$BL$28))*(1+'Model Inputs'!$B$35)^(J211-1)+IF(J211&lt;=10,INDEX('Savings Projection'!$BM$19:$BM$28,J211),LOOKUP(2,1/('Savings Projection'!$BM$19:$BM$28&lt;&gt;""),'Savings Projection'!$BM$19:$BM$28))*(1+'Model Inputs'!$B$36)^(J211-1)</f>
        <v>179950.4031941779</v>
      </c>
      <c r="AA211" s="230">
        <f t="shared" si="105"/>
        <v>1790360.9618058223</v>
      </c>
      <c r="AB211" s="230">
        <f>MIN(MAX(AA211,0),'Tax Assumptions'!$B$20)</f>
        <v>7500</v>
      </c>
      <c r="AC211" s="230">
        <f t="shared" si="106"/>
        <v>1782860.9618058223</v>
      </c>
      <c r="AD211" s="230">
        <f>MAX(AD210*(1+'Model Inputs'!$B$13)+AC211,0)</f>
        <v>19412368.661316551</v>
      </c>
      <c r="AE211" s="230">
        <f>MAX(AE210*(1+'Model Inputs'!$B$13)+U211+AB211,0)</f>
        <v>539838.11831229366</v>
      </c>
      <c r="AF211" s="230">
        <f t="shared" si="107"/>
        <v>19952206.779628843</v>
      </c>
      <c r="AG211" s="226" t="str">
        <f t="shared" si="116"/>
        <v/>
      </c>
      <c r="AH211" s="226" t="str">
        <f t="shared" si="117"/>
        <v/>
      </c>
      <c r="AI211" s="226">
        <f t="shared" si="118"/>
        <v>12</v>
      </c>
      <c r="AJ211" s="226" t="str">
        <f t="shared" si="119"/>
        <v/>
      </c>
    </row>
    <row r="212" spans="1:36" ht="18" customHeight="1" x14ac:dyDescent="0.2">
      <c r="A212" s="226" t="str">
        <f t="shared" si="108"/>
        <v>3Y -&gt; PM Y8 Base</v>
      </c>
      <c r="B212" s="226">
        <f t="shared" si="109"/>
        <v>3</v>
      </c>
      <c r="C212" s="235">
        <f t="shared" si="110"/>
        <v>3</v>
      </c>
      <c r="D212" s="226">
        <f t="shared" si="111"/>
        <v>8</v>
      </c>
      <c r="E212" s="226" t="str">
        <f t="shared" si="112"/>
        <v>Base</v>
      </c>
      <c r="F212" s="230">
        <f t="shared" si="113"/>
        <v>25000000</v>
      </c>
      <c r="G212" s="236">
        <f t="shared" si="114"/>
        <v>0.15</v>
      </c>
      <c r="H212" s="230">
        <f t="shared" si="115"/>
        <v>300000</v>
      </c>
      <c r="I212" s="236">
        <f t="shared" si="98"/>
        <v>0</v>
      </c>
      <c r="J212" s="234">
        <v>13</v>
      </c>
      <c r="K212" s="234">
        <f t="shared" si="99"/>
        <v>2038</v>
      </c>
      <c r="L212" s="230">
        <f>IF(J212=1,'Model Inputs'!$B$25*(13-'Model Inputs'!$B$23)/12,'Model Inputs'!$B$25)</f>
        <v>300000</v>
      </c>
      <c r="M212" s="230">
        <f>IF(J212=1,'Model Inputs'!$B$27*(13-'Model Inputs'!$B$23)/12,IF(J212=2,'Model Inputs'!$B$27,IF(J212&lt;=MAX(3,'Model Inputs'!$B$30+1),'Model Inputs'!$B$27*(1+'Model Inputs'!$B$28)^(J212-3),'Model Inputs'!$B$27*(1+'Model Inputs'!$B$28)^(MAX(3,'Model Inputs'!$B$30+1)-3)*(1+'Model Inputs'!$B$29)^(J212-MAX(3,'Model Inputs'!$B$30+1)))))</f>
        <v>6464768.1603602255</v>
      </c>
      <c r="N212" s="236">
        <f>IF(J212&lt;=2,0,'Model Inputs'!$B$32*SIN(2*PI()*(J212-3+'Model Inputs'!$B$34)/MAX(1,'Model Inputs'!$B$33)))</f>
        <v>0.10392304845413261</v>
      </c>
      <c r="O212" s="230">
        <f t="shared" si="100"/>
        <v>7136606.5751340752</v>
      </c>
      <c r="P212" s="230">
        <f t="shared" si="120"/>
        <v>4711807.0917368019</v>
      </c>
      <c r="Q212" s="230">
        <f>L212+P212+IF(J212=1,'Model Inputs'!$B$26,0)</f>
        <v>5011807.0917368019</v>
      </c>
      <c r="R212" s="230">
        <f t="shared" si="101"/>
        <v>15035421.275210407</v>
      </c>
      <c r="S212" s="230">
        <f t="shared" si="102"/>
        <v>4050000</v>
      </c>
      <c r="T212" s="230">
        <f t="shared" si="103"/>
        <v>4050000</v>
      </c>
      <c r="U212" s="230">
        <f>MIN(T212,'Tax Assumptions'!$B$19)</f>
        <v>24500</v>
      </c>
      <c r="V212" s="230">
        <f>MAX(T212-U212-'Tax Assumptions'!$B$8,0)</f>
        <v>4009400</v>
      </c>
      <c r="W212" s="230">
        <f>MAX(T212-U212-'Tax Assumptions'!$B$9,0)</f>
        <v>4017500</v>
      </c>
      <c r="X212" s="230">
        <f>IF(V212=0,0,LOOKUP(V212,'Tax Assumptions'!$F$9:$F$15,'Tax Assumptions'!$I$9:$I$15)+(V212-LOOKUP(V212,'Tax Assumptions'!$F$9:$F$15,'Tax Assumptions'!$F$9:$F$15))*LOOKUP(V212,'Tax Assumptions'!$F$9:$F$15,'Tax Assumptions'!$H$9:$H$15))+MIN(MAX(T212,0),'Tax Assumptions'!$B$11)*'Tax Assumptions'!$B$10+MAX(T212,0)*'Tax Assumptions'!$B$12+MAX(MAX(T212,0)-'Tax Assumptions'!$B$14,0)*'Tax Assumptions'!$B$13+MIN(T212*'Tax Assumptions'!$B$15,'Tax Assumptions'!$B$16)+MIN(T212*'Tax Assumptions'!$B$17,'Tax Assumptions'!$B$18)+IF(W212=0,0,LOOKUP(W212,'Tax Assumptions'!$K$9:$K$17,'Tax Assumptions'!$N$9:$N$17)+(W212-LOOKUP(W212,'Tax Assumptions'!$K$9:$K$17,'Tax Assumptions'!$K$9:$K$17))*LOOKUP(W212,'Tax Assumptions'!$K$9:$K$17,'Tax Assumptions'!$M$9:$M$17))+IF(W212=0,0,LOOKUP(W212,'Tax Assumptions'!$P$9:$P$12,'Tax Assumptions'!$S$9:$S$12)+(W212-LOOKUP(W212,'Tax Assumptions'!$P$9:$P$12,'Tax Assumptions'!$P$9:$P$12))*LOOKUP(W212,'Tax Assumptions'!$P$9:$P$12,'Tax Assumptions'!$R$9:$R$12))</f>
        <v>2055188.6349999998</v>
      </c>
      <c r="Y212" s="230">
        <f t="shared" si="104"/>
        <v>1970311.3650000002</v>
      </c>
      <c r="Z212" s="230">
        <f>IF(J212&lt;=10,INDEX('Savings Projection'!$BL$19:$BL$28,J212),LOOKUP(2,1/('Savings Projection'!$BL$19:$BL$28&lt;&gt;""),'Savings Projection'!$BL$19:$BL$28))*(1+'Model Inputs'!$B$35)^(J212-1)+IF(J212&lt;=10,INDEX('Savings Projection'!$BM$19:$BM$28,J212),LOOKUP(2,1/('Savings Projection'!$BM$19:$BM$28&lt;&gt;""),'Savings Projection'!$BM$19:$BM$28))*(1+'Model Inputs'!$B$36)^(J212-1)</f>
        <v>185348.91529000323</v>
      </c>
      <c r="AA212" s="230">
        <f t="shared" si="105"/>
        <v>1784962.449709997</v>
      </c>
      <c r="AB212" s="230">
        <f>MIN(MAX(AA212,0),'Tax Assumptions'!$B$20)</f>
        <v>7500</v>
      </c>
      <c r="AC212" s="230">
        <f t="shared" si="106"/>
        <v>1777462.449709997</v>
      </c>
      <c r="AD212" s="230">
        <f>MAX(AD211*(1+'Model Inputs'!$B$13)+AC212,0)</f>
        <v>22354573.230705541</v>
      </c>
      <c r="AE212" s="230">
        <f>MAX(AE211*(1+'Model Inputs'!$B$13)+U212+AB212,0)</f>
        <v>604228.40541103133</v>
      </c>
      <c r="AF212" s="230">
        <f t="shared" si="107"/>
        <v>22958801.636116572</v>
      </c>
      <c r="AG212" s="226" t="str">
        <f t="shared" si="116"/>
        <v/>
      </c>
      <c r="AH212" s="226" t="str">
        <f t="shared" si="117"/>
        <v/>
      </c>
      <c r="AI212" s="226" t="str">
        <f t="shared" si="118"/>
        <v/>
      </c>
      <c r="AJ212" s="226">
        <f t="shared" si="119"/>
        <v>13</v>
      </c>
    </row>
    <row r="213" spans="1:36" ht="18" customHeight="1" x14ac:dyDescent="0.2">
      <c r="A213" s="226" t="str">
        <f t="shared" si="108"/>
        <v>3Y -&gt; PM Y8 Base</v>
      </c>
      <c r="B213" s="226">
        <f t="shared" si="109"/>
        <v>3</v>
      </c>
      <c r="C213" s="235">
        <f t="shared" si="110"/>
        <v>3</v>
      </c>
      <c r="D213" s="226">
        <f t="shared" si="111"/>
        <v>8</v>
      </c>
      <c r="E213" s="226" t="str">
        <f t="shared" si="112"/>
        <v>Base</v>
      </c>
      <c r="F213" s="230">
        <f t="shared" si="113"/>
        <v>25000000</v>
      </c>
      <c r="G213" s="236">
        <f t="shared" si="114"/>
        <v>0.15</v>
      </c>
      <c r="H213" s="230">
        <f t="shared" si="115"/>
        <v>300000</v>
      </c>
      <c r="I213" s="236">
        <f t="shared" si="98"/>
        <v>0</v>
      </c>
      <c r="J213" s="234">
        <v>14</v>
      </c>
      <c r="K213" s="234">
        <f t="shared" si="99"/>
        <v>2039</v>
      </c>
      <c r="L213" s="230">
        <f>IF(J213=1,'Model Inputs'!$B$25*(13-'Model Inputs'!$B$23)/12,'Model Inputs'!$B$25)</f>
        <v>300000</v>
      </c>
      <c r="M213" s="230">
        <f>IF(J213=1,'Model Inputs'!$B$27*(13-'Model Inputs'!$B$23)/12,IF(J213=2,'Model Inputs'!$B$27,IF(J213&lt;=MAX(3,'Model Inputs'!$B$30+1),'Model Inputs'!$B$27*(1+'Model Inputs'!$B$28)^(J213-3),'Model Inputs'!$B$27*(1+'Model Inputs'!$B$28)^(MAX(3,'Model Inputs'!$B$30+1)-3)*(1+'Model Inputs'!$B$29)^(J213-MAX(3,'Model Inputs'!$B$30+1)))))</f>
        <v>8215927.9778393377</v>
      </c>
      <c r="N213" s="236">
        <f>IF(J213&lt;=2,0,'Model Inputs'!$B$32*SIN(2*PI()*(J213-3+'Model Inputs'!$B$34)/MAX(1,'Model Inputs'!$B$33)))</f>
        <v>-0.10392304845413251</v>
      </c>
      <c r="O213" s="230">
        <f t="shared" si="100"/>
        <v>7362103.6965026772</v>
      </c>
      <c r="P213" s="230">
        <f t="shared" si="120"/>
        <v>6624168.4699774589</v>
      </c>
      <c r="Q213" s="230">
        <f>L213+P213+IF(J213=1,'Model Inputs'!$B$26,0)</f>
        <v>6924168.4699774589</v>
      </c>
      <c r="R213" s="230">
        <f t="shared" si="101"/>
        <v>20772505.409932375</v>
      </c>
      <c r="S213" s="230">
        <f t="shared" si="102"/>
        <v>4050000</v>
      </c>
      <c r="T213" s="230">
        <f t="shared" si="103"/>
        <v>4050000</v>
      </c>
      <c r="U213" s="230">
        <f>MIN(T213,'Tax Assumptions'!$B$19)</f>
        <v>24500</v>
      </c>
      <c r="V213" s="230">
        <f>MAX(T213-U213-'Tax Assumptions'!$B$8,0)</f>
        <v>4009400</v>
      </c>
      <c r="W213" s="230">
        <f>MAX(T213-U213-'Tax Assumptions'!$B$9,0)</f>
        <v>4017500</v>
      </c>
      <c r="X213" s="230">
        <f>IF(V213=0,0,LOOKUP(V213,'Tax Assumptions'!$F$9:$F$15,'Tax Assumptions'!$I$9:$I$15)+(V213-LOOKUP(V213,'Tax Assumptions'!$F$9:$F$15,'Tax Assumptions'!$F$9:$F$15))*LOOKUP(V213,'Tax Assumptions'!$F$9:$F$15,'Tax Assumptions'!$H$9:$H$15))+MIN(MAX(T213,0),'Tax Assumptions'!$B$11)*'Tax Assumptions'!$B$10+MAX(T213,0)*'Tax Assumptions'!$B$12+MAX(MAX(T213,0)-'Tax Assumptions'!$B$14,0)*'Tax Assumptions'!$B$13+MIN(T213*'Tax Assumptions'!$B$15,'Tax Assumptions'!$B$16)+MIN(T213*'Tax Assumptions'!$B$17,'Tax Assumptions'!$B$18)+IF(W213=0,0,LOOKUP(W213,'Tax Assumptions'!$K$9:$K$17,'Tax Assumptions'!$N$9:$N$17)+(W213-LOOKUP(W213,'Tax Assumptions'!$K$9:$K$17,'Tax Assumptions'!$K$9:$K$17))*LOOKUP(W213,'Tax Assumptions'!$K$9:$K$17,'Tax Assumptions'!$M$9:$M$17))+IF(W213=0,0,LOOKUP(W213,'Tax Assumptions'!$P$9:$P$12,'Tax Assumptions'!$S$9:$S$12)+(W213-LOOKUP(W213,'Tax Assumptions'!$P$9:$P$12,'Tax Assumptions'!$P$9:$P$12))*LOOKUP(W213,'Tax Assumptions'!$P$9:$P$12,'Tax Assumptions'!$R$9:$R$12))</f>
        <v>2055188.6349999998</v>
      </c>
      <c r="Y213" s="230">
        <f t="shared" si="104"/>
        <v>1970311.3650000002</v>
      </c>
      <c r="Z213" s="230">
        <f>IF(J213&lt;=10,INDEX('Savings Projection'!$BL$19:$BL$28,J213),LOOKUP(2,1/('Savings Projection'!$BL$19:$BL$28&lt;&gt;""),'Savings Projection'!$BL$19:$BL$28))*(1+'Model Inputs'!$B$35)^(J213-1)+IF(J213&lt;=10,INDEX('Savings Projection'!$BM$19:$BM$28,J213),LOOKUP(2,1/('Savings Projection'!$BM$19:$BM$28&lt;&gt;""),'Savings Projection'!$BM$19:$BM$28))*(1+'Model Inputs'!$B$36)^(J213-1)</f>
        <v>190909.3827487033</v>
      </c>
      <c r="AA213" s="230">
        <f t="shared" si="105"/>
        <v>1779401.982251297</v>
      </c>
      <c r="AB213" s="230">
        <f>MIN(MAX(AA213,0),'Tax Assumptions'!$B$20)</f>
        <v>7500</v>
      </c>
      <c r="AC213" s="230">
        <f t="shared" si="106"/>
        <v>1771901.982251297</v>
      </c>
      <c r="AD213" s="230">
        <f>MAX(AD212*(1+'Model Inputs'!$B$13)+AC213,0)</f>
        <v>25467749.60679917</v>
      </c>
      <c r="AE213" s="230">
        <f>MAX(AE212*(1+'Model Inputs'!$B$13)+U213+AB213,0)</f>
        <v>672482.1097356932</v>
      </c>
      <c r="AF213" s="230">
        <f t="shared" si="107"/>
        <v>26140231.716534864</v>
      </c>
      <c r="AG213" s="226" t="str">
        <f t="shared" si="116"/>
        <v/>
      </c>
      <c r="AH213" s="226" t="str">
        <f t="shared" si="117"/>
        <v/>
      </c>
      <c r="AI213" s="226" t="str">
        <f t="shared" si="118"/>
        <v/>
      </c>
      <c r="AJ213" s="226" t="str">
        <f t="shared" si="119"/>
        <v/>
      </c>
    </row>
    <row r="214" spans="1:36" ht="18" customHeight="1" x14ac:dyDescent="0.2">
      <c r="A214" s="226" t="str">
        <f t="shared" si="108"/>
        <v>3Y -&gt; PM Y8 Base</v>
      </c>
      <c r="B214" s="226">
        <f t="shared" si="109"/>
        <v>3</v>
      </c>
      <c r="C214" s="235">
        <f t="shared" si="110"/>
        <v>3</v>
      </c>
      <c r="D214" s="226">
        <f t="shared" si="111"/>
        <v>8</v>
      </c>
      <c r="E214" s="226" t="str">
        <f t="shared" si="112"/>
        <v>Base</v>
      </c>
      <c r="F214" s="230">
        <f t="shared" si="113"/>
        <v>25000000</v>
      </c>
      <c r="G214" s="236">
        <f t="shared" si="114"/>
        <v>0.15</v>
      </c>
      <c r="H214" s="230">
        <f t="shared" si="115"/>
        <v>300000</v>
      </c>
      <c r="I214" s="236">
        <f t="shared" si="98"/>
        <v>0</v>
      </c>
      <c r="J214" s="234">
        <v>15</v>
      </c>
      <c r="K214" s="234">
        <f t="shared" si="99"/>
        <v>2040</v>
      </c>
      <c r="L214" s="230">
        <f>IF(J214=1,'Model Inputs'!$B$25*(13-'Model Inputs'!$B$23)/12,'Model Inputs'!$B$25)</f>
        <v>300000</v>
      </c>
      <c r="M214" s="230">
        <f>IF(J214=1,'Model Inputs'!$B$27*(13-'Model Inputs'!$B$23)/12,IF(J214=2,'Model Inputs'!$B$27,IF(J214&lt;=MAX(3,'Model Inputs'!$B$30+1),'Model Inputs'!$B$27*(1+'Model Inputs'!$B$28)^(J214-3),'Model Inputs'!$B$27*(1+'Model Inputs'!$B$28)^(MAX(3,'Model Inputs'!$B$30+1)-3)*(1+'Model Inputs'!$B$29)^(J214-MAX(3,'Model Inputs'!$B$30+1)))))</f>
        <v>10441437.475041937</v>
      </c>
      <c r="N214" s="236">
        <f>IF(J214&lt;=2,0,'Model Inputs'!$B$32*SIN(2*PI()*(J214-3+'Model Inputs'!$B$34)/MAX(1,'Model Inputs'!$B$33)))</f>
        <v>-1.1756609271814589E-16</v>
      </c>
      <c r="O214" s="230">
        <f t="shared" si="100"/>
        <v>10441437.475041935</v>
      </c>
      <c r="P214" s="230">
        <f t="shared" si="120"/>
        <v>7305729.4161605267</v>
      </c>
      <c r="Q214" s="230">
        <f>L214+P214+IF(J214=1,'Model Inputs'!$B$26,0)</f>
        <v>7605729.4161605267</v>
      </c>
      <c r="R214" s="230">
        <f t="shared" si="101"/>
        <v>22817188.248481579</v>
      </c>
      <c r="S214" s="230">
        <f t="shared" si="102"/>
        <v>4050000</v>
      </c>
      <c r="T214" s="230">
        <f t="shared" si="103"/>
        <v>4050000</v>
      </c>
      <c r="U214" s="230">
        <f>MIN(T214,'Tax Assumptions'!$B$19)</f>
        <v>24500</v>
      </c>
      <c r="V214" s="230">
        <f>MAX(T214-U214-'Tax Assumptions'!$B$8,0)</f>
        <v>4009400</v>
      </c>
      <c r="W214" s="230">
        <f>MAX(T214-U214-'Tax Assumptions'!$B$9,0)</f>
        <v>4017500</v>
      </c>
      <c r="X214" s="230">
        <f>IF(V214=0,0,LOOKUP(V214,'Tax Assumptions'!$F$9:$F$15,'Tax Assumptions'!$I$9:$I$15)+(V214-LOOKUP(V214,'Tax Assumptions'!$F$9:$F$15,'Tax Assumptions'!$F$9:$F$15))*LOOKUP(V214,'Tax Assumptions'!$F$9:$F$15,'Tax Assumptions'!$H$9:$H$15))+MIN(MAX(T214,0),'Tax Assumptions'!$B$11)*'Tax Assumptions'!$B$10+MAX(T214,0)*'Tax Assumptions'!$B$12+MAX(MAX(T214,0)-'Tax Assumptions'!$B$14,0)*'Tax Assumptions'!$B$13+MIN(T214*'Tax Assumptions'!$B$15,'Tax Assumptions'!$B$16)+MIN(T214*'Tax Assumptions'!$B$17,'Tax Assumptions'!$B$18)+IF(W214=0,0,LOOKUP(W214,'Tax Assumptions'!$K$9:$K$17,'Tax Assumptions'!$N$9:$N$17)+(W214-LOOKUP(W214,'Tax Assumptions'!$K$9:$K$17,'Tax Assumptions'!$K$9:$K$17))*LOOKUP(W214,'Tax Assumptions'!$K$9:$K$17,'Tax Assumptions'!$M$9:$M$17))+IF(W214=0,0,LOOKUP(W214,'Tax Assumptions'!$P$9:$P$12,'Tax Assumptions'!$S$9:$S$12)+(W214-LOOKUP(W214,'Tax Assumptions'!$P$9:$P$12,'Tax Assumptions'!$P$9:$P$12))*LOOKUP(W214,'Tax Assumptions'!$P$9:$P$12,'Tax Assumptions'!$R$9:$R$12))</f>
        <v>2055188.6349999998</v>
      </c>
      <c r="Y214" s="230">
        <f t="shared" si="104"/>
        <v>1970311.3650000002</v>
      </c>
      <c r="Z214" s="230">
        <f>IF(J214&lt;=10,INDEX('Savings Projection'!$BL$19:$BL$28,J214),LOOKUP(2,1/('Savings Projection'!$BL$19:$BL$28&lt;&gt;""),'Savings Projection'!$BL$19:$BL$28))*(1+'Model Inputs'!$B$35)^(J214-1)+IF(J214&lt;=10,INDEX('Savings Projection'!$BM$19:$BM$28,J214),LOOKUP(2,1/('Savings Projection'!$BM$19:$BM$28&lt;&gt;""),'Savings Projection'!$BM$19:$BM$28))*(1+'Model Inputs'!$B$36)^(J214-1)</f>
        <v>196636.66423116444</v>
      </c>
      <c r="AA214" s="230">
        <f t="shared" si="105"/>
        <v>1773674.7007688358</v>
      </c>
      <c r="AB214" s="230">
        <f>MIN(MAX(AA214,0),'Tax Assumptions'!$B$20)</f>
        <v>7500</v>
      </c>
      <c r="AC214" s="230">
        <f t="shared" si="106"/>
        <v>1766174.7007688358</v>
      </c>
      <c r="AD214" s="230">
        <f>MAX(AD213*(1+'Model Inputs'!$B$13)+AC214,0)</f>
        <v>28761989.283975959</v>
      </c>
      <c r="AE214" s="230">
        <f>MAX(AE213*(1+'Model Inputs'!$B$13)+U214+AB214,0)</f>
        <v>744831.03631983488</v>
      </c>
      <c r="AF214" s="230">
        <f t="shared" si="107"/>
        <v>29506820.320295792</v>
      </c>
      <c r="AG214" s="226" t="str">
        <f t="shared" si="116"/>
        <v/>
      </c>
      <c r="AH214" s="226" t="str">
        <f t="shared" si="117"/>
        <v/>
      </c>
      <c r="AI214" s="226" t="str">
        <f t="shared" si="118"/>
        <v/>
      </c>
      <c r="AJ214" s="226" t="str">
        <f t="shared" si="119"/>
        <v/>
      </c>
    </row>
    <row r="215" spans="1:36" ht="18" customHeight="1" x14ac:dyDescent="0.2">
      <c r="A215" s="226" t="str">
        <f t="shared" si="108"/>
        <v>3Y -&gt; PM Y8 Base</v>
      </c>
      <c r="B215" s="226">
        <f t="shared" si="109"/>
        <v>3</v>
      </c>
      <c r="C215" s="235">
        <f t="shared" si="110"/>
        <v>3</v>
      </c>
      <c r="D215" s="226">
        <f t="shared" si="111"/>
        <v>8</v>
      </c>
      <c r="E215" s="226" t="str">
        <f t="shared" si="112"/>
        <v>Base</v>
      </c>
      <c r="F215" s="230">
        <f t="shared" si="113"/>
        <v>25000000</v>
      </c>
      <c r="G215" s="236">
        <f t="shared" si="114"/>
        <v>0.15</v>
      </c>
      <c r="H215" s="230">
        <f t="shared" si="115"/>
        <v>300000</v>
      </c>
      <c r="I215" s="236">
        <f t="shared" si="98"/>
        <v>0</v>
      </c>
      <c r="J215" s="234">
        <v>16</v>
      </c>
      <c r="K215" s="234">
        <f t="shared" si="99"/>
        <v>2041</v>
      </c>
      <c r="L215" s="230">
        <f>IF(J215=1,'Model Inputs'!$B$25*(13-'Model Inputs'!$B$23)/12,'Model Inputs'!$B$25)</f>
        <v>300000</v>
      </c>
      <c r="M215" s="230">
        <f>IF(J215=1,'Model Inputs'!$B$27*(13-'Model Inputs'!$B$23)/12,IF(J215=2,'Model Inputs'!$B$27,IF(J215&lt;=MAX(3,'Model Inputs'!$B$30+1),'Model Inputs'!$B$27*(1+'Model Inputs'!$B$28)^(J215-3),'Model Inputs'!$B$27*(1+'Model Inputs'!$B$28)^(MAX(3,'Model Inputs'!$B$30+1)-3)*(1+'Model Inputs'!$B$29)^(J215-MAX(3,'Model Inputs'!$B$30+1)))))</f>
        <v>13269787.276528884</v>
      </c>
      <c r="N215" s="236">
        <f>IF(J215&lt;=2,0,'Model Inputs'!$B$32*SIN(2*PI()*(J215-3+'Model Inputs'!$B$34)/MAX(1,'Model Inputs'!$B$33)))</f>
        <v>0.10392304845413262</v>
      </c>
      <c r="O215" s="230">
        <f t="shared" si="100"/>
        <v>14648824.022643628</v>
      </c>
      <c r="P215" s="230">
        <f t="shared" si="120"/>
        <v>9671604.0304071214</v>
      </c>
      <c r="Q215" s="230">
        <f>L215+P215+IF(J215=1,'Model Inputs'!$B$26,0)</f>
        <v>9971604.0304071214</v>
      </c>
      <c r="R215" s="230">
        <f t="shared" si="101"/>
        <v>29914812.091221362</v>
      </c>
      <c r="S215" s="230">
        <f t="shared" si="102"/>
        <v>4050000</v>
      </c>
      <c r="T215" s="230">
        <f t="shared" si="103"/>
        <v>4050000</v>
      </c>
      <c r="U215" s="230">
        <f>MIN(T215,'Tax Assumptions'!$B$19)</f>
        <v>24500</v>
      </c>
      <c r="V215" s="230">
        <f>MAX(T215-U215-'Tax Assumptions'!$B$8,0)</f>
        <v>4009400</v>
      </c>
      <c r="W215" s="230">
        <f>MAX(T215-U215-'Tax Assumptions'!$B$9,0)</f>
        <v>4017500</v>
      </c>
      <c r="X215" s="230">
        <f>IF(V215=0,0,LOOKUP(V215,'Tax Assumptions'!$F$9:$F$15,'Tax Assumptions'!$I$9:$I$15)+(V215-LOOKUP(V215,'Tax Assumptions'!$F$9:$F$15,'Tax Assumptions'!$F$9:$F$15))*LOOKUP(V215,'Tax Assumptions'!$F$9:$F$15,'Tax Assumptions'!$H$9:$H$15))+MIN(MAX(T215,0),'Tax Assumptions'!$B$11)*'Tax Assumptions'!$B$10+MAX(T215,0)*'Tax Assumptions'!$B$12+MAX(MAX(T215,0)-'Tax Assumptions'!$B$14,0)*'Tax Assumptions'!$B$13+MIN(T215*'Tax Assumptions'!$B$15,'Tax Assumptions'!$B$16)+MIN(T215*'Tax Assumptions'!$B$17,'Tax Assumptions'!$B$18)+IF(W215=0,0,LOOKUP(W215,'Tax Assumptions'!$K$9:$K$17,'Tax Assumptions'!$N$9:$N$17)+(W215-LOOKUP(W215,'Tax Assumptions'!$K$9:$K$17,'Tax Assumptions'!$K$9:$K$17))*LOOKUP(W215,'Tax Assumptions'!$K$9:$K$17,'Tax Assumptions'!$M$9:$M$17))+IF(W215=0,0,LOOKUP(W215,'Tax Assumptions'!$P$9:$P$12,'Tax Assumptions'!$S$9:$S$12)+(W215-LOOKUP(W215,'Tax Assumptions'!$P$9:$P$12,'Tax Assumptions'!$P$9:$P$12))*LOOKUP(W215,'Tax Assumptions'!$P$9:$P$12,'Tax Assumptions'!$R$9:$R$12))</f>
        <v>2055188.6349999998</v>
      </c>
      <c r="Y215" s="230">
        <f t="shared" si="104"/>
        <v>1970311.3650000002</v>
      </c>
      <c r="Z215" s="230">
        <f>IF(J215&lt;=10,INDEX('Savings Projection'!$BL$19:$BL$28,J215),LOOKUP(2,1/('Savings Projection'!$BL$19:$BL$28&lt;&gt;""),'Savings Projection'!$BL$19:$BL$28))*(1+'Model Inputs'!$B$35)^(J215-1)+IF(J215&lt;=10,INDEX('Savings Projection'!$BM$19:$BM$28,J215),LOOKUP(2,1/('Savings Projection'!$BM$19:$BM$28&lt;&gt;""),'Savings Projection'!$BM$19:$BM$28))*(1+'Model Inputs'!$B$36)^(J215-1)</f>
        <v>202535.76415809937</v>
      </c>
      <c r="AA215" s="230">
        <f t="shared" si="105"/>
        <v>1767775.6008419008</v>
      </c>
      <c r="AB215" s="230">
        <f>MIN(MAX(AA215,0),'Tax Assumptions'!$B$20)</f>
        <v>7500</v>
      </c>
      <c r="AC215" s="230">
        <f t="shared" si="106"/>
        <v>1760275.6008419008</v>
      </c>
      <c r="AD215" s="230">
        <f>MAX(AD214*(1+'Model Inputs'!$B$13)+AC215,0)</f>
        <v>32247984.241856419</v>
      </c>
      <c r="AE215" s="230">
        <f>MAX(AE214*(1+'Model Inputs'!$B$13)+U215+AB215,0)</f>
        <v>821520.89849902503</v>
      </c>
      <c r="AF215" s="230">
        <f t="shared" si="107"/>
        <v>33069505.140355445</v>
      </c>
      <c r="AG215" s="226" t="str">
        <f t="shared" si="116"/>
        <v/>
      </c>
      <c r="AH215" s="226" t="str">
        <f t="shared" si="117"/>
        <v/>
      </c>
      <c r="AI215" s="226" t="str">
        <f t="shared" si="118"/>
        <v/>
      </c>
      <c r="AJ215" s="226" t="str">
        <f t="shared" si="119"/>
        <v/>
      </c>
    </row>
    <row r="216" spans="1:36" ht="18" customHeight="1" x14ac:dyDescent="0.2">
      <c r="A216" s="226" t="str">
        <f t="shared" si="108"/>
        <v>3Y -&gt; PM Y8 Base</v>
      </c>
      <c r="B216" s="226">
        <f t="shared" si="109"/>
        <v>3</v>
      </c>
      <c r="C216" s="235">
        <f t="shared" si="110"/>
        <v>3</v>
      </c>
      <c r="D216" s="226">
        <f t="shared" si="111"/>
        <v>8</v>
      </c>
      <c r="E216" s="226" t="str">
        <f t="shared" si="112"/>
        <v>Base</v>
      </c>
      <c r="F216" s="230">
        <f t="shared" si="113"/>
        <v>25000000</v>
      </c>
      <c r="G216" s="236">
        <f t="shared" si="114"/>
        <v>0.15</v>
      </c>
      <c r="H216" s="230">
        <f t="shared" si="115"/>
        <v>300000</v>
      </c>
      <c r="I216" s="236">
        <f t="shared" si="98"/>
        <v>0</v>
      </c>
      <c r="J216" s="234">
        <v>17</v>
      </c>
      <c r="K216" s="234">
        <f t="shared" si="99"/>
        <v>2042</v>
      </c>
      <c r="L216" s="230">
        <f>IF(J216=1,'Model Inputs'!$B$25*(13-'Model Inputs'!$B$23)/12,'Model Inputs'!$B$25)</f>
        <v>300000</v>
      </c>
      <c r="M216" s="230">
        <f>IF(J216=1,'Model Inputs'!$B$27*(13-'Model Inputs'!$B$23)/12,IF(J216=2,'Model Inputs'!$B$27,IF(J216&lt;=MAX(3,'Model Inputs'!$B$30+1),'Model Inputs'!$B$27*(1+'Model Inputs'!$B$28)^(J216-3),'Model Inputs'!$B$27*(1+'Model Inputs'!$B$28)^(MAX(3,'Model Inputs'!$B$30+1)-3)*(1+'Model Inputs'!$B$29)^(J216-MAX(3,'Model Inputs'!$B$30+1)))))</f>
        <v>16864273.217670217</v>
      </c>
      <c r="N216" s="236">
        <f>IF(J216&lt;=2,0,'Model Inputs'!$B$32*SIN(2*PI()*(J216-3+'Model Inputs'!$B$34)/MAX(1,'Model Inputs'!$B$33)))</f>
        <v>-0.1039230484541325</v>
      </c>
      <c r="O216" s="230">
        <f t="shared" si="100"/>
        <v>15111686.534926547</v>
      </c>
      <c r="P216" s="230">
        <f t="shared" si="120"/>
        <v>13596977.385743205</v>
      </c>
      <c r="Q216" s="230">
        <f>L216+P216+IF(J216=1,'Model Inputs'!$B$26,0)</f>
        <v>13896977.385743205</v>
      </c>
      <c r="R216" s="230">
        <f t="shared" si="101"/>
        <v>41690932.157229617</v>
      </c>
      <c r="S216" s="230">
        <f t="shared" si="102"/>
        <v>4050000</v>
      </c>
      <c r="T216" s="230">
        <f t="shared" si="103"/>
        <v>4050000</v>
      </c>
      <c r="U216" s="230">
        <f>MIN(T216,'Tax Assumptions'!$B$19)</f>
        <v>24500</v>
      </c>
      <c r="V216" s="230">
        <f>MAX(T216-U216-'Tax Assumptions'!$B$8,0)</f>
        <v>4009400</v>
      </c>
      <c r="W216" s="230">
        <f>MAX(T216-U216-'Tax Assumptions'!$B$9,0)</f>
        <v>4017500</v>
      </c>
      <c r="X216" s="230">
        <f>IF(V216=0,0,LOOKUP(V216,'Tax Assumptions'!$F$9:$F$15,'Tax Assumptions'!$I$9:$I$15)+(V216-LOOKUP(V216,'Tax Assumptions'!$F$9:$F$15,'Tax Assumptions'!$F$9:$F$15))*LOOKUP(V216,'Tax Assumptions'!$F$9:$F$15,'Tax Assumptions'!$H$9:$H$15))+MIN(MAX(T216,0),'Tax Assumptions'!$B$11)*'Tax Assumptions'!$B$10+MAX(T216,0)*'Tax Assumptions'!$B$12+MAX(MAX(T216,0)-'Tax Assumptions'!$B$14,0)*'Tax Assumptions'!$B$13+MIN(T216*'Tax Assumptions'!$B$15,'Tax Assumptions'!$B$16)+MIN(T216*'Tax Assumptions'!$B$17,'Tax Assumptions'!$B$18)+IF(W216=0,0,LOOKUP(W216,'Tax Assumptions'!$K$9:$K$17,'Tax Assumptions'!$N$9:$N$17)+(W216-LOOKUP(W216,'Tax Assumptions'!$K$9:$K$17,'Tax Assumptions'!$K$9:$K$17))*LOOKUP(W216,'Tax Assumptions'!$K$9:$K$17,'Tax Assumptions'!$M$9:$M$17))+IF(W216=0,0,LOOKUP(W216,'Tax Assumptions'!$P$9:$P$12,'Tax Assumptions'!$S$9:$S$12)+(W216-LOOKUP(W216,'Tax Assumptions'!$P$9:$P$12,'Tax Assumptions'!$P$9:$P$12))*LOOKUP(W216,'Tax Assumptions'!$P$9:$P$12,'Tax Assumptions'!$R$9:$R$12))</f>
        <v>2055188.6349999998</v>
      </c>
      <c r="Y216" s="230">
        <f t="shared" si="104"/>
        <v>1970311.3650000002</v>
      </c>
      <c r="Z216" s="230">
        <f>IF(J216&lt;=10,INDEX('Savings Projection'!$BL$19:$BL$28,J216),LOOKUP(2,1/('Savings Projection'!$BL$19:$BL$28&lt;&gt;""),'Savings Projection'!$BL$19:$BL$28))*(1+'Model Inputs'!$B$35)^(J216-1)+IF(J216&lt;=10,INDEX('Savings Projection'!$BM$19:$BM$28,J216),LOOKUP(2,1/('Savings Projection'!$BM$19:$BM$28&lt;&gt;""),'Savings Projection'!$BM$19:$BM$28))*(1+'Model Inputs'!$B$36)^(J216-1)</f>
        <v>208611.83708284231</v>
      </c>
      <c r="AA216" s="230">
        <f t="shared" si="105"/>
        <v>1761699.5279171579</v>
      </c>
      <c r="AB216" s="230">
        <f>MIN(MAX(AA216,0),'Tax Assumptions'!$B$20)</f>
        <v>7500</v>
      </c>
      <c r="AC216" s="230">
        <f t="shared" si="106"/>
        <v>1754199.5279171579</v>
      </c>
      <c r="AD216" s="230">
        <f>MAX(AD215*(1+'Model Inputs'!$B$13)+AC216,0)</f>
        <v>35937062.824284956</v>
      </c>
      <c r="AE216" s="230">
        <f>MAX(AE215*(1+'Model Inputs'!$B$13)+U216+AB216,0)</f>
        <v>902812.15240896656</v>
      </c>
      <c r="AF216" s="230">
        <f t="shared" si="107"/>
        <v>36839874.976693921</v>
      </c>
      <c r="AG216" s="226" t="str">
        <f t="shared" si="116"/>
        <v/>
      </c>
      <c r="AH216" s="226" t="str">
        <f t="shared" si="117"/>
        <v/>
      </c>
      <c r="AI216" s="226" t="str">
        <f t="shared" si="118"/>
        <v/>
      </c>
      <c r="AJ216" s="226" t="str">
        <f t="shared" si="119"/>
        <v/>
      </c>
    </row>
    <row r="217" spans="1:36" ht="18" customHeight="1" x14ac:dyDescent="0.2">
      <c r="A217" s="226" t="str">
        <f t="shared" si="108"/>
        <v>3Y -&gt; PM Y8 Base</v>
      </c>
      <c r="B217" s="226">
        <f t="shared" si="109"/>
        <v>3</v>
      </c>
      <c r="C217" s="235">
        <f t="shared" si="110"/>
        <v>3</v>
      </c>
      <c r="D217" s="226">
        <f t="shared" si="111"/>
        <v>8</v>
      </c>
      <c r="E217" s="226" t="str">
        <f t="shared" si="112"/>
        <v>Base</v>
      </c>
      <c r="F217" s="230">
        <f t="shared" si="113"/>
        <v>25000000</v>
      </c>
      <c r="G217" s="236">
        <f t="shared" si="114"/>
        <v>0.15</v>
      </c>
      <c r="H217" s="230">
        <f t="shared" si="115"/>
        <v>300000</v>
      </c>
      <c r="I217" s="236">
        <f t="shared" si="98"/>
        <v>0</v>
      </c>
      <c r="J217" s="234">
        <v>18</v>
      </c>
      <c r="K217" s="234">
        <f t="shared" si="99"/>
        <v>2043</v>
      </c>
      <c r="L217" s="230">
        <f>IF(J217=1,'Model Inputs'!$B$25*(13-'Model Inputs'!$B$23)/12,'Model Inputs'!$B$25)</f>
        <v>300000</v>
      </c>
      <c r="M217" s="230">
        <f>IF(J217=1,'Model Inputs'!$B$27*(13-'Model Inputs'!$B$23)/12,IF(J217=2,'Model Inputs'!$B$27,IF(J217&lt;=MAX(3,'Model Inputs'!$B$30+1),'Model Inputs'!$B$27*(1+'Model Inputs'!$B$28)^(J217-3),'Model Inputs'!$B$27*(1+'Model Inputs'!$B$28)^(MAX(3,'Model Inputs'!$B$30+1)-3)*(1+'Model Inputs'!$B$29)^(J217-MAX(3,'Model Inputs'!$B$30+1)))))</f>
        <v>21432424.290875554</v>
      </c>
      <c r="N217" s="236">
        <f>IF(J217&lt;=2,0,'Model Inputs'!$B$32*SIN(2*PI()*(J217-3+'Model Inputs'!$B$34)/MAX(1,'Model Inputs'!$B$33)))</f>
        <v>-5.7328325735374245E-16</v>
      </c>
      <c r="O217" s="230">
        <f t="shared" si="100"/>
        <v>21432424.290875543</v>
      </c>
      <c r="P217" s="230">
        <f t="shared" si="120"/>
        <v>14995970.906855816</v>
      </c>
      <c r="Q217" s="230">
        <f>L217+P217+IF(J217=1,'Model Inputs'!$B$26,0)</f>
        <v>15295970.906855816</v>
      </c>
      <c r="R217" s="230">
        <f t="shared" si="101"/>
        <v>45887912.72056745</v>
      </c>
      <c r="S217" s="230">
        <f t="shared" si="102"/>
        <v>4050000</v>
      </c>
      <c r="T217" s="230">
        <f t="shared" si="103"/>
        <v>4050000</v>
      </c>
      <c r="U217" s="230">
        <f>MIN(T217,'Tax Assumptions'!$B$19)</f>
        <v>24500</v>
      </c>
      <c r="V217" s="230">
        <f>MAX(T217-U217-'Tax Assumptions'!$B$8,0)</f>
        <v>4009400</v>
      </c>
      <c r="W217" s="230">
        <f>MAX(T217-U217-'Tax Assumptions'!$B$9,0)</f>
        <v>4017500</v>
      </c>
      <c r="X217" s="230">
        <f>IF(V217=0,0,LOOKUP(V217,'Tax Assumptions'!$F$9:$F$15,'Tax Assumptions'!$I$9:$I$15)+(V217-LOOKUP(V217,'Tax Assumptions'!$F$9:$F$15,'Tax Assumptions'!$F$9:$F$15))*LOOKUP(V217,'Tax Assumptions'!$F$9:$F$15,'Tax Assumptions'!$H$9:$H$15))+MIN(MAX(T217,0),'Tax Assumptions'!$B$11)*'Tax Assumptions'!$B$10+MAX(T217,0)*'Tax Assumptions'!$B$12+MAX(MAX(T217,0)-'Tax Assumptions'!$B$14,0)*'Tax Assumptions'!$B$13+MIN(T217*'Tax Assumptions'!$B$15,'Tax Assumptions'!$B$16)+MIN(T217*'Tax Assumptions'!$B$17,'Tax Assumptions'!$B$18)+IF(W217=0,0,LOOKUP(W217,'Tax Assumptions'!$K$9:$K$17,'Tax Assumptions'!$N$9:$N$17)+(W217-LOOKUP(W217,'Tax Assumptions'!$K$9:$K$17,'Tax Assumptions'!$K$9:$K$17))*LOOKUP(W217,'Tax Assumptions'!$K$9:$K$17,'Tax Assumptions'!$M$9:$M$17))+IF(W217=0,0,LOOKUP(W217,'Tax Assumptions'!$P$9:$P$12,'Tax Assumptions'!$S$9:$S$12)+(W217-LOOKUP(W217,'Tax Assumptions'!$P$9:$P$12,'Tax Assumptions'!$P$9:$P$12))*LOOKUP(W217,'Tax Assumptions'!$P$9:$P$12,'Tax Assumptions'!$R$9:$R$12))</f>
        <v>2055188.6349999998</v>
      </c>
      <c r="Y217" s="230">
        <f t="shared" si="104"/>
        <v>1970311.3650000002</v>
      </c>
      <c r="Z217" s="230">
        <f>IF(J217&lt;=10,INDEX('Savings Projection'!$BL$19:$BL$28,J217),LOOKUP(2,1/('Savings Projection'!$BL$19:$BL$28&lt;&gt;""),'Savings Projection'!$BL$19:$BL$28))*(1+'Model Inputs'!$B$35)^(J217-1)+IF(J217&lt;=10,INDEX('Savings Projection'!$BM$19:$BM$28,J217),LOOKUP(2,1/('Savings Projection'!$BM$19:$BM$28&lt;&gt;""),'Savings Projection'!$BM$19:$BM$28))*(1+'Model Inputs'!$B$36)^(J217-1)</f>
        <v>214870.1921953276</v>
      </c>
      <c r="AA217" s="230">
        <f t="shared" si="105"/>
        <v>1755441.1728046727</v>
      </c>
      <c r="AB217" s="230">
        <f>MIN(MAX(AA217,0),'Tax Assumptions'!$B$20)</f>
        <v>7500</v>
      </c>
      <c r="AC217" s="230">
        <f t="shared" si="106"/>
        <v>1747941.1728046727</v>
      </c>
      <c r="AD217" s="230">
        <f>MAX(AD216*(1+'Model Inputs'!$B$13)+AC217,0)</f>
        <v>39841227.766546734</v>
      </c>
      <c r="AE217" s="230">
        <f>MAX(AE216*(1+'Model Inputs'!$B$13)+U217+AB217,0)</f>
        <v>988980.88155350462</v>
      </c>
      <c r="AF217" s="230">
        <f t="shared" si="107"/>
        <v>40830208.648100242</v>
      </c>
      <c r="AG217" s="226" t="str">
        <f t="shared" si="116"/>
        <v/>
      </c>
      <c r="AH217" s="226" t="str">
        <f t="shared" si="117"/>
        <v/>
      </c>
      <c r="AI217" s="226" t="str">
        <f t="shared" si="118"/>
        <v/>
      </c>
      <c r="AJ217" s="226" t="str">
        <f t="shared" si="119"/>
        <v/>
      </c>
    </row>
    <row r="218" spans="1:36" ht="18" customHeight="1" x14ac:dyDescent="0.2">
      <c r="A218" s="226" t="str">
        <f t="shared" si="108"/>
        <v>3Y -&gt; PM Y8 Base</v>
      </c>
      <c r="B218" s="226">
        <f t="shared" si="109"/>
        <v>3</v>
      </c>
      <c r="C218" s="235">
        <f t="shared" si="110"/>
        <v>3</v>
      </c>
      <c r="D218" s="226">
        <f t="shared" si="111"/>
        <v>8</v>
      </c>
      <c r="E218" s="226" t="str">
        <f t="shared" si="112"/>
        <v>Base</v>
      </c>
      <c r="F218" s="230">
        <f t="shared" si="113"/>
        <v>25000000</v>
      </c>
      <c r="G218" s="236">
        <f t="shared" si="114"/>
        <v>0.15</v>
      </c>
      <c r="H218" s="230">
        <f t="shared" si="115"/>
        <v>300000</v>
      </c>
      <c r="I218" s="236">
        <f t="shared" si="98"/>
        <v>0</v>
      </c>
      <c r="J218" s="234">
        <v>19</v>
      </c>
      <c r="K218" s="234">
        <f t="shared" si="99"/>
        <v>2044</v>
      </c>
      <c r="L218" s="230">
        <f>IF(J218=1,'Model Inputs'!$B$25*(13-'Model Inputs'!$B$23)/12,'Model Inputs'!$B$25)</f>
        <v>300000</v>
      </c>
      <c r="M218" s="230">
        <f>IF(J218=1,'Model Inputs'!$B$27*(13-'Model Inputs'!$B$23)/12,IF(J218=2,'Model Inputs'!$B$27,IF(J218&lt;=MAX(3,'Model Inputs'!$B$30+1),'Model Inputs'!$B$27*(1+'Model Inputs'!$B$28)^(J218-3),'Model Inputs'!$B$27*(1+'Model Inputs'!$B$28)^(MAX(3,'Model Inputs'!$B$30+1)-3)*(1+'Model Inputs'!$B$29)^(J218-MAX(3,'Model Inputs'!$B$30+1)))))</f>
        <v>27237984.409717187</v>
      </c>
      <c r="N218" s="236">
        <f>IF(J218&lt;=2,0,'Model Inputs'!$B$32*SIN(2*PI()*(J218-3+'Model Inputs'!$B$34)/MAX(1,'Model Inputs'!$B$33)))</f>
        <v>0.10392304845413286</v>
      </c>
      <c r="O218" s="230">
        <f t="shared" si="100"/>
        <v>30068638.783321142</v>
      </c>
      <c r="P218" s="230">
        <f t="shared" si="120"/>
        <v>19852239.851888295</v>
      </c>
      <c r="Q218" s="230">
        <f>L218+P218+IF(J218=1,'Model Inputs'!$B$26,0)</f>
        <v>20152239.851888295</v>
      </c>
      <c r="R218" s="230">
        <f t="shared" si="101"/>
        <v>60456719.555664882</v>
      </c>
      <c r="S218" s="230">
        <f t="shared" si="102"/>
        <v>4050000</v>
      </c>
      <c r="T218" s="230">
        <f t="shared" si="103"/>
        <v>4050000</v>
      </c>
      <c r="U218" s="230">
        <f>MIN(T218,'Tax Assumptions'!$B$19)</f>
        <v>24500</v>
      </c>
      <c r="V218" s="230">
        <f>MAX(T218-U218-'Tax Assumptions'!$B$8,0)</f>
        <v>4009400</v>
      </c>
      <c r="W218" s="230">
        <f>MAX(T218-U218-'Tax Assumptions'!$B$9,0)</f>
        <v>4017500</v>
      </c>
      <c r="X218" s="230">
        <f>IF(V218=0,0,LOOKUP(V218,'Tax Assumptions'!$F$9:$F$15,'Tax Assumptions'!$I$9:$I$15)+(V218-LOOKUP(V218,'Tax Assumptions'!$F$9:$F$15,'Tax Assumptions'!$F$9:$F$15))*LOOKUP(V218,'Tax Assumptions'!$F$9:$F$15,'Tax Assumptions'!$H$9:$H$15))+MIN(MAX(T218,0),'Tax Assumptions'!$B$11)*'Tax Assumptions'!$B$10+MAX(T218,0)*'Tax Assumptions'!$B$12+MAX(MAX(T218,0)-'Tax Assumptions'!$B$14,0)*'Tax Assumptions'!$B$13+MIN(T218*'Tax Assumptions'!$B$15,'Tax Assumptions'!$B$16)+MIN(T218*'Tax Assumptions'!$B$17,'Tax Assumptions'!$B$18)+IF(W218=0,0,LOOKUP(W218,'Tax Assumptions'!$K$9:$K$17,'Tax Assumptions'!$N$9:$N$17)+(W218-LOOKUP(W218,'Tax Assumptions'!$K$9:$K$17,'Tax Assumptions'!$K$9:$K$17))*LOOKUP(W218,'Tax Assumptions'!$K$9:$K$17,'Tax Assumptions'!$M$9:$M$17))+IF(W218=0,0,LOOKUP(W218,'Tax Assumptions'!$P$9:$P$12,'Tax Assumptions'!$S$9:$S$12)+(W218-LOOKUP(W218,'Tax Assumptions'!$P$9:$P$12,'Tax Assumptions'!$P$9:$P$12))*LOOKUP(W218,'Tax Assumptions'!$P$9:$P$12,'Tax Assumptions'!$R$9:$R$12))</f>
        <v>2055188.6349999998</v>
      </c>
      <c r="Y218" s="230">
        <f t="shared" si="104"/>
        <v>1970311.3650000002</v>
      </c>
      <c r="Z218" s="230">
        <f>IF(J218&lt;=10,INDEX('Savings Projection'!$BL$19:$BL$28,J218),LOOKUP(2,1/('Savings Projection'!$BL$19:$BL$28&lt;&gt;""),'Savings Projection'!$BL$19:$BL$28))*(1+'Model Inputs'!$B$35)^(J218-1)+IF(J218&lt;=10,INDEX('Savings Projection'!$BM$19:$BM$28,J218),LOOKUP(2,1/('Savings Projection'!$BM$19:$BM$28&lt;&gt;""),'Savings Projection'!$BM$19:$BM$28))*(1+'Model Inputs'!$B$36)^(J218-1)</f>
        <v>221316.29796118743</v>
      </c>
      <c r="AA218" s="230">
        <f t="shared" si="105"/>
        <v>1748995.0670388127</v>
      </c>
      <c r="AB218" s="230">
        <f>MIN(MAX(AA218,0),'Tax Assumptions'!$B$20)</f>
        <v>7500</v>
      </c>
      <c r="AC218" s="230">
        <f t="shared" si="106"/>
        <v>1741495.0670388127</v>
      </c>
      <c r="AD218" s="230">
        <f>MAX(AD217*(1+'Model Inputs'!$B$13)+AC218,0)</f>
        <v>43973196.499578349</v>
      </c>
      <c r="AE218" s="230">
        <f>MAX(AE217*(1+'Model Inputs'!$B$13)+U218+AB218,0)</f>
        <v>1080319.7344467151</v>
      </c>
      <c r="AF218" s="230">
        <f t="shared" si="107"/>
        <v>45053516.234025061</v>
      </c>
      <c r="AG218" s="226" t="str">
        <f t="shared" si="116"/>
        <v/>
      </c>
      <c r="AH218" s="226" t="str">
        <f t="shared" si="117"/>
        <v/>
      </c>
      <c r="AI218" s="226" t="str">
        <f t="shared" si="118"/>
        <v/>
      </c>
      <c r="AJ218" s="226" t="str">
        <f t="shared" si="119"/>
        <v/>
      </c>
    </row>
    <row r="219" spans="1:36" ht="18" customHeight="1" x14ac:dyDescent="0.2">
      <c r="A219" s="226" t="str">
        <f t="shared" si="108"/>
        <v>3Y -&gt; PM Y8 Base</v>
      </c>
      <c r="B219" s="226">
        <f t="shared" si="109"/>
        <v>3</v>
      </c>
      <c r="C219" s="235">
        <f t="shared" si="110"/>
        <v>3</v>
      </c>
      <c r="D219" s="226">
        <f t="shared" si="111"/>
        <v>8</v>
      </c>
      <c r="E219" s="226" t="str">
        <f t="shared" si="112"/>
        <v>Base</v>
      </c>
      <c r="F219" s="230">
        <f t="shared" si="113"/>
        <v>25000000</v>
      </c>
      <c r="G219" s="236">
        <f t="shared" si="114"/>
        <v>0.15</v>
      </c>
      <c r="H219" s="230">
        <f t="shared" si="115"/>
        <v>300000</v>
      </c>
      <c r="I219" s="236">
        <f t="shared" si="98"/>
        <v>0</v>
      </c>
      <c r="J219" s="234">
        <v>20</v>
      </c>
      <c r="K219" s="234">
        <f t="shared" si="99"/>
        <v>2045</v>
      </c>
      <c r="L219" s="230">
        <f>IF(J219=1,'Model Inputs'!$B$25*(13-'Model Inputs'!$B$23)/12,'Model Inputs'!$B$25)</f>
        <v>300000</v>
      </c>
      <c r="M219" s="230">
        <f>IF(J219=1,'Model Inputs'!$B$27*(13-'Model Inputs'!$B$23)/12,IF(J219=2,'Model Inputs'!$B$27,IF(J219&lt;=MAX(3,'Model Inputs'!$B$30+1),'Model Inputs'!$B$27*(1+'Model Inputs'!$B$28)^(J219-3),'Model Inputs'!$B$27*(1+'Model Inputs'!$B$28)^(MAX(3,'Model Inputs'!$B$30+1)-3)*(1+'Model Inputs'!$B$29)^(J219-MAX(3,'Model Inputs'!$B$30+1)))))</f>
        <v>34616139.762586243</v>
      </c>
      <c r="N219" s="236">
        <f>IF(J219&lt;=2,0,'Model Inputs'!$B$32*SIN(2*PI()*(J219-3+'Model Inputs'!$B$34)/MAX(1,'Model Inputs'!$B$33)))</f>
        <v>-0.10392304845413269</v>
      </c>
      <c r="O219" s="230">
        <f t="shared" si="100"/>
        <v>31018724.992743965</v>
      </c>
      <c r="P219" s="230">
        <f t="shared" si="120"/>
        <v>27909585.160209741</v>
      </c>
      <c r="Q219" s="230">
        <f>L219+P219+IF(J219=1,'Model Inputs'!$B$26,0)</f>
        <v>28209585.160209741</v>
      </c>
      <c r="R219" s="230">
        <f t="shared" si="101"/>
        <v>84628755.480629221</v>
      </c>
      <c r="S219" s="230">
        <f t="shared" si="102"/>
        <v>4050000</v>
      </c>
      <c r="T219" s="230">
        <f t="shared" si="103"/>
        <v>4050000</v>
      </c>
      <c r="U219" s="230">
        <f>MIN(T219,'Tax Assumptions'!$B$19)</f>
        <v>24500</v>
      </c>
      <c r="V219" s="230">
        <f>MAX(T219-U219-'Tax Assumptions'!$B$8,0)</f>
        <v>4009400</v>
      </c>
      <c r="W219" s="230">
        <f>MAX(T219-U219-'Tax Assumptions'!$B$9,0)</f>
        <v>4017500</v>
      </c>
      <c r="X219" s="230">
        <f>IF(V219=0,0,LOOKUP(V219,'Tax Assumptions'!$F$9:$F$15,'Tax Assumptions'!$I$9:$I$15)+(V219-LOOKUP(V219,'Tax Assumptions'!$F$9:$F$15,'Tax Assumptions'!$F$9:$F$15))*LOOKUP(V219,'Tax Assumptions'!$F$9:$F$15,'Tax Assumptions'!$H$9:$H$15))+MIN(MAX(T219,0),'Tax Assumptions'!$B$11)*'Tax Assumptions'!$B$10+MAX(T219,0)*'Tax Assumptions'!$B$12+MAX(MAX(T219,0)-'Tax Assumptions'!$B$14,0)*'Tax Assumptions'!$B$13+MIN(T219*'Tax Assumptions'!$B$15,'Tax Assumptions'!$B$16)+MIN(T219*'Tax Assumptions'!$B$17,'Tax Assumptions'!$B$18)+IF(W219=0,0,LOOKUP(W219,'Tax Assumptions'!$K$9:$K$17,'Tax Assumptions'!$N$9:$N$17)+(W219-LOOKUP(W219,'Tax Assumptions'!$K$9:$K$17,'Tax Assumptions'!$K$9:$K$17))*LOOKUP(W219,'Tax Assumptions'!$K$9:$K$17,'Tax Assumptions'!$M$9:$M$17))+IF(W219=0,0,LOOKUP(W219,'Tax Assumptions'!$P$9:$P$12,'Tax Assumptions'!$S$9:$S$12)+(W219-LOOKUP(W219,'Tax Assumptions'!$P$9:$P$12,'Tax Assumptions'!$P$9:$P$12))*LOOKUP(W219,'Tax Assumptions'!$P$9:$P$12,'Tax Assumptions'!$R$9:$R$12))</f>
        <v>2055188.6349999998</v>
      </c>
      <c r="Y219" s="230">
        <f t="shared" si="104"/>
        <v>1970311.3650000002</v>
      </c>
      <c r="Z219" s="230">
        <f>IF(J219&lt;=10,INDEX('Savings Projection'!$BL$19:$BL$28,J219),LOOKUP(2,1/('Savings Projection'!$BL$19:$BL$28&lt;&gt;""),'Savings Projection'!$BL$19:$BL$28))*(1+'Model Inputs'!$B$35)^(J219-1)+IF(J219&lt;=10,INDEX('Savings Projection'!$BM$19:$BM$28,J219),LOOKUP(2,1/('Savings Projection'!$BM$19:$BM$28&lt;&gt;""),'Savings Projection'!$BM$19:$BM$28))*(1+'Model Inputs'!$B$36)^(J219-1)</f>
        <v>227955.78690002306</v>
      </c>
      <c r="AA219" s="230">
        <f t="shared" si="105"/>
        <v>1742355.5780999772</v>
      </c>
      <c r="AB219" s="230">
        <f>MIN(MAX(AA219,0),'Tax Assumptions'!$B$20)</f>
        <v>7500</v>
      </c>
      <c r="AC219" s="230">
        <f t="shared" si="106"/>
        <v>1734855.5780999772</v>
      </c>
      <c r="AD219" s="230">
        <f>MAX(AD218*(1+'Model Inputs'!$B$13)+AC219,0)</f>
        <v>48346443.867653027</v>
      </c>
      <c r="AE219" s="230">
        <f>MAX(AE218*(1+'Model Inputs'!$B$13)+U219+AB219,0)</f>
        <v>1177138.9185135181</v>
      </c>
      <c r="AF219" s="230">
        <f t="shared" si="107"/>
        <v>49523582.786166549</v>
      </c>
      <c r="AG219" s="226" t="str">
        <f t="shared" si="116"/>
        <v/>
      </c>
      <c r="AH219" s="226" t="str">
        <f t="shared" si="117"/>
        <v/>
      </c>
      <c r="AI219" s="226" t="str">
        <f t="shared" si="118"/>
        <v/>
      </c>
      <c r="AJ219" s="226" t="str">
        <f t="shared" si="119"/>
        <v/>
      </c>
    </row>
    <row r="220" spans="1:36" ht="18" customHeight="1" x14ac:dyDescent="0.2">
      <c r="A220" s="226" t="str">
        <f t="shared" si="108"/>
        <v>3Y -&gt; PM Y8 Base</v>
      </c>
      <c r="B220" s="226">
        <f t="shared" si="109"/>
        <v>3</v>
      </c>
      <c r="C220" s="235">
        <f t="shared" si="110"/>
        <v>3</v>
      </c>
      <c r="D220" s="226">
        <f t="shared" si="111"/>
        <v>8</v>
      </c>
      <c r="E220" s="226" t="str">
        <f t="shared" si="112"/>
        <v>Base</v>
      </c>
      <c r="F220" s="230">
        <f t="shared" si="113"/>
        <v>25000000</v>
      </c>
      <c r="G220" s="236">
        <f t="shared" si="114"/>
        <v>0.15</v>
      </c>
      <c r="H220" s="230">
        <f t="shared" si="115"/>
        <v>300000</v>
      </c>
      <c r="I220" s="236">
        <f t="shared" si="98"/>
        <v>0</v>
      </c>
      <c r="J220" s="234">
        <v>21</v>
      </c>
      <c r="K220" s="234">
        <f t="shared" si="99"/>
        <v>2046</v>
      </c>
      <c r="L220" s="230">
        <f>IF(J220=1,'Model Inputs'!$B$25*(13-'Model Inputs'!$B$23)/12,'Model Inputs'!$B$25)</f>
        <v>300000</v>
      </c>
      <c r="M220" s="230">
        <f>IF(J220=1,'Model Inputs'!$B$27*(13-'Model Inputs'!$B$23)/12,IF(J220=2,'Model Inputs'!$B$27,IF(J220&lt;=MAX(3,'Model Inputs'!$B$30+1),'Model Inputs'!$B$27*(1+'Model Inputs'!$B$28)^(J220-3),'Model Inputs'!$B$27*(1+'Model Inputs'!$B$28)^(MAX(3,'Model Inputs'!$B$30+1)-3)*(1+'Model Inputs'!$B$29)^(J220-MAX(3,'Model Inputs'!$B$30+1)))))</f>
        <v>43992870.912849829</v>
      </c>
      <c r="N220" s="236">
        <f>IF(J220&lt;=2,0,'Model Inputs'!$B$32*SIN(2*PI()*(J220-3+'Model Inputs'!$B$34)/MAX(1,'Model Inputs'!$B$33)))</f>
        <v>-1.7634913907721884E-16</v>
      </c>
      <c r="O220" s="230">
        <f t="shared" si="100"/>
        <v>43992870.912849821</v>
      </c>
      <c r="P220" s="230">
        <f t="shared" si="120"/>
        <v>30781203.440388259</v>
      </c>
      <c r="Q220" s="230">
        <f>L220+P220+IF(J220=1,'Model Inputs'!$B$26,0)</f>
        <v>31081203.440388259</v>
      </c>
      <c r="R220" s="230">
        <f t="shared" si="101"/>
        <v>93243610.321164772</v>
      </c>
      <c r="S220" s="230">
        <f t="shared" si="102"/>
        <v>4050000</v>
      </c>
      <c r="T220" s="230">
        <f t="shared" si="103"/>
        <v>4050000</v>
      </c>
      <c r="U220" s="230">
        <f>MIN(T220,'Tax Assumptions'!$B$19)</f>
        <v>24500</v>
      </c>
      <c r="V220" s="230">
        <f>MAX(T220-U220-'Tax Assumptions'!$B$8,0)</f>
        <v>4009400</v>
      </c>
      <c r="W220" s="230">
        <f>MAX(T220-U220-'Tax Assumptions'!$B$9,0)</f>
        <v>4017500</v>
      </c>
      <c r="X220" s="230">
        <f>IF(V220=0,0,LOOKUP(V220,'Tax Assumptions'!$F$9:$F$15,'Tax Assumptions'!$I$9:$I$15)+(V220-LOOKUP(V220,'Tax Assumptions'!$F$9:$F$15,'Tax Assumptions'!$F$9:$F$15))*LOOKUP(V220,'Tax Assumptions'!$F$9:$F$15,'Tax Assumptions'!$H$9:$H$15))+MIN(MAX(T220,0),'Tax Assumptions'!$B$11)*'Tax Assumptions'!$B$10+MAX(T220,0)*'Tax Assumptions'!$B$12+MAX(MAX(T220,0)-'Tax Assumptions'!$B$14,0)*'Tax Assumptions'!$B$13+MIN(T220*'Tax Assumptions'!$B$15,'Tax Assumptions'!$B$16)+MIN(T220*'Tax Assumptions'!$B$17,'Tax Assumptions'!$B$18)+IF(W220=0,0,LOOKUP(W220,'Tax Assumptions'!$K$9:$K$17,'Tax Assumptions'!$N$9:$N$17)+(W220-LOOKUP(W220,'Tax Assumptions'!$K$9:$K$17,'Tax Assumptions'!$K$9:$K$17))*LOOKUP(W220,'Tax Assumptions'!$K$9:$K$17,'Tax Assumptions'!$M$9:$M$17))+IF(W220=0,0,LOOKUP(W220,'Tax Assumptions'!$P$9:$P$12,'Tax Assumptions'!$S$9:$S$12)+(W220-LOOKUP(W220,'Tax Assumptions'!$P$9:$P$12,'Tax Assumptions'!$P$9:$P$12))*LOOKUP(W220,'Tax Assumptions'!$P$9:$P$12,'Tax Assumptions'!$R$9:$R$12))</f>
        <v>2055188.6349999998</v>
      </c>
      <c r="Y220" s="230">
        <f t="shared" si="104"/>
        <v>1970311.3650000002</v>
      </c>
      <c r="Z220" s="230">
        <f>IF(J220&lt;=10,INDEX('Savings Projection'!$BL$19:$BL$28,J220),LOOKUP(2,1/('Savings Projection'!$BL$19:$BL$28&lt;&gt;""),'Savings Projection'!$BL$19:$BL$28))*(1+'Model Inputs'!$B$35)^(J220-1)+IF(J220&lt;=10,INDEX('Savings Projection'!$BM$19:$BM$28,J220),LOOKUP(2,1/('Savings Projection'!$BM$19:$BM$28&lt;&gt;""),'Savings Projection'!$BM$19:$BM$28))*(1+'Model Inputs'!$B$36)^(J220-1)</f>
        <v>234794.46050702373</v>
      </c>
      <c r="AA220" s="230">
        <f t="shared" si="105"/>
        <v>1735516.9044929766</v>
      </c>
      <c r="AB220" s="230">
        <f>MIN(MAX(AA220,0),'Tax Assumptions'!$B$20)</f>
        <v>7500</v>
      </c>
      <c r="AC220" s="230">
        <f t="shared" si="106"/>
        <v>1728016.9044929766</v>
      </c>
      <c r="AD220" s="230">
        <f>MAX(AD219*(1+'Model Inputs'!$B$13)+AC220,0)</f>
        <v>52975247.404205188</v>
      </c>
      <c r="AE220" s="230">
        <f>MAX(AE219*(1+'Model Inputs'!$B$13)+U220+AB220,0)</f>
        <v>1279767.2536243291</v>
      </c>
      <c r="AF220" s="230">
        <f t="shared" si="107"/>
        <v>54255014.657829516</v>
      </c>
      <c r="AG220" s="226" t="str">
        <f t="shared" si="116"/>
        <v/>
      </c>
      <c r="AH220" s="226" t="str">
        <f t="shared" si="117"/>
        <v/>
      </c>
      <c r="AI220" s="226" t="str">
        <f t="shared" si="118"/>
        <v/>
      </c>
      <c r="AJ220" s="226" t="str">
        <f t="shared" si="119"/>
        <v/>
      </c>
    </row>
    <row r="221" spans="1:36" ht="18" customHeight="1" x14ac:dyDescent="0.2">
      <c r="A221" s="226" t="str">
        <f t="shared" si="108"/>
        <v>3Y -&gt; PM Y8 Base</v>
      </c>
      <c r="B221" s="226">
        <f t="shared" si="109"/>
        <v>3</v>
      </c>
      <c r="C221" s="235">
        <f t="shared" si="110"/>
        <v>3</v>
      </c>
      <c r="D221" s="226">
        <f t="shared" si="111"/>
        <v>8</v>
      </c>
      <c r="E221" s="226" t="str">
        <f t="shared" si="112"/>
        <v>Base</v>
      </c>
      <c r="F221" s="230">
        <f t="shared" si="113"/>
        <v>25000000</v>
      </c>
      <c r="G221" s="236">
        <f t="shared" si="114"/>
        <v>0.15</v>
      </c>
      <c r="H221" s="230">
        <f t="shared" si="115"/>
        <v>300000</v>
      </c>
      <c r="I221" s="236">
        <f t="shared" si="98"/>
        <v>0</v>
      </c>
      <c r="J221" s="234">
        <v>22</v>
      </c>
      <c r="K221" s="234">
        <f t="shared" si="99"/>
        <v>2047</v>
      </c>
      <c r="L221" s="230">
        <f>IF(J221=1,'Model Inputs'!$B$25*(13-'Model Inputs'!$B$23)/12,'Model Inputs'!$B$25)</f>
        <v>300000</v>
      </c>
      <c r="M221" s="230">
        <f>IF(J221=1,'Model Inputs'!$B$27*(13-'Model Inputs'!$B$23)/12,IF(J221=2,'Model Inputs'!$B$27,IF(J221&lt;=MAX(3,'Model Inputs'!$B$30+1),'Model Inputs'!$B$27*(1+'Model Inputs'!$B$28)^(J221-3),'Model Inputs'!$B$27*(1+'Model Inputs'!$B$28)^(MAX(3,'Model Inputs'!$B$30+1)-3)*(1+'Model Inputs'!$B$29)^(J221-MAX(3,'Model Inputs'!$B$30+1)))))</f>
        <v>55909546.9462616</v>
      </c>
      <c r="N221" s="236">
        <f>IF(J221&lt;=2,0,'Model Inputs'!$B$32*SIN(2*PI()*(J221-3+'Model Inputs'!$B$34)/MAX(1,'Model Inputs'!$B$33)))</f>
        <v>0.10392304845413287</v>
      </c>
      <c r="O221" s="230">
        <f t="shared" si="100"/>
        <v>61719837.502606563</v>
      </c>
      <c r="P221" s="230">
        <f t="shared" si="120"/>
        <v>40749334.43282336</v>
      </c>
      <c r="Q221" s="230">
        <f>L221+P221+IF(J221=1,'Model Inputs'!$B$26,0)</f>
        <v>41049334.43282336</v>
      </c>
      <c r="R221" s="230">
        <f t="shared" si="101"/>
        <v>123148003.29847008</v>
      </c>
      <c r="S221" s="230">
        <f t="shared" si="102"/>
        <v>4050000</v>
      </c>
      <c r="T221" s="230">
        <f t="shared" si="103"/>
        <v>4050000</v>
      </c>
      <c r="U221" s="230">
        <f>MIN(T221,'Tax Assumptions'!$B$19)</f>
        <v>24500</v>
      </c>
      <c r="V221" s="230">
        <f>MAX(T221-U221-'Tax Assumptions'!$B$8,0)</f>
        <v>4009400</v>
      </c>
      <c r="W221" s="230">
        <f>MAX(T221-U221-'Tax Assumptions'!$B$9,0)</f>
        <v>4017500</v>
      </c>
      <c r="X221" s="230">
        <f>IF(V221=0,0,LOOKUP(V221,'Tax Assumptions'!$F$9:$F$15,'Tax Assumptions'!$I$9:$I$15)+(V221-LOOKUP(V221,'Tax Assumptions'!$F$9:$F$15,'Tax Assumptions'!$F$9:$F$15))*LOOKUP(V221,'Tax Assumptions'!$F$9:$F$15,'Tax Assumptions'!$H$9:$H$15))+MIN(MAX(T221,0),'Tax Assumptions'!$B$11)*'Tax Assumptions'!$B$10+MAX(T221,0)*'Tax Assumptions'!$B$12+MAX(MAX(T221,0)-'Tax Assumptions'!$B$14,0)*'Tax Assumptions'!$B$13+MIN(T221*'Tax Assumptions'!$B$15,'Tax Assumptions'!$B$16)+MIN(T221*'Tax Assumptions'!$B$17,'Tax Assumptions'!$B$18)+IF(W221=0,0,LOOKUP(W221,'Tax Assumptions'!$K$9:$K$17,'Tax Assumptions'!$N$9:$N$17)+(W221-LOOKUP(W221,'Tax Assumptions'!$K$9:$K$17,'Tax Assumptions'!$K$9:$K$17))*LOOKUP(W221,'Tax Assumptions'!$K$9:$K$17,'Tax Assumptions'!$M$9:$M$17))+IF(W221=0,0,LOOKUP(W221,'Tax Assumptions'!$P$9:$P$12,'Tax Assumptions'!$S$9:$S$12)+(W221-LOOKUP(W221,'Tax Assumptions'!$P$9:$P$12,'Tax Assumptions'!$P$9:$P$12))*LOOKUP(W221,'Tax Assumptions'!$P$9:$P$12,'Tax Assumptions'!$R$9:$R$12))</f>
        <v>2055188.6349999998</v>
      </c>
      <c r="Y221" s="230">
        <f t="shared" si="104"/>
        <v>1970311.3650000002</v>
      </c>
      <c r="Z221" s="230">
        <f>IF(J221&lt;=10,INDEX('Savings Projection'!$BL$19:$BL$28,J221),LOOKUP(2,1/('Savings Projection'!$BL$19:$BL$28&lt;&gt;""),'Savings Projection'!$BL$19:$BL$28))*(1+'Model Inputs'!$B$35)^(J221-1)+IF(J221&lt;=10,INDEX('Savings Projection'!$BM$19:$BM$28,J221),LOOKUP(2,1/('Savings Projection'!$BM$19:$BM$28&lt;&gt;""),'Savings Projection'!$BM$19:$BM$28))*(1+'Model Inputs'!$B$36)^(J221-1)</f>
        <v>241838.2943222344</v>
      </c>
      <c r="AA221" s="230">
        <f t="shared" si="105"/>
        <v>1728473.0706777659</v>
      </c>
      <c r="AB221" s="230">
        <f>MIN(MAX(AA221,0),'Tax Assumptions'!$B$20)</f>
        <v>7500</v>
      </c>
      <c r="AC221" s="230">
        <f t="shared" si="106"/>
        <v>1720973.0706777659</v>
      </c>
      <c r="AD221" s="230">
        <f>MAX(AD220*(1+'Model Inputs'!$B$13)+AC221,0)</f>
        <v>57874735.319135264</v>
      </c>
      <c r="AE221" s="230">
        <f>MAX(AE220*(1+'Model Inputs'!$B$13)+U221+AB221,0)</f>
        <v>1388553.2888417889</v>
      </c>
      <c r="AF221" s="230">
        <f t="shared" si="107"/>
        <v>59263288.607977055</v>
      </c>
      <c r="AG221" s="226" t="str">
        <f t="shared" si="116"/>
        <v/>
      </c>
      <c r="AH221" s="226" t="str">
        <f t="shared" si="117"/>
        <v/>
      </c>
      <c r="AI221" s="226" t="str">
        <f t="shared" si="118"/>
        <v/>
      </c>
      <c r="AJ221" s="226" t="str">
        <f t="shared" si="119"/>
        <v/>
      </c>
    </row>
    <row r="222" spans="1:36" ht="18" customHeight="1" x14ac:dyDescent="0.2">
      <c r="A222" s="226" t="str">
        <f t="shared" si="108"/>
        <v>3Y -&gt; PM Y8 Base</v>
      </c>
      <c r="B222" s="226">
        <f t="shared" si="109"/>
        <v>3</v>
      </c>
      <c r="C222" s="235">
        <f t="shared" si="110"/>
        <v>3</v>
      </c>
      <c r="D222" s="226">
        <f t="shared" si="111"/>
        <v>8</v>
      </c>
      <c r="E222" s="226" t="str">
        <f t="shared" si="112"/>
        <v>Base</v>
      </c>
      <c r="F222" s="230">
        <f t="shared" si="113"/>
        <v>25000000</v>
      </c>
      <c r="G222" s="236">
        <f t="shared" si="114"/>
        <v>0.15</v>
      </c>
      <c r="H222" s="230">
        <f t="shared" si="115"/>
        <v>300000</v>
      </c>
      <c r="I222" s="236">
        <f t="shared" si="98"/>
        <v>0</v>
      </c>
      <c r="J222" s="234">
        <v>23</v>
      </c>
      <c r="K222" s="234">
        <f t="shared" si="99"/>
        <v>2048</v>
      </c>
      <c r="L222" s="230">
        <f>IF(J222=1,'Model Inputs'!$B$25*(13-'Model Inputs'!$B$23)/12,'Model Inputs'!$B$25)</f>
        <v>300000</v>
      </c>
      <c r="M222" s="230">
        <f>IF(J222=1,'Model Inputs'!$B$27*(13-'Model Inputs'!$B$23)/12,IF(J222=2,'Model Inputs'!$B$27,IF(J222&lt;=MAX(3,'Model Inputs'!$B$30+1),'Model Inputs'!$B$27*(1+'Model Inputs'!$B$28)^(J222-3),'Model Inputs'!$B$27*(1+'Model Inputs'!$B$28)^(MAX(3,'Model Inputs'!$B$30+1)-3)*(1+'Model Inputs'!$B$29)^(J222-MAX(3,'Model Inputs'!$B$30+1)))))</f>
        <v>71054181.617940187</v>
      </c>
      <c r="N222" s="236">
        <f>IF(J222&lt;=2,0,'Model Inputs'!$B$32*SIN(2*PI()*(J222-3+'Model Inputs'!$B$34)/MAX(1,'Model Inputs'!$B$33)))</f>
        <v>-0.10392304845413268</v>
      </c>
      <c r="O222" s="230">
        <f t="shared" si="100"/>
        <v>63670014.458790243</v>
      </c>
      <c r="P222" s="230">
        <f t="shared" si="120"/>
        <v>57288095.855167374</v>
      </c>
      <c r="Q222" s="230">
        <f>L222+P222+IF(J222=1,'Model Inputs'!$B$26,0)</f>
        <v>57588095.855167374</v>
      </c>
      <c r="R222" s="230">
        <f t="shared" si="101"/>
        <v>172764287.56550211</v>
      </c>
      <c r="S222" s="230">
        <f t="shared" si="102"/>
        <v>4050000</v>
      </c>
      <c r="T222" s="230">
        <f t="shared" si="103"/>
        <v>4050000</v>
      </c>
      <c r="U222" s="230">
        <f>MIN(T222,'Tax Assumptions'!$B$19)</f>
        <v>24500</v>
      </c>
      <c r="V222" s="230">
        <f>MAX(T222-U222-'Tax Assumptions'!$B$8,0)</f>
        <v>4009400</v>
      </c>
      <c r="W222" s="230">
        <f>MAX(T222-U222-'Tax Assumptions'!$B$9,0)</f>
        <v>4017500</v>
      </c>
      <c r="X222" s="230">
        <f>IF(V222=0,0,LOOKUP(V222,'Tax Assumptions'!$F$9:$F$15,'Tax Assumptions'!$I$9:$I$15)+(V222-LOOKUP(V222,'Tax Assumptions'!$F$9:$F$15,'Tax Assumptions'!$F$9:$F$15))*LOOKUP(V222,'Tax Assumptions'!$F$9:$F$15,'Tax Assumptions'!$H$9:$H$15))+MIN(MAX(T222,0),'Tax Assumptions'!$B$11)*'Tax Assumptions'!$B$10+MAX(T222,0)*'Tax Assumptions'!$B$12+MAX(MAX(T222,0)-'Tax Assumptions'!$B$14,0)*'Tax Assumptions'!$B$13+MIN(T222*'Tax Assumptions'!$B$15,'Tax Assumptions'!$B$16)+MIN(T222*'Tax Assumptions'!$B$17,'Tax Assumptions'!$B$18)+IF(W222=0,0,LOOKUP(W222,'Tax Assumptions'!$K$9:$K$17,'Tax Assumptions'!$N$9:$N$17)+(W222-LOOKUP(W222,'Tax Assumptions'!$K$9:$K$17,'Tax Assumptions'!$K$9:$K$17))*LOOKUP(W222,'Tax Assumptions'!$K$9:$K$17,'Tax Assumptions'!$M$9:$M$17))+IF(W222=0,0,LOOKUP(W222,'Tax Assumptions'!$P$9:$P$12,'Tax Assumptions'!$S$9:$S$12)+(W222-LOOKUP(W222,'Tax Assumptions'!$P$9:$P$12,'Tax Assumptions'!$P$9:$P$12))*LOOKUP(W222,'Tax Assumptions'!$P$9:$P$12,'Tax Assumptions'!$R$9:$R$12))</f>
        <v>2055188.6349999998</v>
      </c>
      <c r="Y222" s="230">
        <f t="shared" si="104"/>
        <v>1970311.3650000002</v>
      </c>
      <c r="Z222" s="230">
        <f>IF(J222&lt;=10,INDEX('Savings Projection'!$BL$19:$BL$28,J222),LOOKUP(2,1/('Savings Projection'!$BL$19:$BL$28&lt;&gt;""),'Savings Projection'!$BL$19:$BL$28))*(1+'Model Inputs'!$B$35)^(J222-1)+IF(J222&lt;=10,INDEX('Savings Projection'!$BM$19:$BM$28,J222),LOOKUP(2,1/('Savings Projection'!$BM$19:$BM$28&lt;&gt;""),'Savings Projection'!$BM$19:$BM$28))*(1+'Model Inputs'!$B$36)^(J222-1)</f>
        <v>249093.44315190148</v>
      </c>
      <c r="AA222" s="230">
        <f t="shared" si="105"/>
        <v>1721217.9218480987</v>
      </c>
      <c r="AB222" s="230">
        <f>MIN(MAX(AA222,0),'Tax Assumptions'!$B$20)</f>
        <v>7500</v>
      </c>
      <c r="AC222" s="230">
        <f t="shared" si="106"/>
        <v>1713717.9218480987</v>
      </c>
      <c r="AD222" s="230">
        <f>MAX(AD221*(1+'Model Inputs'!$B$13)+AC222,0)</f>
        <v>63060937.36013148</v>
      </c>
      <c r="AE222" s="230">
        <f>MAX(AE221*(1+'Model Inputs'!$B$13)+U222+AB222,0)</f>
        <v>1503866.4861722963</v>
      </c>
      <c r="AF222" s="230">
        <f t="shared" si="107"/>
        <v>64564803.846303776</v>
      </c>
      <c r="AG222" s="226" t="str">
        <f t="shared" si="116"/>
        <v/>
      </c>
      <c r="AH222" s="226" t="str">
        <f t="shared" si="117"/>
        <v/>
      </c>
      <c r="AI222" s="226" t="str">
        <f t="shared" si="118"/>
        <v/>
      </c>
      <c r="AJ222" s="226" t="str">
        <f t="shared" si="119"/>
        <v/>
      </c>
    </row>
    <row r="223" spans="1:36" ht="18" customHeight="1" x14ac:dyDescent="0.2">
      <c r="A223" s="226" t="str">
        <f t="shared" si="108"/>
        <v>3Y -&gt; PM Y8 Base</v>
      </c>
      <c r="B223" s="226">
        <f t="shared" si="109"/>
        <v>3</v>
      </c>
      <c r="C223" s="235">
        <f t="shared" si="110"/>
        <v>3</v>
      </c>
      <c r="D223" s="226">
        <f t="shared" si="111"/>
        <v>8</v>
      </c>
      <c r="E223" s="226" t="str">
        <f t="shared" si="112"/>
        <v>Base</v>
      </c>
      <c r="F223" s="230">
        <f t="shared" si="113"/>
        <v>25000000</v>
      </c>
      <c r="G223" s="236">
        <f t="shared" si="114"/>
        <v>0.15</v>
      </c>
      <c r="H223" s="230">
        <f t="shared" si="115"/>
        <v>300000</v>
      </c>
      <c r="I223" s="236">
        <f t="shared" si="98"/>
        <v>0</v>
      </c>
      <c r="J223" s="234">
        <v>24</v>
      </c>
      <c r="K223" s="234">
        <f t="shared" si="99"/>
        <v>2049</v>
      </c>
      <c r="L223" s="230">
        <f>IF(J223=1,'Model Inputs'!$B$25*(13-'Model Inputs'!$B$23)/12,'Model Inputs'!$B$25)</f>
        <v>300000</v>
      </c>
      <c r="M223" s="230">
        <f>IF(J223=1,'Model Inputs'!$B$27*(13-'Model Inputs'!$B$23)/12,IF(J223=2,'Model Inputs'!$B$27,IF(J223&lt;=MAX(3,'Model Inputs'!$B$30+1),'Model Inputs'!$B$27*(1+'Model Inputs'!$B$28)^(J223-3),'Model Inputs'!$B$27*(1+'Model Inputs'!$B$28)^(MAX(3,'Model Inputs'!$B$30+1)-3)*(1+'Model Inputs'!$B$29)^(J223-MAX(3,'Model Inputs'!$B$30+1)))))</f>
        <v>90301156.084270701</v>
      </c>
      <c r="N223" s="236">
        <f>IF(J223&lt;=2,0,'Model Inputs'!$B$32*SIN(2*PI()*(J223-3+'Model Inputs'!$B$34)/MAX(1,'Model Inputs'!$B$33)))</f>
        <v>-2.0574066225675533E-16</v>
      </c>
      <c r="O223" s="230">
        <f t="shared" si="100"/>
        <v>90301156.084270686</v>
      </c>
      <c r="P223" s="230">
        <f t="shared" si="120"/>
        <v>63182470.219744325</v>
      </c>
      <c r="Q223" s="230">
        <f>L223+P223+IF(J223=1,'Model Inputs'!$B$26,0)</f>
        <v>63482470.219744325</v>
      </c>
      <c r="R223" s="230">
        <f t="shared" si="101"/>
        <v>190447410.65923297</v>
      </c>
      <c r="S223" s="230">
        <f t="shared" si="102"/>
        <v>4050000</v>
      </c>
      <c r="T223" s="230">
        <f t="shared" si="103"/>
        <v>4050000</v>
      </c>
      <c r="U223" s="230">
        <f>MIN(T223,'Tax Assumptions'!$B$19)</f>
        <v>24500</v>
      </c>
      <c r="V223" s="230">
        <f>MAX(T223-U223-'Tax Assumptions'!$B$8,0)</f>
        <v>4009400</v>
      </c>
      <c r="W223" s="230">
        <f>MAX(T223-U223-'Tax Assumptions'!$B$9,0)</f>
        <v>4017500</v>
      </c>
      <c r="X223" s="230">
        <f>IF(V223=0,0,LOOKUP(V223,'Tax Assumptions'!$F$9:$F$15,'Tax Assumptions'!$I$9:$I$15)+(V223-LOOKUP(V223,'Tax Assumptions'!$F$9:$F$15,'Tax Assumptions'!$F$9:$F$15))*LOOKUP(V223,'Tax Assumptions'!$F$9:$F$15,'Tax Assumptions'!$H$9:$H$15))+MIN(MAX(T223,0),'Tax Assumptions'!$B$11)*'Tax Assumptions'!$B$10+MAX(T223,0)*'Tax Assumptions'!$B$12+MAX(MAX(T223,0)-'Tax Assumptions'!$B$14,0)*'Tax Assumptions'!$B$13+MIN(T223*'Tax Assumptions'!$B$15,'Tax Assumptions'!$B$16)+MIN(T223*'Tax Assumptions'!$B$17,'Tax Assumptions'!$B$18)+IF(W223=0,0,LOOKUP(W223,'Tax Assumptions'!$K$9:$K$17,'Tax Assumptions'!$N$9:$N$17)+(W223-LOOKUP(W223,'Tax Assumptions'!$K$9:$K$17,'Tax Assumptions'!$K$9:$K$17))*LOOKUP(W223,'Tax Assumptions'!$K$9:$K$17,'Tax Assumptions'!$M$9:$M$17))+IF(W223=0,0,LOOKUP(W223,'Tax Assumptions'!$P$9:$P$12,'Tax Assumptions'!$S$9:$S$12)+(W223-LOOKUP(W223,'Tax Assumptions'!$P$9:$P$12,'Tax Assumptions'!$P$9:$P$12))*LOOKUP(W223,'Tax Assumptions'!$P$9:$P$12,'Tax Assumptions'!$R$9:$R$12))</f>
        <v>2055188.6349999998</v>
      </c>
      <c r="Y223" s="230">
        <f t="shared" si="104"/>
        <v>1970311.3650000002</v>
      </c>
      <c r="Z223" s="230">
        <f>IF(J223&lt;=10,INDEX('Savings Projection'!$BL$19:$BL$28,J223),LOOKUP(2,1/('Savings Projection'!$BL$19:$BL$28&lt;&gt;""),'Savings Projection'!$BL$19:$BL$28))*(1+'Model Inputs'!$B$35)^(J223-1)+IF(J223&lt;=10,INDEX('Savings Projection'!$BM$19:$BM$28,J223),LOOKUP(2,1/('Savings Projection'!$BM$19:$BM$28&lt;&gt;""),'Savings Projection'!$BM$19:$BM$28))*(1+'Model Inputs'!$B$36)^(J223-1)</f>
        <v>256566.24644645851</v>
      </c>
      <c r="AA223" s="230">
        <f t="shared" si="105"/>
        <v>1713745.1185535416</v>
      </c>
      <c r="AB223" s="230">
        <f>MIN(MAX(AA223,0),'Tax Assumptions'!$B$20)</f>
        <v>7500</v>
      </c>
      <c r="AC223" s="230">
        <f t="shared" si="106"/>
        <v>1706245.1185535416</v>
      </c>
      <c r="AD223" s="230">
        <f>MAX(AD222*(1+'Model Inputs'!$B$13)+AC223,0)</f>
        <v>68550838.720292911</v>
      </c>
      <c r="AE223" s="230">
        <f>MAX(AE222*(1+'Model Inputs'!$B$13)+U223+AB223,0)</f>
        <v>1626098.4753426341</v>
      </c>
      <c r="AF223" s="230">
        <f t="shared" si="107"/>
        <v>70176937.195635542</v>
      </c>
      <c r="AG223" s="226" t="str">
        <f t="shared" si="116"/>
        <v/>
      </c>
      <c r="AH223" s="226" t="str">
        <f t="shared" si="117"/>
        <v/>
      </c>
      <c r="AI223" s="226" t="str">
        <f t="shared" si="118"/>
        <v/>
      </c>
      <c r="AJ223" s="226" t="str">
        <f t="shared" si="119"/>
        <v/>
      </c>
    </row>
    <row r="224" spans="1:36" ht="18" customHeight="1" x14ac:dyDescent="0.2">
      <c r="A224" s="226" t="str">
        <f t="shared" si="108"/>
        <v>3Y -&gt; PM Y8 Base</v>
      </c>
      <c r="B224" s="226">
        <f t="shared" si="109"/>
        <v>3</v>
      </c>
      <c r="C224" s="235">
        <f t="shared" si="110"/>
        <v>3</v>
      </c>
      <c r="D224" s="226">
        <f t="shared" si="111"/>
        <v>8</v>
      </c>
      <c r="E224" s="226" t="str">
        <f t="shared" si="112"/>
        <v>Base</v>
      </c>
      <c r="F224" s="230">
        <f t="shared" si="113"/>
        <v>25000000</v>
      </c>
      <c r="G224" s="236">
        <f t="shared" si="114"/>
        <v>0.15</v>
      </c>
      <c r="H224" s="230">
        <f t="shared" si="115"/>
        <v>300000</v>
      </c>
      <c r="I224" s="236">
        <f t="shared" si="98"/>
        <v>0</v>
      </c>
      <c r="J224" s="234">
        <v>25</v>
      </c>
      <c r="K224" s="234">
        <f t="shared" si="99"/>
        <v>2050</v>
      </c>
      <c r="L224" s="230">
        <f>IF(J224=1,'Model Inputs'!$B$25*(13-'Model Inputs'!$B$23)/12,'Model Inputs'!$B$25)</f>
        <v>300000</v>
      </c>
      <c r="M224" s="230">
        <f>IF(J224=1,'Model Inputs'!$B$27*(13-'Model Inputs'!$B$23)/12,IF(J224=2,'Model Inputs'!$B$27,IF(J224&lt;=MAX(3,'Model Inputs'!$B$30+1),'Model Inputs'!$B$27*(1+'Model Inputs'!$B$28)^(J224-3),'Model Inputs'!$B$27*(1+'Model Inputs'!$B$28)^(MAX(3,'Model Inputs'!$B$30+1)-3)*(1+'Model Inputs'!$B$29)^(J224-MAX(3,'Model Inputs'!$B$30+1)))))</f>
        <v>114761701.62653697</v>
      </c>
      <c r="N224" s="236">
        <f>IF(J224&lt;=2,0,'Model Inputs'!$B$32*SIN(2*PI()*(J224-3+'Model Inputs'!$B$34)/MAX(1,'Model Inputs'!$B$33)))</f>
        <v>0.10392304845413287</v>
      </c>
      <c r="O224" s="230">
        <f t="shared" si="100"/>
        <v>126688087.50535031</v>
      </c>
      <c r="P224" s="230">
        <f t="shared" si="120"/>
        <v>83643370.677900568</v>
      </c>
      <c r="Q224" s="230">
        <f>L224+P224+IF(J224=1,'Model Inputs'!$B$26,0)</f>
        <v>83943370.677900568</v>
      </c>
      <c r="R224" s="230">
        <f t="shared" si="101"/>
        <v>251830112.03370172</v>
      </c>
      <c r="S224" s="230">
        <f t="shared" si="102"/>
        <v>4050000</v>
      </c>
      <c r="T224" s="230">
        <f t="shared" si="103"/>
        <v>4050000</v>
      </c>
      <c r="U224" s="230">
        <f>MIN(T224,'Tax Assumptions'!$B$19)</f>
        <v>24500</v>
      </c>
      <c r="V224" s="230">
        <f>MAX(T224-U224-'Tax Assumptions'!$B$8,0)</f>
        <v>4009400</v>
      </c>
      <c r="W224" s="230">
        <f>MAX(T224-U224-'Tax Assumptions'!$B$9,0)</f>
        <v>4017500</v>
      </c>
      <c r="X224" s="230">
        <f>IF(V224=0,0,LOOKUP(V224,'Tax Assumptions'!$F$9:$F$15,'Tax Assumptions'!$I$9:$I$15)+(V224-LOOKUP(V224,'Tax Assumptions'!$F$9:$F$15,'Tax Assumptions'!$F$9:$F$15))*LOOKUP(V224,'Tax Assumptions'!$F$9:$F$15,'Tax Assumptions'!$H$9:$H$15))+MIN(MAX(T224,0),'Tax Assumptions'!$B$11)*'Tax Assumptions'!$B$10+MAX(T224,0)*'Tax Assumptions'!$B$12+MAX(MAX(T224,0)-'Tax Assumptions'!$B$14,0)*'Tax Assumptions'!$B$13+MIN(T224*'Tax Assumptions'!$B$15,'Tax Assumptions'!$B$16)+MIN(T224*'Tax Assumptions'!$B$17,'Tax Assumptions'!$B$18)+IF(W224=0,0,LOOKUP(W224,'Tax Assumptions'!$K$9:$K$17,'Tax Assumptions'!$N$9:$N$17)+(W224-LOOKUP(W224,'Tax Assumptions'!$K$9:$K$17,'Tax Assumptions'!$K$9:$K$17))*LOOKUP(W224,'Tax Assumptions'!$K$9:$K$17,'Tax Assumptions'!$M$9:$M$17))+IF(W224=0,0,LOOKUP(W224,'Tax Assumptions'!$P$9:$P$12,'Tax Assumptions'!$S$9:$S$12)+(W224-LOOKUP(W224,'Tax Assumptions'!$P$9:$P$12,'Tax Assumptions'!$P$9:$P$12))*LOOKUP(W224,'Tax Assumptions'!$P$9:$P$12,'Tax Assumptions'!$R$9:$R$12))</f>
        <v>2055188.6349999998</v>
      </c>
      <c r="Y224" s="230">
        <f t="shared" si="104"/>
        <v>1970311.3650000002</v>
      </c>
      <c r="Z224" s="230">
        <f>IF(J224&lt;=10,INDEX('Savings Projection'!$BL$19:$BL$28,J224),LOOKUP(2,1/('Savings Projection'!$BL$19:$BL$28&lt;&gt;""),'Savings Projection'!$BL$19:$BL$28))*(1+'Model Inputs'!$B$35)^(J224-1)+IF(J224&lt;=10,INDEX('Savings Projection'!$BM$19:$BM$28,J224),LOOKUP(2,1/('Savings Projection'!$BM$19:$BM$28&lt;&gt;""),'Savings Projection'!$BM$19:$BM$28))*(1+'Model Inputs'!$B$36)^(J224-1)</f>
        <v>264263.23383985227</v>
      </c>
      <c r="AA224" s="230">
        <f t="shared" si="105"/>
        <v>1706048.131160148</v>
      </c>
      <c r="AB224" s="230">
        <f>MIN(MAX(AA224,0),'Tax Assumptions'!$B$20)</f>
        <v>7500</v>
      </c>
      <c r="AC224" s="230">
        <f t="shared" si="106"/>
        <v>1698548.131160148</v>
      </c>
      <c r="AD224" s="230">
        <f>MAX(AD223*(1+'Model Inputs'!$B$13)+AC224,0)</f>
        <v>74362437.174670652</v>
      </c>
      <c r="AE224" s="230">
        <f>MAX(AE223*(1+'Model Inputs'!$B$13)+U224+AB224,0)</f>
        <v>1755664.3838631923</v>
      </c>
      <c r="AF224" s="230">
        <f t="shared" si="107"/>
        <v>76118101.558533847</v>
      </c>
      <c r="AG224" s="226" t="str">
        <f t="shared" si="116"/>
        <v/>
      </c>
      <c r="AH224" s="226" t="str">
        <f t="shared" si="117"/>
        <v/>
      </c>
      <c r="AI224" s="226" t="str">
        <f t="shared" si="118"/>
        <v/>
      </c>
      <c r="AJ224" s="226" t="str">
        <f t="shared" si="119"/>
        <v/>
      </c>
    </row>
    <row r="225" spans="1:36" ht="18" customHeight="1" x14ac:dyDescent="0.2">
      <c r="A225" s="226" t="str">
        <f t="shared" si="108"/>
        <v>3Y -&gt; PM Y8 Base</v>
      </c>
      <c r="B225" s="226">
        <f t="shared" si="109"/>
        <v>3</v>
      </c>
      <c r="C225" s="235">
        <f t="shared" si="110"/>
        <v>3</v>
      </c>
      <c r="D225" s="226">
        <f t="shared" si="111"/>
        <v>8</v>
      </c>
      <c r="E225" s="226" t="str">
        <f t="shared" si="112"/>
        <v>Base</v>
      </c>
      <c r="F225" s="230">
        <f t="shared" si="113"/>
        <v>25000000</v>
      </c>
      <c r="G225" s="236">
        <f t="shared" si="114"/>
        <v>0.15</v>
      </c>
      <c r="H225" s="230">
        <f t="shared" si="115"/>
        <v>300000</v>
      </c>
      <c r="I225" s="236">
        <f t="shared" si="98"/>
        <v>0</v>
      </c>
      <c r="J225" s="234">
        <v>26</v>
      </c>
      <c r="K225" s="234">
        <f t="shared" si="99"/>
        <v>2051</v>
      </c>
      <c r="L225" s="230">
        <f>IF(J225=1,'Model Inputs'!$B$25*(13-'Model Inputs'!$B$23)/12,'Model Inputs'!$B$25)</f>
        <v>300000</v>
      </c>
      <c r="M225" s="230">
        <f>IF(J225=1,'Model Inputs'!$B$27*(13-'Model Inputs'!$B$23)/12,IF(J225=2,'Model Inputs'!$B$27,IF(J225&lt;=MAX(3,'Model Inputs'!$B$30+1),'Model Inputs'!$B$27*(1+'Model Inputs'!$B$28)^(J225-3),'Model Inputs'!$B$27*(1+'Model Inputs'!$B$28)^(MAX(3,'Model Inputs'!$B$30+1)-3)*(1+'Model Inputs'!$B$29)^(J225-MAX(3,'Model Inputs'!$B$30+1)))))</f>
        <v>145848057.00524563</v>
      </c>
      <c r="N225" s="236">
        <f>IF(J225&lt;=2,0,'Model Inputs'!$B$32*SIN(2*PI()*(J225-3+'Model Inputs'!$B$34)/MAX(1,'Model Inputs'!$B$33)))</f>
        <v>-0.10392304845413224</v>
      </c>
      <c r="O225" s="230">
        <f t="shared" si="100"/>
        <v>130691082.31014845</v>
      </c>
      <c r="P225" s="230">
        <f t="shared" si="120"/>
        <v>117591354.65008041</v>
      </c>
      <c r="Q225" s="230">
        <f>L225+P225+IF(J225=1,'Model Inputs'!$B$26,0)</f>
        <v>117891354.65008041</v>
      </c>
      <c r="R225" s="230">
        <f t="shared" si="101"/>
        <v>353674063.95024121</v>
      </c>
      <c r="S225" s="230">
        <f t="shared" si="102"/>
        <v>4050000</v>
      </c>
      <c r="T225" s="230">
        <f t="shared" si="103"/>
        <v>4050000</v>
      </c>
      <c r="U225" s="230">
        <f>MIN(T225,'Tax Assumptions'!$B$19)</f>
        <v>24500</v>
      </c>
      <c r="V225" s="230">
        <f>MAX(T225-U225-'Tax Assumptions'!$B$8,0)</f>
        <v>4009400</v>
      </c>
      <c r="W225" s="230">
        <f>MAX(T225-U225-'Tax Assumptions'!$B$9,0)</f>
        <v>4017500</v>
      </c>
      <c r="X225" s="230">
        <f>IF(V225=0,0,LOOKUP(V225,'Tax Assumptions'!$F$9:$F$15,'Tax Assumptions'!$I$9:$I$15)+(V225-LOOKUP(V225,'Tax Assumptions'!$F$9:$F$15,'Tax Assumptions'!$F$9:$F$15))*LOOKUP(V225,'Tax Assumptions'!$F$9:$F$15,'Tax Assumptions'!$H$9:$H$15))+MIN(MAX(T225,0),'Tax Assumptions'!$B$11)*'Tax Assumptions'!$B$10+MAX(T225,0)*'Tax Assumptions'!$B$12+MAX(MAX(T225,0)-'Tax Assumptions'!$B$14,0)*'Tax Assumptions'!$B$13+MIN(T225*'Tax Assumptions'!$B$15,'Tax Assumptions'!$B$16)+MIN(T225*'Tax Assumptions'!$B$17,'Tax Assumptions'!$B$18)+IF(W225=0,0,LOOKUP(W225,'Tax Assumptions'!$K$9:$K$17,'Tax Assumptions'!$N$9:$N$17)+(W225-LOOKUP(W225,'Tax Assumptions'!$K$9:$K$17,'Tax Assumptions'!$K$9:$K$17))*LOOKUP(W225,'Tax Assumptions'!$K$9:$K$17,'Tax Assumptions'!$M$9:$M$17))+IF(W225=0,0,LOOKUP(W225,'Tax Assumptions'!$P$9:$P$12,'Tax Assumptions'!$S$9:$S$12)+(W225-LOOKUP(W225,'Tax Assumptions'!$P$9:$P$12,'Tax Assumptions'!$P$9:$P$12))*LOOKUP(W225,'Tax Assumptions'!$P$9:$P$12,'Tax Assumptions'!$R$9:$R$12))</f>
        <v>2055188.6349999998</v>
      </c>
      <c r="Y225" s="230">
        <f t="shared" si="104"/>
        <v>1970311.3650000002</v>
      </c>
      <c r="Z225" s="230">
        <f>IF(J225&lt;=10,INDEX('Savings Projection'!$BL$19:$BL$28,J225),LOOKUP(2,1/('Savings Projection'!$BL$19:$BL$28&lt;&gt;""),'Savings Projection'!$BL$19:$BL$28))*(1+'Model Inputs'!$B$35)^(J225-1)+IF(J225&lt;=10,INDEX('Savings Projection'!$BM$19:$BM$28,J225),LOOKUP(2,1/('Savings Projection'!$BM$19:$BM$28&lt;&gt;""),'Savings Projection'!$BM$19:$BM$28))*(1+'Model Inputs'!$B$36)^(J225-1)</f>
        <v>272191.13085504784</v>
      </c>
      <c r="AA225" s="230">
        <f t="shared" si="105"/>
        <v>1698120.2341449524</v>
      </c>
      <c r="AB225" s="230">
        <f>MIN(MAX(AA225,0),'Tax Assumptions'!$B$20)</f>
        <v>7500</v>
      </c>
      <c r="AC225" s="230">
        <f t="shared" si="106"/>
        <v>1690620.2341449524</v>
      </c>
      <c r="AD225" s="230">
        <f>MAX(AD224*(1+'Model Inputs'!$B$13)+AC225,0)</f>
        <v>80514803.639295846</v>
      </c>
      <c r="AE225" s="230">
        <f>MAX(AE224*(1+'Model Inputs'!$B$13)+U225+AB225,0)</f>
        <v>1893004.2468949838</v>
      </c>
      <c r="AF225" s="230">
        <f t="shared" si="107"/>
        <v>82407807.886190832</v>
      </c>
      <c r="AG225" s="226" t="str">
        <f t="shared" si="116"/>
        <v/>
      </c>
      <c r="AH225" s="226" t="str">
        <f t="shared" si="117"/>
        <v/>
      </c>
      <c r="AI225" s="226" t="str">
        <f t="shared" si="118"/>
        <v/>
      </c>
      <c r="AJ225" s="226" t="str">
        <f t="shared" si="119"/>
        <v/>
      </c>
    </row>
    <row r="226" spans="1:36" ht="18" customHeight="1" x14ac:dyDescent="0.2">
      <c r="A226" s="226" t="str">
        <f t="shared" si="108"/>
        <v>3Y -&gt; PM Y8 Base</v>
      </c>
      <c r="B226" s="226">
        <f t="shared" si="109"/>
        <v>3</v>
      </c>
      <c r="C226" s="235">
        <f t="shared" si="110"/>
        <v>3</v>
      </c>
      <c r="D226" s="226">
        <f t="shared" si="111"/>
        <v>8</v>
      </c>
      <c r="E226" s="226" t="str">
        <f t="shared" si="112"/>
        <v>Base</v>
      </c>
      <c r="F226" s="230">
        <f t="shared" si="113"/>
        <v>25000000</v>
      </c>
      <c r="G226" s="236">
        <f t="shared" si="114"/>
        <v>0.15</v>
      </c>
      <c r="H226" s="230">
        <f t="shared" si="115"/>
        <v>300000</v>
      </c>
      <c r="I226" s="236">
        <f t="shared" si="98"/>
        <v>0</v>
      </c>
      <c r="J226" s="234">
        <v>27</v>
      </c>
      <c r="K226" s="234">
        <f t="shared" si="99"/>
        <v>2052</v>
      </c>
      <c r="L226" s="230">
        <f>IF(J226=1,'Model Inputs'!$B$25*(13-'Model Inputs'!$B$23)/12,'Model Inputs'!$B$25)</f>
        <v>300000</v>
      </c>
      <c r="M226" s="230">
        <f>IF(J226=1,'Model Inputs'!$B$27*(13-'Model Inputs'!$B$23)/12,IF(J226=2,'Model Inputs'!$B$27,IF(J226&lt;=MAX(3,'Model Inputs'!$B$30+1),'Model Inputs'!$B$27*(1+'Model Inputs'!$B$28)^(J226-3),'Model Inputs'!$B$27*(1+'Model Inputs'!$B$28)^(MAX(3,'Model Inputs'!$B$30+1)-3)*(1+'Model Inputs'!$B$29)^(J226-MAX(3,'Model Inputs'!$B$30+1)))))</f>
        <v>185355004.59402937</v>
      </c>
      <c r="N226" s="236">
        <f>IF(J226&lt;=2,0,'Model Inputs'!$B$32*SIN(2*PI()*(J226-3+'Model Inputs'!$B$34)/MAX(1,'Model Inputs'!$B$33)))</f>
        <v>-2.3513218543629179E-16</v>
      </c>
      <c r="O226" s="230">
        <f t="shared" si="100"/>
        <v>185355004.59402934</v>
      </c>
      <c r="P226" s="230">
        <f t="shared" si="120"/>
        <v>129690333.6089489</v>
      </c>
      <c r="Q226" s="230">
        <f>L226+P226+IF(J226=1,'Model Inputs'!$B$26,0)</f>
        <v>129990333.6089489</v>
      </c>
      <c r="R226" s="230">
        <f t="shared" si="101"/>
        <v>389971000.82684672</v>
      </c>
      <c r="S226" s="230">
        <f t="shared" si="102"/>
        <v>4050000</v>
      </c>
      <c r="T226" s="230">
        <f t="shared" si="103"/>
        <v>4050000</v>
      </c>
      <c r="U226" s="230">
        <f>MIN(T226,'Tax Assumptions'!$B$19)</f>
        <v>24500</v>
      </c>
      <c r="V226" s="230">
        <f>MAX(T226-U226-'Tax Assumptions'!$B$8,0)</f>
        <v>4009400</v>
      </c>
      <c r="W226" s="230">
        <f>MAX(T226-U226-'Tax Assumptions'!$B$9,0)</f>
        <v>4017500</v>
      </c>
      <c r="X226" s="230">
        <f>IF(V226=0,0,LOOKUP(V226,'Tax Assumptions'!$F$9:$F$15,'Tax Assumptions'!$I$9:$I$15)+(V226-LOOKUP(V226,'Tax Assumptions'!$F$9:$F$15,'Tax Assumptions'!$F$9:$F$15))*LOOKUP(V226,'Tax Assumptions'!$F$9:$F$15,'Tax Assumptions'!$H$9:$H$15))+MIN(MAX(T226,0),'Tax Assumptions'!$B$11)*'Tax Assumptions'!$B$10+MAX(T226,0)*'Tax Assumptions'!$B$12+MAX(MAX(T226,0)-'Tax Assumptions'!$B$14,0)*'Tax Assumptions'!$B$13+MIN(T226*'Tax Assumptions'!$B$15,'Tax Assumptions'!$B$16)+MIN(T226*'Tax Assumptions'!$B$17,'Tax Assumptions'!$B$18)+IF(W226=0,0,LOOKUP(W226,'Tax Assumptions'!$K$9:$K$17,'Tax Assumptions'!$N$9:$N$17)+(W226-LOOKUP(W226,'Tax Assumptions'!$K$9:$K$17,'Tax Assumptions'!$K$9:$K$17))*LOOKUP(W226,'Tax Assumptions'!$K$9:$K$17,'Tax Assumptions'!$M$9:$M$17))+IF(W226=0,0,LOOKUP(W226,'Tax Assumptions'!$P$9:$P$12,'Tax Assumptions'!$S$9:$S$12)+(W226-LOOKUP(W226,'Tax Assumptions'!$P$9:$P$12,'Tax Assumptions'!$P$9:$P$12))*LOOKUP(W226,'Tax Assumptions'!$P$9:$P$12,'Tax Assumptions'!$R$9:$R$12))</f>
        <v>2055188.6349999998</v>
      </c>
      <c r="Y226" s="230">
        <f t="shared" si="104"/>
        <v>1970311.3650000002</v>
      </c>
      <c r="Z226" s="230">
        <f>IF(J226&lt;=10,INDEX('Savings Projection'!$BL$19:$BL$28,J226),LOOKUP(2,1/('Savings Projection'!$BL$19:$BL$28&lt;&gt;""),'Savings Projection'!$BL$19:$BL$28))*(1+'Model Inputs'!$B$35)^(J226-1)+IF(J226&lt;=10,INDEX('Savings Projection'!$BM$19:$BM$28,J226),LOOKUP(2,1/('Savings Projection'!$BM$19:$BM$28&lt;&gt;""),'Savings Projection'!$BM$19:$BM$28))*(1+'Model Inputs'!$B$36)^(J226-1)</f>
        <v>280356.86478069925</v>
      </c>
      <c r="AA226" s="230">
        <f t="shared" si="105"/>
        <v>1689954.5002193009</v>
      </c>
      <c r="AB226" s="230">
        <f>MIN(MAX(AA226,0),'Tax Assumptions'!$B$20)</f>
        <v>7500</v>
      </c>
      <c r="AC226" s="230">
        <f t="shared" si="106"/>
        <v>1682454.5002193009</v>
      </c>
      <c r="AD226" s="230">
        <f>MAX(AD225*(1+'Model Inputs'!$B$13)+AC226,0)</f>
        <v>87028146.357872903</v>
      </c>
      <c r="AE226" s="230">
        <f>MAX(AE225*(1+'Model Inputs'!$B$13)+U226+AB226,0)</f>
        <v>2038584.5017086829</v>
      </c>
      <c r="AF226" s="230">
        <f t="shared" si="107"/>
        <v>89066730.85958159</v>
      </c>
      <c r="AG226" s="226" t="str">
        <f t="shared" si="116"/>
        <v/>
      </c>
      <c r="AH226" s="226" t="str">
        <f t="shared" si="117"/>
        <v/>
      </c>
      <c r="AI226" s="226" t="str">
        <f t="shared" si="118"/>
        <v/>
      </c>
      <c r="AJ226" s="226" t="str">
        <f t="shared" si="119"/>
        <v/>
      </c>
    </row>
    <row r="227" spans="1:36" ht="18" customHeight="1" x14ac:dyDescent="0.2">
      <c r="A227" s="226" t="str">
        <f t="shared" si="108"/>
        <v>3Y -&gt; PM Y8 Base</v>
      </c>
      <c r="B227" s="226">
        <f t="shared" si="109"/>
        <v>3</v>
      </c>
      <c r="C227" s="235">
        <f t="shared" si="110"/>
        <v>3</v>
      </c>
      <c r="D227" s="226">
        <f t="shared" si="111"/>
        <v>8</v>
      </c>
      <c r="E227" s="226" t="str">
        <f t="shared" si="112"/>
        <v>Base</v>
      </c>
      <c r="F227" s="230">
        <f t="shared" si="113"/>
        <v>25000000</v>
      </c>
      <c r="G227" s="236">
        <f t="shared" si="114"/>
        <v>0.15</v>
      </c>
      <c r="H227" s="230">
        <f t="shared" si="115"/>
        <v>300000</v>
      </c>
      <c r="I227" s="236">
        <f t="shared" si="98"/>
        <v>0</v>
      </c>
      <c r="J227" s="234">
        <v>28</v>
      </c>
      <c r="K227" s="234">
        <f t="shared" si="99"/>
        <v>2053</v>
      </c>
      <c r="L227" s="230">
        <f>IF(J227=1,'Model Inputs'!$B$25*(13-'Model Inputs'!$B$23)/12,'Model Inputs'!$B$25)</f>
        <v>300000</v>
      </c>
      <c r="M227" s="230">
        <f>IF(J227=1,'Model Inputs'!$B$27*(13-'Model Inputs'!$B$23)/12,IF(J227=2,'Model Inputs'!$B$27,IF(J227&lt;=MAX(3,'Model Inputs'!$B$30+1),'Model Inputs'!$B$27*(1+'Model Inputs'!$B$28)^(J227-3),'Model Inputs'!$B$27*(1+'Model Inputs'!$B$28)^(MAX(3,'Model Inputs'!$B$30+1)-3)*(1+'Model Inputs'!$B$29)^(J227-MAX(3,'Model Inputs'!$B$30+1)))))</f>
        <v>235563492.81236541</v>
      </c>
      <c r="N227" s="236">
        <f>IF(J227&lt;=2,0,'Model Inputs'!$B$32*SIN(2*PI()*(J227-3+'Model Inputs'!$B$34)/MAX(1,'Model Inputs'!$B$33)))</f>
        <v>0.10392304845413247</v>
      </c>
      <c r="O227" s="230">
        <f t="shared" si="100"/>
        <v>260043969.08992955</v>
      </c>
      <c r="P227" s="230">
        <f t="shared" si="120"/>
        <v>171689024.02305913</v>
      </c>
      <c r="Q227" s="230">
        <f>L227+P227+IF(J227=1,'Model Inputs'!$B$26,0)</f>
        <v>171989024.02305913</v>
      </c>
      <c r="R227" s="230">
        <f t="shared" si="101"/>
        <v>515967072.06917739</v>
      </c>
      <c r="S227" s="230">
        <f t="shared" si="102"/>
        <v>4050000</v>
      </c>
      <c r="T227" s="230">
        <f t="shared" si="103"/>
        <v>4050000</v>
      </c>
      <c r="U227" s="230">
        <f>MIN(T227,'Tax Assumptions'!$B$19)</f>
        <v>24500</v>
      </c>
      <c r="V227" s="230">
        <f>MAX(T227-U227-'Tax Assumptions'!$B$8,0)</f>
        <v>4009400</v>
      </c>
      <c r="W227" s="230">
        <f>MAX(T227-U227-'Tax Assumptions'!$B$9,0)</f>
        <v>4017500</v>
      </c>
      <c r="X227" s="230">
        <f>IF(V227=0,0,LOOKUP(V227,'Tax Assumptions'!$F$9:$F$15,'Tax Assumptions'!$I$9:$I$15)+(V227-LOOKUP(V227,'Tax Assumptions'!$F$9:$F$15,'Tax Assumptions'!$F$9:$F$15))*LOOKUP(V227,'Tax Assumptions'!$F$9:$F$15,'Tax Assumptions'!$H$9:$H$15))+MIN(MAX(T227,0),'Tax Assumptions'!$B$11)*'Tax Assumptions'!$B$10+MAX(T227,0)*'Tax Assumptions'!$B$12+MAX(MAX(T227,0)-'Tax Assumptions'!$B$14,0)*'Tax Assumptions'!$B$13+MIN(T227*'Tax Assumptions'!$B$15,'Tax Assumptions'!$B$16)+MIN(T227*'Tax Assumptions'!$B$17,'Tax Assumptions'!$B$18)+IF(W227=0,0,LOOKUP(W227,'Tax Assumptions'!$K$9:$K$17,'Tax Assumptions'!$N$9:$N$17)+(W227-LOOKUP(W227,'Tax Assumptions'!$K$9:$K$17,'Tax Assumptions'!$K$9:$K$17))*LOOKUP(W227,'Tax Assumptions'!$K$9:$K$17,'Tax Assumptions'!$M$9:$M$17))+IF(W227=0,0,LOOKUP(W227,'Tax Assumptions'!$P$9:$P$12,'Tax Assumptions'!$S$9:$S$12)+(W227-LOOKUP(W227,'Tax Assumptions'!$P$9:$P$12,'Tax Assumptions'!$P$9:$P$12))*LOOKUP(W227,'Tax Assumptions'!$P$9:$P$12,'Tax Assumptions'!$R$9:$R$12))</f>
        <v>2055188.6349999998</v>
      </c>
      <c r="Y227" s="230">
        <f t="shared" si="104"/>
        <v>1970311.3650000002</v>
      </c>
      <c r="Z227" s="230">
        <f>IF(J227&lt;=10,INDEX('Savings Projection'!$BL$19:$BL$28,J227),LOOKUP(2,1/('Savings Projection'!$BL$19:$BL$28&lt;&gt;""),'Savings Projection'!$BL$19:$BL$28))*(1+'Model Inputs'!$B$35)^(J227-1)+IF(J227&lt;=10,INDEX('Savings Projection'!$BM$19:$BM$28,J227),LOOKUP(2,1/('Savings Projection'!$BM$19:$BM$28&lt;&gt;""),'Savings Projection'!$BM$19:$BM$28))*(1+'Model Inputs'!$B$36)^(J227-1)</f>
        <v>288767.57072412025</v>
      </c>
      <c r="AA227" s="230">
        <f t="shared" si="105"/>
        <v>1681543.7942758799</v>
      </c>
      <c r="AB227" s="230">
        <f>MIN(MAX(AA227,0),'Tax Assumptions'!$B$20)</f>
        <v>7500</v>
      </c>
      <c r="AC227" s="230">
        <f t="shared" si="106"/>
        <v>1674043.7942758799</v>
      </c>
      <c r="AD227" s="230">
        <f>MAX(AD226*(1+'Model Inputs'!$B$13)+AC227,0)</f>
        <v>93923878.933621168</v>
      </c>
      <c r="AE227" s="230">
        <f>MAX(AE226*(1+'Model Inputs'!$B$13)+U227+AB227,0)</f>
        <v>2192899.5718112038</v>
      </c>
      <c r="AF227" s="230">
        <f t="shared" si="107"/>
        <v>96116778.505432367</v>
      </c>
      <c r="AG227" s="226" t="str">
        <f t="shared" si="116"/>
        <v/>
      </c>
      <c r="AH227" s="226" t="str">
        <f t="shared" si="117"/>
        <v/>
      </c>
      <c r="AI227" s="226" t="str">
        <f t="shared" si="118"/>
        <v/>
      </c>
      <c r="AJ227" s="226" t="str">
        <f t="shared" si="119"/>
        <v/>
      </c>
    </row>
    <row r="228" spans="1:36" ht="18" customHeight="1" x14ac:dyDescent="0.2">
      <c r="A228" s="226" t="str">
        <f t="shared" si="108"/>
        <v>3Y -&gt; PM Y8 Base</v>
      </c>
      <c r="B228" s="226">
        <f t="shared" si="109"/>
        <v>3</v>
      </c>
      <c r="C228" s="235">
        <f t="shared" si="110"/>
        <v>3</v>
      </c>
      <c r="D228" s="226">
        <f t="shared" si="111"/>
        <v>8</v>
      </c>
      <c r="E228" s="226" t="str">
        <f t="shared" si="112"/>
        <v>Base</v>
      </c>
      <c r="F228" s="230">
        <f t="shared" si="113"/>
        <v>25000000</v>
      </c>
      <c r="G228" s="236">
        <f t="shared" si="114"/>
        <v>0.15</v>
      </c>
      <c r="H228" s="230">
        <f t="shared" si="115"/>
        <v>300000</v>
      </c>
      <c r="I228" s="236">
        <f t="shared" si="98"/>
        <v>0</v>
      </c>
      <c r="J228" s="234">
        <v>29</v>
      </c>
      <c r="K228" s="234">
        <f t="shared" si="99"/>
        <v>2054</v>
      </c>
      <c r="L228" s="230">
        <f>IF(J228=1,'Model Inputs'!$B$25*(13-'Model Inputs'!$B$23)/12,'Model Inputs'!$B$25)</f>
        <v>300000</v>
      </c>
      <c r="M228" s="230">
        <f>IF(J228=1,'Model Inputs'!$B$27*(13-'Model Inputs'!$B$23)/12,IF(J228=2,'Model Inputs'!$B$27,IF(J228&lt;=MAX(3,'Model Inputs'!$B$30+1),'Model Inputs'!$B$27*(1+'Model Inputs'!$B$28)^(J228-3),'Model Inputs'!$B$27*(1+'Model Inputs'!$B$28)^(MAX(3,'Model Inputs'!$B$30+1)-3)*(1+'Model Inputs'!$B$29)^(J228-MAX(3,'Model Inputs'!$B$30+1)))))</f>
        <v>299372327.53708321</v>
      </c>
      <c r="N228" s="236">
        <f>IF(J228&lt;=2,0,'Model Inputs'!$B$32*SIN(2*PI()*(J228-3+'Model Inputs'!$B$34)/MAX(1,'Model Inputs'!$B$33)))</f>
        <v>-0.10392304845413265</v>
      </c>
      <c r="O228" s="230">
        <f t="shared" si="100"/>
        <v>268260642.63662043</v>
      </c>
      <c r="P228" s="230">
        <f t="shared" si="120"/>
        <v>241371727.96595448</v>
      </c>
      <c r="Q228" s="230">
        <f>L228+P228+IF(J228=1,'Model Inputs'!$B$26,0)</f>
        <v>241671727.96595448</v>
      </c>
      <c r="R228" s="230">
        <f t="shared" si="101"/>
        <v>725015183.89786339</v>
      </c>
      <c r="S228" s="230">
        <f t="shared" si="102"/>
        <v>4050000</v>
      </c>
      <c r="T228" s="230">
        <f t="shared" si="103"/>
        <v>4050000</v>
      </c>
      <c r="U228" s="230">
        <f>MIN(T228,'Tax Assumptions'!$B$19)</f>
        <v>24500</v>
      </c>
      <c r="V228" s="230">
        <f>MAX(T228-U228-'Tax Assumptions'!$B$8,0)</f>
        <v>4009400</v>
      </c>
      <c r="W228" s="230">
        <f>MAX(T228-U228-'Tax Assumptions'!$B$9,0)</f>
        <v>4017500</v>
      </c>
      <c r="X228" s="230">
        <f>IF(V228=0,0,LOOKUP(V228,'Tax Assumptions'!$F$9:$F$15,'Tax Assumptions'!$I$9:$I$15)+(V228-LOOKUP(V228,'Tax Assumptions'!$F$9:$F$15,'Tax Assumptions'!$F$9:$F$15))*LOOKUP(V228,'Tax Assumptions'!$F$9:$F$15,'Tax Assumptions'!$H$9:$H$15))+MIN(MAX(T228,0),'Tax Assumptions'!$B$11)*'Tax Assumptions'!$B$10+MAX(T228,0)*'Tax Assumptions'!$B$12+MAX(MAX(T228,0)-'Tax Assumptions'!$B$14,0)*'Tax Assumptions'!$B$13+MIN(T228*'Tax Assumptions'!$B$15,'Tax Assumptions'!$B$16)+MIN(T228*'Tax Assumptions'!$B$17,'Tax Assumptions'!$B$18)+IF(W228=0,0,LOOKUP(W228,'Tax Assumptions'!$K$9:$K$17,'Tax Assumptions'!$N$9:$N$17)+(W228-LOOKUP(W228,'Tax Assumptions'!$K$9:$K$17,'Tax Assumptions'!$K$9:$K$17))*LOOKUP(W228,'Tax Assumptions'!$K$9:$K$17,'Tax Assumptions'!$M$9:$M$17))+IF(W228=0,0,LOOKUP(W228,'Tax Assumptions'!$P$9:$P$12,'Tax Assumptions'!$S$9:$S$12)+(W228-LOOKUP(W228,'Tax Assumptions'!$P$9:$P$12,'Tax Assumptions'!$P$9:$P$12))*LOOKUP(W228,'Tax Assumptions'!$P$9:$P$12,'Tax Assumptions'!$R$9:$R$12))</f>
        <v>2055188.6349999998</v>
      </c>
      <c r="Y228" s="230">
        <f t="shared" si="104"/>
        <v>1970311.3650000002</v>
      </c>
      <c r="Z228" s="230">
        <f>IF(J228&lt;=10,INDEX('Savings Projection'!$BL$19:$BL$28,J228),LOOKUP(2,1/('Savings Projection'!$BL$19:$BL$28&lt;&gt;""),'Savings Projection'!$BL$19:$BL$28))*(1+'Model Inputs'!$B$35)^(J228-1)+IF(J228&lt;=10,INDEX('Savings Projection'!$BM$19:$BM$28,J228),LOOKUP(2,1/('Savings Projection'!$BM$19:$BM$28&lt;&gt;""),'Savings Projection'!$BM$19:$BM$28))*(1+'Model Inputs'!$B$36)^(J228-1)</f>
        <v>297430.59784584382</v>
      </c>
      <c r="AA228" s="230">
        <f t="shared" si="105"/>
        <v>1672880.7671541565</v>
      </c>
      <c r="AB228" s="230">
        <f>MIN(MAX(AA228,0),'Tax Assumptions'!$B$20)</f>
        <v>7500</v>
      </c>
      <c r="AC228" s="230">
        <f t="shared" si="106"/>
        <v>1665380.7671541565</v>
      </c>
      <c r="AD228" s="230">
        <f>MAX(AD227*(1+'Model Inputs'!$B$13)+AC228,0)</f>
        <v>101224692.4367926</v>
      </c>
      <c r="AE228" s="230">
        <f>MAX(AE227*(1+'Model Inputs'!$B$13)+U228+AB228,0)</f>
        <v>2356473.5461198762</v>
      </c>
      <c r="AF228" s="230">
        <f t="shared" si="107"/>
        <v>103581165.98291248</v>
      </c>
      <c r="AG228" s="226" t="str">
        <f t="shared" si="116"/>
        <v/>
      </c>
      <c r="AH228" s="226" t="str">
        <f t="shared" si="117"/>
        <v/>
      </c>
      <c r="AI228" s="226" t="str">
        <f t="shared" si="118"/>
        <v/>
      </c>
      <c r="AJ228" s="226" t="str">
        <f t="shared" si="119"/>
        <v/>
      </c>
    </row>
    <row r="229" spans="1:36" ht="18" customHeight="1" x14ac:dyDescent="0.2">
      <c r="A229" s="226" t="str">
        <f t="shared" si="108"/>
        <v>3Y -&gt; PM Y8 Base</v>
      </c>
      <c r="B229" s="226">
        <f t="shared" si="109"/>
        <v>3</v>
      </c>
      <c r="C229" s="235">
        <f t="shared" si="110"/>
        <v>3</v>
      </c>
      <c r="D229" s="226">
        <f t="shared" si="111"/>
        <v>8</v>
      </c>
      <c r="E229" s="226" t="str">
        <f t="shared" si="112"/>
        <v>Base</v>
      </c>
      <c r="F229" s="230">
        <f t="shared" si="113"/>
        <v>25000000</v>
      </c>
      <c r="G229" s="236">
        <f t="shared" si="114"/>
        <v>0.15</v>
      </c>
      <c r="H229" s="230">
        <f t="shared" si="115"/>
        <v>300000</v>
      </c>
      <c r="I229" s="236">
        <f t="shared" si="98"/>
        <v>0</v>
      </c>
      <c r="J229" s="234">
        <v>30</v>
      </c>
      <c r="K229" s="234">
        <f t="shared" si="99"/>
        <v>2055</v>
      </c>
      <c r="L229" s="230">
        <f>IF(J229=1,'Model Inputs'!$B$25*(13-'Model Inputs'!$B$23)/12,'Model Inputs'!$B$25)</f>
        <v>300000</v>
      </c>
      <c r="M229" s="230">
        <f>IF(J229=1,'Model Inputs'!$B$27*(13-'Model Inputs'!$B$23)/12,IF(J229=2,'Model Inputs'!$B$27,IF(J229&lt;=MAX(3,'Model Inputs'!$B$30+1),'Model Inputs'!$B$27*(1+'Model Inputs'!$B$28)^(J229-3),'Model Inputs'!$B$27*(1+'Model Inputs'!$B$28)^(MAX(3,'Model Inputs'!$B$30+1)-3)*(1+'Model Inputs'!$B$29)^(J229-MAX(3,'Model Inputs'!$B$30+1)))))</f>
        <v>380465535.74563926</v>
      </c>
      <c r="N229" s="236">
        <f>IF(J229&lt;=2,0,'Model Inputs'!$B$32*SIN(2*PI()*(J229-3+'Model Inputs'!$B$34)/MAX(1,'Model Inputs'!$B$33)))</f>
        <v>-2.645237086158283E-16</v>
      </c>
      <c r="O229" s="230">
        <f t="shared" si="100"/>
        <v>380465535.7456392</v>
      </c>
      <c r="P229" s="230">
        <f t="shared" si="120"/>
        <v>266206474.24994773</v>
      </c>
      <c r="Q229" s="230">
        <f>L229+P229+IF(J229=1,'Model Inputs'!$B$26,0)</f>
        <v>266506474.24994773</v>
      </c>
      <c r="R229" s="230">
        <f t="shared" si="101"/>
        <v>799519422.74984312</v>
      </c>
      <c r="S229" s="230">
        <f t="shared" si="102"/>
        <v>4050000</v>
      </c>
      <c r="T229" s="230">
        <f t="shared" si="103"/>
        <v>4050000</v>
      </c>
      <c r="U229" s="230">
        <f>MIN(T229,'Tax Assumptions'!$B$19)</f>
        <v>24500</v>
      </c>
      <c r="V229" s="230">
        <f>MAX(T229-U229-'Tax Assumptions'!$B$8,0)</f>
        <v>4009400</v>
      </c>
      <c r="W229" s="230">
        <f>MAX(T229-U229-'Tax Assumptions'!$B$9,0)</f>
        <v>4017500</v>
      </c>
      <c r="X229" s="230">
        <f>IF(V229=0,0,LOOKUP(V229,'Tax Assumptions'!$F$9:$F$15,'Tax Assumptions'!$I$9:$I$15)+(V229-LOOKUP(V229,'Tax Assumptions'!$F$9:$F$15,'Tax Assumptions'!$F$9:$F$15))*LOOKUP(V229,'Tax Assumptions'!$F$9:$F$15,'Tax Assumptions'!$H$9:$H$15))+MIN(MAX(T229,0),'Tax Assumptions'!$B$11)*'Tax Assumptions'!$B$10+MAX(T229,0)*'Tax Assumptions'!$B$12+MAX(MAX(T229,0)-'Tax Assumptions'!$B$14,0)*'Tax Assumptions'!$B$13+MIN(T229*'Tax Assumptions'!$B$15,'Tax Assumptions'!$B$16)+MIN(T229*'Tax Assumptions'!$B$17,'Tax Assumptions'!$B$18)+IF(W229=0,0,LOOKUP(W229,'Tax Assumptions'!$K$9:$K$17,'Tax Assumptions'!$N$9:$N$17)+(W229-LOOKUP(W229,'Tax Assumptions'!$K$9:$K$17,'Tax Assumptions'!$K$9:$K$17))*LOOKUP(W229,'Tax Assumptions'!$K$9:$K$17,'Tax Assumptions'!$M$9:$M$17))+IF(W229=0,0,LOOKUP(W229,'Tax Assumptions'!$P$9:$P$12,'Tax Assumptions'!$S$9:$S$12)+(W229-LOOKUP(W229,'Tax Assumptions'!$P$9:$P$12,'Tax Assumptions'!$P$9:$P$12))*LOOKUP(W229,'Tax Assumptions'!$P$9:$P$12,'Tax Assumptions'!$R$9:$R$12))</f>
        <v>2055188.6349999998</v>
      </c>
      <c r="Y229" s="230">
        <f t="shared" si="104"/>
        <v>1970311.3650000002</v>
      </c>
      <c r="Z229" s="230">
        <f>IF(J229&lt;=10,INDEX('Savings Projection'!$BL$19:$BL$28,J229),LOOKUP(2,1/('Savings Projection'!$BL$19:$BL$28&lt;&gt;""),'Savings Projection'!$BL$19:$BL$28))*(1+'Model Inputs'!$B$35)^(J229-1)+IF(J229&lt;=10,INDEX('Savings Projection'!$BM$19:$BM$28,J229),LOOKUP(2,1/('Savings Projection'!$BM$19:$BM$28&lt;&gt;""),'Savings Projection'!$BM$19:$BM$28))*(1+'Model Inputs'!$B$36)^(J229-1)</f>
        <v>306353.51578121912</v>
      </c>
      <c r="AA229" s="230">
        <f t="shared" si="105"/>
        <v>1663957.8492187811</v>
      </c>
      <c r="AB229" s="230">
        <f>MIN(MAX(AA229,0),'Tax Assumptions'!$B$20)</f>
        <v>7500</v>
      </c>
      <c r="AC229" s="230">
        <f t="shared" si="106"/>
        <v>1656457.8492187811</v>
      </c>
      <c r="AD229" s="230">
        <f>MAX(AD228*(1+'Model Inputs'!$B$13)+AC229,0)</f>
        <v>108954631.83221895</v>
      </c>
      <c r="AE229" s="230">
        <f>MAX(AE228*(1+'Model Inputs'!$B$13)+U229+AB229,0)</f>
        <v>2529861.958887069</v>
      </c>
      <c r="AF229" s="230">
        <f t="shared" si="107"/>
        <v>111484493.79110602</v>
      </c>
      <c r="AG229" s="226" t="str">
        <f t="shared" si="116"/>
        <v/>
      </c>
      <c r="AH229" s="226" t="str">
        <f t="shared" si="117"/>
        <v/>
      </c>
      <c r="AI229" s="226" t="str">
        <f t="shared" si="118"/>
        <v/>
      </c>
      <c r="AJ229" s="226" t="str">
        <f t="shared" si="119"/>
        <v/>
      </c>
    </row>
    <row r="230" spans="1:36" ht="18" customHeight="1" x14ac:dyDescent="0.2">
      <c r="A230" s="226" t="str">
        <f t="shared" ref="A230:A259" si="121">$A$28</f>
        <v>3Y -&gt; PM Y8 Upside</v>
      </c>
      <c r="B230" s="226">
        <f t="shared" ref="B230:B259" si="122">$B$28</f>
        <v>3</v>
      </c>
      <c r="C230" s="235">
        <f t="shared" ref="C230:C259" si="123">$C$28</f>
        <v>3</v>
      </c>
      <c r="D230" s="226">
        <f t="shared" ref="D230:D259" si="124">$D$28</f>
        <v>8</v>
      </c>
      <c r="E230" s="226" t="str">
        <f t="shared" ref="E230:E259" si="125">$E$28</f>
        <v>Upside</v>
      </c>
      <c r="F230" s="230">
        <f t="shared" ref="F230:F259" si="126">$F$28</f>
        <v>50000000</v>
      </c>
      <c r="G230" s="236">
        <f t="shared" ref="G230:G259" si="127">$G$28</f>
        <v>0.2</v>
      </c>
      <c r="H230" s="230">
        <f t="shared" ref="H230:H259" si="128">$H$28</f>
        <v>300000</v>
      </c>
      <c r="I230" s="236">
        <f t="shared" si="98"/>
        <v>0</v>
      </c>
      <c r="J230" s="234">
        <v>1</v>
      </c>
      <c r="K230" s="234">
        <f t="shared" si="99"/>
        <v>2026</v>
      </c>
      <c r="L230" s="230">
        <f>IF(J230=1,'Model Inputs'!$B$25*(13-'Model Inputs'!$B$23)/12,'Model Inputs'!$B$25)</f>
        <v>100000</v>
      </c>
      <c r="M230" s="230">
        <f>IF(J230=1,'Model Inputs'!$B$27*(13-'Model Inputs'!$B$23)/12,IF(J230=2,'Model Inputs'!$B$27,IF(J230&lt;=MAX(3,'Model Inputs'!$B$30+1),'Model Inputs'!$B$27*(1+'Model Inputs'!$B$28)^(J230-3),'Model Inputs'!$B$27*(1+'Model Inputs'!$B$28)^(MAX(3,'Model Inputs'!$B$30+1)-3)*(1+'Model Inputs'!$B$29)^(J230-MAX(3,'Model Inputs'!$B$30+1)))))</f>
        <v>150000</v>
      </c>
      <c r="N230" s="236">
        <f>IF(J230&lt;=2,0,'Model Inputs'!$B$32*SIN(2*PI()*(J230-3+'Model Inputs'!$B$34)/MAX(1,'Model Inputs'!$B$33)))</f>
        <v>0</v>
      </c>
      <c r="O230" s="230">
        <f t="shared" si="100"/>
        <v>150000</v>
      </c>
      <c r="P230" s="230">
        <f>0</f>
        <v>0</v>
      </c>
      <c r="Q230" s="230">
        <f>L230+P230+IF(J230=1,'Model Inputs'!$B$26,0)</f>
        <v>550000</v>
      </c>
      <c r="R230" s="230">
        <f t="shared" si="101"/>
        <v>550000</v>
      </c>
      <c r="S230" s="230">
        <f t="shared" si="102"/>
        <v>10300000</v>
      </c>
      <c r="T230" s="230">
        <f t="shared" si="103"/>
        <v>550000</v>
      </c>
      <c r="U230" s="230">
        <f>MIN(T230,'Tax Assumptions'!$B$19)</f>
        <v>24500</v>
      </c>
      <c r="V230" s="230">
        <f>MAX(T230-U230-'Tax Assumptions'!$B$8,0)</f>
        <v>509400</v>
      </c>
      <c r="W230" s="230">
        <f>MAX(T230-U230-'Tax Assumptions'!$B$9,0)</f>
        <v>517500</v>
      </c>
      <c r="X230" s="230">
        <f>IF(V230=0,0,LOOKUP(V230,'Tax Assumptions'!$F$9:$F$15,'Tax Assumptions'!$I$9:$I$15)+(V230-LOOKUP(V230,'Tax Assumptions'!$F$9:$F$15,'Tax Assumptions'!$F$9:$F$15))*LOOKUP(V230,'Tax Assumptions'!$F$9:$F$15,'Tax Assumptions'!$H$9:$H$15))+MIN(MAX(T230,0),'Tax Assumptions'!$B$11)*'Tax Assumptions'!$B$10+MAX(T230,0)*'Tax Assumptions'!$B$12+MAX(MAX(T230,0)-'Tax Assumptions'!$B$14,0)*'Tax Assumptions'!$B$13+MIN(T230*'Tax Assumptions'!$B$15,'Tax Assumptions'!$B$16)+MIN(T230*'Tax Assumptions'!$B$17,'Tax Assumptions'!$B$18)+IF(W230=0,0,LOOKUP(W230,'Tax Assumptions'!$K$9:$K$17,'Tax Assumptions'!$N$9:$N$17)+(W230-LOOKUP(W230,'Tax Assumptions'!$K$9:$K$17,'Tax Assumptions'!$K$9:$K$17))*LOOKUP(W230,'Tax Assumptions'!$K$9:$K$17,'Tax Assumptions'!$M$9:$M$17))+IF(W230=0,0,LOOKUP(W230,'Tax Assumptions'!$P$9:$P$12,'Tax Assumptions'!$S$9:$S$12)+(W230-LOOKUP(W230,'Tax Assumptions'!$P$9:$P$12,'Tax Assumptions'!$P$9:$P$12))*LOOKUP(W230,'Tax Assumptions'!$P$9:$P$12,'Tax Assumptions'!$R$9:$R$12))</f>
        <v>222834.53000000003</v>
      </c>
      <c r="Y230" s="230">
        <f t="shared" si="104"/>
        <v>302665.46999999997</v>
      </c>
      <c r="Z230" s="230">
        <f>IF(J230&lt;=10,INDEX('Savings Projection'!$BL$19:$BL$28,J230),LOOKUP(2,1/('Savings Projection'!$BL$19:$BL$28&lt;&gt;""),'Savings Projection'!$BL$19:$BL$28))*(1+'Model Inputs'!$B$35)^(J230-1)+IF(J230&lt;=10,INDEX('Savings Projection'!$BM$19:$BM$28,J230),LOOKUP(2,1/('Savings Projection'!$BM$19:$BM$28&lt;&gt;""),'Savings Projection'!$BM$19:$BM$28))*(1+'Model Inputs'!$B$36)^(J230-1)</f>
        <v>118000</v>
      </c>
      <c r="AA230" s="230">
        <f t="shared" si="105"/>
        <v>184665.46999999997</v>
      </c>
      <c r="AB230" s="230">
        <f>MIN(MAX(AA230,0),'Tax Assumptions'!$B$20)</f>
        <v>7500</v>
      </c>
      <c r="AC230" s="230">
        <f t="shared" si="106"/>
        <v>177165.46999999997</v>
      </c>
      <c r="AD230" s="230">
        <f>MAX('Model Inputs'!$B$7*(1+'Model Inputs'!$B$13)+AC230,0)</f>
        <v>336165.47</v>
      </c>
      <c r="AE230" s="230">
        <f>MAX(('Model Inputs'!$B$8+'Model Inputs'!$B$9+'Model Inputs'!$B$10)*(1+'Model Inputs'!$B$13)+U230+AB230,0)</f>
        <v>32000</v>
      </c>
      <c r="AF230" s="230">
        <f t="shared" si="107"/>
        <v>368165.47</v>
      </c>
      <c r="AG230" s="226" t="str">
        <f>IF(AND(AF230&gt;=$F$14,0&lt;$F$14),J230,"")</f>
        <v/>
      </c>
      <c r="AH230" s="226" t="str">
        <f>IF(AND(AF230&gt;=$F$15,0&lt;$F$15),J230,"")</f>
        <v/>
      </c>
      <c r="AI230" s="226" t="str">
        <f>IF(AND(AF230&gt;=$F$16,0&lt;$F$16),J230,"")</f>
        <v/>
      </c>
      <c r="AJ230" s="226" t="str">
        <f>IF(AND(AF230&gt;=$F$17,0&lt;$F$17),J230,"")</f>
        <v/>
      </c>
    </row>
    <row r="231" spans="1:36" ht="18" customHeight="1" x14ac:dyDescent="0.2">
      <c r="A231" s="226" t="str">
        <f t="shared" si="121"/>
        <v>3Y -&gt; PM Y8 Upside</v>
      </c>
      <c r="B231" s="226">
        <f t="shared" si="122"/>
        <v>3</v>
      </c>
      <c r="C231" s="235">
        <f t="shared" si="123"/>
        <v>3</v>
      </c>
      <c r="D231" s="226">
        <f t="shared" si="124"/>
        <v>8</v>
      </c>
      <c r="E231" s="226" t="str">
        <f t="shared" si="125"/>
        <v>Upside</v>
      </c>
      <c r="F231" s="230">
        <f t="shared" si="126"/>
        <v>50000000</v>
      </c>
      <c r="G231" s="236">
        <f t="shared" si="127"/>
        <v>0.2</v>
      </c>
      <c r="H231" s="230">
        <f t="shared" si="128"/>
        <v>300000</v>
      </c>
      <c r="I231" s="236">
        <f t="shared" si="98"/>
        <v>0</v>
      </c>
      <c r="J231" s="234">
        <v>2</v>
      </c>
      <c r="K231" s="234">
        <f t="shared" si="99"/>
        <v>2027</v>
      </c>
      <c r="L231" s="230">
        <f>IF(J231=1,'Model Inputs'!$B$25*(13-'Model Inputs'!$B$23)/12,'Model Inputs'!$B$25)</f>
        <v>300000</v>
      </c>
      <c r="M231" s="230">
        <f>IF(J231=1,'Model Inputs'!$B$27*(13-'Model Inputs'!$B$23)/12,IF(J231=2,'Model Inputs'!$B$27,IF(J231&lt;=MAX(3,'Model Inputs'!$B$30+1),'Model Inputs'!$B$27*(1+'Model Inputs'!$B$28)^(J231-3),'Model Inputs'!$B$27*(1+'Model Inputs'!$B$28)^(MAX(3,'Model Inputs'!$B$30+1)-3)*(1+'Model Inputs'!$B$29)^(J231-MAX(3,'Model Inputs'!$B$30+1)))))</f>
        <v>450000</v>
      </c>
      <c r="N231" s="236">
        <f>IF(J231&lt;=2,0,'Model Inputs'!$B$32*SIN(2*PI()*(J231-3+'Model Inputs'!$B$34)/MAX(1,'Model Inputs'!$B$33)))</f>
        <v>0</v>
      </c>
      <c r="O231" s="230">
        <f t="shared" si="100"/>
        <v>450000</v>
      </c>
      <c r="P231" s="230">
        <f>0.75*O230</f>
        <v>112500</v>
      </c>
      <c r="Q231" s="230">
        <f>L231+P231+IF(J231=1,'Model Inputs'!$B$26,0)</f>
        <v>412500</v>
      </c>
      <c r="R231" s="230">
        <f t="shared" si="101"/>
        <v>412500</v>
      </c>
      <c r="S231" s="230">
        <f t="shared" si="102"/>
        <v>10300000</v>
      </c>
      <c r="T231" s="230">
        <f t="shared" si="103"/>
        <v>412500</v>
      </c>
      <c r="U231" s="230">
        <f>MIN(T231,'Tax Assumptions'!$B$19)</f>
        <v>24500</v>
      </c>
      <c r="V231" s="230">
        <f>MAX(T231-U231-'Tax Assumptions'!$B$8,0)</f>
        <v>371900</v>
      </c>
      <c r="W231" s="230">
        <f>MAX(T231-U231-'Tax Assumptions'!$B$9,0)</f>
        <v>380000</v>
      </c>
      <c r="X231" s="230">
        <f>IF(V231=0,0,LOOKUP(V231,'Tax Assumptions'!$F$9:$F$15,'Tax Assumptions'!$I$9:$I$15)+(V231-LOOKUP(V231,'Tax Assumptions'!$F$9:$F$15,'Tax Assumptions'!$F$9:$F$15))*LOOKUP(V231,'Tax Assumptions'!$F$9:$F$15,'Tax Assumptions'!$H$9:$H$15))+MIN(MAX(T231,0),'Tax Assumptions'!$B$11)*'Tax Assumptions'!$B$10+MAX(T231,0)*'Tax Assumptions'!$B$12+MAX(MAX(T231,0)-'Tax Assumptions'!$B$14,0)*'Tax Assumptions'!$B$13+MIN(T231*'Tax Assumptions'!$B$15,'Tax Assumptions'!$B$16)+MIN(T231*'Tax Assumptions'!$B$17,'Tax Assumptions'!$B$18)+IF(W231=0,0,LOOKUP(W231,'Tax Assumptions'!$K$9:$K$17,'Tax Assumptions'!$N$9:$N$17)+(W231-LOOKUP(W231,'Tax Assumptions'!$K$9:$K$17,'Tax Assumptions'!$K$9:$K$17))*LOOKUP(W231,'Tax Assumptions'!$K$9:$K$17,'Tax Assumptions'!$M$9:$M$17))+IF(W231=0,0,LOOKUP(W231,'Tax Assumptions'!$P$9:$P$12,'Tax Assumptions'!$S$9:$S$12)+(W231-LOOKUP(W231,'Tax Assumptions'!$P$9:$P$12,'Tax Assumptions'!$P$9:$P$12))*LOOKUP(W231,'Tax Assumptions'!$P$9:$P$12,'Tax Assumptions'!$R$9:$R$12))</f>
        <v>156730.03</v>
      </c>
      <c r="Y231" s="230">
        <f t="shared" si="104"/>
        <v>231269.97</v>
      </c>
      <c r="Z231" s="230">
        <f>IF(J231&lt;=10,INDEX('Savings Projection'!$BL$19:$BL$28,J231),LOOKUP(2,1/('Savings Projection'!$BL$19:$BL$28&lt;&gt;""),'Savings Projection'!$BL$19:$BL$28))*(1+'Model Inputs'!$B$35)^(J231-1)+IF(J231&lt;=10,INDEX('Savings Projection'!$BM$19:$BM$28,J231),LOOKUP(2,1/('Savings Projection'!$BM$19:$BM$28&lt;&gt;""),'Savings Projection'!$BM$19:$BM$28))*(1+'Model Inputs'!$B$36)^(J231-1)</f>
        <v>121540</v>
      </c>
      <c r="AA231" s="230">
        <f t="shared" si="105"/>
        <v>109729.97</v>
      </c>
      <c r="AB231" s="230">
        <f>MIN(MAX(AA231,0),'Tax Assumptions'!$B$20)</f>
        <v>7500</v>
      </c>
      <c r="AC231" s="230">
        <f t="shared" si="106"/>
        <v>102229.97</v>
      </c>
      <c r="AD231" s="230">
        <f>MAX(AD230*(1+'Model Inputs'!$B$13)+AC231,0)</f>
        <v>458565.36820000003</v>
      </c>
      <c r="AE231" s="230">
        <f>MAX(AE230*(1+'Model Inputs'!$B$13)+U231+AB231,0)</f>
        <v>65920</v>
      </c>
      <c r="AF231" s="230">
        <f t="shared" si="107"/>
        <v>524485.36820000003</v>
      </c>
      <c r="AG231" s="226" t="str">
        <f t="shared" ref="AG231:AG259" si="129">IF(AND(AF231&gt;=$F$14,AF230&lt;$F$14),J231,"")</f>
        <v/>
      </c>
      <c r="AH231" s="226" t="str">
        <f t="shared" ref="AH231:AH259" si="130">IF(AND(AF231&gt;=$F$15,AF230&lt;$F$15),J231,"")</f>
        <v/>
      </c>
      <c r="AI231" s="226" t="str">
        <f t="shared" ref="AI231:AI259" si="131">IF(AND(AF231&gt;=$F$16,AF230&lt;$F$16),J231,"")</f>
        <v/>
      </c>
      <c r="AJ231" s="226" t="str">
        <f t="shared" ref="AJ231:AJ259" si="132">IF(AND(AF231&gt;=$F$17,AF230&lt;$F$17),J231,"")</f>
        <v/>
      </c>
    </row>
    <row r="232" spans="1:36" ht="18" customHeight="1" x14ac:dyDescent="0.2">
      <c r="A232" s="226" t="str">
        <f t="shared" si="121"/>
        <v>3Y -&gt; PM Y8 Upside</v>
      </c>
      <c r="B232" s="226">
        <f t="shared" si="122"/>
        <v>3</v>
      </c>
      <c r="C232" s="235">
        <f t="shared" si="123"/>
        <v>3</v>
      </c>
      <c r="D232" s="226">
        <f t="shared" si="124"/>
        <v>8</v>
      </c>
      <c r="E232" s="226" t="str">
        <f t="shared" si="125"/>
        <v>Upside</v>
      </c>
      <c r="F232" s="230">
        <f t="shared" si="126"/>
        <v>50000000</v>
      </c>
      <c r="G232" s="236">
        <f t="shared" si="127"/>
        <v>0.2</v>
      </c>
      <c r="H232" s="230">
        <f t="shared" si="128"/>
        <v>300000</v>
      </c>
      <c r="I232" s="236">
        <f t="shared" si="98"/>
        <v>0</v>
      </c>
      <c r="J232" s="234">
        <v>3</v>
      </c>
      <c r="K232" s="234">
        <f t="shared" si="99"/>
        <v>2028</v>
      </c>
      <c r="L232" s="230">
        <f>IF(J232=1,'Model Inputs'!$B$25*(13-'Model Inputs'!$B$23)/12,'Model Inputs'!$B$25)</f>
        <v>300000</v>
      </c>
      <c r="M232" s="230">
        <f>IF(J232=1,'Model Inputs'!$B$27*(13-'Model Inputs'!$B$23)/12,IF(J232=2,'Model Inputs'!$B$27,IF(J232&lt;=MAX(3,'Model Inputs'!$B$30+1),'Model Inputs'!$B$27*(1+'Model Inputs'!$B$28)^(J232-3),'Model Inputs'!$B$27*(1+'Model Inputs'!$B$28)^(MAX(3,'Model Inputs'!$B$30+1)-3)*(1+'Model Inputs'!$B$29)^(J232-MAX(3,'Model Inputs'!$B$30+1)))))</f>
        <v>450000</v>
      </c>
      <c r="N232" s="236">
        <f>IF(J232&lt;=2,0,'Model Inputs'!$B$32*SIN(2*PI()*(J232-3+'Model Inputs'!$B$34)/MAX(1,'Model Inputs'!$B$33)))</f>
        <v>0</v>
      </c>
      <c r="O232" s="230">
        <f t="shared" si="100"/>
        <v>450000</v>
      </c>
      <c r="P232" s="230">
        <f t="shared" ref="P232:P259" si="133">0.75*O231+0.25*O230</f>
        <v>375000</v>
      </c>
      <c r="Q232" s="230">
        <f>L232+P232+IF(J232=1,'Model Inputs'!$B$26,0)</f>
        <v>675000</v>
      </c>
      <c r="R232" s="230">
        <f t="shared" si="101"/>
        <v>675000</v>
      </c>
      <c r="S232" s="230">
        <f t="shared" si="102"/>
        <v>10300000</v>
      </c>
      <c r="T232" s="230">
        <f t="shared" si="103"/>
        <v>675000</v>
      </c>
      <c r="U232" s="230">
        <f>MIN(T232,'Tax Assumptions'!$B$19)</f>
        <v>24500</v>
      </c>
      <c r="V232" s="230">
        <f>MAX(T232-U232-'Tax Assumptions'!$B$8,0)</f>
        <v>634400</v>
      </c>
      <c r="W232" s="230">
        <f>MAX(T232-U232-'Tax Assumptions'!$B$9,0)</f>
        <v>642500</v>
      </c>
      <c r="X232" s="230">
        <f>IF(V232=0,0,LOOKUP(V232,'Tax Assumptions'!$F$9:$F$15,'Tax Assumptions'!$I$9:$I$15)+(V232-LOOKUP(V232,'Tax Assumptions'!$F$9:$F$15,'Tax Assumptions'!$F$9:$F$15))*LOOKUP(V232,'Tax Assumptions'!$F$9:$F$15,'Tax Assumptions'!$H$9:$H$15))+MIN(MAX(T232,0),'Tax Assumptions'!$B$11)*'Tax Assumptions'!$B$10+MAX(T232,0)*'Tax Assumptions'!$B$12+MAX(MAX(T232,0)-'Tax Assumptions'!$B$14,0)*'Tax Assumptions'!$B$13+MIN(T232*'Tax Assumptions'!$B$15,'Tax Assumptions'!$B$16)+MIN(T232*'Tax Assumptions'!$B$17,'Tax Assumptions'!$B$18)+IF(W232=0,0,LOOKUP(W232,'Tax Assumptions'!$K$9:$K$17,'Tax Assumptions'!$N$9:$N$17)+(W232-LOOKUP(W232,'Tax Assumptions'!$K$9:$K$17,'Tax Assumptions'!$K$9:$K$17))*LOOKUP(W232,'Tax Assumptions'!$K$9:$K$17,'Tax Assumptions'!$M$9:$M$17))+IF(W232=0,0,LOOKUP(W232,'Tax Assumptions'!$P$9:$P$12,'Tax Assumptions'!$S$9:$S$12)+(W232-LOOKUP(W232,'Tax Assumptions'!$P$9:$P$12,'Tax Assumptions'!$P$9:$P$12))*LOOKUP(W232,'Tax Assumptions'!$P$9:$P$12,'Tax Assumptions'!$R$9:$R$12))</f>
        <v>282929.53000000003</v>
      </c>
      <c r="Y232" s="230">
        <f t="shared" si="104"/>
        <v>367570.47</v>
      </c>
      <c r="Z232" s="230">
        <f>IF(J232&lt;=10,INDEX('Savings Projection'!$BL$19:$BL$28,J232),LOOKUP(2,1/('Savings Projection'!$BL$19:$BL$28&lt;&gt;""),'Savings Projection'!$BL$19:$BL$28))*(1+'Model Inputs'!$B$35)^(J232-1)+IF(J232&lt;=10,INDEX('Savings Projection'!$BM$19:$BM$28,J232),LOOKUP(2,1/('Savings Projection'!$BM$19:$BM$28&lt;&gt;""),'Savings Projection'!$BM$19:$BM$28))*(1+'Model Inputs'!$B$36)^(J232-1)</f>
        <v>135795.20000000001</v>
      </c>
      <c r="AA232" s="230">
        <f t="shared" si="105"/>
        <v>231775.26999999996</v>
      </c>
      <c r="AB232" s="230">
        <f>MIN(MAX(AA232,0),'Tax Assumptions'!$B$20)</f>
        <v>7500</v>
      </c>
      <c r="AC232" s="230">
        <f t="shared" si="106"/>
        <v>224275.26999999996</v>
      </c>
      <c r="AD232" s="230">
        <f>MAX(AD231*(1+'Model Inputs'!$B$13)+AC232,0)</f>
        <v>710354.56029199995</v>
      </c>
      <c r="AE232" s="230">
        <f>MAX(AE231*(1+'Model Inputs'!$B$13)+U232+AB232,0)</f>
        <v>101875.2</v>
      </c>
      <c r="AF232" s="230">
        <f t="shared" si="107"/>
        <v>812229.7602919999</v>
      </c>
      <c r="AG232" s="226" t="str">
        <f t="shared" si="129"/>
        <v/>
      </c>
      <c r="AH232" s="226" t="str">
        <f t="shared" si="130"/>
        <v/>
      </c>
      <c r="AI232" s="226" t="str">
        <f t="shared" si="131"/>
        <v/>
      </c>
      <c r="AJ232" s="226" t="str">
        <f t="shared" si="132"/>
        <v/>
      </c>
    </row>
    <row r="233" spans="1:36" ht="18" customHeight="1" x14ac:dyDescent="0.2">
      <c r="A233" s="226" t="str">
        <f t="shared" si="121"/>
        <v>3Y -&gt; PM Y8 Upside</v>
      </c>
      <c r="B233" s="226">
        <f t="shared" si="122"/>
        <v>3</v>
      </c>
      <c r="C233" s="235">
        <f t="shared" si="123"/>
        <v>3</v>
      </c>
      <c r="D233" s="226">
        <f t="shared" si="124"/>
        <v>8</v>
      </c>
      <c r="E233" s="226" t="str">
        <f t="shared" si="125"/>
        <v>Upside</v>
      </c>
      <c r="F233" s="230">
        <f t="shared" si="126"/>
        <v>50000000</v>
      </c>
      <c r="G233" s="236">
        <f t="shared" si="127"/>
        <v>0.2</v>
      </c>
      <c r="H233" s="230">
        <f t="shared" si="128"/>
        <v>300000</v>
      </c>
      <c r="I233" s="236">
        <f t="shared" si="98"/>
        <v>0</v>
      </c>
      <c r="J233" s="234">
        <v>4</v>
      </c>
      <c r="K233" s="234">
        <f t="shared" si="99"/>
        <v>2029</v>
      </c>
      <c r="L233" s="230">
        <f>IF(J233=1,'Model Inputs'!$B$25*(13-'Model Inputs'!$B$23)/12,'Model Inputs'!$B$25)</f>
        <v>300000</v>
      </c>
      <c r="M233" s="230">
        <f>IF(J233=1,'Model Inputs'!$B$27*(13-'Model Inputs'!$B$23)/12,IF(J233=2,'Model Inputs'!$B$27,IF(J233&lt;=MAX(3,'Model Inputs'!$B$30+1),'Model Inputs'!$B$27*(1+'Model Inputs'!$B$28)^(J233-3),'Model Inputs'!$B$27*(1+'Model Inputs'!$B$28)^(MAX(3,'Model Inputs'!$B$30+1)-3)*(1+'Model Inputs'!$B$29)^(J233-MAX(3,'Model Inputs'!$B$30+1)))))</f>
        <v>653834.84153110103</v>
      </c>
      <c r="N233" s="236">
        <f>IF(J233&lt;=2,0,'Model Inputs'!$B$32*SIN(2*PI()*(J233-3+'Model Inputs'!$B$34)/MAX(1,'Model Inputs'!$B$33)))</f>
        <v>0.10392304845413264</v>
      </c>
      <c r="O233" s="230">
        <f t="shared" si="100"/>
        <v>721783.35144853778</v>
      </c>
      <c r="P233" s="230">
        <f t="shared" si="133"/>
        <v>450000</v>
      </c>
      <c r="Q233" s="230">
        <f>L233+P233+IF(J233=1,'Model Inputs'!$B$26,0)</f>
        <v>750000</v>
      </c>
      <c r="R233" s="230">
        <f t="shared" si="101"/>
        <v>2250000</v>
      </c>
      <c r="S233" s="230">
        <f t="shared" si="102"/>
        <v>10300000</v>
      </c>
      <c r="T233" s="230">
        <f t="shared" si="103"/>
        <v>2250000</v>
      </c>
      <c r="U233" s="230">
        <f>MIN(T233,'Tax Assumptions'!$B$19)</f>
        <v>24500</v>
      </c>
      <c r="V233" s="230">
        <f>MAX(T233-U233-'Tax Assumptions'!$B$8,0)</f>
        <v>2209400</v>
      </c>
      <c r="W233" s="230">
        <f>MAX(T233-U233-'Tax Assumptions'!$B$9,0)</f>
        <v>2217500</v>
      </c>
      <c r="X233" s="230">
        <f>IF(V233=0,0,LOOKUP(V233,'Tax Assumptions'!$F$9:$F$15,'Tax Assumptions'!$I$9:$I$15)+(V233-LOOKUP(V233,'Tax Assumptions'!$F$9:$F$15,'Tax Assumptions'!$F$9:$F$15))*LOOKUP(V233,'Tax Assumptions'!$F$9:$F$15,'Tax Assumptions'!$H$9:$H$15))+MIN(MAX(T233,0),'Tax Assumptions'!$B$11)*'Tax Assumptions'!$B$10+MAX(T233,0)*'Tax Assumptions'!$B$12+MAX(MAX(T233,0)-'Tax Assumptions'!$B$14,0)*'Tax Assumptions'!$B$13+MIN(T233*'Tax Assumptions'!$B$15,'Tax Assumptions'!$B$16)+MIN(T233*'Tax Assumptions'!$B$17,'Tax Assumptions'!$B$18)+IF(W233=0,0,LOOKUP(W233,'Tax Assumptions'!$K$9:$K$17,'Tax Assumptions'!$N$9:$N$17)+(W233-LOOKUP(W233,'Tax Assumptions'!$K$9:$K$17,'Tax Assumptions'!$K$9:$K$17))*LOOKUP(W233,'Tax Assumptions'!$K$9:$K$17,'Tax Assumptions'!$M$9:$M$17))+IF(W233=0,0,LOOKUP(W233,'Tax Assumptions'!$P$9:$P$12,'Tax Assumptions'!$S$9:$S$12)+(W233-LOOKUP(W233,'Tax Assumptions'!$P$9:$P$12,'Tax Assumptions'!$P$9:$P$12))*LOOKUP(W233,'Tax Assumptions'!$P$9:$P$12,'Tax Assumptions'!$R$9:$R$12))</f>
        <v>1103420.635</v>
      </c>
      <c r="Y233" s="230">
        <f t="shared" si="104"/>
        <v>1122079.365</v>
      </c>
      <c r="Z233" s="230">
        <f>IF(J233&lt;=10,INDEX('Savings Projection'!$BL$19:$BL$28,J233),LOOKUP(2,1/('Savings Projection'!$BL$19:$BL$28&lt;&gt;""),'Savings Projection'!$BL$19:$BL$28))*(1+'Model Inputs'!$B$35)^(J233-1)+IF(J233&lt;=10,INDEX('Savings Projection'!$BM$19:$BM$28,J233),LOOKUP(2,1/('Savings Projection'!$BM$19:$BM$28&lt;&gt;""),'Savings Projection'!$BM$19:$BM$28))*(1+'Model Inputs'!$B$36)^(J233-1)</f>
        <v>139869.05600000001</v>
      </c>
      <c r="AA233" s="230">
        <f t="shared" si="105"/>
        <v>982210.30900000001</v>
      </c>
      <c r="AB233" s="230">
        <f>MIN(MAX(AA233,0),'Tax Assumptions'!$B$20)</f>
        <v>7500</v>
      </c>
      <c r="AC233" s="230">
        <f t="shared" si="106"/>
        <v>974710.30900000001</v>
      </c>
      <c r="AD233" s="230">
        <f>MAX(AD232*(1+'Model Inputs'!$B$13)+AC233,0)</f>
        <v>1727686.1429095198</v>
      </c>
      <c r="AE233" s="230">
        <f>MAX(AE232*(1+'Model Inputs'!$B$13)+U233+AB233,0)</f>
        <v>139987.712</v>
      </c>
      <c r="AF233" s="230">
        <f t="shared" si="107"/>
        <v>1867673.8549095199</v>
      </c>
      <c r="AG233" s="226" t="str">
        <f t="shared" si="129"/>
        <v/>
      </c>
      <c r="AH233" s="226" t="str">
        <f t="shared" si="130"/>
        <v/>
      </c>
      <c r="AI233" s="226" t="str">
        <f t="shared" si="131"/>
        <v/>
      </c>
      <c r="AJ233" s="226" t="str">
        <f t="shared" si="132"/>
        <v/>
      </c>
    </row>
    <row r="234" spans="1:36" ht="18" customHeight="1" x14ac:dyDescent="0.2">
      <c r="A234" s="226" t="str">
        <f t="shared" si="121"/>
        <v>3Y -&gt; PM Y8 Upside</v>
      </c>
      <c r="B234" s="226">
        <f t="shared" si="122"/>
        <v>3</v>
      </c>
      <c r="C234" s="235">
        <f t="shared" si="123"/>
        <v>3</v>
      </c>
      <c r="D234" s="226">
        <f t="shared" si="124"/>
        <v>8</v>
      </c>
      <c r="E234" s="226" t="str">
        <f t="shared" si="125"/>
        <v>Upside</v>
      </c>
      <c r="F234" s="230">
        <f t="shared" si="126"/>
        <v>50000000</v>
      </c>
      <c r="G234" s="236">
        <f t="shared" si="127"/>
        <v>0.2</v>
      </c>
      <c r="H234" s="230">
        <f t="shared" si="128"/>
        <v>300000</v>
      </c>
      <c r="I234" s="236">
        <f t="shared" si="98"/>
        <v>0</v>
      </c>
      <c r="J234" s="234">
        <v>5</v>
      </c>
      <c r="K234" s="234">
        <f t="shared" si="99"/>
        <v>2030</v>
      </c>
      <c r="L234" s="230">
        <f>IF(J234=1,'Model Inputs'!$B$25*(13-'Model Inputs'!$B$23)/12,'Model Inputs'!$B$25)</f>
        <v>300000</v>
      </c>
      <c r="M234" s="230">
        <f>IF(J234=1,'Model Inputs'!$B$27*(13-'Model Inputs'!$B$23)/12,IF(J234=2,'Model Inputs'!$B$27,IF(J234&lt;=MAX(3,'Model Inputs'!$B$30+1),'Model Inputs'!$B$27*(1+'Model Inputs'!$B$28)^(J234-3),'Model Inputs'!$B$27*(1+'Model Inputs'!$B$28)^(MAX(3,'Model Inputs'!$B$30+1)-3)*(1+'Model Inputs'!$B$29)^(J234-MAX(3,'Model Inputs'!$B$30+1)))))</f>
        <v>950000</v>
      </c>
      <c r="N234" s="236">
        <f>IF(J234&lt;=2,0,'Model Inputs'!$B$32*SIN(2*PI()*(J234-3+'Model Inputs'!$B$34)/MAX(1,'Model Inputs'!$B$33)))</f>
        <v>-0.1039230484541326</v>
      </c>
      <c r="O234" s="230">
        <f t="shared" si="100"/>
        <v>851273.10396857408</v>
      </c>
      <c r="P234" s="230">
        <f t="shared" si="133"/>
        <v>653837.51358640334</v>
      </c>
      <c r="Q234" s="230">
        <f>L234+P234+IF(J234=1,'Model Inputs'!$B$26,0)</f>
        <v>953837.51358640334</v>
      </c>
      <c r="R234" s="230">
        <f t="shared" si="101"/>
        <v>2861512.54075921</v>
      </c>
      <c r="S234" s="230">
        <f t="shared" si="102"/>
        <v>10300000</v>
      </c>
      <c r="T234" s="230">
        <f t="shared" si="103"/>
        <v>2861512.54075921</v>
      </c>
      <c r="U234" s="230">
        <f>MIN(T234,'Tax Assumptions'!$B$19)</f>
        <v>24500</v>
      </c>
      <c r="V234" s="230">
        <f>MAX(T234-U234-'Tax Assumptions'!$B$8,0)</f>
        <v>2820912.54075921</v>
      </c>
      <c r="W234" s="230">
        <f>MAX(T234-U234-'Tax Assumptions'!$B$9,0)</f>
        <v>2829012.54075921</v>
      </c>
      <c r="X234" s="230">
        <f>IF(V234=0,0,LOOKUP(V234,'Tax Assumptions'!$F$9:$F$15,'Tax Assumptions'!$I$9:$I$15)+(V234-LOOKUP(V234,'Tax Assumptions'!$F$9:$F$15,'Tax Assumptions'!$F$9:$F$15))*LOOKUP(V234,'Tax Assumptions'!$F$9:$F$15,'Tax Assumptions'!$H$9:$H$15))+MIN(MAX(T234,0),'Tax Assumptions'!$B$11)*'Tax Assumptions'!$B$10+MAX(T234,0)*'Tax Assumptions'!$B$12+MAX(MAX(T234,0)-'Tax Assumptions'!$B$14,0)*'Tax Assumptions'!$B$13+MIN(T234*'Tax Assumptions'!$B$15,'Tax Assumptions'!$B$16)+MIN(T234*'Tax Assumptions'!$B$17,'Tax Assumptions'!$B$18)+IF(W234=0,0,LOOKUP(W234,'Tax Assumptions'!$K$9:$K$17,'Tax Assumptions'!$N$9:$N$17)+(W234-LOOKUP(W234,'Tax Assumptions'!$K$9:$K$17,'Tax Assumptions'!$K$9:$K$17))*LOOKUP(W234,'Tax Assumptions'!$K$9:$K$17,'Tax Assumptions'!$M$9:$M$17))+IF(W234=0,0,LOOKUP(W234,'Tax Assumptions'!$P$9:$P$12,'Tax Assumptions'!$S$9:$S$12)+(W234-LOOKUP(W234,'Tax Assumptions'!$P$9:$P$12,'Tax Assumptions'!$P$9:$P$12))*LOOKUP(W234,'Tax Assumptions'!$P$9:$P$12,'Tax Assumptions'!$R$9:$R$12))</f>
        <v>1426764.0060518396</v>
      </c>
      <c r="Y234" s="230">
        <f t="shared" si="104"/>
        <v>1410248.5347073704</v>
      </c>
      <c r="Z234" s="230">
        <f>IF(J234&lt;=10,INDEX('Savings Projection'!$BL$19:$BL$28,J234),LOOKUP(2,1/('Savings Projection'!$BL$19:$BL$28&lt;&gt;""),'Savings Projection'!$BL$19:$BL$28))*(1+'Model Inputs'!$B$35)^(J234-1)+IF(J234&lt;=10,INDEX('Savings Projection'!$BM$19:$BM$28,J234),LOOKUP(2,1/('Savings Projection'!$BM$19:$BM$28&lt;&gt;""),'Savings Projection'!$BM$19:$BM$28))*(1+'Model Inputs'!$B$36)^(J234-1)</f>
        <v>144065.12767999998</v>
      </c>
      <c r="AA234" s="230">
        <f t="shared" si="105"/>
        <v>1266183.4070273705</v>
      </c>
      <c r="AB234" s="230">
        <f>MIN(MAX(AA234,0),'Tax Assumptions'!$B$20)</f>
        <v>7500</v>
      </c>
      <c r="AC234" s="230">
        <f t="shared" si="106"/>
        <v>1258683.4070273705</v>
      </c>
      <c r="AD234" s="230">
        <f>MAX(AD233*(1+'Model Inputs'!$B$13)+AC234,0)</f>
        <v>3090030.7185114617</v>
      </c>
      <c r="AE234" s="230">
        <f>MAX(AE233*(1+'Model Inputs'!$B$13)+U234+AB234,0)</f>
        <v>180386.97472</v>
      </c>
      <c r="AF234" s="230">
        <f t="shared" si="107"/>
        <v>3270417.6932314616</v>
      </c>
      <c r="AG234" s="226" t="str">
        <f t="shared" si="129"/>
        <v/>
      </c>
      <c r="AH234" s="226" t="str">
        <f t="shared" si="130"/>
        <v/>
      </c>
      <c r="AI234" s="226" t="str">
        <f t="shared" si="131"/>
        <v/>
      </c>
      <c r="AJ234" s="226" t="str">
        <f t="shared" si="132"/>
        <v/>
      </c>
    </row>
    <row r="235" spans="1:36" ht="18" customHeight="1" x14ac:dyDescent="0.2">
      <c r="A235" s="226" t="str">
        <f t="shared" si="121"/>
        <v>3Y -&gt; PM Y8 Upside</v>
      </c>
      <c r="B235" s="226">
        <f t="shared" si="122"/>
        <v>3</v>
      </c>
      <c r="C235" s="235">
        <f t="shared" si="123"/>
        <v>3</v>
      </c>
      <c r="D235" s="226">
        <f t="shared" si="124"/>
        <v>8</v>
      </c>
      <c r="E235" s="226" t="str">
        <f t="shared" si="125"/>
        <v>Upside</v>
      </c>
      <c r="F235" s="230">
        <f t="shared" si="126"/>
        <v>50000000</v>
      </c>
      <c r="G235" s="236">
        <f t="shared" si="127"/>
        <v>0.2</v>
      </c>
      <c r="H235" s="230">
        <f t="shared" si="128"/>
        <v>300000</v>
      </c>
      <c r="I235" s="236">
        <f t="shared" si="98"/>
        <v>0</v>
      </c>
      <c r="J235" s="234">
        <v>6</v>
      </c>
      <c r="K235" s="234">
        <f t="shared" si="99"/>
        <v>2031</v>
      </c>
      <c r="L235" s="230">
        <f>IF(J235=1,'Model Inputs'!$B$25*(13-'Model Inputs'!$B$23)/12,'Model Inputs'!$B$25)</f>
        <v>300000</v>
      </c>
      <c r="M235" s="230">
        <f>IF(J235=1,'Model Inputs'!$B$27*(13-'Model Inputs'!$B$23)/12,IF(J235=2,'Model Inputs'!$B$27,IF(J235&lt;=MAX(3,'Model Inputs'!$B$30+1),'Model Inputs'!$B$27*(1+'Model Inputs'!$B$28)^(J235-3),'Model Inputs'!$B$27*(1+'Model Inputs'!$B$28)^(MAX(3,'Model Inputs'!$B$30+1)-3)*(1+'Model Inputs'!$B$29)^(J235-MAX(3,'Model Inputs'!$B$30+1)))))</f>
        <v>1207333.5632986501</v>
      </c>
      <c r="N235" s="236">
        <f>IF(J235&lt;=2,0,'Model Inputs'!$B$32*SIN(2*PI()*(J235-3+'Model Inputs'!$B$34)/MAX(1,'Model Inputs'!$B$33)))</f>
        <v>-2.9391523179536474E-17</v>
      </c>
      <c r="O235" s="230">
        <f t="shared" si="100"/>
        <v>1207333.5632986501</v>
      </c>
      <c r="P235" s="230">
        <f t="shared" si="133"/>
        <v>818900.66583856498</v>
      </c>
      <c r="Q235" s="230">
        <f>L235+P235+IF(J235=1,'Model Inputs'!$B$26,0)</f>
        <v>1118900.665838565</v>
      </c>
      <c r="R235" s="230">
        <f t="shared" si="101"/>
        <v>3356701.9975156952</v>
      </c>
      <c r="S235" s="230">
        <f t="shared" si="102"/>
        <v>10300000</v>
      </c>
      <c r="T235" s="230">
        <f t="shared" si="103"/>
        <v>3356701.9975156952</v>
      </c>
      <c r="U235" s="230">
        <f>MIN(T235,'Tax Assumptions'!$B$19)</f>
        <v>24500</v>
      </c>
      <c r="V235" s="230">
        <f>MAX(T235-U235-'Tax Assumptions'!$B$8,0)</f>
        <v>3316101.9975156952</v>
      </c>
      <c r="W235" s="230">
        <f>MAX(T235-U235-'Tax Assumptions'!$B$9,0)</f>
        <v>3324201.9975156952</v>
      </c>
      <c r="X235" s="230">
        <f>IF(V235=0,0,LOOKUP(V235,'Tax Assumptions'!$F$9:$F$15,'Tax Assumptions'!$I$9:$I$15)+(V235-LOOKUP(V235,'Tax Assumptions'!$F$9:$F$15,'Tax Assumptions'!$F$9:$F$15))*LOOKUP(V235,'Tax Assumptions'!$F$9:$F$15,'Tax Assumptions'!$H$9:$H$15))+MIN(MAX(T235,0),'Tax Assumptions'!$B$11)*'Tax Assumptions'!$B$10+MAX(T235,0)*'Tax Assumptions'!$B$12+MAX(MAX(T235,0)-'Tax Assumptions'!$B$14,0)*'Tax Assumptions'!$B$13+MIN(T235*'Tax Assumptions'!$B$15,'Tax Assumptions'!$B$16)+MIN(T235*'Tax Assumptions'!$B$17,'Tax Assumptions'!$B$18)+IF(W235=0,0,LOOKUP(W235,'Tax Assumptions'!$K$9:$K$17,'Tax Assumptions'!$N$9:$N$17)+(W235-LOOKUP(W235,'Tax Assumptions'!$K$9:$K$17,'Tax Assumptions'!$K$9:$K$17))*LOOKUP(W235,'Tax Assumptions'!$K$9:$K$17,'Tax Assumptions'!$M$9:$M$17))+IF(W235=0,0,LOOKUP(W235,'Tax Assumptions'!$P$9:$P$12,'Tax Assumptions'!$S$9:$S$12)+(W235-LOOKUP(W235,'Tax Assumptions'!$P$9:$P$12,'Tax Assumptions'!$P$9:$P$12))*LOOKUP(W235,'Tax Assumptions'!$P$9:$P$12,'Tax Assumptions'!$R$9:$R$12))</f>
        <v>1688600.3832063989</v>
      </c>
      <c r="Y235" s="230">
        <f t="shared" si="104"/>
        <v>1643601.6143092962</v>
      </c>
      <c r="Z235" s="230">
        <f>IF(J235&lt;=10,INDEX('Savings Projection'!$BL$19:$BL$28,J235),LOOKUP(2,1/('Savings Projection'!$BL$19:$BL$28&lt;&gt;""),'Savings Projection'!$BL$19:$BL$28))*(1+'Model Inputs'!$B$35)^(J235-1)+IF(J235&lt;=10,INDEX('Savings Projection'!$BM$19:$BM$28,J235),LOOKUP(2,1/('Savings Projection'!$BM$19:$BM$28&lt;&gt;""),'Savings Projection'!$BM$19:$BM$28))*(1+'Model Inputs'!$B$36)^(J235-1)</f>
        <v>150705.62965899997</v>
      </c>
      <c r="AA235" s="230">
        <f t="shared" si="105"/>
        <v>1492895.9846502962</v>
      </c>
      <c r="AB235" s="230">
        <f>MIN(MAX(AA235,0),'Tax Assumptions'!$B$20)</f>
        <v>7500</v>
      </c>
      <c r="AC235" s="230">
        <f t="shared" si="106"/>
        <v>1485395.9846502962</v>
      </c>
      <c r="AD235" s="230">
        <f>MAX(AD234*(1+'Model Inputs'!$B$13)+AC235,0)</f>
        <v>4760828.5462724455</v>
      </c>
      <c r="AE235" s="230">
        <f>MAX(AE234*(1+'Model Inputs'!$B$13)+U235+AB235,0)</f>
        <v>223210.1932032</v>
      </c>
      <c r="AF235" s="230">
        <f t="shared" si="107"/>
        <v>4984038.7394756451</v>
      </c>
      <c r="AG235" s="226" t="str">
        <f t="shared" si="129"/>
        <v/>
      </c>
      <c r="AH235" s="226" t="str">
        <f t="shared" si="130"/>
        <v/>
      </c>
      <c r="AI235" s="226" t="str">
        <f t="shared" si="131"/>
        <v/>
      </c>
      <c r="AJ235" s="226" t="str">
        <f t="shared" si="132"/>
        <v/>
      </c>
    </row>
    <row r="236" spans="1:36" ht="18" customHeight="1" x14ac:dyDescent="0.2">
      <c r="A236" s="226" t="str">
        <f t="shared" si="121"/>
        <v>3Y -&gt; PM Y8 Upside</v>
      </c>
      <c r="B236" s="226">
        <f t="shared" si="122"/>
        <v>3</v>
      </c>
      <c r="C236" s="235">
        <f t="shared" si="123"/>
        <v>3</v>
      </c>
      <c r="D236" s="226">
        <f t="shared" si="124"/>
        <v>8</v>
      </c>
      <c r="E236" s="226" t="str">
        <f t="shared" si="125"/>
        <v>Upside</v>
      </c>
      <c r="F236" s="230">
        <f t="shared" si="126"/>
        <v>50000000</v>
      </c>
      <c r="G236" s="236">
        <f t="shared" si="127"/>
        <v>0.2</v>
      </c>
      <c r="H236" s="230">
        <f t="shared" si="128"/>
        <v>300000</v>
      </c>
      <c r="I236" s="236">
        <f t="shared" si="98"/>
        <v>0</v>
      </c>
      <c r="J236" s="234">
        <v>7</v>
      </c>
      <c r="K236" s="234">
        <f t="shared" si="99"/>
        <v>2032</v>
      </c>
      <c r="L236" s="230">
        <f>IF(J236=1,'Model Inputs'!$B$25*(13-'Model Inputs'!$B$23)/12,'Model Inputs'!$B$25)</f>
        <v>300000</v>
      </c>
      <c r="M236" s="230">
        <f>IF(J236=1,'Model Inputs'!$B$27*(13-'Model Inputs'!$B$23)/12,IF(J236=2,'Model Inputs'!$B$27,IF(J236&lt;=MAX(3,'Model Inputs'!$B$30+1),'Model Inputs'!$B$27*(1+'Model Inputs'!$B$28)^(J236-3),'Model Inputs'!$B$27*(1+'Model Inputs'!$B$28)^(MAX(3,'Model Inputs'!$B$30+1)-3)*(1+'Model Inputs'!$B$29)^(J236-MAX(3,'Model Inputs'!$B$30+1)))))</f>
        <v>1534372.9821762268</v>
      </c>
      <c r="N236" s="236">
        <f>IF(J236&lt;=2,0,'Model Inputs'!$B$32*SIN(2*PI()*(J236-3+'Model Inputs'!$B$34)/MAX(1,'Model Inputs'!$B$33)))</f>
        <v>0.10392304845413269</v>
      </c>
      <c r="O236" s="230">
        <f t="shared" si="100"/>
        <v>1693829.6999496389</v>
      </c>
      <c r="P236" s="230">
        <f t="shared" si="133"/>
        <v>1118318.448466131</v>
      </c>
      <c r="Q236" s="230">
        <f>L236+P236+IF(J236=1,'Model Inputs'!$B$26,0)</f>
        <v>1418318.448466131</v>
      </c>
      <c r="R236" s="230">
        <f t="shared" si="101"/>
        <v>4254955.3453983925</v>
      </c>
      <c r="S236" s="230">
        <f t="shared" si="102"/>
        <v>10300000</v>
      </c>
      <c r="T236" s="230">
        <f t="shared" si="103"/>
        <v>4254955.3453983925</v>
      </c>
      <c r="U236" s="230">
        <f>MIN(T236,'Tax Assumptions'!$B$19)</f>
        <v>24500</v>
      </c>
      <c r="V236" s="230">
        <f>MAX(T236-U236-'Tax Assumptions'!$B$8,0)</f>
        <v>4214355.3453983925</v>
      </c>
      <c r="W236" s="230">
        <f>MAX(T236-U236-'Tax Assumptions'!$B$9,0)</f>
        <v>4222455.3453983925</v>
      </c>
      <c r="X236" s="230">
        <f>IF(V236=0,0,LOOKUP(V236,'Tax Assumptions'!$F$9:$F$15,'Tax Assumptions'!$I$9:$I$15)+(V236-LOOKUP(V236,'Tax Assumptions'!$F$9:$F$15,'Tax Assumptions'!$F$9:$F$15))*LOOKUP(V236,'Tax Assumptions'!$F$9:$F$15,'Tax Assumptions'!$H$9:$H$15))+MIN(MAX(T236,0),'Tax Assumptions'!$B$11)*'Tax Assumptions'!$B$10+MAX(T236,0)*'Tax Assumptions'!$B$12+MAX(MAX(T236,0)-'Tax Assumptions'!$B$14,0)*'Tax Assumptions'!$B$13+MIN(T236*'Tax Assumptions'!$B$15,'Tax Assumptions'!$B$16)+MIN(T236*'Tax Assumptions'!$B$17,'Tax Assumptions'!$B$18)+IF(W236=0,0,LOOKUP(W236,'Tax Assumptions'!$K$9:$K$17,'Tax Assumptions'!$N$9:$N$17)+(W236-LOOKUP(W236,'Tax Assumptions'!$K$9:$K$17,'Tax Assumptions'!$K$9:$K$17))*LOOKUP(W236,'Tax Assumptions'!$K$9:$K$17,'Tax Assumptions'!$M$9:$M$17))+IF(W236=0,0,LOOKUP(W236,'Tax Assumptions'!$P$9:$P$12,'Tax Assumptions'!$S$9:$S$12)+(W236-LOOKUP(W236,'Tax Assumptions'!$P$9:$P$12,'Tax Assumptions'!$P$9:$P$12))*LOOKUP(W236,'Tax Assumptions'!$P$9:$P$12,'Tax Assumptions'!$R$9:$R$12))</f>
        <v>2163560.8234328539</v>
      </c>
      <c r="Y236" s="230">
        <f t="shared" si="104"/>
        <v>2066894.5219655386</v>
      </c>
      <c r="Z236" s="230">
        <f>IF(J236&lt;=10,INDEX('Savings Projection'!$BL$19:$BL$28,J236),LOOKUP(2,1/('Savings Projection'!$BL$19:$BL$28&lt;&gt;""),'Savings Projection'!$BL$19:$BL$28))*(1+'Model Inputs'!$B$35)^(J236-1)+IF(J236&lt;=10,INDEX('Savings Projection'!$BM$19:$BM$28,J236),LOOKUP(2,1/('Savings Projection'!$BM$19:$BM$28&lt;&gt;""),'Savings Projection'!$BM$19:$BM$28))*(1+'Model Inputs'!$B$36)^(J236-1)</f>
        <v>155226.79854876999</v>
      </c>
      <c r="AA236" s="230">
        <f t="shared" si="105"/>
        <v>1911667.7234167687</v>
      </c>
      <c r="AB236" s="230">
        <f>MIN(MAX(AA236,0),'Tax Assumptions'!$B$20)</f>
        <v>7500</v>
      </c>
      <c r="AC236" s="230">
        <f t="shared" si="106"/>
        <v>1904167.7234167687</v>
      </c>
      <c r="AD236" s="230">
        <f>MAX(AD235*(1+'Model Inputs'!$B$13)+AC236,0)</f>
        <v>6950645.9824655615</v>
      </c>
      <c r="AE236" s="230">
        <f>MAX(AE235*(1+'Model Inputs'!$B$13)+U236+AB236,0)</f>
        <v>268602.80479539197</v>
      </c>
      <c r="AF236" s="230">
        <f t="shared" si="107"/>
        <v>7219248.7872609533</v>
      </c>
      <c r="AG236" s="226" t="str">
        <f t="shared" si="129"/>
        <v/>
      </c>
      <c r="AH236" s="226" t="str">
        <f t="shared" si="130"/>
        <v/>
      </c>
      <c r="AI236" s="226" t="str">
        <f t="shared" si="131"/>
        <v/>
      </c>
      <c r="AJ236" s="226" t="str">
        <f t="shared" si="132"/>
        <v/>
      </c>
    </row>
    <row r="237" spans="1:36" ht="18" customHeight="1" x14ac:dyDescent="0.2">
      <c r="A237" s="226" t="str">
        <f t="shared" si="121"/>
        <v>3Y -&gt; PM Y8 Upside</v>
      </c>
      <c r="B237" s="226">
        <f t="shared" si="122"/>
        <v>3</v>
      </c>
      <c r="C237" s="235">
        <f t="shared" si="123"/>
        <v>3</v>
      </c>
      <c r="D237" s="226">
        <f t="shared" si="124"/>
        <v>8</v>
      </c>
      <c r="E237" s="226" t="str">
        <f t="shared" si="125"/>
        <v>Upside</v>
      </c>
      <c r="F237" s="230">
        <f t="shared" si="126"/>
        <v>50000000</v>
      </c>
      <c r="G237" s="236">
        <f t="shared" si="127"/>
        <v>0.2</v>
      </c>
      <c r="H237" s="230">
        <f t="shared" si="128"/>
        <v>300000</v>
      </c>
      <c r="I237" s="236">
        <f t="shared" si="98"/>
        <v>0</v>
      </c>
      <c r="J237" s="234">
        <v>8</v>
      </c>
      <c r="K237" s="234">
        <f t="shared" si="99"/>
        <v>2033</v>
      </c>
      <c r="L237" s="230">
        <f>IF(J237=1,'Model Inputs'!$B$25*(13-'Model Inputs'!$B$23)/12,'Model Inputs'!$B$25)</f>
        <v>300000</v>
      </c>
      <c r="M237" s="230">
        <f>IF(J237=1,'Model Inputs'!$B$27*(13-'Model Inputs'!$B$23)/12,IF(J237=2,'Model Inputs'!$B$27,IF(J237&lt;=MAX(3,'Model Inputs'!$B$30+1),'Model Inputs'!$B$27*(1+'Model Inputs'!$B$28)^(J237-3),'Model Inputs'!$B$27*(1+'Model Inputs'!$B$28)^(MAX(3,'Model Inputs'!$B$30+1)-3)*(1+'Model Inputs'!$B$29)^(J237-MAX(3,'Model Inputs'!$B$30+1)))))</f>
        <v>1950000.0000000002</v>
      </c>
      <c r="N237" s="236">
        <f>IF(J237&lt;=2,0,'Model Inputs'!$B$32*SIN(2*PI()*(J237-3+'Model Inputs'!$B$34)/MAX(1,'Model Inputs'!$B$33)))</f>
        <v>-0.10392304845413264</v>
      </c>
      <c r="O237" s="230">
        <f t="shared" si="100"/>
        <v>1747350.0555144416</v>
      </c>
      <c r="P237" s="230">
        <f t="shared" si="133"/>
        <v>1572205.6657868917</v>
      </c>
      <c r="Q237" s="230">
        <f>L237+P237+IF(J237=1,'Model Inputs'!$B$26,0)</f>
        <v>1872205.6657868917</v>
      </c>
      <c r="R237" s="230">
        <f t="shared" si="101"/>
        <v>5616616.9973606747</v>
      </c>
      <c r="S237" s="230">
        <f t="shared" si="102"/>
        <v>10300000</v>
      </c>
      <c r="T237" s="230">
        <f t="shared" si="103"/>
        <v>10300000</v>
      </c>
      <c r="U237" s="230">
        <f>MIN(T237,'Tax Assumptions'!$B$19)</f>
        <v>24500</v>
      </c>
      <c r="V237" s="230">
        <f>MAX(T237-U237-'Tax Assumptions'!$B$8,0)</f>
        <v>10259400</v>
      </c>
      <c r="W237" s="230">
        <f>MAX(T237-U237-'Tax Assumptions'!$B$9,0)</f>
        <v>10267500</v>
      </c>
      <c r="X237" s="230">
        <f>IF(V237=0,0,LOOKUP(V237,'Tax Assumptions'!$F$9:$F$15,'Tax Assumptions'!$I$9:$I$15)+(V237-LOOKUP(V237,'Tax Assumptions'!$F$9:$F$15,'Tax Assumptions'!$F$9:$F$15))*LOOKUP(V237,'Tax Assumptions'!$F$9:$F$15,'Tax Assumptions'!$H$9:$H$15))+MIN(MAX(T237,0),'Tax Assumptions'!$B$11)*'Tax Assumptions'!$B$10+MAX(T237,0)*'Tax Assumptions'!$B$12+MAX(MAX(T237,0)-'Tax Assumptions'!$B$14,0)*'Tax Assumptions'!$B$13+MIN(T237*'Tax Assumptions'!$B$15,'Tax Assumptions'!$B$16)+MIN(T237*'Tax Assumptions'!$B$17,'Tax Assumptions'!$B$18)+IF(W237=0,0,LOOKUP(W237,'Tax Assumptions'!$K$9:$K$17,'Tax Assumptions'!$N$9:$N$17)+(W237-LOOKUP(W237,'Tax Assumptions'!$K$9:$K$17,'Tax Assumptions'!$K$9:$K$17))*LOOKUP(W237,'Tax Assumptions'!$K$9:$K$17,'Tax Assumptions'!$M$9:$M$17))+IF(W237=0,0,LOOKUP(W237,'Tax Assumptions'!$P$9:$P$12,'Tax Assumptions'!$S$9:$S$12)+(W237-LOOKUP(W237,'Tax Assumptions'!$P$9:$P$12,'Tax Assumptions'!$P$9:$P$12))*LOOKUP(W237,'Tax Assumptions'!$P$9:$P$12,'Tax Assumptions'!$R$9:$R$12))</f>
        <v>5394180.54</v>
      </c>
      <c r="Y237" s="230">
        <f t="shared" si="104"/>
        <v>4881319.46</v>
      </c>
      <c r="Z237" s="230">
        <f>IF(J237&lt;=10,INDEX('Savings Projection'!$BL$19:$BL$28,J237),LOOKUP(2,1/('Savings Projection'!$BL$19:$BL$28&lt;&gt;""),'Savings Projection'!$BL$19:$BL$28))*(1+'Model Inputs'!$B$35)^(J237-1)+IF(J237&lt;=10,INDEX('Savings Projection'!$BM$19:$BM$28,J237),LOOKUP(2,1/('Savings Projection'!$BM$19:$BM$28&lt;&gt;""),'Savings Projection'!$BM$19:$BM$28))*(1+'Model Inputs'!$B$36)^(J237-1)</f>
        <v>159883.60250523311</v>
      </c>
      <c r="AA237" s="230">
        <f t="shared" si="105"/>
        <v>4721435.8574947668</v>
      </c>
      <c r="AB237" s="230">
        <f>MIN(MAX(AA237,0),'Tax Assumptions'!$B$20)</f>
        <v>7500</v>
      </c>
      <c r="AC237" s="230">
        <f t="shared" si="106"/>
        <v>4713935.8574947668</v>
      </c>
      <c r="AD237" s="230">
        <f>MAX(AD236*(1+'Model Inputs'!$B$13)+AC237,0)</f>
        <v>12081620.598908262</v>
      </c>
      <c r="AE237" s="230">
        <f>MAX(AE236*(1+'Model Inputs'!$B$13)+U237+AB237,0)</f>
        <v>316718.97308311553</v>
      </c>
      <c r="AF237" s="230">
        <f t="shared" si="107"/>
        <v>12398339.571991378</v>
      </c>
      <c r="AG237" s="226" t="str">
        <f t="shared" si="129"/>
        <v/>
      </c>
      <c r="AH237" s="226" t="str">
        <f t="shared" si="130"/>
        <v/>
      </c>
      <c r="AI237" s="226" t="str">
        <f t="shared" si="131"/>
        <v/>
      </c>
      <c r="AJ237" s="226" t="str">
        <f t="shared" si="132"/>
        <v/>
      </c>
    </row>
    <row r="238" spans="1:36" ht="18" customHeight="1" x14ac:dyDescent="0.2">
      <c r="A238" s="226" t="str">
        <f t="shared" si="121"/>
        <v>3Y -&gt; PM Y8 Upside</v>
      </c>
      <c r="B238" s="226">
        <f t="shared" si="122"/>
        <v>3</v>
      </c>
      <c r="C238" s="235">
        <f t="shared" si="123"/>
        <v>3</v>
      </c>
      <c r="D238" s="226">
        <f t="shared" si="124"/>
        <v>8</v>
      </c>
      <c r="E238" s="226" t="str">
        <f t="shared" si="125"/>
        <v>Upside</v>
      </c>
      <c r="F238" s="230">
        <f t="shared" si="126"/>
        <v>50000000</v>
      </c>
      <c r="G238" s="236">
        <f t="shared" si="127"/>
        <v>0.2</v>
      </c>
      <c r="H238" s="230">
        <f t="shared" si="128"/>
        <v>300000</v>
      </c>
      <c r="I238" s="236">
        <f t="shared" si="98"/>
        <v>0</v>
      </c>
      <c r="J238" s="234">
        <v>9</v>
      </c>
      <c r="K238" s="234">
        <f t="shared" si="99"/>
        <v>2034</v>
      </c>
      <c r="L238" s="230">
        <f>IF(J238=1,'Model Inputs'!$B$25*(13-'Model Inputs'!$B$23)/12,'Model Inputs'!$B$25)</f>
        <v>300000</v>
      </c>
      <c r="M238" s="230">
        <f>IF(J238=1,'Model Inputs'!$B$27*(13-'Model Inputs'!$B$23)/12,IF(J238=2,'Model Inputs'!$B$27,IF(J238&lt;=MAX(3,'Model Inputs'!$B$30+1),'Model Inputs'!$B$27*(1+'Model Inputs'!$B$28)^(J238-3),'Model Inputs'!$B$27*(1+'Model Inputs'!$B$28)^(MAX(3,'Model Inputs'!$B$30+1)-3)*(1+'Model Inputs'!$B$29)^(J238-MAX(3,'Model Inputs'!$B$30+1)))))</f>
        <v>2478210.9983498608</v>
      </c>
      <c r="N238" s="236">
        <f>IF(J238&lt;=2,0,'Model Inputs'!$B$32*SIN(2*PI()*(J238-3+'Model Inputs'!$B$34)/MAX(1,'Model Inputs'!$B$33)))</f>
        <v>-5.8783046359072947E-17</v>
      </c>
      <c r="O238" s="230">
        <f t="shared" si="100"/>
        <v>2478210.9983498603</v>
      </c>
      <c r="P238" s="230">
        <f t="shared" si="133"/>
        <v>1733969.9666232408</v>
      </c>
      <c r="Q238" s="230">
        <f>L238+P238+IF(J238=1,'Model Inputs'!$B$26,0)</f>
        <v>2033969.9666232408</v>
      </c>
      <c r="R238" s="230">
        <f t="shared" si="101"/>
        <v>6101909.8998697223</v>
      </c>
      <c r="S238" s="230">
        <f t="shared" si="102"/>
        <v>10300000</v>
      </c>
      <c r="T238" s="230">
        <f t="shared" si="103"/>
        <v>10300000</v>
      </c>
      <c r="U238" s="230">
        <f>MIN(T238,'Tax Assumptions'!$B$19)</f>
        <v>24500</v>
      </c>
      <c r="V238" s="230">
        <f>MAX(T238-U238-'Tax Assumptions'!$B$8,0)</f>
        <v>10259400</v>
      </c>
      <c r="W238" s="230">
        <f>MAX(T238-U238-'Tax Assumptions'!$B$9,0)</f>
        <v>10267500</v>
      </c>
      <c r="X238" s="230">
        <f>IF(V238=0,0,LOOKUP(V238,'Tax Assumptions'!$F$9:$F$15,'Tax Assumptions'!$I$9:$I$15)+(V238-LOOKUP(V238,'Tax Assumptions'!$F$9:$F$15,'Tax Assumptions'!$F$9:$F$15))*LOOKUP(V238,'Tax Assumptions'!$F$9:$F$15,'Tax Assumptions'!$H$9:$H$15))+MIN(MAX(T238,0),'Tax Assumptions'!$B$11)*'Tax Assumptions'!$B$10+MAX(T238,0)*'Tax Assumptions'!$B$12+MAX(MAX(T238,0)-'Tax Assumptions'!$B$14,0)*'Tax Assumptions'!$B$13+MIN(T238*'Tax Assumptions'!$B$15,'Tax Assumptions'!$B$16)+MIN(T238*'Tax Assumptions'!$B$17,'Tax Assumptions'!$B$18)+IF(W238=0,0,LOOKUP(W238,'Tax Assumptions'!$K$9:$K$17,'Tax Assumptions'!$N$9:$N$17)+(W238-LOOKUP(W238,'Tax Assumptions'!$K$9:$K$17,'Tax Assumptions'!$K$9:$K$17))*LOOKUP(W238,'Tax Assumptions'!$K$9:$K$17,'Tax Assumptions'!$M$9:$M$17))+IF(W238=0,0,LOOKUP(W238,'Tax Assumptions'!$P$9:$P$12,'Tax Assumptions'!$S$9:$S$12)+(W238-LOOKUP(W238,'Tax Assumptions'!$P$9:$P$12,'Tax Assumptions'!$P$9:$P$12))*LOOKUP(W238,'Tax Assumptions'!$P$9:$P$12,'Tax Assumptions'!$R$9:$R$12))</f>
        <v>5394180.54</v>
      </c>
      <c r="Y238" s="230">
        <f t="shared" si="104"/>
        <v>4881319.46</v>
      </c>
      <c r="Z238" s="230">
        <f>IF(J238&lt;=10,INDEX('Savings Projection'!$BL$19:$BL$28,J238),LOOKUP(2,1/('Savings Projection'!$BL$19:$BL$28&lt;&gt;""),'Savings Projection'!$BL$19:$BL$28))*(1+'Model Inputs'!$B$35)^(J238-1)+IF(J238&lt;=10,INDEX('Savings Projection'!$BM$19:$BM$28,J238),LOOKUP(2,1/('Savings Projection'!$BM$19:$BM$28&lt;&gt;""),'Savings Projection'!$BM$19:$BM$28))*(1+'Model Inputs'!$B$36)^(J238-1)</f>
        <v>164680.11058039009</v>
      </c>
      <c r="AA238" s="230">
        <f t="shared" si="105"/>
        <v>4716639.3494196096</v>
      </c>
      <c r="AB238" s="230">
        <f>MIN(MAX(AA238,0),'Tax Assumptions'!$B$20)</f>
        <v>7500</v>
      </c>
      <c r="AC238" s="230">
        <f t="shared" si="106"/>
        <v>4709139.3494196096</v>
      </c>
      <c r="AD238" s="230">
        <f>MAX(AD237*(1+'Model Inputs'!$B$13)+AC238,0)</f>
        <v>17515657.184262369</v>
      </c>
      <c r="AE238" s="230">
        <f>MAX(AE237*(1+'Model Inputs'!$B$13)+U238+AB238,0)</f>
        <v>367722.11146810249</v>
      </c>
      <c r="AF238" s="230">
        <f t="shared" si="107"/>
        <v>17883379.295730472</v>
      </c>
      <c r="AG238" s="226">
        <f t="shared" si="129"/>
        <v>9</v>
      </c>
      <c r="AH238" s="226">
        <f t="shared" si="130"/>
        <v>9</v>
      </c>
      <c r="AI238" s="226">
        <f t="shared" si="131"/>
        <v>9</v>
      </c>
      <c r="AJ238" s="226" t="str">
        <f t="shared" si="132"/>
        <v/>
      </c>
    </row>
    <row r="239" spans="1:36" ht="18" customHeight="1" x14ac:dyDescent="0.2">
      <c r="A239" s="226" t="str">
        <f t="shared" si="121"/>
        <v>3Y -&gt; PM Y8 Upside</v>
      </c>
      <c r="B239" s="226">
        <f t="shared" si="122"/>
        <v>3</v>
      </c>
      <c r="C239" s="235">
        <f t="shared" si="123"/>
        <v>3</v>
      </c>
      <c r="D239" s="226">
        <f t="shared" si="124"/>
        <v>8</v>
      </c>
      <c r="E239" s="226" t="str">
        <f t="shared" si="125"/>
        <v>Upside</v>
      </c>
      <c r="F239" s="230">
        <f t="shared" si="126"/>
        <v>50000000</v>
      </c>
      <c r="G239" s="236">
        <f t="shared" si="127"/>
        <v>0.2</v>
      </c>
      <c r="H239" s="230">
        <f t="shared" si="128"/>
        <v>300000</v>
      </c>
      <c r="I239" s="236">
        <f t="shared" si="98"/>
        <v>0</v>
      </c>
      <c r="J239" s="234">
        <v>10</v>
      </c>
      <c r="K239" s="234">
        <f t="shared" si="99"/>
        <v>2035</v>
      </c>
      <c r="L239" s="230">
        <f>IF(J239=1,'Model Inputs'!$B$25*(13-'Model Inputs'!$B$23)/12,'Model Inputs'!$B$25)</f>
        <v>300000</v>
      </c>
      <c r="M239" s="230">
        <f>IF(J239=1,'Model Inputs'!$B$27*(13-'Model Inputs'!$B$23)/12,IF(J239=2,'Model Inputs'!$B$27,IF(J239&lt;=MAX(3,'Model Inputs'!$B$30+1),'Model Inputs'!$B$27*(1+'Model Inputs'!$B$28)^(J239-3),'Model Inputs'!$B$27*(1+'Model Inputs'!$B$28)^(MAX(3,'Model Inputs'!$B$30+1)-3)*(1+'Model Inputs'!$B$29)^(J239-MAX(3,'Model Inputs'!$B$30+1)))))</f>
        <v>3149502.4370985711</v>
      </c>
      <c r="N239" s="236">
        <f>IF(J239&lt;=2,0,'Model Inputs'!$B$32*SIN(2*PI()*(J239-3+'Model Inputs'!$B$34)/MAX(1,'Model Inputs'!$B$33)))</f>
        <v>0.10392304845413271</v>
      </c>
      <c r="O239" s="230">
        <f t="shared" si="100"/>
        <v>3476808.331475575</v>
      </c>
      <c r="P239" s="230">
        <f t="shared" si="133"/>
        <v>2295495.7626410057</v>
      </c>
      <c r="Q239" s="230">
        <f>L239+P239+IF(J239=1,'Model Inputs'!$B$26,0)</f>
        <v>2595495.7626410057</v>
      </c>
      <c r="R239" s="230">
        <f t="shared" si="101"/>
        <v>7786487.2879230175</v>
      </c>
      <c r="S239" s="230">
        <f t="shared" si="102"/>
        <v>10300000</v>
      </c>
      <c r="T239" s="230">
        <f t="shared" si="103"/>
        <v>10300000</v>
      </c>
      <c r="U239" s="230">
        <f>MIN(T239,'Tax Assumptions'!$B$19)</f>
        <v>24500</v>
      </c>
      <c r="V239" s="230">
        <f>MAX(T239-U239-'Tax Assumptions'!$B$8,0)</f>
        <v>10259400</v>
      </c>
      <c r="W239" s="230">
        <f>MAX(T239-U239-'Tax Assumptions'!$B$9,0)</f>
        <v>10267500</v>
      </c>
      <c r="X239" s="230">
        <f>IF(V239=0,0,LOOKUP(V239,'Tax Assumptions'!$F$9:$F$15,'Tax Assumptions'!$I$9:$I$15)+(V239-LOOKUP(V239,'Tax Assumptions'!$F$9:$F$15,'Tax Assumptions'!$F$9:$F$15))*LOOKUP(V239,'Tax Assumptions'!$F$9:$F$15,'Tax Assumptions'!$H$9:$H$15))+MIN(MAX(T239,0),'Tax Assumptions'!$B$11)*'Tax Assumptions'!$B$10+MAX(T239,0)*'Tax Assumptions'!$B$12+MAX(MAX(T239,0)-'Tax Assumptions'!$B$14,0)*'Tax Assumptions'!$B$13+MIN(T239*'Tax Assumptions'!$B$15,'Tax Assumptions'!$B$16)+MIN(T239*'Tax Assumptions'!$B$17,'Tax Assumptions'!$B$18)+IF(W239=0,0,LOOKUP(W239,'Tax Assumptions'!$K$9:$K$17,'Tax Assumptions'!$N$9:$N$17)+(W239-LOOKUP(W239,'Tax Assumptions'!$K$9:$K$17,'Tax Assumptions'!$K$9:$K$17))*LOOKUP(W239,'Tax Assumptions'!$K$9:$K$17,'Tax Assumptions'!$M$9:$M$17))+IF(W239=0,0,LOOKUP(W239,'Tax Assumptions'!$P$9:$P$12,'Tax Assumptions'!$S$9:$S$12)+(W239-LOOKUP(W239,'Tax Assumptions'!$P$9:$P$12,'Tax Assumptions'!$P$9:$P$12))*LOOKUP(W239,'Tax Assumptions'!$P$9:$P$12,'Tax Assumptions'!$R$9:$R$12))</f>
        <v>5394180.54</v>
      </c>
      <c r="Y239" s="230">
        <f t="shared" si="104"/>
        <v>4881319.46</v>
      </c>
      <c r="Z239" s="230">
        <f>IF(J239&lt;=10,INDEX('Savings Projection'!$BL$19:$BL$28,J239),LOOKUP(2,1/('Savings Projection'!$BL$19:$BL$28&lt;&gt;""),'Savings Projection'!$BL$19:$BL$28))*(1+'Model Inputs'!$B$35)^(J239-1)+IF(J239&lt;=10,INDEX('Savings Projection'!$BM$19:$BM$28,J239),LOOKUP(2,1/('Savings Projection'!$BM$19:$BM$28&lt;&gt;""),'Savings Projection'!$BM$19:$BM$28))*(1+'Model Inputs'!$B$36)^(J239-1)</f>
        <v>169620.51389780178</v>
      </c>
      <c r="AA239" s="230">
        <f t="shared" si="105"/>
        <v>4711698.9461021982</v>
      </c>
      <c r="AB239" s="230">
        <f>MIN(MAX(AA239,0),'Tax Assumptions'!$B$20)</f>
        <v>7500</v>
      </c>
      <c r="AC239" s="230">
        <f t="shared" si="106"/>
        <v>4704198.9461021982</v>
      </c>
      <c r="AD239" s="230">
        <f>MAX(AD238*(1+'Model Inputs'!$B$13)+AC239,0)</f>
        <v>23270795.56142031</v>
      </c>
      <c r="AE239" s="230">
        <f>MAX(AE238*(1+'Model Inputs'!$B$13)+U239+AB239,0)</f>
        <v>421785.43815618864</v>
      </c>
      <c r="AF239" s="230">
        <f t="shared" si="107"/>
        <v>23692580.999576498</v>
      </c>
      <c r="AG239" s="226" t="str">
        <f t="shared" si="129"/>
        <v/>
      </c>
      <c r="AH239" s="226" t="str">
        <f t="shared" si="130"/>
        <v/>
      </c>
      <c r="AI239" s="226" t="str">
        <f t="shared" si="131"/>
        <v/>
      </c>
      <c r="AJ239" s="226">
        <f t="shared" si="132"/>
        <v>10</v>
      </c>
    </row>
    <row r="240" spans="1:36" ht="18" customHeight="1" x14ac:dyDescent="0.2">
      <c r="A240" s="226" t="str">
        <f t="shared" si="121"/>
        <v>3Y -&gt; PM Y8 Upside</v>
      </c>
      <c r="B240" s="226">
        <f t="shared" si="122"/>
        <v>3</v>
      </c>
      <c r="C240" s="235">
        <f t="shared" si="123"/>
        <v>3</v>
      </c>
      <c r="D240" s="226">
        <f t="shared" si="124"/>
        <v>8</v>
      </c>
      <c r="E240" s="226" t="str">
        <f t="shared" si="125"/>
        <v>Upside</v>
      </c>
      <c r="F240" s="230">
        <f t="shared" si="126"/>
        <v>50000000</v>
      </c>
      <c r="G240" s="236">
        <f t="shared" si="127"/>
        <v>0.2</v>
      </c>
      <c r="H240" s="230">
        <f t="shared" si="128"/>
        <v>300000</v>
      </c>
      <c r="I240" s="236">
        <f t="shared" si="98"/>
        <v>0</v>
      </c>
      <c r="J240" s="234">
        <v>11</v>
      </c>
      <c r="K240" s="234">
        <f t="shared" si="99"/>
        <v>2036</v>
      </c>
      <c r="L240" s="230">
        <f>IF(J240=1,'Model Inputs'!$B$25*(13-'Model Inputs'!$B$23)/12,'Model Inputs'!$B$25)</f>
        <v>300000</v>
      </c>
      <c r="M240" s="230">
        <f>IF(J240=1,'Model Inputs'!$B$27*(13-'Model Inputs'!$B$23)/12,IF(J240=2,'Model Inputs'!$B$27,IF(J240&lt;=MAX(3,'Model Inputs'!$B$30+1),'Model Inputs'!$B$27*(1+'Model Inputs'!$B$28)^(J240-3),'Model Inputs'!$B$27*(1+'Model Inputs'!$B$28)^(MAX(3,'Model Inputs'!$B$30+1)-3)*(1+'Model Inputs'!$B$29)^(J240-MAX(3,'Model Inputs'!$B$30+1)))))</f>
        <v>4002631.578947369</v>
      </c>
      <c r="N240" s="236">
        <f>IF(J240&lt;=2,0,'Model Inputs'!$B$32*SIN(2*PI()*(J240-3+'Model Inputs'!$B$34)/MAX(1,'Model Inputs'!$B$33)))</f>
        <v>-0.10392304845413253</v>
      </c>
      <c r="O240" s="230">
        <f t="shared" si="100"/>
        <v>3586665.9034243808</v>
      </c>
      <c r="P240" s="230">
        <f t="shared" si="133"/>
        <v>3227158.9981941464</v>
      </c>
      <c r="Q240" s="230">
        <f>L240+P240+IF(J240=1,'Model Inputs'!$B$26,0)</f>
        <v>3527158.9981941464</v>
      </c>
      <c r="R240" s="230">
        <f t="shared" si="101"/>
        <v>10581476.994582439</v>
      </c>
      <c r="S240" s="230">
        <f t="shared" si="102"/>
        <v>10300000</v>
      </c>
      <c r="T240" s="230">
        <f t="shared" si="103"/>
        <v>10300000</v>
      </c>
      <c r="U240" s="230">
        <f>MIN(T240,'Tax Assumptions'!$B$19)</f>
        <v>24500</v>
      </c>
      <c r="V240" s="230">
        <f>MAX(T240-U240-'Tax Assumptions'!$B$8,0)</f>
        <v>10259400</v>
      </c>
      <c r="W240" s="230">
        <f>MAX(T240-U240-'Tax Assumptions'!$B$9,0)</f>
        <v>10267500</v>
      </c>
      <c r="X240" s="230">
        <f>IF(V240=0,0,LOOKUP(V240,'Tax Assumptions'!$F$9:$F$15,'Tax Assumptions'!$I$9:$I$15)+(V240-LOOKUP(V240,'Tax Assumptions'!$F$9:$F$15,'Tax Assumptions'!$F$9:$F$15))*LOOKUP(V240,'Tax Assumptions'!$F$9:$F$15,'Tax Assumptions'!$H$9:$H$15))+MIN(MAX(T240,0),'Tax Assumptions'!$B$11)*'Tax Assumptions'!$B$10+MAX(T240,0)*'Tax Assumptions'!$B$12+MAX(MAX(T240,0)-'Tax Assumptions'!$B$14,0)*'Tax Assumptions'!$B$13+MIN(T240*'Tax Assumptions'!$B$15,'Tax Assumptions'!$B$16)+MIN(T240*'Tax Assumptions'!$B$17,'Tax Assumptions'!$B$18)+IF(W240=0,0,LOOKUP(W240,'Tax Assumptions'!$K$9:$K$17,'Tax Assumptions'!$N$9:$N$17)+(W240-LOOKUP(W240,'Tax Assumptions'!$K$9:$K$17,'Tax Assumptions'!$K$9:$K$17))*LOOKUP(W240,'Tax Assumptions'!$K$9:$K$17,'Tax Assumptions'!$M$9:$M$17))+IF(W240=0,0,LOOKUP(W240,'Tax Assumptions'!$P$9:$P$12,'Tax Assumptions'!$S$9:$S$12)+(W240-LOOKUP(W240,'Tax Assumptions'!$P$9:$P$12,'Tax Assumptions'!$P$9:$P$12))*LOOKUP(W240,'Tax Assumptions'!$P$9:$P$12,'Tax Assumptions'!$R$9:$R$12))</f>
        <v>5394180.54</v>
      </c>
      <c r="Y240" s="230">
        <f t="shared" si="104"/>
        <v>4881319.46</v>
      </c>
      <c r="Z240" s="230">
        <f>IF(J240&lt;=10,INDEX('Savings Projection'!$BL$19:$BL$28,J240),LOOKUP(2,1/('Savings Projection'!$BL$19:$BL$28&lt;&gt;""),'Savings Projection'!$BL$19:$BL$28))*(1+'Model Inputs'!$B$35)^(J240-1)+IF(J240&lt;=10,INDEX('Savings Projection'!$BM$19:$BM$28,J240),LOOKUP(2,1/('Savings Projection'!$BM$19:$BM$28&lt;&gt;""),'Savings Projection'!$BM$19:$BM$28))*(1+'Model Inputs'!$B$36)^(J240-1)</f>
        <v>174709.12931473582</v>
      </c>
      <c r="AA240" s="230">
        <f t="shared" si="105"/>
        <v>4706610.3306852644</v>
      </c>
      <c r="AB240" s="230">
        <f>MIN(MAX(AA240,0),'Tax Assumptions'!$B$20)</f>
        <v>7500</v>
      </c>
      <c r="AC240" s="230">
        <f t="shared" si="106"/>
        <v>4699110.3306852644</v>
      </c>
      <c r="AD240" s="230">
        <f>MAX(AD239*(1+'Model Inputs'!$B$13)+AC240,0)</f>
        <v>29366153.625790797</v>
      </c>
      <c r="AE240" s="230">
        <f>MAX(AE239*(1+'Model Inputs'!$B$13)+U240+AB240,0)</f>
        <v>479092.56444555998</v>
      </c>
      <c r="AF240" s="230">
        <f t="shared" si="107"/>
        <v>29845246.190236356</v>
      </c>
      <c r="AG240" s="226" t="str">
        <f t="shared" si="129"/>
        <v/>
      </c>
      <c r="AH240" s="226" t="str">
        <f t="shared" si="130"/>
        <v/>
      </c>
      <c r="AI240" s="226" t="str">
        <f t="shared" si="131"/>
        <v/>
      </c>
      <c r="AJ240" s="226" t="str">
        <f t="shared" si="132"/>
        <v/>
      </c>
    </row>
    <row r="241" spans="1:36" ht="18" customHeight="1" x14ac:dyDescent="0.2">
      <c r="A241" s="226" t="str">
        <f t="shared" si="121"/>
        <v>3Y -&gt; PM Y8 Upside</v>
      </c>
      <c r="B241" s="226">
        <f t="shared" si="122"/>
        <v>3</v>
      </c>
      <c r="C241" s="235">
        <f t="shared" si="123"/>
        <v>3</v>
      </c>
      <c r="D241" s="226">
        <f t="shared" si="124"/>
        <v>8</v>
      </c>
      <c r="E241" s="226" t="str">
        <f t="shared" si="125"/>
        <v>Upside</v>
      </c>
      <c r="F241" s="230">
        <f t="shared" si="126"/>
        <v>50000000</v>
      </c>
      <c r="G241" s="236">
        <f t="shared" si="127"/>
        <v>0.2</v>
      </c>
      <c r="H241" s="230">
        <f t="shared" si="128"/>
        <v>300000</v>
      </c>
      <c r="I241" s="236">
        <f t="shared" si="98"/>
        <v>0</v>
      </c>
      <c r="J241" s="234">
        <v>12</v>
      </c>
      <c r="K241" s="234">
        <f t="shared" si="99"/>
        <v>2037</v>
      </c>
      <c r="L241" s="230">
        <f>IF(J241=1,'Model Inputs'!$B$25*(13-'Model Inputs'!$B$23)/12,'Model Inputs'!$B$25)</f>
        <v>300000</v>
      </c>
      <c r="M241" s="230">
        <f>IF(J241=1,'Model Inputs'!$B$27*(13-'Model Inputs'!$B$23)/12,IF(J241=2,'Model Inputs'!$B$27,IF(J241&lt;=MAX(3,'Model Inputs'!$B$30+1),'Model Inputs'!$B$27*(1+'Model Inputs'!$B$28)^(J241-3),'Model Inputs'!$B$27*(1+'Model Inputs'!$B$28)^(MAX(3,'Model Inputs'!$B$30+1)-3)*(1+'Model Inputs'!$B$29)^(J241-MAX(3,'Model Inputs'!$B$30+1)))))</f>
        <v>5086854.15450761</v>
      </c>
      <c r="N241" s="236">
        <f>IF(J241&lt;=2,0,'Model Inputs'!$B$32*SIN(2*PI()*(J241-3+'Model Inputs'!$B$34)/MAX(1,'Model Inputs'!$B$33)))</f>
        <v>-8.8174569538609421E-17</v>
      </c>
      <c r="O241" s="230">
        <f t="shared" si="100"/>
        <v>5086854.1545076091</v>
      </c>
      <c r="P241" s="230">
        <f t="shared" si="133"/>
        <v>3559201.5104371794</v>
      </c>
      <c r="Q241" s="230">
        <f>L241+P241+IF(J241=1,'Model Inputs'!$B$26,0)</f>
        <v>3859201.5104371794</v>
      </c>
      <c r="R241" s="230">
        <f t="shared" si="101"/>
        <v>11577604.531311538</v>
      </c>
      <c r="S241" s="230">
        <f t="shared" si="102"/>
        <v>10300000</v>
      </c>
      <c r="T241" s="230">
        <f t="shared" si="103"/>
        <v>10300000</v>
      </c>
      <c r="U241" s="230">
        <f>MIN(T241,'Tax Assumptions'!$B$19)</f>
        <v>24500</v>
      </c>
      <c r="V241" s="230">
        <f>MAX(T241-U241-'Tax Assumptions'!$B$8,0)</f>
        <v>10259400</v>
      </c>
      <c r="W241" s="230">
        <f>MAX(T241-U241-'Tax Assumptions'!$B$9,0)</f>
        <v>10267500</v>
      </c>
      <c r="X241" s="230">
        <f>IF(V241=0,0,LOOKUP(V241,'Tax Assumptions'!$F$9:$F$15,'Tax Assumptions'!$I$9:$I$15)+(V241-LOOKUP(V241,'Tax Assumptions'!$F$9:$F$15,'Tax Assumptions'!$F$9:$F$15))*LOOKUP(V241,'Tax Assumptions'!$F$9:$F$15,'Tax Assumptions'!$H$9:$H$15))+MIN(MAX(T241,0),'Tax Assumptions'!$B$11)*'Tax Assumptions'!$B$10+MAX(T241,0)*'Tax Assumptions'!$B$12+MAX(MAX(T241,0)-'Tax Assumptions'!$B$14,0)*'Tax Assumptions'!$B$13+MIN(T241*'Tax Assumptions'!$B$15,'Tax Assumptions'!$B$16)+MIN(T241*'Tax Assumptions'!$B$17,'Tax Assumptions'!$B$18)+IF(W241=0,0,LOOKUP(W241,'Tax Assumptions'!$K$9:$K$17,'Tax Assumptions'!$N$9:$N$17)+(W241-LOOKUP(W241,'Tax Assumptions'!$K$9:$K$17,'Tax Assumptions'!$K$9:$K$17))*LOOKUP(W241,'Tax Assumptions'!$K$9:$K$17,'Tax Assumptions'!$M$9:$M$17))+IF(W241=0,0,LOOKUP(W241,'Tax Assumptions'!$P$9:$P$12,'Tax Assumptions'!$S$9:$S$12)+(W241-LOOKUP(W241,'Tax Assumptions'!$P$9:$P$12,'Tax Assumptions'!$P$9:$P$12))*LOOKUP(W241,'Tax Assumptions'!$P$9:$P$12,'Tax Assumptions'!$R$9:$R$12))</f>
        <v>5394180.54</v>
      </c>
      <c r="Y241" s="230">
        <f t="shared" si="104"/>
        <v>4881319.46</v>
      </c>
      <c r="Z241" s="230">
        <f>IF(J241&lt;=10,INDEX('Savings Projection'!$BL$19:$BL$28,J241),LOOKUP(2,1/('Savings Projection'!$BL$19:$BL$28&lt;&gt;""),'Savings Projection'!$BL$19:$BL$28))*(1+'Model Inputs'!$B$35)^(J241-1)+IF(J241&lt;=10,INDEX('Savings Projection'!$BM$19:$BM$28,J241),LOOKUP(2,1/('Savings Projection'!$BM$19:$BM$28&lt;&gt;""),'Savings Projection'!$BM$19:$BM$28))*(1+'Model Inputs'!$B$36)^(J241-1)</f>
        <v>179950.4031941779</v>
      </c>
      <c r="AA241" s="230">
        <f t="shared" si="105"/>
        <v>4701369.0568058221</v>
      </c>
      <c r="AB241" s="230">
        <f>MIN(MAX(AA241,0),'Tax Assumptions'!$B$20)</f>
        <v>7500</v>
      </c>
      <c r="AC241" s="230">
        <f t="shared" si="106"/>
        <v>4693869.0568058221</v>
      </c>
      <c r="AD241" s="230">
        <f>MAX(AD240*(1+'Model Inputs'!$B$13)+AC241,0)</f>
        <v>35821991.90014407</v>
      </c>
      <c r="AE241" s="230">
        <f>MAX(AE240*(1+'Model Inputs'!$B$13)+U241+AB241,0)</f>
        <v>539838.11831229366</v>
      </c>
      <c r="AF241" s="230">
        <f t="shared" si="107"/>
        <v>36361830.018456362</v>
      </c>
      <c r="AG241" s="226" t="str">
        <f t="shared" si="129"/>
        <v/>
      </c>
      <c r="AH241" s="226" t="str">
        <f t="shared" si="130"/>
        <v/>
      </c>
      <c r="AI241" s="226" t="str">
        <f t="shared" si="131"/>
        <v/>
      </c>
      <c r="AJ241" s="226" t="str">
        <f t="shared" si="132"/>
        <v/>
      </c>
    </row>
    <row r="242" spans="1:36" ht="18" customHeight="1" x14ac:dyDescent="0.2">
      <c r="A242" s="226" t="str">
        <f t="shared" si="121"/>
        <v>3Y -&gt; PM Y8 Upside</v>
      </c>
      <c r="B242" s="226">
        <f t="shared" si="122"/>
        <v>3</v>
      </c>
      <c r="C242" s="235">
        <f t="shared" si="123"/>
        <v>3</v>
      </c>
      <c r="D242" s="226">
        <f t="shared" si="124"/>
        <v>8</v>
      </c>
      <c r="E242" s="226" t="str">
        <f t="shared" si="125"/>
        <v>Upside</v>
      </c>
      <c r="F242" s="230">
        <f t="shared" si="126"/>
        <v>50000000</v>
      </c>
      <c r="G242" s="236">
        <f t="shared" si="127"/>
        <v>0.2</v>
      </c>
      <c r="H242" s="230">
        <f t="shared" si="128"/>
        <v>300000</v>
      </c>
      <c r="I242" s="236">
        <f t="shared" ref="I242:I305" si="134">$J$17</f>
        <v>0</v>
      </c>
      <c r="J242" s="234">
        <v>13</v>
      </c>
      <c r="K242" s="234">
        <f t="shared" ref="K242:K305" si="135">2025+J242</f>
        <v>2038</v>
      </c>
      <c r="L242" s="230">
        <f>IF(J242=1,'Model Inputs'!$B$25*(13-'Model Inputs'!$B$23)/12,'Model Inputs'!$B$25)</f>
        <v>300000</v>
      </c>
      <c r="M242" s="230">
        <f>IF(J242=1,'Model Inputs'!$B$27*(13-'Model Inputs'!$B$23)/12,IF(J242=2,'Model Inputs'!$B$27,IF(J242&lt;=MAX(3,'Model Inputs'!$B$30+1),'Model Inputs'!$B$27*(1+'Model Inputs'!$B$28)^(J242-3),'Model Inputs'!$B$27*(1+'Model Inputs'!$B$28)^(MAX(3,'Model Inputs'!$B$30+1)-3)*(1+'Model Inputs'!$B$29)^(J242-MAX(3,'Model Inputs'!$B$30+1)))))</f>
        <v>6464768.1603602255</v>
      </c>
      <c r="N242" s="236">
        <f>IF(J242&lt;=2,0,'Model Inputs'!$B$32*SIN(2*PI()*(J242-3+'Model Inputs'!$B$34)/MAX(1,'Model Inputs'!$B$33)))</f>
        <v>0.10392304845413261</v>
      </c>
      <c r="O242" s="230">
        <f t="shared" ref="O242:O305" si="136">M242*(1+N242)</f>
        <v>7136606.5751340752</v>
      </c>
      <c r="P242" s="230">
        <f t="shared" si="133"/>
        <v>4711807.0917368019</v>
      </c>
      <c r="Q242" s="230">
        <f>L242+P242+IF(J242=1,'Model Inputs'!$B$26,0)</f>
        <v>5011807.0917368019</v>
      </c>
      <c r="R242" s="230">
        <f t="shared" ref="R242:R305" si="137">IF(J242&lt;=B242,Q242,Q242*C242)</f>
        <v>15035421.275210407</v>
      </c>
      <c r="S242" s="230">
        <f t="shared" ref="S242:S305" si="138">H242+F242*G242*(1+I242)^MAX(0,J242-D242)</f>
        <v>10300000</v>
      </c>
      <c r="T242" s="230">
        <f t="shared" ref="T242:T305" si="139">IF(J242&gt;=D242,S242,R242)</f>
        <v>10300000</v>
      </c>
      <c r="U242" s="230">
        <f>MIN(T242,'Tax Assumptions'!$B$19)</f>
        <v>24500</v>
      </c>
      <c r="V242" s="230">
        <f>MAX(T242-U242-'Tax Assumptions'!$B$8,0)</f>
        <v>10259400</v>
      </c>
      <c r="W242" s="230">
        <f>MAX(T242-U242-'Tax Assumptions'!$B$9,0)</f>
        <v>10267500</v>
      </c>
      <c r="X242" s="230">
        <f>IF(V242=0,0,LOOKUP(V242,'Tax Assumptions'!$F$9:$F$15,'Tax Assumptions'!$I$9:$I$15)+(V242-LOOKUP(V242,'Tax Assumptions'!$F$9:$F$15,'Tax Assumptions'!$F$9:$F$15))*LOOKUP(V242,'Tax Assumptions'!$F$9:$F$15,'Tax Assumptions'!$H$9:$H$15))+MIN(MAX(T242,0),'Tax Assumptions'!$B$11)*'Tax Assumptions'!$B$10+MAX(T242,0)*'Tax Assumptions'!$B$12+MAX(MAX(T242,0)-'Tax Assumptions'!$B$14,0)*'Tax Assumptions'!$B$13+MIN(T242*'Tax Assumptions'!$B$15,'Tax Assumptions'!$B$16)+MIN(T242*'Tax Assumptions'!$B$17,'Tax Assumptions'!$B$18)+IF(W242=0,0,LOOKUP(W242,'Tax Assumptions'!$K$9:$K$17,'Tax Assumptions'!$N$9:$N$17)+(W242-LOOKUP(W242,'Tax Assumptions'!$K$9:$K$17,'Tax Assumptions'!$K$9:$K$17))*LOOKUP(W242,'Tax Assumptions'!$K$9:$K$17,'Tax Assumptions'!$M$9:$M$17))+IF(W242=0,0,LOOKUP(W242,'Tax Assumptions'!$P$9:$P$12,'Tax Assumptions'!$S$9:$S$12)+(W242-LOOKUP(W242,'Tax Assumptions'!$P$9:$P$12,'Tax Assumptions'!$P$9:$P$12))*LOOKUP(W242,'Tax Assumptions'!$P$9:$P$12,'Tax Assumptions'!$R$9:$R$12))</f>
        <v>5394180.54</v>
      </c>
      <c r="Y242" s="230">
        <f t="shared" ref="Y242:Y305" si="140">T242-U242-X242</f>
        <v>4881319.46</v>
      </c>
      <c r="Z242" s="230">
        <f>IF(J242&lt;=10,INDEX('Savings Projection'!$BL$19:$BL$28,J242),LOOKUP(2,1/('Savings Projection'!$BL$19:$BL$28&lt;&gt;""),'Savings Projection'!$BL$19:$BL$28))*(1+'Model Inputs'!$B$35)^(J242-1)+IF(J242&lt;=10,INDEX('Savings Projection'!$BM$19:$BM$28,J242),LOOKUP(2,1/('Savings Projection'!$BM$19:$BM$28&lt;&gt;""),'Savings Projection'!$BM$19:$BM$28))*(1+'Model Inputs'!$B$36)^(J242-1)</f>
        <v>185348.91529000323</v>
      </c>
      <c r="AA242" s="230">
        <f t="shared" ref="AA242:AA305" si="141">Y242-Z242</f>
        <v>4695970.5447099963</v>
      </c>
      <c r="AB242" s="230">
        <f>MIN(MAX(AA242,0),'Tax Assumptions'!$B$20)</f>
        <v>7500</v>
      </c>
      <c r="AC242" s="230">
        <f t="shared" ref="AC242:AC305" si="142">AA242-AB242</f>
        <v>4688470.5447099963</v>
      </c>
      <c r="AD242" s="230">
        <f>MAX(AD241*(1+'Model Inputs'!$B$13)+AC242,0)</f>
        <v>42659781.958862714</v>
      </c>
      <c r="AE242" s="230">
        <f>MAX(AE241*(1+'Model Inputs'!$B$13)+U242+AB242,0)</f>
        <v>604228.40541103133</v>
      </c>
      <c r="AF242" s="230">
        <f t="shared" ref="AF242:AF305" si="143">AD242+AE242</f>
        <v>43264010.364273749</v>
      </c>
      <c r="AG242" s="226" t="str">
        <f t="shared" si="129"/>
        <v/>
      </c>
      <c r="AH242" s="226" t="str">
        <f t="shared" si="130"/>
        <v/>
      </c>
      <c r="AI242" s="226" t="str">
        <f t="shared" si="131"/>
        <v/>
      </c>
      <c r="AJ242" s="226" t="str">
        <f t="shared" si="132"/>
        <v/>
      </c>
    </row>
    <row r="243" spans="1:36" ht="18" customHeight="1" x14ac:dyDescent="0.2">
      <c r="A243" s="226" t="str">
        <f t="shared" si="121"/>
        <v>3Y -&gt; PM Y8 Upside</v>
      </c>
      <c r="B243" s="226">
        <f t="shared" si="122"/>
        <v>3</v>
      </c>
      <c r="C243" s="235">
        <f t="shared" si="123"/>
        <v>3</v>
      </c>
      <c r="D243" s="226">
        <f t="shared" si="124"/>
        <v>8</v>
      </c>
      <c r="E243" s="226" t="str">
        <f t="shared" si="125"/>
        <v>Upside</v>
      </c>
      <c r="F243" s="230">
        <f t="shared" si="126"/>
        <v>50000000</v>
      </c>
      <c r="G243" s="236">
        <f t="shared" si="127"/>
        <v>0.2</v>
      </c>
      <c r="H243" s="230">
        <f t="shared" si="128"/>
        <v>300000</v>
      </c>
      <c r="I243" s="236">
        <f t="shared" si="134"/>
        <v>0</v>
      </c>
      <c r="J243" s="234">
        <v>14</v>
      </c>
      <c r="K243" s="234">
        <f t="shared" si="135"/>
        <v>2039</v>
      </c>
      <c r="L243" s="230">
        <f>IF(J243=1,'Model Inputs'!$B$25*(13-'Model Inputs'!$B$23)/12,'Model Inputs'!$B$25)</f>
        <v>300000</v>
      </c>
      <c r="M243" s="230">
        <f>IF(J243=1,'Model Inputs'!$B$27*(13-'Model Inputs'!$B$23)/12,IF(J243=2,'Model Inputs'!$B$27,IF(J243&lt;=MAX(3,'Model Inputs'!$B$30+1),'Model Inputs'!$B$27*(1+'Model Inputs'!$B$28)^(J243-3),'Model Inputs'!$B$27*(1+'Model Inputs'!$B$28)^(MAX(3,'Model Inputs'!$B$30+1)-3)*(1+'Model Inputs'!$B$29)^(J243-MAX(3,'Model Inputs'!$B$30+1)))))</f>
        <v>8215927.9778393377</v>
      </c>
      <c r="N243" s="236">
        <f>IF(J243&lt;=2,0,'Model Inputs'!$B$32*SIN(2*PI()*(J243-3+'Model Inputs'!$B$34)/MAX(1,'Model Inputs'!$B$33)))</f>
        <v>-0.10392304845413251</v>
      </c>
      <c r="O243" s="230">
        <f t="shared" si="136"/>
        <v>7362103.6965026772</v>
      </c>
      <c r="P243" s="230">
        <f t="shared" si="133"/>
        <v>6624168.4699774589</v>
      </c>
      <c r="Q243" s="230">
        <f>L243+P243+IF(J243=1,'Model Inputs'!$B$26,0)</f>
        <v>6924168.4699774589</v>
      </c>
      <c r="R243" s="230">
        <f t="shared" si="137"/>
        <v>20772505.409932375</v>
      </c>
      <c r="S243" s="230">
        <f t="shared" si="138"/>
        <v>10300000</v>
      </c>
      <c r="T243" s="230">
        <f t="shared" si="139"/>
        <v>10300000</v>
      </c>
      <c r="U243" s="230">
        <f>MIN(T243,'Tax Assumptions'!$B$19)</f>
        <v>24500</v>
      </c>
      <c r="V243" s="230">
        <f>MAX(T243-U243-'Tax Assumptions'!$B$8,0)</f>
        <v>10259400</v>
      </c>
      <c r="W243" s="230">
        <f>MAX(T243-U243-'Tax Assumptions'!$B$9,0)</f>
        <v>10267500</v>
      </c>
      <c r="X243" s="230">
        <f>IF(V243=0,0,LOOKUP(V243,'Tax Assumptions'!$F$9:$F$15,'Tax Assumptions'!$I$9:$I$15)+(V243-LOOKUP(V243,'Tax Assumptions'!$F$9:$F$15,'Tax Assumptions'!$F$9:$F$15))*LOOKUP(V243,'Tax Assumptions'!$F$9:$F$15,'Tax Assumptions'!$H$9:$H$15))+MIN(MAX(T243,0),'Tax Assumptions'!$B$11)*'Tax Assumptions'!$B$10+MAX(T243,0)*'Tax Assumptions'!$B$12+MAX(MAX(T243,0)-'Tax Assumptions'!$B$14,0)*'Tax Assumptions'!$B$13+MIN(T243*'Tax Assumptions'!$B$15,'Tax Assumptions'!$B$16)+MIN(T243*'Tax Assumptions'!$B$17,'Tax Assumptions'!$B$18)+IF(W243=0,0,LOOKUP(W243,'Tax Assumptions'!$K$9:$K$17,'Tax Assumptions'!$N$9:$N$17)+(W243-LOOKUP(W243,'Tax Assumptions'!$K$9:$K$17,'Tax Assumptions'!$K$9:$K$17))*LOOKUP(W243,'Tax Assumptions'!$K$9:$K$17,'Tax Assumptions'!$M$9:$M$17))+IF(W243=0,0,LOOKUP(W243,'Tax Assumptions'!$P$9:$P$12,'Tax Assumptions'!$S$9:$S$12)+(W243-LOOKUP(W243,'Tax Assumptions'!$P$9:$P$12,'Tax Assumptions'!$P$9:$P$12))*LOOKUP(W243,'Tax Assumptions'!$P$9:$P$12,'Tax Assumptions'!$R$9:$R$12))</f>
        <v>5394180.54</v>
      </c>
      <c r="Y243" s="230">
        <f t="shared" si="140"/>
        <v>4881319.46</v>
      </c>
      <c r="Z243" s="230">
        <f>IF(J243&lt;=10,INDEX('Savings Projection'!$BL$19:$BL$28,J243),LOOKUP(2,1/('Savings Projection'!$BL$19:$BL$28&lt;&gt;""),'Savings Projection'!$BL$19:$BL$28))*(1+'Model Inputs'!$B$35)^(J243-1)+IF(J243&lt;=10,INDEX('Savings Projection'!$BM$19:$BM$28,J243),LOOKUP(2,1/('Savings Projection'!$BM$19:$BM$28&lt;&gt;""),'Savings Projection'!$BM$19:$BM$28))*(1+'Model Inputs'!$B$36)^(J243-1)</f>
        <v>190909.3827487033</v>
      </c>
      <c r="AA243" s="230">
        <f t="shared" si="141"/>
        <v>4690410.0772512965</v>
      </c>
      <c r="AB243" s="230">
        <f>MIN(MAX(AA243,0),'Tax Assumptions'!$B$20)</f>
        <v>7500</v>
      </c>
      <c r="AC243" s="230">
        <f t="shared" si="142"/>
        <v>4682910.0772512965</v>
      </c>
      <c r="AD243" s="230">
        <f>MAX(AD242*(1+'Model Inputs'!$B$13)+AC243,0)</f>
        <v>49902278.953645781</v>
      </c>
      <c r="AE243" s="230">
        <f>MAX(AE242*(1+'Model Inputs'!$B$13)+U243+AB243,0)</f>
        <v>672482.1097356932</v>
      </c>
      <c r="AF243" s="230">
        <f t="shared" si="143"/>
        <v>50574761.063381471</v>
      </c>
      <c r="AG243" s="226" t="str">
        <f t="shared" si="129"/>
        <v/>
      </c>
      <c r="AH243" s="226" t="str">
        <f t="shared" si="130"/>
        <v/>
      </c>
      <c r="AI243" s="226" t="str">
        <f t="shared" si="131"/>
        <v/>
      </c>
      <c r="AJ243" s="226" t="str">
        <f t="shared" si="132"/>
        <v/>
      </c>
    </row>
    <row r="244" spans="1:36" ht="18" customHeight="1" x14ac:dyDescent="0.2">
      <c r="A244" s="226" t="str">
        <f t="shared" si="121"/>
        <v>3Y -&gt; PM Y8 Upside</v>
      </c>
      <c r="B244" s="226">
        <f t="shared" si="122"/>
        <v>3</v>
      </c>
      <c r="C244" s="235">
        <f t="shared" si="123"/>
        <v>3</v>
      </c>
      <c r="D244" s="226">
        <f t="shared" si="124"/>
        <v>8</v>
      </c>
      <c r="E244" s="226" t="str">
        <f t="shared" si="125"/>
        <v>Upside</v>
      </c>
      <c r="F244" s="230">
        <f t="shared" si="126"/>
        <v>50000000</v>
      </c>
      <c r="G244" s="236">
        <f t="shared" si="127"/>
        <v>0.2</v>
      </c>
      <c r="H244" s="230">
        <f t="shared" si="128"/>
        <v>300000</v>
      </c>
      <c r="I244" s="236">
        <f t="shared" si="134"/>
        <v>0</v>
      </c>
      <c r="J244" s="234">
        <v>15</v>
      </c>
      <c r="K244" s="234">
        <f t="shared" si="135"/>
        <v>2040</v>
      </c>
      <c r="L244" s="230">
        <f>IF(J244=1,'Model Inputs'!$B$25*(13-'Model Inputs'!$B$23)/12,'Model Inputs'!$B$25)</f>
        <v>300000</v>
      </c>
      <c r="M244" s="230">
        <f>IF(J244=1,'Model Inputs'!$B$27*(13-'Model Inputs'!$B$23)/12,IF(J244=2,'Model Inputs'!$B$27,IF(J244&lt;=MAX(3,'Model Inputs'!$B$30+1),'Model Inputs'!$B$27*(1+'Model Inputs'!$B$28)^(J244-3),'Model Inputs'!$B$27*(1+'Model Inputs'!$B$28)^(MAX(3,'Model Inputs'!$B$30+1)-3)*(1+'Model Inputs'!$B$29)^(J244-MAX(3,'Model Inputs'!$B$30+1)))))</f>
        <v>10441437.475041937</v>
      </c>
      <c r="N244" s="236">
        <f>IF(J244&lt;=2,0,'Model Inputs'!$B$32*SIN(2*PI()*(J244-3+'Model Inputs'!$B$34)/MAX(1,'Model Inputs'!$B$33)))</f>
        <v>-1.1756609271814589E-16</v>
      </c>
      <c r="O244" s="230">
        <f t="shared" si="136"/>
        <v>10441437.475041935</v>
      </c>
      <c r="P244" s="230">
        <f t="shared" si="133"/>
        <v>7305729.4161605267</v>
      </c>
      <c r="Q244" s="230">
        <f>L244+P244+IF(J244=1,'Model Inputs'!$B$26,0)</f>
        <v>7605729.4161605267</v>
      </c>
      <c r="R244" s="230">
        <f t="shared" si="137"/>
        <v>22817188.248481579</v>
      </c>
      <c r="S244" s="230">
        <f t="shared" si="138"/>
        <v>10300000</v>
      </c>
      <c r="T244" s="230">
        <f t="shared" si="139"/>
        <v>10300000</v>
      </c>
      <c r="U244" s="230">
        <f>MIN(T244,'Tax Assumptions'!$B$19)</f>
        <v>24500</v>
      </c>
      <c r="V244" s="230">
        <f>MAX(T244-U244-'Tax Assumptions'!$B$8,0)</f>
        <v>10259400</v>
      </c>
      <c r="W244" s="230">
        <f>MAX(T244-U244-'Tax Assumptions'!$B$9,0)</f>
        <v>10267500</v>
      </c>
      <c r="X244" s="230">
        <f>IF(V244=0,0,LOOKUP(V244,'Tax Assumptions'!$F$9:$F$15,'Tax Assumptions'!$I$9:$I$15)+(V244-LOOKUP(V244,'Tax Assumptions'!$F$9:$F$15,'Tax Assumptions'!$F$9:$F$15))*LOOKUP(V244,'Tax Assumptions'!$F$9:$F$15,'Tax Assumptions'!$H$9:$H$15))+MIN(MAX(T244,0),'Tax Assumptions'!$B$11)*'Tax Assumptions'!$B$10+MAX(T244,0)*'Tax Assumptions'!$B$12+MAX(MAX(T244,0)-'Tax Assumptions'!$B$14,0)*'Tax Assumptions'!$B$13+MIN(T244*'Tax Assumptions'!$B$15,'Tax Assumptions'!$B$16)+MIN(T244*'Tax Assumptions'!$B$17,'Tax Assumptions'!$B$18)+IF(W244=0,0,LOOKUP(W244,'Tax Assumptions'!$K$9:$K$17,'Tax Assumptions'!$N$9:$N$17)+(W244-LOOKUP(W244,'Tax Assumptions'!$K$9:$K$17,'Tax Assumptions'!$K$9:$K$17))*LOOKUP(W244,'Tax Assumptions'!$K$9:$K$17,'Tax Assumptions'!$M$9:$M$17))+IF(W244=0,0,LOOKUP(W244,'Tax Assumptions'!$P$9:$P$12,'Tax Assumptions'!$S$9:$S$12)+(W244-LOOKUP(W244,'Tax Assumptions'!$P$9:$P$12,'Tax Assumptions'!$P$9:$P$12))*LOOKUP(W244,'Tax Assumptions'!$P$9:$P$12,'Tax Assumptions'!$R$9:$R$12))</f>
        <v>5394180.54</v>
      </c>
      <c r="Y244" s="230">
        <f t="shared" si="140"/>
        <v>4881319.46</v>
      </c>
      <c r="Z244" s="230">
        <f>IF(J244&lt;=10,INDEX('Savings Projection'!$BL$19:$BL$28,J244),LOOKUP(2,1/('Savings Projection'!$BL$19:$BL$28&lt;&gt;""),'Savings Projection'!$BL$19:$BL$28))*(1+'Model Inputs'!$B$35)^(J244-1)+IF(J244&lt;=10,INDEX('Savings Projection'!$BM$19:$BM$28,J244),LOOKUP(2,1/('Savings Projection'!$BM$19:$BM$28&lt;&gt;""),'Savings Projection'!$BM$19:$BM$28))*(1+'Model Inputs'!$B$36)^(J244-1)</f>
        <v>196636.66423116444</v>
      </c>
      <c r="AA244" s="230">
        <f t="shared" si="141"/>
        <v>4684682.7957688356</v>
      </c>
      <c r="AB244" s="230">
        <f>MIN(MAX(AA244,0),'Tax Assumptions'!$B$20)</f>
        <v>7500</v>
      </c>
      <c r="AC244" s="230">
        <f t="shared" si="142"/>
        <v>4677182.7957688356</v>
      </c>
      <c r="AD244" s="230">
        <f>MAX(AD243*(1+'Model Inputs'!$B$13)+AC244,0)</f>
        <v>57573598.486633368</v>
      </c>
      <c r="AE244" s="230">
        <f>MAX(AE243*(1+'Model Inputs'!$B$13)+U244+AB244,0)</f>
        <v>744831.03631983488</v>
      </c>
      <c r="AF244" s="230">
        <f t="shared" si="143"/>
        <v>58318429.522953205</v>
      </c>
      <c r="AG244" s="226" t="str">
        <f t="shared" si="129"/>
        <v/>
      </c>
      <c r="AH244" s="226" t="str">
        <f t="shared" si="130"/>
        <v/>
      </c>
      <c r="AI244" s="226" t="str">
        <f t="shared" si="131"/>
        <v/>
      </c>
      <c r="AJ244" s="226" t="str">
        <f t="shared" si="132"/>
        <v/>
      </c>
    </row>
    <row r="245" spans="1:36" ht="18" customHeight="1" x14ac:dyDescent="0.2">
      <c r="A245" s="226" t="str">
        <f t="shared" si="121"/>
        <v>3Y -&gt; PM Y8 Upside</v>
      </c>
      <c r="B245" s="226">
        <f t="shared" si="122"/>
        <v>3</v>
      </c>
      <c r="C245" s="235">
        <f t="shared" si="123"/>
        <v>3</v>
      </c>
      <c r="D245" s="226">
        <f t="shared" si="124"/>
        <v>8</v>
      </c>
      <c r="E245" s="226" t="str">
        <f t="shared" si="125"/>
        <v>Upside</v>
      </c>
      <c r="F245" s="230">
        <f t="shared" si="126"/>
        <v>50000000</v>
      </c>
      <c r="G245" s="236">
        <f t="shared" si="127"/>
        <v>0.2</v>
      </c>
      <c r="H245" s="230">
        <f t="shared" si="128"/>
        <v>300000</v>
      </c>
      <c r="I245" s="236">
        <f t="shared" si="134"/>
        <v>0</v>
      </c>
      <c r="J245" s="234">
        <v>16</v>
      </c>
      <c r="K245" s="234">
        <f t="shared" si="135"/>
        <v>2041</v>
      </c>
      <c r="L245" s="230">
        <f>IF(J245=1,'Model Inputs'!$B$25*(13-'Model Inputs'!$B$23)/12,'Model Inputs'!$B$25)</f>
        <v>300000</v>
      </c>
      <c r="M245" s="230">
        <f>IF(J245=1,'Model Inputs'!$B$27*(13-'Model Inputs'!$B$23)/12,IF(J245=2,'Model Inputs'!$B$27,IF(J245&lt;=MAX(3,'Model Inputs'!$B$30+1),'Model Inputs'!$B$27*(1+'Model Inputs'!$B$28)^(J245-3),'Model Inputs'!$B$27*(1+'Model Inputs'!$B$28)^(MAX(3,'Model Inputs'!$B$30+1)-3)*(1+'Model Inputs'!$B$29)^(J245-MAX(3,'Model Inputs'!$B$30+1)))))</f>
        <v>13269787.276528884</v>
      </c>
      <c r="N245" s="236">
        <f>IF(J245&lt;=2,0,'Model Inputs'!$B$32*SIN(2*PI()*(J245-3+'Model Inputs'!$B$34)/MAX(1,'Model Inputs'!$B$33)))</f>
        <v>0.10392304845413262</v>
      </c>
      <c r="O245" s="230">
        <f t="shared" si="136"/>
        <v>14648824.022643628</v>
      </c>
      <c r="P245" s="230">
        <f t="shared" si="133"/>
        <v>9671604.0304071214</v>
      </c>
      <c r="Q245" s="230">
        <f>L245+P245+IF(J245=1,'Model Inputs'!$B$26,0)</f>
        <v>9971604.0304071214</v>
      </c>
      <c r="R245" s="230">
        <f t="shared" si="137"/>
        <v>29914812.091221362</v>
      </c>
      <c r="S245" s="230">
        <f t="shared" si="138"/>
        <v>10300000</v>
      </c>
      <c r="T245" s="230">
        <f t="shared" si="139"/>
        <v>10300000</v>
      </c>
      <c r="U245" s="230">
        <f>MIN(T245,'Tax Assumptions'!$B$19)</f>
        <v>24500</v>
      </c>
      <c r="V245" s="230">
        <f>MAX(T245-U245-'Tax Assumptions'!$B$8,0)</f>
        <v>10259400</v>
      </c>
      <c r="W245" s="230">
        <f>MAX(T245-U245-'Tax Assumptions'!$B$9,0)</f>
        <v>10267500</v>
      </c>
      <c r="X245" s="230">
        <f>IF(V245=0,0,LOOKUP(V245,'Tax Assumptions'!$F$9:$F$15,'Tax Assumptions'!$I$9:$I$15)+(V245-LOOKUP(V245,'Tax Assumptions'!$F$9:$F$15,'Tax Assumptions'!$F$9:$F$15))*LOOKUP(V245,'Tax Assumptions'!$F$9:$F$15,'Tax Assumptions'!$H$9:$H$15))+MIN(MAX(T245,0),'Tax Assumptions'!$B$11)*'Tax Assumptions'!$B$10+MAX(T245,0)*'Tax Assumptions'!$B$12+MAX(MAX(T245,0)-'Tax Assumptions'!$B$14,0)*'Tax Assumptions'!$B$13+MIN(T245*'Tax Assumptions'!$B$15,'Tax Assumptions'!$B$16)+MIN(T245*'Tax Assumptions'!$B$17,'Tax Assumptions'!$B$18)+IF(W245=0,0,LOOKUP(W245,'Tax Assumptions'!$K$9:$K$17,'Tax Assumptions'!$N$9:$N$17)+(W245-LOOKUP(W245,'Tax Assumptions'!$K$9:$K$17,'Tax Assumptions'!$K$9:$K$17))*LOOKUP(W245,'Tax Assumptions'!$K$9:$K$17,'Tax Assumptions'!$M$9:$M$17))+IF(W245=0,0,LOOKUP(W245,'Tax Assumptions'!$P$9:$P$12,'Tax Assumptions'!$S$9:$S$12)+(W245-LOOKUP(W245,'Tax Assumptions'!$P$9:$P$12,'Tax Assumptions'!$P$9:$P$12))*LOOKUP(W245,'Tax Assumptions'!$P$9:$P$12,'Tax Assumptions'!$R$9:$R$12))</f>
        <v>5394180.54</v>
      </c>
      <c r="Y245" s="230">
        <f t="shared" si="140"/>
        <v>4881319.46</v>
      </c>
      <c r="Z245" s="230">
        <f>IF(J245&lt;=10,INDEX('Savings Projection'!$BL$19:$BL$28,J245),LOOKUP(2,1/('Savings Projection'!$BL$19:$BL$28&lt;&gt;""),'Savings Projection'!$BL$19:$BL$28))*(1+'Model Inputs'!$B$35)^(J245-1)+IF(J245&lt;=10,INDEX('Savings Projection'!$BM$19:$BM$28,J245),LOOKUP(2,1/('Savings Projection'!$BM$19:$BM$28&lt;&gt;""),'Savings Projection'!$BM$19:$BM$28))*(1+'Model Inputs'!$B$36)^(J245-1)</f>
        <v>202535.76415809937</v>
      </c>
      <c r="AA245" s="230">
        <f t="shared" si="141"/>
        <v>4678783.695841901</v>
      </c>
      <c r="AB245" s="230">
        <f>MIN(MAX(AA245,0),'Tax Assumptions'!$B$20)</f>
        <v>7500</v>
      </c>
      <c r="AC245" s="230">
        <f t="shared" si="142"/>
        <v>4671283.695841901</v>
      </c>
      <c r="AD245" s="230">
        <f>MAX(AD244*(1+'Model Inputs'!$B$13)+AC245,0)</f>
        <v>65699298.091673277</v>
      </c>
      <c r="AE245" s="230">
        <f>MAX(AE244*(1+'Model Inputs'!$B$13)+U245+AB245,0)</f>
        <v>821520.89849902503</v>
      </c>
      <c r="AF245" s="230">
        <f t="shared" si="143"/>
        <v>66520818.990172304</v>
      </c>
      <c r="AG245" s="226" t="str">
        <f t="shared" si="129"/>
        <v/>
      </c>
      <c r="AH245" s="226" t="str">
        <f t="shared" si="130"/>
        <v/>
      </c>
      <c r="AI245" s="226" t="str">
        <f t="shared" si="131"/>
        <v/>
      </c>
      <c r="AJ245" s="226" t="str">
        <f t="shared" si="132"/>
        <v/>
      </c>
    </row>
    <row r="246" spans="1:36" ht="18" customHeight="1" x14ac:dyDescent="0.2">
      <c r="A246" s="226" t="str">
        <f t="shared" si="121"/>
        <v>3Y -&gt; PM Y8 Upside</v>
      </c>
      <c r="B246" s="226">
        <f t="shared" si="122"/>
        <v>3</v>
      </c>
      <c r="C246" s="235">
        <f t="shared" si="123"/>
        <v>3</v>
      </c>
      <c r="D246" s="226">
        <f t="shared" si="124"/>
        <v>8</v>
      </c>
      <c r="E246" s="226" t="str">
        <f t="shared" si="125"/>
        <v>Upside</v>
      </c>
      <c r="F246" s="230">
        <f t="shared" si="126"/>
        <v>50000000</v>
      </c>
      <c r="G246" s="236">
        <f t="shared" si="127"/>
        <v>0.2</v>
      </c>
      <c r="H246" s="230">
        <f t="shared" si="128"/>
        <v>300000</v>
      </c>
      <c r="I246" s="236">
        <f t="shared" si="134"/>
        <v>0</v>
      </c>
      <c r="J246" s="234">
        <v>17</v>
      </c>
      <c r="K246" s="234">
        <f t="shared" si="135"/>
        <v>2042</v>
      </c>
      <c r="L246" s="230">
        <f>IF(J246=1,'Model Inputs'!$B$25*(13-'Model Inputs'!$B$23)/12,'Model Inputs'!$B$25)</f>
        <v>300000</v>
      </c>
      <c r="M246" s="230">
        <f>IF(J246=1,'Model Inputs'!$B$27*(13-'Model Inputs'!$B$23)/12,IF(J246=2,'Model Inputs'!$B$27,IF(J246&lt;=MAX(3,'Model Inputs'!$B$30+1),'Model Inputs'!$B$27*(1+'Model Inputs'!$B$28)^(J246-3),'Model Inputs'!$B$27*(1+'Model Inputs'!$B$28)^(MAX(3,'Model Inputs'!$B$30+1)-3)*(1+'Model Inputs'!$B$29)^(J246-MAX(3,'Model Inputs'!$B$30+1)))))</f>
        <v>16864273.217670217</v>
      </c>
      <c r="N246" s="236">
        <f>IF(J246&lt;=2,0,'Model Inputs'!$B$32*SIN(2*PI()*(J246-3+'Model Inputs'!$B$34)/MAX(1,'Model Inputs'!$B$33)))</f>
        <v>-0.1039230484541325</v>
      </c>
      <c r="O246" s="230">
        <f t="shared" si="136"/>
        <v>15111686.534926547</v>
      </c>
      <c r="P246" s="230">
        <f t="shared" si="133"/>
        <v>13596977.385743205</v>
      </c>
      <c r="Q246" s="230">
        <f>L246+P246+IF(J246=1,'Model Inputs'!$B$26,0)</f>
        <v>13896977.385743205</v>
      </c>
      <c r="R246" s="230">
        <f t="shared" si="137"/>
        <v>41690932.157229617</v>
      </c>
      <c r="S246" s="230">
        <f t="shared" si="138"/>
        <v>10300000</v>
      </c>
      <c r="T246" s="230">
        <f t="shared" si="139"/>
        <v>10300000</v>
      </c>
      <c r="U246" s="230">
        <f>MIN(T246,'Tax Assumptions'!$B$19)</f>
        <v>24500</v>
      </c>
      <c r="V246" s="230">
        <f>MAX(T246-U246-'Tax Assumptions'!$B$8,0)</f>
        <v>10259400</v>
      </c>
      <c r="W246" s="230">
        <f>MAX(T246-U246-'Tax Assumptions'!$B$9,0)</f>
        <v>10267500</v>
      </c>
      <c r="X246" s="230">
        <f>IF(V246=0,0,LOOKUP(V246,'Tax Assumptions'!$F$9:$F$15,'Tax Assumptions'!$I$9:$I$15)+(V246-LOOKUP(V246,'Tax Assumptions'!$F$9:$F$15,'Tax Assumptions'!$F$9:$F$15))*LOOKUP(V246,'Tax Assumptions'!$F$9:$F$15,'Tax Assumptions'!$H$9:$H$15))+MIN(MAX(T246,0),'Tax Assumptions'!$B$11)*'Tax Assumptions'!$B$10+MAX(T246,0)*'Tax Assumptions'!$B$12+MAX(MAX(T246,0)-'Tax Assumptions'!$B$14,0)*'Tax Assumptions'!$B$13+MIN(T246*'Tax Assumptions'!$B$15,'Tax Assumptions'!$B$16)+MIN(T246*'Tax Assumptions'!$B$17,'Tax Assumptions'!$B$18)+IF(W246=0,0,LOOKUP(W246,'Tax Assumptions'!$K$9:$K$17,'Tax Assumptions'!$N$9:$N$17)+(W246-LOOKUP(W246,'Tax Assumptions'!$K$9:$K$17,'Tax Assumptions'!$K$9:$K$17))*LOOKUP(W246,'Tax Assumptions'!$K$9:$K$17,'Tax Assumptions'!$M$9:$M$17))+IF(W246=0,0,LOOKUP(W246,'Tax Assumptions'!$P$9:$P$12,'Tax Assumptions'!$S$9:$S$12)+(W246-LOOKUP(W246,'Tax Assumptions'!$P$9:$P$12,'Tax Assumptions'!$P$9:$P$12))*LOOKUP(W246,'Tax Assumptions'!$P$9:$P$12,'Tax Assumptions'!$R$9:$R$12))</f>
        <v>5394180.54</v>
      </c>
      <c r="Y246" s="230">
        <f t="shared" si="140"/>
        <v>4881319.46</v>
      </c>
      <c r="Z246" s="230">
        <f>IF(J246&lt;=10,INDEX('Savings Projection'!$BL$19:$BL$28,J246),LOOKUP(2,1/('Savings Projection'!$BL$19:$BL$28&lt;&gt;""),'Savings Projection'!$BL$19:$BL$28))*(1+'Model Inputs'!$B$35)^(J246-1)+IF(J246&lt;=10,INDEX('Savings Projection'!$BM$19:$BM$28,J246),LOOKUP(2,1/('Savings Projection'!$BM$19:$BM$28&lt;&gt;""),'Savings Projection'!$BM$19:$BM$28))*(1+'Model Inputs'!$B$36)^(J246-1)</f>
        <v>208611.83708284231</v>
      </c>
      <c r="AA246" s="230">
        <f t="shared" si="141"/>
        <v>4672707.6229171576</v>
      </c>
      <c r="AB246" s="230">
        <f>MIN(MAX(AA246,0),'Tax Assumptions'!$B$20)</f>
        <v>7500</v>
      </c>
      <c r="AC246" s="230">
        <f t="shared" si="142"/>
        <v>4665207.6229171576</v>
      </c>
      <c r="AD246" s="230">
        <f>MAX(AD245*(1+'Model Inputs'!$B$13)+AC246,0)</f>
        <v>74306463.600090832</v>
      </c>
      <c r="AE246" s="230">
        <f>MAX(AE245*(1+'Model Inputs'!$B$13)+U246+AB246,0)</f>
        <v>902812.15240896656</v>
      </c>
      <c r="AF246" s="230">
        <f t="shared" si="143"/>
        <v>75209275.752499804</v>
      </c>
      <c r="AG246" s="226" t="str">
        <f t="shared" si="129"/>
        <v/>
      </c>
      <c r="AH246" s="226" t="str">
        <f t="shared" si="130"/>
        <v/>
      </c>
      <c r="AI246" s="226" t="str">
        <f t="shared" si="131"/>
        <v/>
      </c>
      <c r="AJ246" s="226" t="str">
        <f t="shared" si="132"/>
        <v/>
      </c>
    </row>
    <row r="247" spans="1:36" ht="18" customHeight="1" x14ac:dyDescent="0.2">
      <c r="A247" s="226" t="str">
        <f t="shared" si="121"/>
        <v>3Y -&gt; PM Y8 Upside</v>
      </c>
      <c r="B247" s="226">
        <f t="shared" si="122"/>
        <v>3</v>
      </c>
      <c r="C247" s="235">
        <f t="shared" si="123"/>
        <v>3</v>
      </c>
      <c r="D247" s="226">
        <f t="shared" si="124"/>
        <v>8</v>
      </c>
      <c r="E247" s="226" t="str">
        <f t="shared" si="125"/>
        <v>Upside</v>
      </c>
      <c r="F247" s="230">
        <f t="shared" si="126"/>
        <v>50000000</v>
      </c>
      <c r="G247" s="236">
        <f t="shared" si="127"/>
        <v>0.2</v>
      </c>
      <c r="H247" s="230">
        <f t="shared" si="128"/>
        <v>300000</v>
      </c>
      <c r="I247" s="236">
        <f t="shared" si="134"/>
        <v>0</v>
      </c>
      <c r="J247" s="234">
        <v>18</v>
      </c>
      <c r="K247" s="234">
        <f t="shared" si="135"/>
        <v>2043</v>
      </c>
      <c r="L247" s="230">
        <f>IF(J247=1,'Model Inputs'!$B$25*(13-'Model Inputs'!$B$23)/12,'Model Inputs'!$B$25)</f>
        <v>300000</v>
      </c>
      <c r="M247" s="230">
        <f>IF(J247=1,'Model Inputs'!$B$27*(13-'Model Inputs'!$B$23)/12,IF(J247=2,'Model Inputs'!$B$27,IF(J247&lt;=MAX(3,'Model Inputs'!$B$30+1),'Model Inputs'!$B$27*(1+'Model Inputs'!$B$28)^(J247-3),'Model Inputs'!$B$27*(1+'Model Inputs'!$B$28)^(MAX(3,'Model Inputs'!$B$30+1)-3)*(1+'Model Inputs'!$B$29)^(J247-MAX(3,'Model Inputs'!$B$30+1)))))</f>
        <v>21432424.290875554</v>
      </c>
      <c r="N247" s="236">
        <f>IF(J247&lt;=2,0,'Model Inputs'!$B$32*SIN(2*PI()*(J247-3+'Model Inputs'!$B$34)/MAX(1,'Model Inputs'!$B$33)))</f>
        <v>-5.7328325735374245E-16</v>
      </c>
      <c r="O247" s="230">
        <f t="shared" si="136"/>
        <v>21432424.290875543</v>
      </c>
      <c r="P247" s="230">
        <f t="shared" si="133"/>
        <v>14995970.906855816</v>
      </c>
      <c r="Q247" s="230">
        <f>L247+P247+IF(J247=1,'Model Inputs'!$B$26,0)</f>
        <v>15295970.906855816</v>
      </c>
      <c r="R247" s="230">
        <f t="shared" si="137"/>
        <v>45887912.72056745</v>
      </c>
      <c r="S247" s="230">
        <f t="shared" si="138"/>
        <v>10300000</v>
      </c>
      <c r="T247" s="230">
        <f t="shared" si="139"/>
        <v>10300000</v>
      </c>
      <c r="U247" s="230">
        <f>MIN(T247,'Tax Assumptions'!$B$19)</f>
        <v>24500</v>
      </c>
      <c r="V247" s="230">
        <f>MAX(T247-U247-'Tax Assumptions'!$B$8,0)</f>
        <v>10259400</v>
      </c>
      <c r="W247" s="230">
        <f>MAX(T247-U247-'Tax Assumptions'!$B$9,0)</f>
        <v>10267500</v>
      </c>
      <c r="X247" s="230">
        <f>IF(V247=0,0,LOOKUP(V247,'Tax Assumptions'!$F$9:$F$15,'Tax Assumptions'!$I$9:$I$15)+(V247-LOOKUP(V247,'Tax Assumptions'!$F$9:$F$15,'Tax Assumptions'!$F$9:$F$15))*LOOKUP(V247,'Tax Assumptions'!$F$9:$F$15,'Tax Assumptions'!$H$9:$H$15))+MIN(MAX(T247,0),'Tax Assumptions'!$B$11)*'Tax Assumptions'!$B$10+MAX(T247,0)*'Tax Assumptions'!$B$12+MAX(MAX(T247,0)-'Tax Assumptions'!$B$14,0)*'Tax Assumptions'!$B$13+MIN(T247*'Tax Assumptions'!$B$15,'Tax Assumptions'!$B$16)+MIN(T247*'Tax Assumptions'!$B$17,'Tax Assumptions'!$B$18)+IF(W247=0,0,LOOKUP(W247,'Tax Assumptions'!$K$9:$K$17,'Tax Assumptions'!$N$9:$N$17)+(W247-LOOKUP(W247,'Tax Assumptions'!$K$9:$K$17,'Tax Assumptions'!$K$9:$K$17))*LOOKUP(W247,'Tax Assumptions'!$K$9:$K$17,'Tax Assumptions'!$M$9:$M$17))+IF(W247=0,0,LOOKUP(W247,'Tax Assumptions'!$P$9:$P$12,'Tax Assumptions'!$S$9:$S$12)+(W247-LOOKUP(W247,'Tax Assumptions'!$P$9:$P$12,'Tax Assumptions'!$P$9:$P$12))*LOOKUP(W247,'Tax Assumptions'!$P$9:$P$12,'Tax Assumptions'!$R$9:$R$12))</f>
        <v>5394180.54</v>
      </c>
      <c r="Y247" s="230">
        <f t="shared" si="140"/>
        <v>4881319.46</v>
      </c>
      <c r="Z247" s="230">
        <f>IF(J247&lt;=10,INDEX('Savings Projection'!$BL$19:$BL$28,J247),LOOKUP(2,1/('Savings Projection'!$BL$19:$BL$28&lt;&gt;""),'Savings Projection'!$BL$19:$BL$28))*(1+'Model Inputs'!$B$35)^(J247-1)+IF(J247&lt;=10,INDEX('Savings Projection'!$BM$19:$BM$28,J247),LOOKUP(2,1/('Savings Projection'!$BM$19:$BM$28&lt;&gt;""),'Savings Projection'!$BM$19:$BM$28))*(1+'Model Inputs'!$B$36)^(J247-1)</f>
        <v>214870.1921953276</v>
      </c>
      <c r="AA247" s="230">
        <f t="shared" si="141"/>
        <v>4666449.267804672</v>
      </c>
      <c r="AB247" s="230">
        <f>MIN(MAX(AA247,0),'Tax Assumptions'!$B$20)</f>
        <v>7500</v>
      </c>
      <c r="AC247" s="230">
        <f t="shared" si="142"/>
        <v>4658949.267804672</v>
      </c>
      <c r="AD247" s="230">
        <f>MAX(AD246*(1+'Model Inputs'!$B$13)+AC247,0)</f>
        <v>83423800.683900952</v>
      </c>
      <c r="AE247" s="230">
        <f>MAX(AE246*(1+'Model Inputs'!$B$13)+U247+AB247,0)</f>
        <v>988980.88155350462</v>
      </c>
      <c r="AF247" s="230">
        <f t="shared" si="143"/>
        <v>84412781.565454453</v>
      </c>
      <c r="AG247" s="226" t="str">
        <f t="shared" si="129"/>
        <v/>
      </c>
      <c r="AH247" s="226" t="str">
        <f t="shared" si="130"/>
        <v/>
      </c>
      <c r="AI247" s="226" t="str">
        <f t="shared" si="131"/>
        <v/>
      </c>
      <c r="AJ247" s="226" t="str">
        <f t="shared" si="132"/>
        <v/>
      </c>
    </row>
    <row r="248" spans="1:36" ht="18" customHeight="1" x14ac:dyDescent="0.2">
      <c r="A248" s="226" t="str">
        <f t="shared" si="121"/>
        <v>3Y -&gt; PM Y8 Upside</v>
      </c>
      <c r="B248" s="226">
        <f t="shared" si="122"/>
        <v>3</v>
      </c>
      <c r="C248" s="235">
        <f t="shared" si="123"/>
        <v>3</v>
      </c>
      <c r="D248" s="226">
        <f t="shared" si="124"/>
        <v>8</v>
      </c>
      <c r="E248" s="226" t="str">
        <f t="shared" si="125"/>
        <v>Upside</v>
      </c>
      <c r="F248" s="230">
        <f t="shared" si="126"/>
        <v>50000000</v>
      </c>
      <c r="G248" s="236">
        <f t="shared" si="127"/>
        <v>0.2</v>
      </c>
      <c r="H248" s="230">
        <f t="shared" si="128"/>
        <v>300000</v>
      </c>
      <c r="I248" s="236">
        <f t="shared" si="134"/>
        <v>0</v>
      </c>
      <c r="J248" s="234">
        <v>19</v>
      </c>
      <c r="K248" s="234">
        <f t="shared" si="135"/>
        <v>2044</v>
      </c>
      <c r="L248" s="230">
        <f>IF(J248=1,'Model Inputs'!$B$25*(13-'Model Inputs'!$B$23)/12,'Model Inputs'!$B$25)</f>
        <v>300000</v>
      </c>
      <c r="M248" s="230">
        <f>IF(J248=1,'Model Inputs'!$B$27*(13-'Model Inputs'!$B$23)/12,IF(J248=2,'Model Inputs'!$B$27,IF(J248&lt;=MAX(3,'Model Inputs'!$B$30+1),'Model Inputs'!$B$27*(1+'Model Inputs'!$B$28)^(J248-3),'Model Inputs'!$B$27*(1+'Model Inputs'!$B$28)^(MAX(3,'Model Inputs'!$B$30+1)-3)*(1+'Model Inputs'!$B$29)^(J248-MAX(3,'Model Inputs'!$B$30+1)))))</f>
        <v>27237984.409717187</v>
      </c>
      <c r="N248" s="236">
        <f>IF(J248&lt;=2,0,'Model Inputs'!$B$32*SIN(2*PI()*(J248-3+'Model Inputs'!$B$34)/MAX(1,'Model Inputs'!$B$33)))</f>
        <v>0.10392304845413286</v>
      </c>
      <c r="O248" s="230">
        <f t="shared" si="136"/>
        <v>30068638.783321142</v>
      </c>
      <c r="P248" s="230">
        <f t="shared" si="133"/>
        <v>19852239.851888295</v>
      </c>
      <c r="Q248" s="230">
        <f>L248+P248+IF(J248=1,'Model Inputs'!$B$26,0)</f>
        <v>20152239.851888295</v>
      </c>
      <c r="R248" s="230">
        <f t="shared" si="137"/>
        <v>60456719.555664882</v>
      </c>
      <c r="S248" s="230">
        <f t="shared" si="138"/>
        <v>10300000</v>
      </c>
      <c r="T248" s="230">
        <f t="shared" si="139"/>
        <v>10300000</v>
      </c>
      <c r="U248" s="230">
        <f>MIN(T248,'Tax Assumptions'!$B$19)</f>
        <v>24500</v>
      </c>
      <c r="V248" s="230">
        <f>MAX(T248-U248-'Tax Assumptions'!$B$8,0)</f>
        <v>10259400</v>
      </c>
      <c r="W248" s="230">
        <f>MAX(T248-U248-'Tax Assumptions'!$B$9,0)</f>
        <v>10267500</v>
      </c>
      <c r="X248" s="230">
        <f>IF(V248=0,0,LOOKUP(V248,'Tax Assumptions'!$F$9:$F$15,'Tax Assumptions'!$I$9:$I$15)+(V248-LOOKUP(V248,'Tax Assumptions'!$F$9:$F$15,'Tax Assumptions'!$F$9:$F$15))*LOOKUP(V248,'Tax Assumptions'!$F$9:$F$15,'Tax Assumptions'!$H$9:$H$15))+MIN(MAX(T248,0),'Tax Assumptions'!$B$11)*'Tax Assumptions'!$B$10+MAX(T248,0)*'Tax Assumptions'!$B$12+MAX(MAX(T248,0)-'Tax Assumptions'!$B$14,0)*'Tax Assumptions'!$B$13+MIN(T248*'Tax Assumptions'!$B$15,'Tax Assumptions'!$B$16)+MIN(T248*'Tax Assumptions'!$B$17,'Tax Assumptions'!$B$18)+IF(W248=0,0,LOOKUP(W248,'Tax Assumptions'!$K$9:$K$17,'Tax Assumptions'!$N$9:$N$17)+(W248-LOOKUP(W248,'Tax Assumptions'!$K$9:$K$17,'Tax Assumptions'!$K$9:$K$17))*LOOKUP(W248,'Tax Assumptions'!$K$9:$K$17,'Tax Assumptions'!$M$9:$M$17))+IF(W248=0,0,LOOKUP(W248,'Tax Assumptions'!$P$9:$P$12,'Tax Assumptions'!$S$9:$S$12)+(W248-LOOKUP(W248,'Tax Assumptions'!$P$9:$P$12,'Tax Assumptions'!$P$9:$P$12))*LOOKUP(W248,'Tax Assumptions'!$P$9:$P$12,'Tax Assumptions'!$R$9:$R$12))</f>
        <v>5394180.54</v>
      </c>
      <c r="Y248" s="230">
        <f t="shared" si="140"/>
        <v>4881319.46</v>
      </c>
      <c r="Z248" s="230">
        <f>IF(J248&lt;=10,INDEX('Savings Projection'!$BL$19:$BL$28,J248),LOOKUP(2,1/('Savings Projection'!$BL$19:$BL$28&lt;&gt;""),'Savings Projection'!$BL$19:$BL$28))*(1+'Model Inputs'!$B$35)^(J248-1)+IF(J248&lt;=10,INDEX('Savings Projection'!$BM$19:$BM$28,J248),LOOKUP(2,1/('Savings Projection'!$BM$19:$BM$28&lt;&gt;""),'Savings Projection'!$BM$19:$BM$28))*(1+'Model Inputs'!$B$36)^(J248-1)</f>
        <v>221316.29796118743</v>
      </c>
      <c r="AA248" s="230">
        <f t="shared" si="141"/>
        <v>4660003.1620388124</v>
      </c>
      <c r="AB248" s="230">
        <f>MIN(MAX(AA248,0),'Tax Assumptions'!$B$20)</f>
        <v>7500</v>
      </c>
      <c r="AC248" s="230">
        <f t="shared" si="142"/>
        <v>4652503.1620388124</v>
      </c>
      <c r="AD248" s="230">
        <f>MAX(AD247*(1+'Model Inputs'!$B$13)+AC248,0)</f>
        <v>93081731.886973828</v>
      </c>
      <c r="AE248" s="230">
        <f>MAX(AE247*(1+'Model Inputs'!$B$13)+U248+AB248,0)</f>
        <v>1080319.7344467151</v>
      </c>
      <c r="AF248" s="230">
        <f t="shared" si="143"/>
        <v>94162051.621420547</v>
      </c>
      <c r="AG248" s="226" t="str">
        <f t="shared" si="129"/>
        <v/>
      </c>
      <c r="AH248" s="226" t="str">
        <f t="shared" si="130"/>
        <v/>
      </c>
      <c r="AI248" s="226" t="str">
        <f t="shared" si="131"/>
        <v/>
      </c>
      <c r="AJ248" s="226" t="str">
        <f t="shared" si="132"/>
        <v/>
      </c>
    </row>
    <row r="249" spans="1:36" ht="18" customHeight="1" x14ac:dyDescent="0.2">
      <c r="A249" s="226" t="str">
        <f t="shared" si="121"/>
        <v>3Y -&gt; PM Y8 Upside</v>
      </c>
      <c r="B249" s="226">
        <f t="shared" si="122"/>
        <v>3</v>
      </c>
      <c r="C249" s="235">
        <f t="shared" si="123"/>
        <v>3</v>
      </c>
      <c r="D249" s="226">
        <f t="shared" si="124"/>
        <v>8</v>
      </c>
      <c r="E249" s="226" t="str">
        <f t="shared" si="125"/>
        <v>Upside</v>
      </c>
      <c r="F249" s="230">
        <f t="shared" si="126"/>
        <v>50000000</v>
      </c>
      <c r="G249" s="236">
        <f t="shared" si="127"/>
        <v>0.2</v>
      </c>
      <c r="H249" s="230">
        <f t="shared" si="128"/>
        <v>300000</v>
      </c>
      <c r="I249" s="236">
        <f t="shared" si="134"/>
        <v>0</v>
      </c>
      <c r="J249" s="234">
        <v>20</v>
      </c>
      <c r="K249" s="234">
        <f t="shared" si="135"/>
        <v>2045</v>
      </c>
      <c r="L249" s="230">
        <f>IF(J249=1,'Model Inputs'!$B$25*(13-'Model Inputs'!$B$23)/12,'Model Inputs'!$B$25)</f>
        <v>300000</v>
      </c>
      <c r="M249" s="230">
        <f>IF(J249=1,'Model Inputs'!$B$27*(13-'Model Inputs'!$B$23)/12,IF(J249=2,'Model Inputs'!$B$27,IF(J249&lt;=MAX(3,'Model Inputs'!$B$30+1),'Model Inputs'!$B$27*(1+'Model Inputs'!$B$28)^(J249-3),'Model Inputs'!$B$27*(1+'Model Inputs'!$B$28)^(MAX(3,'Model Inputs'!$B$30+1)-3)*(1+'Model Inputs'!$B$29)^(J249-MAX(3,'Model Inputs'!$B$30+1)))))</f>
        <v>34616139.762586243</v>
      </c>
      <c r="N249" s="236">
        <f>IF(J249&lt;=2,0,'Model Inputs'!$B$32*SIN(2*PI()*(J249-3+'Model Inputs'!$B$34)/MAX(1,'Model Inputs'!$B$33)))</f>
        <v>-0.10392304845413269</v>
      </c>
      <c r="O249" s="230">
        <f t="shared" si="136"/>
        <v>31018724.992743965</v>
      </c>
      <c r="P249" s="230">
        <f t="shared" si="133"/>
        <v>27909585.160209741</v>
      </c>
      <c r="Q249" s="230">
        <f>L249+P249+IF(J249=1,'Model Inputs'!$B$26,0)</f>
        <v>28209585.160209741</v>
      </c>
      <c r="R249" s="230">
        <f t="shared" si="137"/>
        <v>84628755.480629221</v>
      </c>
      <c r="S249" s="230">
        <f t="shared" si="138"/>
        <v>10300000</v>
      </c>
      <c r="T249" s="230">
        <f t="shared" si="139"/>
        <v>10300000</v>
      </c>
      <c r="U249" s="230">
        <f>MIN(T249,'Tax Assumptions'!$B$19)</f>
        <v>24500</v>
      </c>
      <c r="V249" s="230">
        <f>MAX(T249-U249-'Tax Assumptions'!$B$8,0)</f>
        <v>10259400</v>
      </c>
      <c r="W249" s="230">
        <f>MAX(T249-U249-'Tax Assumptions'!$B$9,0)</f>
        <v>10267500</v>
      </c>
      <c r="X249" s="230">
        <f>IF(V249=0,0,LOOKUP(V249,'Tax Assumptions'!$F$9:$F$15,'Tax Assumptions'!$I$9:$I$15)+(V249-LOOKUP(V249,'Tax Assumptions'!$F$9:$F$15,'Tax Assumptions'!$F$9:$F$15))*LOOKUP(V249,'Tax Assumptions'!$F$9:$F$15,'Tax Assumptions'!$H$9:$H$15))+MIN(MAX(T249,0),'Tax Assumptions'!$B$11)*'Tax Assumptions'!$B$10+MAX(T249,0)*'Tax Assumptions'!$B$12+MAX(MAX(T249,0)-'Tax Assumptions'!$B$14,0)*'Tax Assumptions'!$B$13+MIN(T249*'Tax Assumptions'!$B$15,'Tax Assumptions'!$B$16)+MIN(T249*'Tax Assumptions'!$B$17,'Tax Assumptions'!$B$18)+IF(W249=0,0,LOOKUP(W249,'Tax Assumptions'!$K$9:$K$17,'Tax Assumptions'!$N$9:$N$17)+(W249-LOOKUP(W249,'Tax Assumptions'!$K$9:$K$17,'Tax Assumptions'!$K$9:$K$17))*LOOKUP(W249,'Tax Assumptions'!$K$9:$K$17,'Tax Assumptions'!$M$9:$M$17))+IF(W249=0,0,LOOKUP(W249,'Tax Assumptions'!$P$9:$P$12,'Tax Assumptions'!$S$9:$S$12)+(W249-LOOKUP(W249,'Tax Assumptions'!$P$9:$P$12,'Tax Assumptions'!$P$9:$P$12))*LOOKUP(W249,'Tax Assumptions'!$P$9:$P$12,'Tax Assumptions'!$R$9:$R$12))</f>
        <v>5394180.54</v>
      </c>
      <c r="Y249" s="230">
        <f t="shared" si="140"/>
        <v>4881319.46</v>
      </c>
      <c r="Z249" s="230">
        <f>IF(J249&lt;=10,INDEX('Savings Projection'!$BL$19:$BL$28,J249),LOOKUP(2,1/('Savings Projection'!$BL$19:$BL$28&lt;&gt;""),'Savings Projection'!$BL$19:$BL$28))*(1+'Model Inputs'!$B$35)^(J249-1)+IF(J249&lt;=10,INDEX('Savings Projection'!$BM$19:$BM$28,J249),LOOKUP(2,1/('Savings Projection'!$BM$19:$BM$28&lt;&gt;""),'Savings Projection'!$BM$19:$BM$28))*(1+'Model Inputs'!$B$36)^(J249-1)</f>
        <v>227955.78690002306</v>
      </c>
      <c r="AA249" s="230">
        <f t="shared" si="141"/>
        <v>4653363.673099977</v>
      </c>
      <c r="AB249" s="230">
        <f>MIN(MAX(AA249,0),'Tax Assumptions'!$B$20)</f>
        <v>7500</v>
      </c>
      <c r="AC249" s="230">
        <f t="shared" si="142"/>
        <v>4645863.673099977</v>
      </c>
      <c r="AD249" s="230">
        <f>MAX(AD248*(1+'Model Inputs'!$B$13)+AC249,0)</f>
        <v>103312499.47329225</v>
      </c>
      <c r="AE249" s="230">
        <f>MAX(AE248*(1+'Model Inputs'!$B$13)+U249+AB249,0)</f>
        <v>1177138.9185135181</v>
      </c>
      <c r="AF249" s="230">
        <f t="shared" si="143"/>
        <v>104489638.39180577</v>
      </c>
      <c r="AG249" s="226" t="str">
        <f t="shared" si="129"/>
        <v/>
      </c>
      <c r="AH249" s="226" t="str">
        <f t="shared" si="130"/>
        <v/>
      </c>
      <c r="AI249" s="226" t="str">
        <f t="shared" si="131"/>
        <v/>
      </c>
      <c r="AJ249" s="226" t="str">
        <f t="shared" si="132"/>
        <v/>
      </c>
    </row>
    <row r="250" spans="1:36" ht="18" customHeight="1" x14ac:dyDescent="0.2">
      <c r="A250" s="226" t="str">
        <f t="shared" si="121"/>
        <v>3Y -&gt; PM Y8 Upside</v>
      </c>
      <c r="B250" s="226">
        <f t="shared" si="122"/>
        <v>3</v>
      </c>
      <c r="C250" s="235">
        <f t="shared" si="123"/>
        <v>3</v>
      </c>
      <c r="D250" s="226">
        <f t="shared" si="124"/>
        <v>8</v>
      </c>
      <c r="E250" s="226" t="str">
        <f t="shared" si="125"/>
        <v>Upside</v>
      </c>
      <c r="F250" s="230">
        <f t="shared" si="126"/>
        <v>50000000</v>
      </c>
      <c r="G250" s="236">
        <f t="shared" si="127"/>
        <v>0.2</v>
      </c>
      <c r="H250" s="230">
        <f t="shared" si="128"/>
        <v>300000</v>
      </c>
      <c r="I250" s="236">
        <f t="shared" si="134"/>
        <v>0</v>
      </c>
      <c r="J250" s="234">
        <v>21</v>
      </c>
      <c r="K250" s="234">
        <f t="shared" si="135"/>
        <v>2046</v>
      </c>
      <c r="L250" s="230">
        <f>IF(J250=1,'Model Inputs'!$B$25*(13-'Model Inputs'!$B$23)/12,'Model Inputs'!$B$25)</f>
        <v>300000</v>
      </c>
      <c r="M250" s="230">
        <f>IF(J250=1,'Model Inputs'!$B$27*(13-'Model Inputs'!$B$23)/12,IF(J250=2,'Model Inputs'!$B$27,IF(J250&lt;=MAX(3,'Model Inputs'!$B$30+1),'Model Inputs'!$B$27*(1+'Model Inputs'!$B$28)^(J250-3),'Model Inputs'!$B$27*(1+'Model Inputs'!$B$28)^(MAX(3,'Model Inputs'!$B$30+1)-3)*(1+'Model Inputs'!$B$29)^(J250-MAX(3,'Model Inputs'!$B$30+1)))))</f>
        <v>43992870.912849829</v>
      </c>
      <c r="N250" s="236">
        <f>IF(J250&lt;=2,0,'Model Inputs'!$B$32*SIN(2*PI()*(J250-3+'Model Inputs'!$B$34)/MAX(1,'Model Inputs'!$B$33)))</f>
        <v>-1.7634913907721884E-16</v>
      </c>
      <c r="O250" s="230">
        <f t="shared" si="136"/>
        <v>43992870.912849821</v>
      </c>
      <c r="P250" s="230">
        <f t="shared" si="133"/>
        <v>30781203.440388259</v>
      </c>
      <c r="Q250" s="230">
        <f>L250+P250+IF(J250=1,'Model Inputs'!$B$26,0)</f>
        <v>31081203.440388259</v>
      </c>
      <c r="R250" s="230">
        <f t="shared" si="137"/>
        <v>93243610.321164772</v>
      </c>
      <c r="S250" s="230">
        <f t="shared" si="138"/>
        <v>10300000</v>
      </c>
      <c r="T250" s="230">
        <f t="shared" si="139"/>
        <v>10300000</v>
      </c>
      <c r="U250" s="230">
        <f>MIN(T250,'Tax Assumptions'!$B$19)</f>
        <v>24500</v>
      </c>
      <c r="V250" s="230">
        <f>MAX(T250-U250-'Tax Assumptions'!$B$8,0)</f>
        <v>10259400</v>
      </c>
      <c r="W250" s="230">
        <f>MAX(T250-U250-'Tax Assumptions'!$B$9,0)</f>
        <v>10267500</v>
      </c>
      <c r="X250" s="230">
        <f>IF(V250=0,0,LOOKUP(V250,'Tax Assumptions'!$F$9:$F$15,'Tax Assumptions'!$I$9:$I$15)+(V250-LOOKUP(V250,'Tax Assumptions'!$F$9:$F$15,'Tax Assumptions'!$F$9:$F$15))*LOOKUP(V250,'Tax Assumptions'!$F$9:$F$15,'Tax Assumptions'!$H$9:$H$15))+MIN(MAX(T250,0),'Tax Assumptions'!$B$11)*'Tax Assumptions'!$B$10+MAX(T250,0)*'Tax Assumptions'!$B$12+MAX(MAX(T250,0)-'Tax Assumptions'!$B$14,0)*'Tax Assumptions'!$B$13+MIN(T250*'Tax Assumptions'!$B$15,'Tax Assumptions'!$B$16)+MIN(T250*'Tax Assumptions'!$B$17,'Tax Assumptions'!$B$18)+IF(W250=0,0,LOOKUP(W250,'Tax Assumptions'!$K$9:$K$17,'Tax Assumptions'!$N$9:$N$17)+(W250-LOOKUP(W250,'Tax Assumptions'!$K$9:$K$17,'Tax Assumptions'!$K$9:$K$17))*LOOKUP(W250,'Tax Assumptions'!$K$9:$K$17,'Tax Assumptions'!$M$9:$M$17))+IF(W250=0,0,LOOKUP(W250,'Tax Assumptions'!$P$9:$P$12,'Tax Assumptions'!$S$9:$S$12)+(W250-LOOKUP(W250,'Tax Assumptions'!$P$9:$P$12,'Tax Assumptions'!$P$9:$P$12))*LOOKUP(W250,'Tax Assumptions'!$P$9:$P$12,'Tax Assumptions'!$R$9:$R$12))</f>
        <v>5394180.54</v>
      </c>
      <c r="Y250" s="230">
        <f t="shared" si="140"/>
        <v>4881319.46</v>
      </c>
      <c r="Z250" s="230">
        <f>IF(J250&lt;=10,INDEX('Savings Projection'!$BL$19:$BL$28,J250),LOOKUP(2,1/('Savings Projection'!$BL$19:$BL$28&lt;&gt;""),'Savings Projection'!$BL$19:$BL$28))*(1+'Model Inputs'!$B$35)^(J250-1)+IF(J250&lt;=10,INDEX('Savings Projection'!$BM$19:$BM$28,J250),LOOKUP(2,1/('Savings Projection'!$BM$19:$BM$28&lt;&gt;""),'Savings Projection'!$BM$19:$BM$28))*(1+'Model Inputs'!$B$36)^(J250-1)</f>
        <v>234794.46050702373</v>
      </c>
      <c r="AA250" s="230">
        <f t="shared" si="141"/>
        <v>4646524.9994929759</v>
      </c>
      <c r="AB250" s="230">
        <f>MIN(MAX(AA250,0),'Tax Assumptions'!$B$20)</f>
        <v>7500</v>
      </c>
      <c r="AC250" s="230">
        <f t="shared" si="142"/>
        <v>4639024.9994929759</v>
      </c>
      <c r="AD250" s="230">
        <f>MAX(AD249*(1+'Model Inputs'!$B$13)+AC250,0)</f>
        <v>114150274.44118276</v>
      </c>
      <c r="AE250" s="230">
        <f>MAX(AE249*(1+'Model Inputs'!$B$13)+U250+AB250,0)</f>
        <v>1279767.2536243291</v>
      </c>
      <c r="AF250" s="230">
        <f t="shared" si="143"/>
        <v>115430041.6948071</v>
      </c>
      <c r="AG250" s="226" t="str">
        <f t="shared" si="129"/>
        <v/>
      </c>
      <c r="AH250" s="226" t="str">
        <f t="shared" si="130"/>
        <v/>
      </c>
      <c r="AI250" s="226" t="str">
        <f t="shared" si="131"/>
        <v/>
      </c>
      <c r="AJ250" s="226" t="str">
        <f t="shared" si="132"/>
        <v/>
      </c>
    </row>
    <row r="251" spans="1:36" ht="18" customHeight="1" x14ac:dyDescent="0.2">
      <c r="A251" s="226" t="str">
        <f t="shared" si="121"/>
        <v>3Y -&gt; PM Y8 Upside</v>
      </c>
      <c r="B251" s="226">
        <f t="shared" si="122"/>
        <v>3</v>
      </c>
      <c r="C251" s="235">
        <f t="shared" si="123"/>
        <v>3</v>
      </c>
      <c r="D251" s="226">
        <f t="shared" si="124"/>
        <v>8</v>
      </c>
      <c r="E251" s="226" t="str">
        <f t="shared" si="125"/>
        <v>Upside</v>
      </c>
      <c r="F251" s="230">
        <f t="shared" si="126"/>
        <v>50000000</v>
      </c>
      <c r="G251" s="236">
        <f t="shared" si="127"/>
        <v>0.2</v>
      </c>
      <c r="H251" s="230">
        <f t="shared" si="128"/>
        <v>300000</v>
      </c>
      <c r="I251" s="236">
        <f t="shared" si="134"/>
        <v>0</v>
      </c>
      <c r="J251" s="234">
        <v>22</v>
      </c>
      <c r="K251" s="234">
        <f t="shared" si="135"/>
        <v>2047</v>
      </c>
      <c r="L251" s="230">
        <f>IF(J251=1,'Model Inputs'!$B$25*(13-'Model Inputs'!$B$23)/12,'Model Inputs'!$B$25)</f>
        <v>300000</v>
      </c>
      <c r="M251" s="230">
        <f>IF(J251=1,'Model Inputs'!$B$27*(13-'Model Inputs'!$B$23)/12,IF(J251=2,'Model Inputs'!$B$27,IF(J251&lt;=MAX(3,'Model Inputs'!$B$30+1),'Model Inputs'!$B$27*(1+'Model Inputs'!$B$28)^(J251-3),'Model Inputs'!$B$27*(1+'Model Inputs'!$B$28)^(MAX(3,'Model Inputs'!$B$30+1)-3)*(1+'Model Inputs'!$B$29)^(J251-MAX(3,'Model Inputs'!$B$30+1)))))</f>
        <v>55909546.9462616</v>
      </c>
      <c r="N251" s="236">
        <f>IF(J251&lt;=2,0,'Model Inputs'!$B$32*SIN(2*PI()*(J251-3+'Model Inputs'!$B$34)/MAX(1,'Model Inputs'!$B$33)))</f>
        <v>0.10392304845413287</v>
      </c>
      <c r="O251" s="230">
        <f t="shared" si="136"/>
        <v>61719837.502606563</v>
      </c>
      <c r="P251" s="230">
        <f t="shared" si="133"/>
        <v>40749334.43282336</v>
      </c>
      <c r="Q251" s="230">
        <f>L251+P251+IF(J251=1,'Model Inputs'!$B$26,0)</f>
        <v>41049334.43282336</v>
      </c>
      <c r="R251" s="230">
        <f t="shared" si="137"/>
        <v>123148003.29847008</v>
      </c>
      <c r="S251" s="230">
        <f t="shared" si="138"/>
        <v>10300000</v>
      </c>
      <c r="T251" s="230">
        <f t="shared" si="139"/>
        <v>10300000</v>
      </c>
      <c r="U251" s="230">
        <f>MIN(T251,'Tax Assumptions'!$B$19)</f>
        <v>24500</v>
      </c>
      <c r="V251" s="230">
        <f>MAX(T251-U251-'Tax Assumptions'!$B$8,0)</f>
        <v>10259400</v>
      </c>
      <c r="W251" s="230">
        <f>MAX(T251-U251-'Tax Assumptions'!$B$9,0)</f>
        <v>10267500</v>
      </c>
      <c r="X251" s="230">
        <f>IF(V251=0,0,LOOKUP(V251,'Tax Assumptions'!$F$9:$F$15,'Tax Assumptions'!$I$9:$I$15)+(V251-LOOKUP(V251,'Tax Assumptions'!$F$9:$F$15,'Tax Assumptions'!$F$9:$F$15))*LOOKUP(V251,'Tax Assumptions'!$F$9:$F$15,'Tax Assumptions'!$H$9:$H$15))+MIN(MAX(T251,0),'Tax Assumptions'!$B$11)*'Tax Assumptions'!$B$10+MAX(T251,0)*'Tax Assumptions'!$B$12+MAX(MAX(T251,0)-'Tax Assumptions'!$B$14,0)*'Tax Assumptions'!$B$13+MIN(T251*'Tax Assumptions'!$B$15,'Tax Assumptions'!$B$16)+MIN(T251*'Tax Assumptions'!$B$17,'Tax Assumptions'!$B$18)+IF(W251=0,0,LOOKUP(W251,'Tax Assumptions'!$K$9:$K$17,'Tax Assumptions'!$N$9:$N$17)+(W251-LOOKUP(W251,'Tax Assumptions'!$K$9:$K$17,'Tax Assumptions'!$K$9:$K$17))*LOOKUP(W251,'Tax Assumptions'!$K$9:$K$17,'Tax Assumptions'!$M$9:$M$17))+IF(W251=0,0,LOOKUP(W251,'Tax Assumptions'!$P$9:$P$12,'Tax Assumptions'!$S$9:$S$12)+(W251-LOOKUP(W251,'Tax Assumptions'!$P$9:$P$12,'Tax Assumptions'!$P$9:$P$12))*LOOKUP(W251,'Tax Assumptions'!$P$9:$P$12,'Tax Assumptions'!$R$9:$R$12))</f>
        <v>5394180.54</v>
      </c>
      <c r="Y251" s="230">
        <f t="shared" si="140"/>
        <v>4881319.46</v>
      </c>
      <c r="Z251" s="230">
        <f>IF(J251&lt;=10,INDEX('Savings Projection'!$BL$19:$BL$28,J251),LOOKUP(2,1/('Savings Projection'!$BL$19:$BL$28&lt;&gt;""),'Savings Projection'!$BL$19:$BL$28))*(1+'Model Inputs'!$B$35)^(J251-1)+IF(J251&lt;=10,INDEX('Savings Projection'!$BM$19:$BM$28,J251),LOOKUP(2,1/('Savings Projection'!$BM$19:$BM$28&lt;&gt;""),'Savings Projection'!$BM$19:$BM$28))*(1+'Model Inputs'!$B$36)^(J251-1)</f>
        <v>241838.2943222344</v>
      </c>
      <c r="AA251" s="230">
        <f t="shared" si="141"/>
        <v>4639481.1656777654</v>
      </c>
      <c r="AB251" s="230">
        <f>MIN(MAX(AA251,0),'Tax Assumptions'!$B$20)</f>
        <v>7500</v>
      </c>
      <c r="AC251" s="230">
        <f t="shared" si="142"/>
        <v>4631981.1656777654</v>
      </c>
      <c r="AD251" s="230">
        <f>MAX(AD250*(1+'Model Inputs'!$B$13)+AC251,0)</f>
        <v>125631272.07333151</v>
      </c>
      <c r="AE251" s="230">
        <f>MAX(AE250*(1+'Model Inputs'!$B$13)+U251+AB251,0)</f>
        <v>1388553.2888417889</v>
      </c>
      <c r="AF251" s="230">
        <f t="shared" si="143"/>
        <v>127019825.36217329</v>
      </c>
      <c r="AG251" s="226" t="str">
        <f t="shared" si="129"/>
        <v/>
      </c>
      <c r="AH251" s="226" t="str">
        <f t="shared" si="130"/>
        <v/>
      </c>
      <c r="AI251" s="226" t="str">
        <f t="shared" si="131"/>
        <v/>
      </c>
      <c r="AJ251" s="226" t="str">
        <f t="shared" si="132"/>
        <v/>
      </c>
    </row>
    <row r="252" spans="1:36" ht="18" customHeight="1" x14ac:dyDescent="0.2">
      <c r="A252" s="226" t="str">
        <f t="shared" si="121"/>
        <v>3Y -&gt; PM Y8 Upside</v>
      </c>
      <c r="B252" s="226">
        <f t="shared" si="122"/>
        <v>3</v>
      </c>
      <c r="C252" s="235">
        <f t="shared" si="123"/>
        <v>3</v>
      </c>
      <c r="D252" s="226">
        <f t="shared" si="124"/>
        <v>8</v>
      </c>
      <c r="E252" s="226" t="str">
        <f t="shared" si="125"/>
        <v>Upside</v>
      </c>
      <c r="F252" s="230">
        <f t="shared" si="126"/>
        <v>50000000</v>
      </c>
      <c r="G252" s="236">
        <f t="shared" si="127"/>
        <v>0.2</v>
      </c>
      <c r="H252" s="230">
        <f t="shared" si="128"/>
        <v>300000</v>
      </c>
      <c r="I252" s="236">
        <f t="shared" si="134"/>
        <v>0</v>
      </c>
      <c r="J252" s="234">
        <v>23</v>
      </c>
      <c r="K252" s="234">
        <f t="shared" si="135"/>
        <v>2048</v>
      </c>
      <c r="L252" s="230">
        <f>IF(J252=1,'Model Inputs'!$B$25*(13-'Model Inputs'!$B$23)/12,'Model Inputs'!$B$25)</f>
        <v>300000</v>
      </c>
      <c r="M252" s="230">
        <f>IF(J252=1,'Model Inputs'!$B$27*(13-'Model Inputs'!$B$23)/12,IF(J252=2,'Model Inputs'!$B$27,IF(J252&lt;=MAX(3,'Model Inputs'!$B$30+1),'Model Inputs'!$B$27*(1+'Model Inputs'!$B$28)^(J252-3),'Model Inputs'!$B$27*(1+'Model Inputs'!$B$28)^(MAX(3,'Model Inputs'!$B$30+1)-3)*(1+'Model Inputs'!$B$29)^(J252-MAX(3,'Model Inputs'!$B$30+1)))))</f>
        <v>71054181.617940187</v>
      </c>
      <c r="N252" s="236">
        <f>IF(J252&lt;=2,0,'Model Inputs'!$B$32*SIN(2*PI()*(J252-3+'Model Inputs'!$B$34)/MAX(1,'Model Inputs'!$B$33)))</f>
        <v>-0.10392304845413268</v>
      </c>
      <c r="O252" s="230">
        <f t="shared" si="136"/>
        <v>63670014.458790243</v>
      </c>
      <c r="P252" s="230">
        <f t="shared" si="133"/>
        <v>57288095.855167374</v>
      </c>
      <c r="Q252" s="230">
        <f>L252+P252+IF(J252=1,'Model Inputs'!$B$26,0)</f>
        <v>57588095.855167374</v>
      </c>
      <c r="R252" s="230">
        <f t="shared" si="137"/>
        <v>172764287.56550211</v>
      </c>
      <c r="S252" s="230">
        <f t="shared" si="138"/>
        <v>10300000</v>
      </c>
      <c r="T252" s="230">
        <f t="shared" si="139"/>
        <v>10300000</v>
      </c>
      <c r="U252" s="230">
        <f>MIN(T252,'Tax Assumptions'!$B$19)</f>
        <v>24500</v>
      </c>
      <c r="V252" s="230">
        <f>MAX(T252-U252-'Tax Assumptions'!$B$8,0)</f>
        <v>10259400</v>
      </c>
      <c r="W252" s="230">
        <f>MAX(T252-U252-'Tax Assumptions'!$B$9,0)</f>
        <v>10267500</v>
      </c>
      <c r="X252" s="230">
        <f>IF(V252=0,0,LOOKUP(V252,'Tax Assumptions'!$F$9:$F$15,'Tax Assumptions'!$I$9:$I$15)+(V252-LOOKUP(V252,'Tax Assumptions'!$F$9:$F$15,'Tax Assumptions'!$F$9:$F$15))*LOOKUP(V252,'Tax Assumptions'!$F$9:$F$15,'Tax Assumptions'!$H$9:$H$15))+MIN(MAX(T252,0),'Tax Assumptions'!$B$11)*'Tax Assumptions'!$B$10+MAX(T252,0)*'Tax Assumptions'!$B$12+MAX(MAX(T252,0)-'Tax Assumptions'!$B$14,0)*'Tax Assumptions'!$B$13+MIN(T252*'Tax Assumptions'!$B$15,'Tax Assumptions'!$B$16)+MIN(T252*'Tax Assumptions'!$B$17,'Tax Assumptions'!$B$18)+IF(W252=0,0,LOOKUP(W252,'Tax Assumptions'!$K$9:$K$17,'Tax Assumptions'!$N$9:$N$17)+(W252-LOOKUP(W252,'Tax Assumptions'!$K$9:$K$17,'Tax Assumptions'!$K$9:$K$17))*LOOKUP(W252,'Tax Assumptions'!$K$9:$K$17,'Tax Assumptions'!$M$9:$M$17))+IF(W252=0,0,LOOKUP(W252,'Tax Assumptions'!$P$9:$P$12,'Tax Assumptions'!$S$9:$S$12)+(W252-LOOKUP(W252,'Tax Assumptions'!$P$9:$P$12,'Tax Assumptions'!$P$9:$P$12))*LOOKUP(W252,'Tax Assumptions'!$P$9:$P$12,'Tax Assumptions'!$R$9:$R$12))</f>
        <v>5394180.54</v>
      </c>
      <c r="Y252" s="230">
        <f t="shared" si="140"/>
        <v>4881319.46</v>
      </c>
      <c r="Z252" s="230">
        <f>IF(J252&lt;=10,INDEX('Savings Projection'!$BL$19:$BL$28,J252),LOOKUP(2,1/('Savings Projection'!$BL$19:$BL$28&lt;&gt;""),'Savings Projection'!$BL$19:$BL$28))*(1+'Model Inputs'!$B$35)^(J252-1)+IF(J252&lt;=10,INDEX('Savings Projection'!$BM$19:$BM$28,J252),LOOKUP(2,1/('Savings Projection'!$BM$19:$BM$28&lt;&gt;""),'Savings Projection'!$BM$19:$BM$28))*(1+'Model Inputs'!$B$36)^(J252-1)</f>
        <v>249093.44315190148</v>
      </c>
      <c r="AA252" s="230">
        <f t="shared" si="141"/>
        <v>4632226.0168480985</v>
      </c>
      <c r="AB252" s="230">
        <f>MIN(MAX(AA252,0),'Tax Assumptions'!$B$20)</f>
        <v>7500</v>
      </c>
      <c r="AC252" s="230">
        <f t="shared" si="142"/>
        <v>4624726.0168480985</v>
      </c>
      <c r="AD252" s="230">
        <f>MAX(AD251*(1+'Model Inputs'!$B$13)+AC252,0)</f>
        <v>137793874.41457951</v>
      </c>
      <c r="AE252" s="230">
        <f>MAX(AE251*(1+'Model Inputs'!$B$13)+U252+AB252,0)</f>
        <v>1503866.4861722963</v>
      </c>
      <c r="AF252" s="230">
        <f t="shared" si="143"/>
        <v>139297740.9007518</v>
      </c>
      <c r="AG252" s="226" t="str">
        <f t="shared" si="129"/>
        <v/>
      </c>
      <c r="AH252" s="226" t="str">
        <f t="shared" si="130"/>
        <v/>
      </c>
      <c r="AI252" s="226" t="str">
        <f t="shared" si="131"/>
        <v/>
      </c>
      <c r="AJ252" s="226" t="str">
        <f t="shared" si="132"/>
        <v/>
      </c>
    </row>
    <row r="253" spans="1:36" ht="18" customHeight="1" x14ac:dyDescent="0.2">
      <c r="A253" s="226" t="str">
        <f t="shared" si="121"/>
        <v>3Y -&gt; PM Y8 Upside</v>
      </c>
      <c r="B253" s="226">
        <f t="shared" si="122"/>
        <v>3</v>
      </c>
      <c r="C253" s="235">
        <f t="shared" si="123"/>
        <v>3</v>
      </c>
      <c r="D253" s="226">
        <f t="shared" si="124"/>
        <v>8</v>
      </c>
      <c r="E253" s="226" t="str">
        <f t="shared" si="125"/>
        <v>Upside</v>
      </c>
      <c r="F253" s="230">
        <f t="shared" si="126"/>
        <v>50000000</v>
      </c>
      <c r="G253" s="236">
        <f t="shared" si="127"/>
        <v>0.2</v>
      </c>
      <c r="H253" s="230">
        <f t="shared" si="128"/>
        <v>300000</v>
      </c>
      <c r="I253" s="236">
        <f t="shared" si="134"/>
        <v>0</v>
      </c>
      <c r="J253" s="234">
        <v>24</v>
      </c>
      <c r="K253" s="234">
        <f t="shared" si="135"/>
        <v>2049</v>
      </c>
      <c r="L253" s="230">
        <f>IF(J253=1,'Model Inputs'!$B$25*(13-'Model Inputs'!$B$23)/12,'Model Inputs'!$B$25)</f>
        <v>300000</v>
      </c>
      <c r="M253" s="230">
        <f>IF(J253=1,'Model Inputs'!$B$27*(13-'Model Inputs'!$B$23)/12,IF(J253=2,'Model Inputs'!$B$27,IF(J253&lt;=MAX(3,'Model Inputs'!$B$30+1),'Model Inputs'!$B$27*(1+'Model Inputs'!$B$28)^(J253-3),'Model Inputs'!$B$27*(1+'Model Inputs'!$B$28)^(MAX(3,'Model Inputs'!$B$30+1)-3)*(1+'Model Inputs'!$B$29)^(J253-MAX(3,'Model Inputs'!$B$30+1)))))</f>
        <v>90301156.084270701</v>
      </c>
      <c r="N253" s="236">
        <f>IF(J253&lt;=2,0,'Model Inputs'!$B$32*SIN(2*PI()*(J253-3+'Model Inputs'!$B$34)/MAX(1,'Model Inputs'!$B$33)))</f>
        <v>-2.0574066225675533E-16</v>
      </c>
      <c r="O253" s="230">
        <f t="shared" si="136"/>
        <v>90301156.084270686</v>
      </c>
      <c r="P253" s="230">
        <f t="shared" si="133"/>
        <v>63182470.219744325</v>
      </c>
      <c r="Q253" s="230">
        <f>L253+P253+IF(J253=1,'Model Inputs'!$B$26,0)</f>
        <v>63482470.219744325</v>
      </c>
      <c r="R253" s="230">
        <f t="shared" si="137"/>
        <v>190447410.65923297</v>
      </c>
      <c r="S253" s="230">
        <f t="shared" si="138"/>
        <v>10300000</v>
      </c>
      <c r="T253" s="230">
        <f t="shared" si="139"/>
        <v>10300000</v>
      </c>
      <c r="U253" s="230">
        <f>MIN(T253,'Tax Assumptions'!$B$19)</f>
        <v>24500</v>
      </c>
      <c r="V253" s="230">
        <f>MAX(T253-U253-'Tax Assumptions'!$B$8,0)</f>
        <v>10259400</v>
      </c>
      <c r="W253" s="230">
        <f>MAX(T253-U253-'Tax Assumptions'!$B$9,0)</f>
        <v>10267500</v>
      </c>
      <c r="X253" s="230">
        <f>IF(V253=0,0,LOOKUP(V253,'Tax Assumptions'!$F$9:$F$15,'Tax Assumptions'!$I$9:$I$15)+(V253-LOOKUP(V253,'Tax Assumptions'!$F$9:$F$15,'Tax Assumptions'!$F$9:$F$15))*LOOKUP(V253,'Tax Assumptions'!$F$9:$F$15,'Tax Assumptions'!$H$9:$H$15))+MIN(MAX(T253,0),'Tax Assumptions'!$B$11)*'Tax Assumptions'!$B$10+MAX(T253,0)*'Tax Assumptions'!$B$12+MAX(MAX(T253,0)-'Tax Assumptions'!$B$14,0)*'Tax Assumptions'!$B$13+MIN(T253*'Tax Assumptions'!$B$15,'Tax Assumptions'!$B$16)+MIN(T253*'Tax Assumptions'!$B$17,'Tax Assumptions'!$B$18)+IF(W253=0,0,LOOKUP(W253,'Tax Assumptions'!$K$9:$K$17,'Tax Assumptions'!$N$9:$N$17)+(W253-LOOKUP(W253,'Tax Assumptions'!$K$9:$K$17,'Tax Assumptions'!$K$9:$K$17))*LOOKUP(W253,'Tax Assumptions'!$K$9:$K$17,'Tax Assumptions'!$M$9:$M$17))+IF(W253=0,0,LOOKUP(W253,'Tax Assumptions'!$P$9:$P$12,'Tax Assumptions'!$S$9:$S$12)+(W253-LOOKUP(W253,'Tax Assumptions'!$P$9:$P$12,'Tax Assumptions'!$P$9:$P$12))*LOOKUP(W253,'Tax Assumptions'!$P$9:$P$12,'Tax Assumptions'!$R$9:$R$12))</f>
        <v>5394180.54</v>
      </c>
      <c r="Y253" s="230">
        <f t="shared" si="140"/>
        <v>4881319.46</v>
      </c>
      <c r="Z253" s="230">
        <f>IF(J253&lt;=10,INDEX('Savings Projection'!$BL$19:$BL$28,J253),LOOKUP(2,1/('Savings Projection'!$BL$19:$BL$28&lt;&gt;""),'Savings Projection'!$BL$19:$BL$28))*(1+'Model Inputs'!$B$35)^(J253-1)+IF(J253&lt;=10,INDEX('Savings Projection'!$BM$19:$BM$28,J253),LOOKUP(2,1/('Savings Projection'!$BM$19:$BM$28&lt;&gt;""),'Savings Projection'!$BM$19:$BM$28))*(1+'Model Inputs'!$B$36)^(J253-1)</f>
        <v>256566.24644645851</v>
      </c>
      <c r="AA253" s="230">
        <f t="shared" si="141"/>
        <v>4624753.2135535413</v>
      </c>
      <c r="AB253" s="230">
        <f>MIN(MAX(AA253,0),'Tax Assumptions'!$B$20)</f>
        <v>7500</v>
      </c>
      <c r="AC253" s="230">
        <f t="shared" si="142"/>
        <v>4617253.2135535413</v>
      </c>
      <c r="AD253" s="230">
        <f>MAX(AD252*(1+'Model Inputs'!$B$13)+AC253,0)</f>
        <v>150678760.09300783</v>
      </c>
      <c r="AE253" s="230">
        <f>MAX(AE252*(1+'Model Inputs'!$B$13)+U253+AB253,0)</f>
        <v>1626098.4753426341</v>
      </c>
      <c r="AF253" s="230">
        <f t="shared" si="143"/>
        <v>152304858.56835046</v>
      </c>
      <c r="AG253" s="226" t="str">
        <f t="shared" si="129"/>
        <v/>
      </c>
      <c r="AH253" s="226" t="str">
        <f t="shared" si="130"/>
        <v/>
      </c>
      <c r="AI253" s="226" t="str">
        <f t="shared" si="131"/>
        <v/>
      </c>
      <c r="AJ253" s="226" t="str">
        <f t="shared" si="132"/>
        <v/>
      </c>
    </row>
    <row r="254" spans="1:36" ht="18" customHeight="1" x14ac:dyDescent="0.2">
      <c r="A254" s="226" t="str">
        <f t="shared" si="121"/>
        <v>3Y -&gt; PM Y8 Upside</v>
      </c>
      <c r="B254" s="226">
        <f t="shared" si="122"/>
        <v>3</v>
      </c>
      <c r="C254" s="235">
        <f t="shared" si="123"/>
        <v>3</v>
      </c>
      <c r="D254" s="226">
        <f t="shared" si="124"/>
        <v>8</v>
      </c>
      <c r="E254" s="226" t="str">
        <f t="shared" si="125"/>
        <v>Upside</v>
      </c>
      <c r="F254" s="230">
        <f t="shared" si="126"/>
        <v>50000000</v>
      </c>
      <c r="G254" s="236">
        <f t="shared" si="127"/>
        <v>0.2</v>
      </c>
      <c r="H254" s="230">
        <f t="shared" si="128"/>
        <v>300000</v>
      </c>
      <c r="I254" s="236">
        <f t="shared" si="134"/>
        <v>0</v>
      </c>
      <c r="J254" s="234">
        <v>25</v>
      </c>
      <c r="K254" s="234">
        <f t="shared" si="135"/>
        <v>2050</v>
      </c>
      <c r="L254" s="230">
        <f>IF(J254=1,'Model Inputs'!$B$25*(13-'Model Inputs'!$B$23)/12,'Model Inputs'!$B$25)</f>
        <v>300000</v>
      </c>
      <c r="M254" s="230">
        <f>IF(J254=1,'Model Inputs'!$B$27*(13-'Model Inputs'!$B$23)/12,IF(J254=2,'Model Inputs'!$B$27,IF(J254&lt;=MAX(3,'Model Inputs'!$B$30+1),'Model Inputs'!$B$27*(1+'Model Inputs'!$B$28)^(J254-3),'Model Inputs'!$B$27*(1+'Model Inputs'!$B$28)^(MAX(3,'Model Inputs'!$B$30+1)-3)*(1+'Model Inputs'!$B$29)^(J254-MAX(3,'Model Inputs'!$B$30+1)))))</f>
        <v>114761701.62653697</v>
      </c>
      <c r="N254" s="236">
        <f>IF(J254&lt;=2,0,'Model Inputs'!$B$32*SIN(2*PI()*(J254-3+'Model Inputs'!$B$34)/MAX(1,'Model Inputs'!$B$33)))</f>
        <v>0.10392304845413287</v>
      </c>
      <c r="O254" s="230">
        <f t="shared" si="136"/>
        <v>126688087.50535031</v>
      </c>
      <c r="P254" s="230">
        <f t="shared" si="133"/>
        <v>83643370.677900568</v>
      </c>
      <c r="Q254" s="230">
        <f>L254+P254+IF(J254=1,'Model Inputs'!$B$26,0)</f>
        <v>83943370.677900568</v>
      </c>
      <c r="R254" s="230">
        <f t="shared" si="137"/>
        <v>251830112.03370172</v>
      </c>
      <c r="S254" s="230">
        <f t="shared" si="138"/>
        <v>10300000</v>
      </c>
      <c r="T254" s="230">
        <f t="shared" si="139"/>
        <v>10300000</v>
      </c>
      <c r="U254" s="230">
        <f>MIN(T254,'Tax Assumptions'!$B$19)</f>
        <v>24500</v>
      </c>
      <c r="V254" s="230">
        <f>MAX(T254-U254-'Tax Assumptions'!$B$8,0)</f>
        <v>10259400</v>
      </c>
      <c r="W254" s="230">
        <f>MAX(T254-U254-'Tax Assumptions'!$B$9,0)</f>
        <v>10267500</v>
      </c>
      <c r="X254" s="230">
        <f>IF(V254=0,0,LOOKUP(V254,'Tax Assumptions'!$F$9:$F$15,'Tax Assumptions'!$I$9:$I$15)+(V254-LOOKUP(V254,'Tax Assumptions'!$F$9:$F$15,'Tax Assumptions'!$F$9:$F$15))*LOOKUP(V254,'Tax Assumptions'!$F$9:$F$15,'Tax Assumptions'!$H$9:$H$15))+MIN(MAX(T254,0),'Tax Assumptions'!$B$11)*'Tax Assumptions'!$B$10+MAX(T254,0)*'Tax Assumptions'!$B$12+MAX(MAX(T254,0)-'Tax Assumptions'!$B$14,0)*'Tax Assumptions'!$B$13+MIN(T254*'Tax Assumptions'!$B$15,'Tax Assumptions'!$B$16)+MIN(T254*'Tax Assumptions'!$B$17,'Tax Assumptions'!$B$18)+IF(W254=0,0,LOOKUP(W254,'Tax Assumptions'!$K$9:$K$17,'Tax Assumptions'!$N$9:$N$17)+(W254-LOOKUP(W254,'Tax Assumptions'!$K$9:$K$17,'Tax Assumptions'!$K$9:$K$17))*LOOKUP(W254,'Tax Assumptions'!$K$9:$K$17,'Tax Assumptions'!$M$9:$M$17))+IF(W254=0,0,LOOKUP(W254,'Tax Assumptions'!$P$9:$P$12,'Tax Assumptions'!$S$9:$S$12)+(W254-LOOKUP(W254,'Tax Assumptions'!$P$9:$P$12,'Tax Assumptions'!$P$9:$P$12))*LOOKUP(W254,'Tax Assumptions'!$P$9:$P$12,'Tax Assumptions'!$R$9:$R$12))</f>
        <v>5394180.54</v>
      </c>
      <c r="Y254" s="230">
        <f t="shared" si="140"/>
        <v>4881319.46</v>
      </c>
      <c r="Z254" s="230">
        <f>IF(J254&lt;=10,INDEX('Savings Projection'!$BL$19:$BL$28,J254),LOOKUP(2,1/('Savings Projection'!$BL$19:$BL$28&lt;&gt;""),'Savings Projection'!$BL$19:$BL$28))*(1+'Model Inputs'!$B$35)^(J254-1)+IF(J254&lt;=10,INDEX('Savings Projection'!$BM$19:$BM$28,J254),LOOKUP(2,1/('Savings Projection'!$BM$19:$BM$28&lt;&gt;""),'Savings Projection'!$BM$19:$BM$28))*(1+'Model Inputs'!$B$36)^(J254-1)</f>
        <v>264263.23383985227</v>
      </c>
      <c r="AA254" s="230">
        <f t="shared" si="141"/>
        <v>4617056.2261601482</v>
      </c>
      <c r="AB254" s="230">
        <f>MIN(MAX(AA254,0),'Tax Assumptions'!$B$20)</f>
        <v>7500</v>
      </c>
      <c r="AC254" s="230">
        <f t="shared" si="142"/>
        <v>4609556.2261601482</v>
      </c>
      <c r="AD254" s="230">
        <f>MAX(AD253*(1+'Model Inputs'!$B$13)+AC254,0)</f>
        <v>164329041.92474845</v>
      </c>
      <c r="AE254" s="230">
        <f>MAX(AE253*(1+'Model Inputs'!$B$13)+U254+AB254,0)</f>
        <v>1755664.3838631923</v>
      </c>
      <c r="AF254" s="230">
        <f t="shared" si="143"/>
        <v>166084706.30861163</v>
      </c>
      <c r="AG254" s="226" t="str">
        <f t="shared" si="129"/>
        <v/>
      </c>
      <c r="AH254" s="226" t="str">
        <f t="shared" si="130"/>
        <v/>
      </c>
      <c r="AI254" s="226" t="str">
        <f t="shared" si="131"/>
        <v/>
      </c>
      <c r="AJ254" s="226" t="str">
        <f t="shared" si="132"/>
        <v/>
      </c>
    </row>
    <row r="255" spans="1:36" ht="18" customHeight="1" x14ac:dyDescent="0.2">
      <c r="A255" s="226" t="str">
        <f t="shared" si="121"/>
        <v>3Y -&gt; PM Y8 Upside</v>
      </c>
      <c r="B255" s="226">
        <f t="shared" si="122"/>
        <v>3</v>
      </c>
      <c r="C255" s="235">
        <f t="shared" si="123"/>
        <v>3</v>
      </c>
      <c r="D255" s="226">
        <f t="shared" si="124"/>
        <v>8</v>
      </c>
      <c r="E255" s="226" t="str">
        <f t="shared" si="125"/>
        <v>Upside</v>
      </c>
      <c r="F255" s="230">
        <f t="shared" si="126"/>
        <v>50000000</v>
      </c>
      <c r="G255" s="236">
        <f t="shared" si="127"/>
        <v>0.2</v>
      </c>
      <c r="H255" s="230">
        <f t="shared" si="128"/>
        <v>300000</v>
      </c>
      <c r="I255" s="236">
        <f t="shared" si="134"/>
        <v>0</v>
      </c>
      <c r="J255" s="234">
        <v>26</v>
      </c>
      <c r="K255" s="234">
        <f t="shared" si="135"/>
        <v>2051</v>
      </c>
      <c r="L255" s="230">
        <f>IF(J255=1,'Model Inputs'!$B$25*(13-'Model Inputs'!$B$23)/12,'Model Inputs'!$B$25)</f>
        <v>300000</v>
      </c>
      <c r="M255" s="230">
        <f>IF(J255=1,'Model Inputs'!$B$27*(13-'Model Inputs'!$B$23)/12,IF(J255=2,'Model Inputs'!$B$27,IF(J255&lt;=MAX(3,'Model Inputs'!$B$30+1),'Model Inputs'!$B$27*(1+'Model Inputs'!$B$28)^(J255-3),'Model Inputs'!$B$27*(1+'Model Inputs'!$B$28)^(MAX(3,'Model Inputs'!$B$30+1)-3)*(1+'Model Inputs'!$B$29)^(J255-MAX(3,'Model Inputs'!$B$30+1)))))</f>
        <v>145848057.00524563</v>
      </c>
      <c r="N255" s="236">
        <f>IF(J255&lt;=2,0,'Model Inputs'!$B$32*SIN(2*PI()*(J255-3+'Model Inputs'!$B$34)/MAX(1,'Model Inputs'!$B$33)))</f>
        <v>-0.10392304845413224</v>
      </c>
      <c r="O255" s="230">
        <f t="shared" si="136"/>
        <v>130691082.31014845</v>
      </c>
      <c r="P255" s="230">
        <f t="shared" si="133"/>
        <v>117591354.65008041</v>
      </c>
      <c r="Q255" s="230">
        <f>L255+P255+IF(J255=1,'Model Inputs'!$B$26,0)</f>
        <v>117891354.65008041</v>
      </c>
      <c r="R255" s="230">
        <f t="shared" si="137"/>
        <v>353674063.95024121</v>
      </c>
      <c r="S255" s="230">
        <f t="shared" si="138"/>
        <v>10300000</v>
      </c>
      <c r="T255" s="230">
        <f t="shared" si="139"/>
        <v>10300000</v>
      </c>
      <c r="U255" s="230">
        <f>MIN(T255,'Tax Assumptions'!$B$19)</f>
        <v>24500</v>
      </c>
      <c r="V255" s="230">
        <f>MAX(T255-U255-'Tax Assumptions'!$B$8,0)</f>
        <v>10259400</v>
      </c>
      <c r="W255" s="230">
        <f>MAX(T255-U255-'Tax Assumptions'!$B$9,0)</f>
        <v>10267500</v>
      </c>
      <c r="X255" s="230">
        <f>IF(V255=0,0,LOOKUP(V255,'Tax Assumptions'!$F$9:$F$15,'Tax Assumptions'!$I$9:$I$15)+(V255-LOOKUP(V255,'Tax Assumptions'!$F$9:$F$15,'Tax Assumptions'!$F$9:$F$15))*LOOKUP(V255,'Tax Assumptions'!$F$9:$F$15,'Tax Assumptions'!$H$9:$H$15))+MIN(MAX(T255,0),'Tax Assumptions'!$B$11)*'Tax Assumptions'!$B$10+MAX(T255,0)*'Tax Assumptions'!$B$12+MAX(MAX(T255,0)-'Tax Assumptions'!$B$14,0)*'Tax Assumptions'!$B$13+MIN(T255*'Tax Assumptions'!$B$15,'Tax Assumptions'!$B$16)+MIN(T255*'Tax Assumptions'!$B$17,'Tax Assumptions'!$B$18)+IF(W255=0,0,LOOKUP(W255,'Tax Assumptions'!$K$9:$K$17,'Tax Assumptions'!$N$9:$N$17)+(W255-LOOKUP(W255,'Tax Assumptions'!$K$9:$K$17,'Tax Assumptions'!$K$9:$K$17))*LOOKUP(W255,'Tax Assumptions'!$K$9:$K$17,'Tax Assumptions'!$M$9:$M$17))+IF(W255=0,0,LOOKUP(W255,'Tax Assumptions'!$P$9:$P$12,'Tax Assumptions'!$S$9:$S$12)+(W255-LOOKUP(W255,'Tax Assumptions'!$P$9:$P$12,'Tax Assumptions'!$P$9:$P$12))*LOOKUP(W255,'Tax Assumptions'!$P$9:$P$12,'Tax Assumptions'!$R$9:$R$12))</f>
        <v>5394180.54</v>
      </c>
      <c r="Y255" s="230">
        <f t="shared" si="140"/>
        <v>4881319.46</v>
      </c>
      <c r="Z255" s="230">
        <f>IF(J255&lt;=10,INDEX('Savings Projection'!$BL$19:$BL$28,J255),LOOKUP(2,1/('Savings Projection'!$BL$19:$BL$28&lt;&gt;""),'Savings Projection'!$BL$19:$BL$28))*(1+'Model Inputs'!$B$35)^(J255-1)+IF(J255&lt;=10,INDEX('Savings Projection'!$BM$19:$BM$28,J255),LOOKUP(2,1/('Savings Projection'!$BM$19:$BM$28&lt;&gt;""),'Savings Projection'!$BM$19:$BM$28))*(1+'Model Inputs'!$B$36)^(J255-1)</f>
        <v>272191.13085504784</v>
      </c>
      <c r="AA255" s="230">
        <f t="shared" si="141"/>
        <v>4609128.3291449519</v>
      </c>
      <c r="AB255" s="230">
        <f>MIN(MAX(AA255,0),'Tax Assumptions'!$B$20)</f>
        <v>7500</v>
      </c>
      <c r="AC255" s="230">
        <f t="shared" si="142"/>
        <v>4601628.3291449519</v>
      </c>
      <c r="AD255" s="230">
        <f>MAX(AD254*(1+'Model Inputs'!$B$13)+AC255,0)</f>
        <v>178790412.76937833</v>
      </c>
      <c r="AE255" s="230">
        <f>MAX(AE254*(1+'Model Inputs'!$B$13)+U255+AB255,0)</f>
        <v>1893004.2468949838</v>
      </c>
      <c r="AF255" s="230">
        <f t="shared" si="143"/>
        <v>180683417.01627332</v>
      </c>
      <c r="AG255" s="226" t="str">
        <f t="shared" si="129"/>
        <v/>
      </c>
      <c r="AH255" s="226" t="str">
        <f t="shared" si="130"/>
        <v/>
      </c>
      <c r="AI255" s="226" t="str">
        <f t="shared" si="131"/>
        <v/>
      </c>
      <c r="AJ255" s="226" t="str">
        <f t="shared" si="132"/>
        <v/>
      </c>
    </row>
    <row r="256" spans="1:36" ht="18" customHeight="1" x14ac:dyDescent="0.2">
      <c r="A256" s="226" t="str">
        <f t="shared" si="121"/>
        <v>3Y -&gt; PM Y8 Upside</v>
      </c>
      <c r="B256" s="226">
        <f t="shared" si="122"/>
        <v>3</v>
      </c>
      <c r="C256" s="235">
        <f t="shared" si="123"/>
        <v>3</v>
      </c>
      <c r="D256" s="226">
        <f t="shared" si="124"/>
        <v>8</v>
      </c>
      <c r="E256" s="226" t="str">
        <f t="shared" si="125"/>
        <v>Upside</v>
      </c>
      <c r="F256" s="230">
        <f t="shared" si="126"/>
        <v>50000000</v>
      </c>
      <c r="G256" s="236">
        <f t="shared" si="127"/>
        <v>0.2</v>
      </c>
      <c r="H256" s="230">
        <f t="shared" si="128"/>
        <v>300000</v>
      </c>
      <c r="I256" s="236">
        <f t="shared" si="134"/>
        <v>0</v>
      </c>
      <c r="J256" s="234">
        <v>27</v>
      </c>
      <c r="K256" s="234">
        <f t="shared" si="135"/>
        <v>2052</v>
      </c>
      <c r="L256" s="230">
        <f>IF(J256=1,'Model Inputs'!$B$25*(13-'Model Inputs'!$B$23)/12,'Model Inputs'!$B$25)</f>
        <v>300000</v>
      </c>
      <c r="M256" s="230">
        <f>IF(J256=1,'Model Inputs'!$B$27*(13-'Model Inputs'!$B$23)/12,IF(J256=2,'Model Inputs'!$B$27,IF(J256&lt;=MAX(3,'Model Inputs'!$B$30+1),'Model Inputs'!$B$27*(1+'Model Inputs'!$B$28)^(J256-3),'Model Inputs'!$B$27*(1+'Model Inputs'!$B$28)^(MAX(3,'Model Inputs'!$B$30+1)-3)*(1+'Model Inputs'!$B$29)^(J256-MAX(3,'Model Inputs'!$B$30+1)))))</f>
        <v>185355004.59402937</v>
      </c>
      <c r="N256" s="236">
        <f>IF(J256&lt;=2,0,'Model Inputs'!$B$32*SIN(2*PI()*(J256-3+'Model Inputs'!$B$34)/MAX(1,'Model Inputs'!$B$33)))</f>
        <v>-2.3513218543629179E-16</v>
      </c>
      <c r="O256" s="230">
        <f t="shared" si="136"/>
        <v>185355004.59402934</v>
      </c>
      <c r="P256" s="230">
        <f t="shared" si="133"/>
        <v>129690333.6089489</v>
      </c>
      <c r="Q256" s="230">
        <f>L256+P256+IF(J256=1,'Model Inputs'!$B$26,0)</f>
        <v>129990333.6089489</v>
      </c>
      <c r="R256" s="230">
        <f t="shared" si="137"/>
        <v>389971000.82684672</v>
      </c>
      <c r="S256" s="230">
        <f t="shared" si="138"/>
        <v>10300000</v>
      </c>
      <c r="T256" s="230">
        <f t="shared" si="139"/>
        <v>10300000</v>
      </c>
      <c r="U256" s="230">
        <f>MIN(T256,'Tax Assumptions'!$B$19)</f>
        <v>24500</v>
      </c>
      <c r="V256" s="230">
        <f>MAX(T256-U256-'Tax Assumptions'!$B$8,0)</f>
        <v>10259400</v>
      </c>
      <c r="W256" s="230">
        <f>MAX(T256-U256-'Tax Assumptions'!$B$9,0)</f>
        <v>10267500</v>
      </c>
      <c r="X256" s="230">
        <f>IF(V256=0,0,LOOKUP(V256,'Tax Assumptions'!$F$9:$F$15,'Tax Assumptions'!$I$9:$I$15)+(V256-LOOKUP(V256,'Tax Assumptions'!$F$9:$F$15,'Tax Assumptions'!$F$9:$F$15))*LOOKUP(V256,'Tax Assumptions'!$F$9:$F$15,'Tax Assumptions'!$H$9:$H$15))+MIN(MAX(T256,0),'Tax Assumptions'!$B$11)*'Tax Assumptions'!$B$10+MAX(T256,0)*'Tax Assumptions'!$B$12+MAX(MAX(T256,0)-'Tax Assumptions'!$B$14,0)*'Tax Assumptions'!$B$13+MIN(T256*'Tax Assumptions'!$B$15,'Tax Assumptions'!$B$16)+MIN(T256*'Tax Assumptions'!$B$17,'Tax Assumptions'!$B$18)+IF(W256=0,0,LOOKUP(W256,'Tax Assumptions'!$K$9:$K$17,'Tax Assumptions'!$N$9:$N$17)+(W256-LOOKUP(W256,'Tax Assumptions'!$K$9:$K$17,'Tax Assumptions'!$K$9:$K$17))*LOOKUP(W256,'Tax Assumptions'!$K$9:$K$17,'Tax Assumptions'!$M$9:$M$17))+IF(W256=0,0,LOOKUP(W256,'Tax Assumptions'!$P$9:$P$12,'Tax Assumptions'!$S$9:$S$12)+(W256-LOOKUP(W256,'Tax Assumptions'!$P$9:$P$12,'Tax Assumptions'!$P$9:$P$12))*LOOKUP(W256,'Tax Assumptions'!$P$9:$P$12,'Tax Assumptions'!$R$9:$R$12))</f>
        <v>5394180.54</v>
      </c>
      <c r="Y256" s="230">
        <f t="shared" si="140"/>
        <v>4881319.46</v>
      </c>
      <c r="Z256" s="230">
        <f>IF(J256&lt;=10,INDEX('Savings Projection'!$BL$19:$BL$28,J256),LOOKUP(2,1/('Savings Projection'!$BL$19:$BL$28&lt;&gt;""),'Savings Projection'!$BL$19:$BL$28))*(1+'Model Inputs'!$B$35)^(J256-1)+IF(J256&lt;=10,INDEX('Savings Projection'!$BM$19:$BM$28,J256),LOOKUP(2,1/('Savings Projection'!$BM$19:$BM$28&lt;&gt;""),'Savings Projection'!$BM$19:$BM$28))*(1+'Model Inputs'!$B$36)^(J256-1)</f>
        <v>280356.86478069925</v>
      </c>
      <c r="AA256" s="230">
        <f t="shared" si="141"/>
        <v>4600962.5952193011</v>
      </c>
      <c r="AB256" s="230">
        <f>MIN(MAX(AA256,0),'Tax Assumptions'!$B$20)</f>
        <v>7500</v>
      </c>
      <c r="AC256" s="230">
        <f t="shared" si="142"/>
        <v>4593462.5952193011</v>
      </c>
      <c r="AD256" s="230">
        <f>MAX(AD255*(1+'Model Inputs'!$B$13)+AC256,0)</f>
        <v>194111300.13076037</v>
      </c>
      <c r="AE256" s="230">
        <f>MAX(AE255*(1+'Model Inputs'!$B$13)+U256+AB256,0)</f>
        <v>2038584.5017086829</v>
      </c>
      <c r="AF256" s="230">
        <f t="shared" si="143"/>
        <v>196149884.63246906</v>
      </c>
      <c r="AG256" s="226" t="str">
        <f t="shared" si="129"/>
        <v/>
      </c>
      <c r="AH256" s="226" t="str">
        <f t="shared" si="130"/>
        <v/>
      </c>
      <c r="AI256" s="226" t="str">
        <f t="shared" si="131"/>
        <v/>
      </c>
      <c r="AJ256" s="226" t="str">
        <f t="shared" si="132"/>
        <v/>
      </c>
    </row>
    <row r="257" spans="1:36" ht="18" customHeight="1" x14ac:dyDescent="0.2">
      <c r="A257" s="226" t="str">
        <f t="shared" si="121"/>
        <v>3Y -&gt; PM Y8 Upside</v>
      </c>
      <c r="B257" s="226">
        <f t="shared" si="122"/>
        <v>3</v>
      </c>
      <c r="C257" s="235">
        <f t="shared" si="123"/>
        <v>3</v>
      </c>
      <c r="D257" s="226">
        <f t="shared" si="124"/>
        <v>8</v>
      </c>
      <c r="E257" s="226" t="str">
        <f t="shared" si="125"/>
        <v>Upside</v>
      </c>
      <c r="F257" s="230">
        <f t="shared" si="126"/>
        <v>50000000</v>
      </c>
      <c r="G257" s="236">
        <f t="shared" si="127"/>
        <v>0.2</v>
      </c>
      <c r="H257" s="230">
        <f t="shared" si="128"/>
        <v>300000</v>
      </c>
      <c r="I257" s="236">
        <f t="shared" si="134"/>
        <v>0</v>
      </c>
      <c r="J257" s="234">
        <v>28</v>
      </c>
      <c r="K257" s="234">
        <f t="shared" si="135"/>
        <v>2053</v>
      </c>
      <c r="L257" s="230">
        <f>IF(J257=1,'Model Inputs'!$B$25*(13-'Model Inputs'!$B$23)/12,'Model Inputs'!$B$25)</f>
        <v>300000</v>
      </c>
      <c r="M257" s="230">
        <f>IF(J257=1,'Model Inputs'!$B$27*(13-'Model Inputs'!$B$23)/12,IF(J257=2,'Model Inputs'!$B$27,IF(J257&lt;=MAX(3,'Model Inputs'!$B$30+1),'Model Inputs'!$B$27*(1+'Model Inputs'!$B$28)^(J257-3),'Model Inputs'!$B$27*(1+'Model Inputs'!$B$28)^(MAX(3,'Model Inputs'!$B$30+1)-3)*(1+'Model Inputs'!$B$29)^(J257-MAX(3,'Model Inputs'!$B$30+1)))))</f>
        <v>235563492.81236541</v>
      </c>
      <c r="N257" s="236">
        <f>IF(J257&lt;=2,0,'Model Inputs'!$B$32*SIN(2*PI()*(J257-3+'Model Inputs'!$B$34)/MAX(1,'Model Inputs'!$B$33)))</f>
        <v>0.10392304845413247</v>
      </c>
      <c r="O257" s="230">
        <f t="shared" si="136"/>
        <v>260043969.08992955</v>
      </c>
      <c r="P257" s="230">
        <f t="shared" si="133"/>
        <v>171689024.02305913</v>
      </c>
      <c r="Q257" s="230">
        <f>L257+P257+IF(J257=1,'Model Inputs'!$B$26,0)</f>
        <v>171989024.02305913</v>
      </c>
      <c r="R257" s="230">
        <f t="shared" si="137"/>
        <v>515967072.06917739</v>
      </c>
      <c r="S257" s="230">
        <f t="shared" si="138"/>
        <v>10300000</v>
      </c>
      <c r="T257" s="230">
        <f t="shared" si="139"/>
        <v>10300000</v>
      </c>
      <c r="U257" s="230">
        <f>MIN(T257,'Tax Assumptions'!$B$19)</f>
        <v>24500</v>
      </c>
      <c r="V257" s="230">
        <f>MAX(T257-U257-'Tax Assumptions'!$B$8,0)</f>
        <v>10259400</v>
      </c>
      <c r="W257" s="230">
        <f>MAX(T257-U257-'Tax Assumptions'!$B$9,0)</f>
        <v>10267500</v>
      </c>
      <c r="X257" s="230">
        <f>IF(V257=0,0,LOOKUP(V257,'Tax Assumptions'!$F$9:$F$15,'Tax Assumptions'!$I$9:$I$15)+(V257-LOOKUP(V257,'Tax Assumptions'!$F$9:$F$15,'Tax Assumptions'!$F$9:$F$15))*LOOKUP(V257,'Tax Assumptions'!$F$9:$F$15,'Tax Assumptions'!$H$9:$H$15))+MIN(MAX(T257,0),'Tax Assumptions'!$B$11)*'Tax Assumptions'!$B$10+MAX(T257,0)*'Tax Assumptions'!$B$12+MAX(MAX(T257,0)-'Tax Assumptions'!$B$14,0)*'Tax Assumptions'!$B$13+MIN(T257*'Tax Assumptions'!$B$15,'Tax Assumptions'!$B$16)+MIN(T257*'Tax Assumptions'!$B$17,'Tax Assumptions'!$B$18)+IF(W257=0,0,LOOKUP(W257,'Tax Assumptions'!$K$9:$K$17,'Tax Assumptions'!$N$9:$N$17)+(W257-LOOKUP(W257,'Tax Assumptions'!$K$9:$K$17,'Tax Assumptions'!$K$9:$K$17))*LOOKUP(W257,'Tax Assumptions'!$K$9:$K$17,'Tax Assumptions'!$M$9:$M$17))+IF(W257=0,0,LOOKUP(W257,'Tax Assumptions'!$P$9:$P$12,'Tax Assumptions'!$S$9:$S$12)+(W257-LOOKUP(W257,'Tax Assumptions'!$P$9:$P$12,'Tax Assumptions'!$P$9:$P$12))*LOOKUP(W257,'Tax Assumptions'!$P$9:$P$12,'Tax Assumptions'!$R$9:$R$12))</f>
        <v>5394180.54</v>
      </c>
      <c r="Y257" s="230">
        <f t="shared" si="140"/>
        <v>4881319.46</v>
      </c>
      <c r="Z257" s="230">
        <f>IF(J257&lt;=10,INDEX('Savings Projection'!$BL$19:$BL$28,J257),LOOKUP(2,1/('Savings Projection'!$BL$19:$BL$28&lt;&gt;""),'Savings Projection'!$BL$19:$BL$28))*(1+'Model Inputs'!$B$35)^(J257-1)+IF(J257&lt;=10,INDEX('Savings Projection'!$BM$19:$BM$28,J257),LOOKUP(2,1/('Savings Projection'!$BM$19:$BM$28&lt;&gt;""),'Savings Projection'!$BM$19:$BM$28))*(1+'Model Inputs'!$B$36)^(J257-1)</f>
        <v>288767.57072412025</v>
      </c>
      <c r="AA257" s="230">
        <f t="shared" si="141"/>
        <v>4592551.8892758796</v>
      </c>
      <c r="AB257" s="230">
        <f>MIN(MAX(AA257,0),'Tax Assumptions'!$B$20)</f>
        <v>7500</v>
      </c>
      <c r="AC257" s="230">
        <f t="shared" si="142"/>
        <v>4585051.8892758796</v>
      </c>
      <c r="AD257" s="230">
        <f>MAX(AD256*(1+'Model Inputs'!$B$13)+AC257,0)</f>
        <v>210343030.02788189</v>
      </c>
      <c r="AE257" s="230">
        <f>MAX(AE256*(1+'Model Inputs'!$B$13)+U257+AB257,0)</f>
        <v>2192899.5718112038</v>
      </c>
      <c r="AF257" s="230">
        <f t="shared" si="143"/>
        <v>212535929.59969309</v>
      </c>
      <c r="AG257" s="226" t="str">
        <f t="shared" si="129"/>
        <v/>
      </c>
      <c r="AH257" s="226" t="str">
        <f t="shared" si="130"/>
        <v/>
      </c>
      <c r="AI257" s="226" t="str">
        <f t="shared" si="131"/>
        <v/>
      </c>
      <c r="AJ257" s="226" t="str">
        <f t="shared" si="132"/>
        <v/>
      </c>
    </row>
    <row r="258" spans="1:36" ht="18" customHeight="1" x14ac:dyDescent="0.2">
      <c r="A258" s="226" t="str">
        <f t="shared" si="121"/>
        <v>3Y -&gt; PM Y8 Upside</v>
      </c>
      <c r="B258" s="226">
        <f t="shared" si="122"/>
        <v>3</v>
      </c>
      <c r="C258" s="235">
        <f t="shared" si="123"/>
        <v>3</v>
      </c>
      <c r="D258" s="226">
        <f t="shared" si="124"/>
        <v>8</v>
      </c>
      <c r="E258" s="226" t="str">
        <f t="shared" si="125"/>
        <v>Upside</v>
      </c>
      <c r="F258" s="230">
        <f t="shared" si="126"/>
        <v>50000000</v>
      </c>
      <c r="G258" s="236">
        <f t="shared" si="127"/>
        <v>0.2</v>
      </c>
      <c r="H258" s="230">
        <f t="shared" si="128"/>
        <v>300000</v>
      </c>
      <c r="I258" s="236">
        <f t="shared" si="134"/>
        <v>0</v>
      </c>
      <c r="J258" s="234">
        <v>29</v>
      </c>
      <c r="K258" s="234">
        <f t="shared" si="135"/>
        <v>2054</v>
      </c>
      <c r="L258" s="230">
        <f>IF(J258=1,'Model Inputs'!$B$25*(13-'Model Inputs'!$B$23)/12,'Model Inputs'!$B$25)</f>
        <v>300000</v>
      </c>
      <c r="M258" s="230">
        <f>IF(J258=1,'Model Inputs'!$B$27*(13-'Model Inputs'!$B$23)/12,IF(J258=2,'Model Inputs'!$B$27,IF(J258&lt;=MAX(3,'Model Inputs'!$B$30+1),'Model Inputs'!$B$27*(1+'Model Inputs'!$B$28)^(J258-3),'Model Inputs'!$B$27*(1+'Model Inputs'!$B$28)^(MAX(3,'Model Inputs'!$B$30+1)-3)*(1+'Model Inputs'!$B$29)^(J258-MAX(3,'Model Inputs'!$B$30+1)))))</f>
        <v>299372327.53708321</v>
      </c>
      <c r="N258" s="236">
        <f>IF(J258&lt;=2,0,'Model Inputs'!$B$32*SIN(2*PI()*(J258-3+'Model Inputs'!$B$34)/MAX(1,'Model Inputs'!$B$33)))</f>
        <v>-0.10392304845413265</v>
      </c>
      <c r="O258" s="230">
        <f t="shared" si="136"/>
        <v>268260642.63662043</v>
      </c>
      <c r="P258" s="230">
        <f t="shared" si="133"/>
        <v>241371727.96595448</v>
      </c>
      <c r="Q258" s="230">
        <f>L258+P258+IF(J258=1,'Model Inputs'!$B$26,0)</f>
        <v>241671727.96595448</v>
      </c>
      <c r="R258" s="230">
        <f t="shared" si="137"/>
        <v>725015183.89786339</v>
      </c>
      <c r="S258" s="230">
        <f t="shared" si="138"/>
        <v>10300000</v>
      </c>
      <c r="T258" s="230">
        <f t="shared" si="139"/>
        <v>10300000</v>
      </c>
      <c r="U258" s="230">
        <f>MIN(T258,'Tax Assumptions'!$B$19)</f>
        <v>24500</v>
      </c>
      <c r="V258" s="230">
        <f>MAX(T258-U258-'Tax Assumptions'!$B$8,0)</f>
        <v>10259400</v>
      </c>
      <c r="W258" s="230">
        <f>MAX(T258-U258-'Tax Assumptions'!$B$9,0)</f>
        <v>10267500</v>
      </c>
      <c r="X258" s="230">
        <f>IF(V258=0,0,LOOKUP(V258,'Tax Assumptions'!$F$9:$F$15,'Tax Assumptions'!$I$9:$I$15)+(V258-LOOKUP(V258,'Tax Assumptions'!$F$9:$F$15,'Tax Assumptions'!$F$9:$F$15))*LOOKUP(V258,'Tax Assumptions'!$F$9:$F$15,'Tax Assumptions'!$H$9:$H$15))+MIN(MAX(T258,0),'Tax Assumptions'!$B$11)*'Tax Assumptions'!$B$10+MAX(T258,0)*'Tax Assumptions'!$B$12+MAX(MAX(T258,0)-'Tax Assumptions'!$B$14,0)*'Tax Assumptions'!$B$13+MIN(T258*'Tax Assumptions'!$B$15,'Tax Assumptions'!$B$16)+MIN(T258*'Tax Assumptions'!$B$17,'Tax Assumptions'!$B$18)+IF(W258=0,0,LOOKUP(W258,'Tax Assumptions'!$K$9:$K$17,'Tax Assumptions'!$N$9:$N$17)+(W258-LOOKUP(W258,'Tax Assumptions'!$K$9:$K$17,'Tax Assumptions'!$K$9:$K$17))*LOOKUP(W258,'Tax Assumptions'!$K$9:$K$17,'Tax Assumptions'!$M$9:$M$17))+IF(W258=0,0,LOOKUP(W258,'Tax Assumptions'!$P$9:$P$12,'Tax Assumptions'!$S$9:$S$12)+(W258-LOOKUP(W258,'Tax Assumptions'!$P$9:$P$12,'Tax Assumptions'!$P$9:$P$12))*LOOKUP(W258,'Tax Assumptions'!$P$9:$P$12,'Tax Assumptions'!$R$9:$R$12))</f>
        <v>5394180.54</v>
      </c>
      <c r="Y258" s="230">
        <f t="shared" si="140"/>
        <v>4881319.46</v>
      </c>
      <c r="Z258" s="230">
        <f>IF(J258&lt;=10,INDEX('Savings Projection'!$BL$19:$BL$28,J258),LOOKUP(2,1/('Savings Projection'!$BL$19:$BL$28&lt;&gt;""),'Savings Projection'!$BL$19:$BL$28))*(1+'Model Inputs'!$B$35)^(J258-1)+IF(J258&lt;=10,INDEX('Savings Projection'!$BM$19:$BM$28,J258),LOOKUP(2,1/('Savings Projection'!$BM$19:$BM$28&lt;&gt;""),'Savings Projection'!$BM$19:$BM$28))*(1+'Model Inputs'!$B$36)^(J258-1)</f>
        <v>297430.59784584382</v>
      </c>
      <c r="AA258" s="230">
        <f t="shared" si="141"/>
        <v>4583888.862154156</v>
      </c>
      <c r="AB258" s="230">
        <f>MIN(MAX(AA258,0),'Tax Assumptions'!$B$20)</f>
        <v>7500</v>
      </c>
      <c r="AC258" s="230">
        <f t="shared" si="142"/>
        <v>4576388.862154156</v>
      </c>
      <c r="AD258" s="230">
        <f>MAX(AD257*(1+'Model Inputs'!$B$13)+AC258,0)</f>
        <v>227540000.69170898</v>
      </c>
      <c r="AE258" s="230">
        <f>MAX(AE257*(1+'Model Inputs'!$B$13)+U258+AB258,0)</f>
        <v>2356473.5461198762</v>
      </c>
      <c r="AF258" s="230">
        <f t="shared" si="143"/>
        <v>229896474.23782885</v>
      </c>
      <c r="AG258" s="226" t="str">
        <f t="shared" si="129"/>
        <v/>
      </c>
      <c r="AH258" s="226" t="str">
        <f t="shared" si="130"/>
        <v/>
      </c>
      <c r="AI258" s="226" t="str">
        <f t="shared" si="131"/>
        <v/>
      </c>
      <c r="AJ258" s="226" t="str">
        <f t="shared" si="132"/>
        <v/>
      </c>
    </row>
    <row r="259" spans="1:36" ht="18" customHeight="1" x14ac:dyDescent="0.2">
      <c r="A259" s="226" t="str">
        <f t="shared" si="121"/>
        <v>3Y -&gt; PM Y8 Upside</v>
      </c>
      <c r="B259" s="226">
        <f t="shared" si="122"/>
        <v>3</v>
      </c>
      <c r="C259" s="235">
        <f t="shared" si="123"/>
        <v>3</v>
      </c>
      <c r="D259" s="226">
        <f t="shared" si="124"/>
        <v>8</v>
      </c>
      <c r="E259" s="226" t="str">
        <f t="shared" si="125"/>
        <v>Upside</v>
      </c>
      <c r="F259" s="230">
        <f t="shared" si="126"/>
        <v>50000000</v>
      </c>
      <c r="G259" s="236">
        <f t="shared" si="127"/>
        <v>0.2</v>
      </c>
      <c r="H259" s="230">
        <f t="shared" si="128"/>
        <v>300000</v>
      </c>
      <c r="I259" s="236">
        <f t="shared" si="134"/>
        <v>0</v>
      </c>
      <c r="J259" s="234">
        <v>30</v>
      </c>
      <c r="K259" s="234">
        <f t="shared" si="135"/>
        <v>2055</v>
      </c>
      <c r="L259" s="230">
        <f>IF(J259=1,'Model Inputs'!$B$25*(13-'Model Inputs'!$B$23)/12,'Model Inputs'!$B$25)</f>
        <v>300000</v>
      </c>
      <c r="M259" s="230">
        <f>IF(J259=1,'Model Inputs'!$B$27*(13-'Model Inputs'!$B$23)/12,IF(J259=2,'Model Inputs'!$B$27,IF(J259&lt;=MAX(3,'Model Inputs'!$B$30+1),'Model Inputs'!$B$27*(1+'Model Inputs'!$B$28)^(J259-3),'Model Inputs'!$B$27*(1+'Model Inputs'!$B$28)^(MAX(3,'Model Inputs'!$B$30+1)-3)*(1+'Model Inputs'!$B$29)^(J259-MAX(3,'Model Inputs'!$B$30+1)))))</f>
        <v>380465535.74563926</v>
      </c>
      <c r="N259" s="236">
        <f>IF(J259&lt;=2,0,'Model Inputs'!$B$32*SIN(2*PI()*(J259-3+'Model Inputs'!$B$34)/MAX(1,'Model Inputs'!$B$33)))</f>
        <v>-2.645237086158283E-16</v>
      </c>
      <c r="O259" s="230">
        <f t="shared" si="136"/>
        <v>380465535.7456392</v>
      </c>
      <c r="P259" s="230">
        <f t="shared" si="133"/>
        <v>266206474.24994773</v>
      </c>
      <c r="Q259" s="230">
        <f>L259+P259+IF(J259=1,'Model Inputs'!$B$26,0)</f>
        <v>266506474.24994773</v>
      </c>
      <c r="R259" s="230">
        <f t="shared" si="137"/>
        <v>799519422.74984312</v>
      </c>
      <c r="S259" s="230">
        <f t="shared" si="138"/>
        <v>10300000</v>
      </c>
      <c r="T259" s="230">
        <f t="shared" si="139"/>
        <v>10300000</v>
      </c>
      <c r="U259" s="230">
        <f>MIN(T259,'Tax Assumptions'!$B$19)</f>
        <v>24500</v>
      </c>
      <c r="V259" s="230">
        <f>MAX(T259-U259-'Tax Assumptions'!$B$8,0)</f>
        <v>10259400</v>
      </c>
      <c r="W259" s="230">
        <f>MAX(T259-U259-'Tax Assumptions'!$B$9,0)</f>
        <v>10267500</v>
      </c>
      <c r="X259" s="230">
        <f>IF(V259=0,0,LOOKUP(V259,'Tax Assumptions'!$F$9:$F$15,'Tax Assumptions'!$I$9:$I$15)+(V259-LOOKUP(V259,'Tax Assumptions'!$F$9:$F$15,'Tax Assumptions'!$F$9:$F$15))*LOOKUP(V259,'Tax Assumptions'!$F$9:$F$15,'Tax Assumptions'!$H$9:$H$15))+MIN(MAX(T259,0),'Tax Assumptions'!$B$11)*'Tax Assumptions'!$B$10+MAX(T259,0)*'Tax Assumptions'!$B$12+MAX(MAX(T259,0)-'Tax Assumptions'!$B$14,0)*'Tax Assumptions'!$B$13+MIN(T259*'Tax Assumptions'!$B$15,'Tax Assumptions'!$B$16)+MIN(T259*'Tax Assumptions'!$B$17,'Tax Assumptions'!$B$18)+IF(W259=0,0,LOOKUP(W259,'Tax Assumptions'!$K$9:$K$17,'Tax Assumptions'!$N$9:$N$17)+(W259-LOOKUP(W259,'Tax Assumptions'!$K$9:$K$17,'Tax Assumptions'!$K$9:$K$17))*LOOKUP(W259,'Tax Assumptions'!$K$9:$K$17,'Tax Assumptions'!$M$9:$M$17))+IF(W259=0,0,LOOKUP(W259,'Tax Assumptions'!$P$9:$P$12,'Tax Assumptions'!$S$9:$S$12)+(W259-LOOKUP(W259,'Tax Assumptions'!$P$9:$P$12,'Tax Assumptions'!$P$9:$P$12))*LOOKUP(W259,'Tax Assumptions'!$P$9:$P$12,'Tax Assumptions'!$R$9:$R$12))</f>
        <v>5394180.54</v>
      </c>
      <c r="Y259" s="230">
        <f t="shared" si="140"/>
        <v>4881319.46</v>
      </c>
      <c r="Z259" s="230">
        <f>IF(J259&lt;=10,INDEX('Savings Projection'!$BL$19:$BL$28,J259),LOOKUP(2,1/('Savings Projection'!$BL$19:$BL$28&lt;&gt;""),'Savings Projection'!$BL$19:$BL$28))*(1+'Model Inputs'!$B$35)^(J259-1)+IF(J259&lt;=10,INDEX('Savings Projection'!$BM$19:$BM$28,J259),LOOKUP(2,1/('Savings Projection'!$BM$19:$BM$28&lt;&gt;""),'Savings Projection'!$BM$19:$BM$28))*(1+'Model Inputs'!$B$36)^(J259-1)</f>
        <v>306353.51578121912</v>
      </c>
      <c r="AA259" s="230">
        <f t="shared" si="141"/>
        <v>4574965.9442187808</v>
      </c>
      <c r="AB259" s="230">
        <f>MIN(MAX(AA259,0),'Tax Assumptions'!$B$20)</f>
        <v>7500</v>
      </c>
      <c r="AC259" s="230">
        <f t="shared" si="142"/>
        <v>4567465.9442187808</v>
      </c>
      <c r="AD259" s="230">
        <f>MAX(AD258*(1+'Model Inputs'!$B$13)+AC259,0)</f>
        <v>245759866.67743033</v>
      </c>
      <c r="AE259" s="230">
        <f>MAX(AE258*(1+'Model Inputs'!$B$13)+U259+AB259,0)</f>
        <v>2529861.958887069</v>
      </c>
      <c r="AF259" s="230">
        <f t="shared" si="143"/>
        <v>248289728.6363174</v>
      </c>
      <c r="AG259" s="226" t="str">
        <f t="shared" si="129"/>
        <v/>
      </c>
      <c r="AH259" s="226" t="str">
        <f t="shared" si="130"/>
        <v/>
      </c>
      <c r="AI259" s="226" t="str">
        <f t="shared" si="131"/>
        <v/>
      </c>
      <c r="AJ259" s="226" t="str">
        <f t="shared" si="132"/>
        <v/>
      </c>
    </row>
    <row r="260" spans="1:36" ht="18" customHeight="1" x14ac:dyDescent="0.2">
      <c r="A260" s="226" t="str">
        <f t="shared" ref="A260:A289" si="144">$A$29</f>
        <v>3Y -&gt; PM Y8 Tail</v>
      </c>
      <c r="B260" s="226">
        <f t="shared" ref="B260:B289" si="145">$B$29</f>
        <v>3</v>
      </c>
      <c r="C260" s="235">
        <f t="shared" ref="C260:C289" si="146">$C$29</f>
        <v>3</v>
      </c>
      <c r="D260" s="226">
        <f t="shared" ref="D260:D289" si="147">$D$29</f>
        <v>8</v>
      </c>
      <c r="E260" s="226" t="str">
        <f t="shared" ref="E260:E289" si="148">$E$29</f>
        <v>Tail</v>
      </c>
      <c r="F260" s="230">
        <f t="shared" ref="F260:F289" si="149">$F$29</f>
        <v>100000000</v>
      </c>
      <c r="G260" s="236">
        <f t="shared" ref="G260:G289" si="150">$G$29</f>
        <v>0.15</v>
      </c>
      <c r="H260" s="230">
        <f t="shared" ref="H260:H289" si="151">$H$29</f>
        <v>300000</v>
      </c>
      <c r="I260" s="236">
        <f t="shared" si="134"/>
        <v>0</v>
      </c>
      <c r="J260" s="234">
        <v>1</v>
      </c>
      <c r="K260" s="234">
        <f t="shared" si="135"/>
        <v>2026</v>
      </c>
      <c r="L260" s="230">
        <f>IF(J260=1,'Model Inputs'!$B$25*(13-'Model Inputs'!$B$23)/12,'Model Inputs'!$B$25)</f>
        <v>100000</v>
      </c>
      <c r="M260" s="230">
        <f>IF(J260=1,'Model Inputs'!$B$27*(13-'Model Inputs'!$B$23)/12,IF(J260=2,'Model Inputs'!$B$27,IF(J260&lt;=MAX(3,'Model Inputs'!$B$30+1),'Model Inputs'!$B$27*(1+'Model Inputs'!$B$28)^(J260-3),'Model Inputs'!$B$27*(1+'Model Inputs'!$B$28)^(MAX(3,'Model Inputs'!$B$30+1)-3)*(1+'Model Inputs'!$B$29)^(J260-MAX(3,'Model Inputs'!$B$30+1)))))</f>
        <v>150000</v>
      </c>
      <c r="N260" s="236">
        <f>IF(J260&lt;=2,0,'Model Inputs'!$B$32*SIN(2*PI()*(J260-3+'Model Inputs'!$B$34)/MAX(1,'Model Inputs'!$B$33)))</f>
        <v>0</v>
      </c>
      <c r="O260" s="230">
        <f t="shared" si="136"/>
        <v>150000</v>
      </c>
      <c r="P260" s="230">
        <f>0</f>
        <v>0</v>
      </c>
      <c r="Q260" s="230">
        <f>L260+P260+IF(J260=1,'Model Inputs'!$B$26,0)</f>
        <v>550000</v>
      </c>
      <c r="R260" s="230">
        <f t="shared" si="137"/>
        <v>550000</v>
      </c>
      <c r="S260" s="230">
        <f t="shared" si="138"/>
        <v>15300000</v>
      </c>
      <c r="T260" s="230">
        <f t="shared" si="139"/>
        <v>550000</v>
      </c>
      <c r="U260" s="230">
        <f>MIN(T260,'Tax Assumptions'!$B$19)</f>
        <v>24500</v>
      </c>
      <c r="V260" s="230">
        <f>MAX(T260-U260-'Tax Assumptions'!$B$8,0)</f>
        <v>509400</v>
      </c>
      <c r="W260" s="230">
        <f>MAX(T260-U260-'Tax Assumptions'!$B$9,0)</f>
        <v>517500</v>
      </c>
      <c r="X260" s="230">
        <f>IF(V260=0,0,LOOKUP(V260,'Tax Assumptions'!$F$9:$F$15,'Tax Assumptions'!$I$9:$I$15)+(V260-LOOKUP(V260,'Tax Assumptions'!$F$9:$F$15,'Tax Assumptions'!$F$9:$F$15))*LOOKUP(V260,'Tax Assumptions'!$F$9:$F$15,'Tax Assumptions'!$H$9:$H$15))+MIN(MAX(T260,0),'Tax Assumptions'!$B$11)*'Tax Assumptions'!$B$10+MAX(T260,0)*'Tax Assumptions'!$B$12+MAX(MAX(T260,0)-'Tax Assumptions'!$B$14,0)*'Tax Assumptions'!$B$13+MIN(T260*'Tax Assumptions'!$B$15,'Tax Assumptions'!$B$16)+MIN(T260*'Tax Assumptions'!$B$17,'Tax Assumptions'!$B$18)+IF(W260=0,0,LOOKUP(W260,'Tax Assumptions'!$K$9:$K$17,'Tax Assumptions'!$N$9:$N$17)+(W260-LOOKUP(W260,'Tax Assumptions'!$K$9:$K$17,'Tax Assumptions'!$K$9:$K$17))*LOOKUP(W260,'Tax Assumptions'!$K$9:$K$17,'Tax Assumptions'!$M$9:$M$17))+IF(W260=0,0,LOOKUP(W260,'Tax Assumptions'!$P$9:$P$12,'Tax Assumptions'!$S$9:$S$12)+(W260-LOOKUP(W260,'Tax Assumptions'!$P$9:$P$12,'Tax Assumptions'!$P$9:$P$12))*LOOKUP(W260,'Tax Assumptions'!$P$9:$P$12,'Tax Assumptions'!$R$9:$R$12))</f>
        <v>222834.53000000003</v>
      </c>
      <c r="Y260" s="230">
        <f t="shared" si="140"/>
        <v>302665.46999999997</v>
      </c>
      <c r="Z260" s="230">
        <f>IF(J260&lt;=10,INDEX('Savings Projection'!$BL$19:$BL$28,J260),LOOKUP(2,1/('Savings Projection'!$BL$19:$BL$28&lt;&gt;""),'Savings Projection'!$BL$19:$BL$28))*(1+'Model Inputs'!$B$35)^(J260-1)+IF(J260&lt;=10,INDEX('Savings Projection'!$BM$19:$BM$28,J260),LOOKUP(2,1/('Savings Projection'!$BM$19:$BM$28&lt;&gt;""),'Savings Projection'!$BM$19:$BM$28))*(1+'Model Inputs'!$B$36)^(J260-1)</f>
        <v>118000</v>
      </c>
      <c r="AA260" s="230">
        <f t="shared" si="141"/>
        <v>184665.46999999997</v>
      </c>
      <c r="AB260" s="230">
        <f>MIN(MAX(AA260,0),'Tax Assumptions'!$B$20)</f>
        <v>7500</v>
      </c>
      <c r="AC260" s="230">
        <f t="shared" si="142"/>
        <v>177165.46999999997</v>
      </c>
      <c r="AD260" s="230">
        <f>MAX('Model Inputs'!$B$7*(1+'Model Inputs'!$B$13)+AC260,0)</f>
        <v>336165.47</v>
      </c>
      <c r="AE260" s="230">
        <f>MAX(('Model Inputs'!$B$8+'Model Inputs'!$B$9+'Model Inputs'!$B$10)*(1+'Model Inputs'!$B$13)+U260+AB260,0)</f>
        <v>32000</v>
      </c>
      <c r="AF260" s="230">
        <f t="shared" si="143"/>
        <v>368165.47</v>
      </c>
      <c r="AG260" s="226" t="str">
        <f>IF(AND(AF260&gt;=$F$14,0&lt;$F$14),J260,"")</f>
        <v/>
      </c>
      <c r="AH260" s="226" t="str">
        <f>IF(AND(AF260&gt;=$F$15,0&lt;$F$15),J260,"")</f>
        <v/>
      </c>
      <c r="AI260" s="226" t="str">
        <f>IF(AND(AF260&gt;=$F$16,0&lt;$F$16),J260,"")</f>
        <v/>
      </c>
      <c r="AJ260" s="226" t="str">
        <f>IF(AND(AF260&gt;=$F$17,0&lt;$F$17),J260,"")</f>
        <v/>
      </c>
    </row>
    <row r="261" spans="1:36" ht="18" customHeight="1" x14ac:dyDescent="0.2">
      <c r="A261" s="226" t="str">
        <f t="shared" si="144"/>
        <v>3Y -&gt; PM Y8 Tail</v>
      </c>
      <c r="B261" s="226">
        <f t="shared" si="145"/>
        <v>3</v>
      </c>
      <c r="C261" s="235">
        <f t="shared" si="146"/>
        <v>3</v>
      </c>
      <c r="D261" s="226">
        <f t="shared" si="147"/>
        <v>8</v>
      </c>
      <c r="E261" s="226" t="str">
        <f t="shared" si="148"/>
        <v>Tail</v>
      </c>
      <c r="F261" s="230">
        <f t="shared" si="149"/>
        <v>100000000</v>
      </c>
      <c r="G261" s="236">
        <f t="shared" si="150"/>
        <v>0.15</v>
      </c>
      <c r="H261" s="230">
        <f t="shared" si="151"/>
        <v>300000</v>
      </c>
      <c r="I261" s="236">
        <f t="shared" si="134"/>
        <v>0</v>
      </c>
      <c r="J261" s="234">
        <v>2</v>
      </c>
      <c r="K261" s="234">
        <f t="shared" si="135"/>
        <v>2027</v>
      </c>
      <c r="L261" s="230">
        <f>IF(J261=1,'Model Inputs'!$B$25*(13-'Model Inputs'!$B$23)/12,'Model Inputs'!$B$25)</f>
        <v>300000</v>
      </c>
      <c r="M261" s="230">
        <f>IF(J261=1,'Model Inputs'!$B$27*(13-'Model Inputs'!$B$23)/12,IF(J261=2,'Model Inputs'!$B$27,IF(J261&lt;=MAX(3,'Model Inputs'!$B$30+1),'Model Inputs'!$B$27*(1+'Model Inputs'!$B$28)^(J261-3),'Model Inputs'!$B$27*(1+'Model Inputs'!$B$28)^(MAX(3,'Model Inputs'!$B$30+1)-3)*(1+'Model Inputs'!$B$29)^(J261-MAX(3,'Model Inputs'!$B$30+1)))))</f>
        <v>450000</v>
      </c>
      <c r="N261" s="236">
        <f>IF(J261&lt;=2,0,'Model Inputs'!$B$32*SIN(2*PI()*(J261-3+'Model Inputs'!$B$34)/MAX(1,'Model Inputs'!$B$33)))</f>
        <v>0</v>
      </c>
      <c r="O261" s="230">
        <f t="shared" si="136"/>
        <v>450000</v>
      </c>
      <c r="P261" s="230">
        <f>0.75*O260</f>
        <v>112500</v>
      </c>
      <c r="Q261" s="230">
        <f>L261+P261+IF(J261=1,'Model Inputs'!$B$26,0)</f>
        <v>412500</v>
      </c>
      <c r="R261" s="230">
        <f t="shared" si="137"/>
        <v>412500</v>
      </c>
      <c r="S261" s="230">
        <f t="shared" si="138"/>
        <v>15300000</v>
      </c>
      <c r="T261" s="230">
        <f t="shared" si="139"/>
        <v>412500</v>
      </c>
      <c r="U261" s="230">
        <f>MIN(T261,'Tax Assumptions'!$B$19)</f>
        <v>24500</v>
      </c>
      <c r="V261" s="230">
        <f>MAX(T261-U261-'Tax Assumptions'!$B$8,0)</f>
        <v>371900</v>
      </c>
      <c r="W261" s="230">
        <f>MAX(T261-U261-'Tax Assumptions'!$B$9,0)</f>
        <v>380000</v>
      </c>
      <c r="X261" s="230">
        <f>IF(V261=0,0,LOOKUP(V261,'Tax Assumptions'!$F$9:$F$15,'Tax Assumptions'!$I$9:$I$15)+(V261-LOOKUP(V261,'Tax Assumptions'!$F$9:$F$15,'Tax Assumptions'!$F$9:$F$15))*LOOKUP(V261,'Tax Assumptions'!$F$9:$F$15,'Tax Assumptions'!$H$9:$H$15))+MIN(MAX(T261,0),'Tax Assumptions'!$B$11)*'Tax Assumptions'!$B$10+MAX(T261,0)*'Tax Assumptions'!$B$12+MAX(MAX(T261,0)-'Tax Assumptions'!$B$14,0)*'Tax Assumptions'!$B$13+MIN(T261*'Tax Assumptions'!$B$15,'Tax Assumptions'!$B$16)+MIN(T261*'Tax Assumptions'!$B$17,'Tax Assumptions'!$B$18)+IF(W261=0,0,LOOKUP(W261,'Tax Assumptions'!$K$9:$K$17,'Tax Assumptions'!$N$9:$N$17)+(W261-LOOKUP(W261,'Tax Assumptions'!$K$9:$K$17,'Tax Assumptions'!$K$9:$K$17))*LOOKUP(W261,'Tax Assumptions'!$K$9:$K$17,'Tax Assumptions'!$M$9:$M$17))+IF(W261=0,0,LOOKUP(W261,'Tax Assumptions'!$P$9:$P$12,'Tax Assumptions'!$S$9:$S$12)+(W261-LOOKUP(W261,'Tax Assumptions'!$P$9:$P$12,'Tax Assumptions'!$P$9:$P$12))*LOOKUP(W261,'Tax Assumptions'!$P$9:$P$12,'Tax Assumptions'!$R$9:$R$12))</f>
        <v>156730.03</v>
      </c>
      <c r="Y261" s="230">
        <f t="shared" si="140"/>
        <v>231269.97</v>
      </c>
      <c r="Z261" s="230">
        <f>IF(J261&lt;=10,INDEX('Savings Projection'!$BL$19:$BL$28,J261),LOOKUP(2,1/('Savings Projection'!$BL$19:$BL$28&lt;&gt;""),'Savings Projection'!$BL$19:$BL$28))*(1+'Model Inputs'!$B$35)^(J261-1)+IF(J261&lt;=10,INDEX('Savings Projection'!$BM$19:$BM$28,J261),LOOKUP(2,1/('Savings Projection'!$BM$19:$BM$28&lt;&gt;""),'Savings Projection'!$BM$19:$BM$28))*(1+'Model Inputs'!$B$36)^(J261-1)</f>
        <v>121540</v>
      </c>
      <c r="AA261" s="230">
        <f t="shared" si="141"/>
        <v>109729.97</v>
      </c>
      <c r="AB261" s="230">
        <f>MIN(MAX(AA261,0),'Tax Assumptions'!$B$20)</f>
        <v>7500</v>
      </c>
      <c r="AC261" s="230">
        <f t="shared" si="142"/>
        <v>102229.97</v>
      </c>
      <c r="AD261" s="230">
        <f>MAX(AD260*(1+'Model Inputs'!$B$13)+AC261,0)</f>
        <v>458565.36820000003</v>
      </c>
      <c r="AE261" s="230">
        <f>MAX(AE260*(1+'Model Inputs'!$B$13)+U261+AB261,0)</f>
        <v>65920</v>
      </c>
      <c r="AF261" s="230">
        <f t="shared" si="143"/>
        <v>524485.36820000003</v>
      </c>
      <c r="AG261" s="226" t="str">
        <f t="shared" ref="AG261:AG289" si="152">IF(AND(AF261&gt;=$F$14,AF260&lt;$F$14),J261,"")</f>
        <v/>
      </c>
      <c r="AH261" s="226" t="str">
        <f t="shared" ref="AH261:AH289" si="153">IF(AND(AF261&gt;=$F$15,AF260&lt;$F$15),J261,"")</f>
        <v/>
      </c>
      <c r="AI261" s="226" t="str">
        <f t="shared" ref="AI261:AI289" si="154">IF(AND(AF261&gt;=$F$16,AF260&lt;$F$16),J261,"")</f>
        <v/>
      </c>
      <c r="AJ261" s="226" t="str">
        <f t="shared" ref="AJ261:AJ289" si="155">IF(AND(AF261&gt;=$F$17,AF260&lt;$F$17),J261,"")</f>
        <v/>
      </c>
    </row>
    <row r="262" spans="1:36" ht="18" customHeight="1" x14ac:dyDescent="0.2">
      <c r="A262" s="226" t="str">
        <f t="shared" si="144"/>
        <v>3Y -&gt; PM Y8 Tail</v>
      </c>
      <c r="B262" s="226">
        <f t="shared" si="145"/>
        <v>3</v>
      </c>
      <c r="C262" s="235">
        <f t="shared" si="146"/>
        <v>3</v>
      </c>
      <c r="D262" s="226">
        <f t="shared" si="147"/>
        <v>8</v>
      </c>
      <c r="E262" s="226" t="str">
        <f t="shared" si="148"/>
        <v>Tail</v>
      </c>
      <c r="F262" s="230">
        <f t="shared" si="149"/>
        <v>100000000</v>
      </c>
      <c r="G262" s="236">
        <f t="shared" si="150"/>
        <v>0.15</v>
      </c>
      <c r="H262" s="230">
        <f t="shared" si="151"/>
        <v>300000</v>
      </c>
      <c r="I262" s="236">
        <f t="shared" si="134"/>
        <v>0</v>
      </c>
      <c r="J262" s="234">
        <v>3</v>
      </c>
      <c r="K262" s="234">
        <f t="shared" si="135"/>
        <v>2028</v>
      </c>
      <c r="L262" s="230">
        <f>IF(J262=1,'Model Inputs'!$B$25*(13-'Model Inputs'!$B$23)/12,'Model Inputs'!$B$25)</f>
        <v>300000</v>
      </c>
      <c r="M262" s="230">
        <f>IF(J262=1,'Model Inputs'!$B$27*(13-'Model Inputs'!$B$23)/12,IF(J262=2,'Model Inputs'!$B$27,IF(J262&lt;=MAX(3,'Model Inputs'!$B$30+1),'Model Inputs'!$B$27*(1+'Model Inputs'!$B$28)^(J262-3),'Model Inputs'!$B$27*(1+'Model Inputs'!$B$28)^(MAX(3,'Model Inputs'!$B$30+1)-3)*(1+'Model Inputs'!$B$29)^(J262-MAX(3,'Model Inputs'!$B$30+1)))))</f>
        <v>450000</v>
      </c>
      <c r="N262" s="236">
        <f>IF(J262&lt;=2,0,'Model Inputs'!$B$32*SIN(2*PI()*(J262-3+'Model Inputs'!$B$34)/MAX(1,'Model Inputs'!$B$33)))</f>
        <v>0</v>
      </c>
      <c r="O262" s="230">
        <f t="shared" si="136"/>
        <v>450000</v>
      </c>
      <c r="P262" s="230">
        <f t="shared" ref="P262:P289" si="156">0.75*O261+0.25*O260</f>
        <v>375000</v>
      </c>
      <c r="Q262" s="230">
        <f>L262+P262+IF(J262=1,'Model Inputs'!$B$26,0)</f>
        <v>675000</v>
      </c>
      <c r="R262" s="230">
        <f t="shared" si="137"/>
        <v>675000</v>
      </c>
      <c r="S262" s="230">
        <f t="shared" si="138"/>
        <v>15300000</v>
      </c>
      <c r="T262" s="230">
        <f t="shared" si="139"/>
        <v>675000</v>
      </c>
      <c r="U262" s="230">
        <f>MIN(T262,'Tax Assumptions'!$B$19)</f>
        <v>24500</v>
      </c>
      <c r="V262" s="230">
        <f>MAX(T262-U262-'Tax Assumptions'!$B$8,0)</f>
        <v>634400</v>
      </c>
      <c r="W262" s="230">
        <f>MAX(T262-U262-'Tax Assumptions'!$B$9,0)</f>
        <v>642500</v>
      </c>
      <c r="X262" s="230">
        <f>IF(V262=0,0,LOOKUP(V262,'Tax Assumptions'!$F$9:$F$15,'Tax Assumptions'!$I$9:$I$15)+(V262-LOOKUP(V262,'Tax Assumptions'!$F$9:$F$15,'Tax Assumptions'!$F$9:$F$15))*LOOKUP(V262,'Tax Assumptions'!$F$9:$F$15,'Tax Assumptions'!$H$9:$H$15))+MIN(MAX(T262,0),'Tax Assumptions'!$B$11)*'Tax Assumptions'!$B$10+MAX(T262,0)*'Tax Assumptions'!$B$12+MAX(MAX(T262,0)-'Tax Assumptions'!$B$14,0)*'Tax Assumptions'!$B$13+MIN(T262*'Tax Assumptions'!$B$15,'Tax Assumptions'!$B$16)+MIN(T262*'Tax Assumptions'!$B$17,'Tax Assumptions'!$B$18)+IF(W262=0,0,LOOKUP(W262,'Tax Assumptions'!$K$9:$K$17,'Tax Assumptions'!$N$9:$N$17)+(W262-LOOKUP(W262,'Tax Assumptions'!$K$9:$K$17,'Tax Assumptions'!$K$9:$K$17))*LOOKUP(W262,'Tax Assumptions'!$K$9:$K$17,'Tax Assumptions'!$M$9:$M$17))+IF(W262=0,0,LOOKUP(W262,'Tax Assumptions'!$P$9:$P$12,'Tax Assumptions'!$S$9:$S$12)+(W262-LOOKUP(W262,'Tax Assumptions'!$P$9:$P$12,'Tax Assumptions'!$P$9:$P$12))*LOOKUP(W262,'Tax Assumptions'!$P$9:$P$12,'Tax Assumptions'!$R$9:$R$12))</f>
        <v>282929.53000000003</v>
      </c>
      <c r="Y262" s="230">
        <f t="shared" si="140"/>
        <v>367570.47</v>
      </c>
      <c r="Z262" s="230">
        <f>IF(J262&lt;=10,INDEX('Savings Projection'!$BL$19:$BL$28,J262),LOOKUP(2,1/('Savings Projection'!$BL$19:$BL$28&lt;&gt;""),'Savings Projection'!$BL$19:$BL$28))*(1+'Model Inputs'!$B$35)^(J262-1)+IF(J262&lt;=10,INDEX('Savings Projection'!$BM$19:$BM$28,J262),LOOKUP(2,1/('Savings Projection'!$BM$19:$BM$28&lt;&gt;""),'Savings Projection'!$BM$19:$BM$28))*(1+'Model Inputs'!$B$36)^(J262-1)</f>
        <v>135795.20000000001</v>
      </c>
      <c r="AA262" s="230">
        <f t="shared" si="141"/>
        <v>231775.26999999996</v>
      </c>
      <c r="AB262" s="230">
        <f>MIN(MAX(AA262,0),'Tax Assumptions'!$B$20)</f>
        <v>7500</v>
      </c>
      <c r="AC262" s="230">
        <f t="shared" si="142"/>
        <v>224275.26999999996</v>
      </c>
      <c r="AD262" s="230">
        <f>MAX(AD261*(1+'Model Inputs'!$B$13)+AC262,0)</f>
        <v>710354.56029199995</v>
      </c>
      <c r="AE262" s="230">
        <f>MAX(AE261*(1+'Model Inputs'!$B$13)+U262+AB262,0)</f>
        <v>101875.2</v>
      </c>
      <c r="AF262" s="230">
        <f t="shared" si="143"/>
        <v>812229.7602919999</v>
      </c>
      <c r="AG262" s="226" t="str">
        <f t="shared" si="152"/>
        <v/>
      </c>
      <c r="AH262" s="226" t="str">
        <f t="shared" si="153"/>
        <v/>
      </c>
      <c r="AI262" s="226" t="str">
        <f t="shared" si="154"/>
        <v/>
      </c>
      <c r="AJ262" s="226" t="str">
        <f t="shared" si="155"/>
        <v/>
      </c>
    </row>
    <row r="263" spans="1:36" ht="18" customHeight="1" x14ac:dyDescent="0.2">
      <c r="A263" s="226" t="str">
        <f t="shared" si="144"/>
        <v>3Y -&gt; PM Y8 Tail</v>
      </c>
      <c r="B263" s="226">
        <f t="shared" si="145"/>
        <v>3</v>
      </c>
      <c r="C263" s="235">
        <f t="shared" si="146"/>
        <v>3</v>
      </c>
      <c r="D263" s="226">
        <f t="shared" si="147"/>
        <v>8</v>
      </c>
      <c r="E263" s="226" t="str">
        <f t="shared" si="148"/>
        <v>Tail</v>
      </c>
      <c r="F263" s="230">
        <f t="shared" si="149"/>
        <v>100000000</v>
      </c>
      <c r="G263" s="236">
        <f t="shared" si="150"/>
        <v>0.15</v>
      </c>
      <c r="H263" s="230">
        <f t="shared" si="151"/>
        <v>300000</v>
      </c>
      <c r="I263" s="236">
        <f t="shared" si="134"/>
        <v>0</v>
      </c>
      <c r="J263" s="234">
        <v>4</v>
      </c>
      <c r="K263" s="234">
        <f t="shared" si="135"/>
        <v>2029</v>
      </c>
      <c r="L263" s="230">
        <f>IF(J263=1,'Model Inputs'!$B$25*(13-'Model Inputs'!$B$23)/12,'Model Inputs'!$B$25)</f>
        <v>300000</v>
      </c>
      <c r="M263" s="230">
        <f>IF(J263=1,'Model Inputs'!$B$27*(13-'Model Inputs'!$B$23)/12,IF(J263=2,'Model Inputs'!$B$27,IF(J263&lt;=MAX(3,'Model Inputs'!$B$30+1),'Model Inputs'!$B$27*(1+'Model Inputs'!$B$28)^(J263-3),'Model Inputs'!$B$27*(1+'Model Inputs'!$B$28)^(MAX(3,'Model Inputs'!$B$30+1)-3)*(1+'Model Inputs'!$B$29)^(J263-MAX(3,'Model Inputs'!$B$30+1)))))</f>
        <v>653834.84153110103</v>
      </c>
      <c r="N263" s="236">
        <f>IF(J263&lt;=2,0,'Model Inputs'!$B$32*SIN(2*PI()*(J263-3+'Model Inputs'!$B$34)/MAX(1,'Model Inputs'!$B$33)))</f>
        <v>0.10392304845413264</v>
      </c>
      <c r="O263" s="230">
        <f t="shared" si="136"/>
        <v>721783.35144853778</v>
      </c>
      <c r="P263" s="230">
        <f t="shared" si="156"/>
        <v>450000</v>
      </c>
      <c r="Q263" s="230">
        <f>L263+P263+IF(J263=1,'Model Inputs'!$B$26,0)</f>
        <v>750000</v>
      </c>
      <c r="R263" s="230">
        <f t="shared" si="137"/>
        <v>2250000</v>
      </c>
      <c r="S263" s="230">
        <f t="shared" si="138"/>
        <v>15300000</v>
      </c>
      <c r="T263" s="230">
        <f t="shared" si="139"/>
        <v>2250000</v>
      </c>
      <c r="U263" s="230">
        <f>MIN(T263,'Tax Assumptions'!$B$19)</f>
        <v>24500</v>
      </c>
      <c r="V263" s="230">
        <f>MAX(T263-U263-'Tax Assumptions'!$B$8,0)</f>
        <v>2209400</v>
      </c>
      <c r="W263" s="230">
        <f>MAX(T263-U263-'Tax Assumptions'!$B$9,0)</f>
        <v>2217500</v>
      </c>
      <c r="X263" s="230">
        <f>IF(V263=0,0,LOOKUP(V263,'Tax Assumptions'!$F$9:$F$15,'Tax Assumptions'!$I$9:$I$15)+(V263-LOOKUP(V263,'Tax Assumptions'!$F$9:$F$15,'Tax Assumptions'!$F$9:$F$15))*LOOKUP(V263,'Tax Assumptions'!$F$9:$F$15,'Tax Assumptions'!$H$9:$H$15))+MIN(MAX(T263,0),'Tax Assumptions'!$B$11)*'Tax Assumptions'!$B$10+MAX(T263,0)*'Tax Assumptions'!$B$12+MAX(MAX(T263,0)-'Tax Assumptions'!$B$14,0)*'Tax Assumptions'!$B$13+MIN(T263*'Tax Assumptions'!$B$15,'Tax Assumptions'!$B$16)+MIN(T263*'Tax Assumptions'!$B$17,'Tax Assumptions'!$B$18)+IF(W263=0,0,LOOKUP(W263,'Tax Assumptions'!$K$9:$K$17,'Tax Assumptions'!$N$9:$N$17)+(W263-LOOKUP(W263,'Tax Assumptions'!$K$9:$K$17,'Tax Assumptions'!$K$9:$K$17))*LOOKUP(W263,'Tax Assumptions'!$K$9:$K$17,'Tax Assumptions'!$M$9:$M$17))+IF(W263=0,0,LOOKUP(W263,'Tax Assumptions'!$P$9:$P$12,'Tax Assumptions'!$S$9:$S$12)+(W263-LOOKUP(W263,'Tax Assumptions'!$P$9:$P$12,'Tax Assumptions'!$P$9:$P$12))*LOOKUP(W263,'Tax Assumptions'!$P$9:$P$12,'Tax Assumptions'!$R$9:$R$12))</f>
        <v>1103420.635</v>
      </c>
      <c r="Y263" s="230">
        <f t="shared" si="140"/>
        <v>1122079.365</v>
      </c>
      <c r="Z263" s="230">
        <f>IF(J263&lt;=10,INDEX('Savings Projection'!$BL$19:$BL$28,J263),LOOKUP(2,1/('Savings Projection'!$BL$19:$BL$28&lt;&gt;""),'Savings Projection'!$BL$19:$BL$28))*(1+'Model Inputs'!$B$35)^(J263-1)+IF(J263&lt;=10,INDEX('Savings Projection'!$BM$19:$BM$28,J263),LOOKUP(2,1/('Savings Projection'!$BM$19:$BM$28&lt;&gt;""),'Savings Projection'!$BM$19:$BM$28))*(1+'Model Inputs'!$B$36)^(J263-1)</f>
        <v>139869.05600000001</v>
      </c>
      <c r="AA263" s="230">
        <f t="shared" si="141"/>
        <v>982210.30900000001</v>
      </c>
      <c r="AB263" s="230">
        <f>MIN(MAX(AA263,0),'Tax Assumptions'!$B$20)</f>
        <v>7500</v>
      </c>
      <c r="AC263" s="230">
        <f t="shared" si="142"/>
        <v>974710.30900000001</v>
      </c>
      <c r="AD263" s="230">
        <f>MAX(AD262*(1+'Model Inputs'!$B$13)+AC263,0)</f>
        <v>1727686.1429095198</v>
      </c>
      <c r="AE263" s="230">
        <f>MAX(AE262*(1+'Model Inputs'!$B$13)+U263+AB263,0)</f>
        <v>139987.712</v>
      </c>
      <c r="AF263" s="230">
        <f t="shared" si="143"/>
        <v>1867673.8549095199</v>
      </c>
      <c r="AG263" s="226" t="str">
        <f t="shared" si="152"/>
        <v/>
      </c>
      <c r="AH263" s="226" t="str">
        <f t="shared" si="153"/>
        <v/>
      </c>
      <c r="AI263" s="226" t="str">
        <f t="shared" si="154"/>
        <v/>
      </c>
      <c r="AJ263" s="226" t="str">
        <f t="shared" si="155"/>
        <v/>
      </c>
    </row>
    <row r="264" spans="1:36" ht="18" customHeight="1" x14ac:dyDescent="0.2">
      <c r="A264" s="226" t="str">
        <f t="shared" si="144"/>
        <v>3Y -&gt; PM Y8 Tail</v>
      </c>
      <c r="B264" s="226">
        <f t="shared" si="145"/>
        <v>3</v>
      </c>
      <c r="C264" s="235">
        <f t="shared" si="146"/>
        <v>3</v>
      </c>
      <c r="D264" s="226">
        <f t="shared" si="147"/>
        <v>8</v>
      </c>
      <c r="E264" s="226" t="str">
        <f t="shared" si="148"/>
        <v>Tail</v>
      </c>
      <c r="F264" s="230">
        <f t="shared" si="149"/>
        <v>100000000</v>
      </c>
      <c r="G264" s="236">
        <f t="shared" si="150"/>
        <v>0.15</v>
      </c>
      <c r="H264" s="230">
        <f t="shared" si="151"/>
        <v>300000</v>
      </c>
      <c r="I264" s="236">
        <f t="shared" si="134"/>
        <v>0</v>
      </c>
      <c r="J264" s="234">
        <v>5</v>
      </c>
      <c r="K264" s="234">
        <f t="shared" si="135"/>
        <v>2030</v>
      </c>
      <c r="L264" s="230">
        <f>IF(J264=1,'Model Inputs'!$B$25*(13-'Model Inputs'!$B$23)/12,'Model Inputs'!$B$25)</f>
        <v>300000</v>
      </c>
      <c r="M264" s="230">
        <f>IF(J264=1,'Model Inputs'!$B$27*(13-'Model Inputs'!$B$23)/12,IF(J264=2,'Model Inputs'!$B$27,IF(J264&lt;=MAX(3,'Model Inputs'!$B$30+1),'Model Inputs'!$B$27*(1+'Model Inputs'!$B$28)^(J264-3),'Model Inputs'!$B$27*(1+'Model Inputs'!$B$28)^(MAX(3,'Model Inputs'!$B$30+1)-3)*(1+'Model Inputs'!$B$29)^(J264-MAX(3,'Model Inputs'!$B$30+1)))))</f>
        <v>950000</v>
      </c>
      <c r="N264" s="236">
        <f>IF(J264&lt;=2,0,'Model Inputs'!$B$32*SIN(2*PI()*(J264-3+'Model Inputs'!$B$34)/MAX(1,'Model Inputs'!$B$33)))</f>
        <v>-0.1039230484541326</v>
      </c>
      <c r="O264" s="230">
        <f t="shared" si="136"/>
        <v>851273.10396857408</v>
      </c>
      <c r="P264" s="230">
        <f t="shared" si="156"/>
        <v>653837.51358640334</v>
      </c>
      <c r="Q264" s="230">
        <f>L264+P264+IF(J264=1,'Model Inputs'!$B$26,0)</f>
        <v>953837.51358640334</v>
      </c>
      <c r="R264" s="230">
        <f t="shared" si="137"/>
        <v>2861512.54075921</v>
      </c>
      <c r="S264" s="230">
        <f t="shared" si="138"/>
        <v>15300000</v>
      </c>
      <c r="T264" s="230">
        <f t="shared" si="139"/>
        <v>2861512.54075921</v>
      </c>
      <c r="U264" s="230">
        <f>MIN(T264,'Tax Assumptions'!$B$19)</f>
        <v>24500</v>
      </c>
      <c r="V264" s="230">
        <f>MAX(T264-U264-'Tax Assumptions'!$B$8,0)</f>
        <v>2820912.54075921</v>
      </c>
      <c r="W264" s="230">
        <f>MAX(T264-U264-'Tax Assumptions'!$B$9,0)</f>
        <v>2829012.54075921</v>
      </c>
      <c r="X264" s="230">
        <f>IF(V264=0,0,LOOKUP(V264,'Tax Assumptions'!$F$9:$F$15,'Tax Assumptions'!$I$9:$I$15)+(V264-LOOKUP(V264,'Tax Assumptions'!$F$9:$F$15,'Tax Assumptions'!$F$9:$F$15))*LOOKUP(V264,'Tax Assumptions'!$F$9:$F$15,'Tax Assumptions'!$H$9:$H$15))+MIN(MAX(T264,0),'Tax Assumptions'!$B$11)*'Tax Assumptions'!$B$10+MAX(T264,0)*'Tax Assumptions'!$B$12+MAX(MAX(T264,0)-'Tax Assumptions'!$B$14,0)*'Tax Assumptions'!$B$13+MIN(T264*'Tax Assumptions'!$B$15,'Tax Assumptions'!$B$16)+MIN(T264*'Tax Assumptions'!$B$17,'Tax Assumptions'!$B$18)+IF(W264=0,0,LOOKUP(W264,'Tax Assumptions'!$K$9:$K$17,'Tax Assumptions'!$N$9:$N$17)+(W264-LOOKUP(W264,'Tax Assumptions'!$K$9:$K$17,'Tax Assumptions'!$K$9:$K$17))*LOOKUP(W264,'Tax Assumptions'!$K$9:$K$17,'Tax Assumptions'!$M$9:$M$17))+IF(W264=0,0,LOOKUP(W264,'Tax Assumptions'!$P$9:$P$12,'Tax Assumptions'!$S$9:$S$12)+(W264-LOOKUP(W264,'Tax Assumptions'!$P$9:$P$12,'Tax Assumptions'!$P$9:$P$12))*LOOKUP(W264,'Tax Assumptions'!$P$9:$P$12,'Tax Assumptions'!$R$9:$R$12))</f>
        <v>1426764.0060518396</v>
      </c>
      <c r="Y264" s="230">
        <f t="shared" si="140"/>
        <v>1410248.5347073704</v>
      </c>
      <c r="Z264" s="230">
        <f>IF(J264&lt;=10,INDEX('Savings Projection'!$BL$19:$BL$28,J264),LOOKUP(2,1/('Savings Projection'!$BL$19:$BL$28&lt;&gt;""),'Savings Projection'!$BL$19:$BL$28))*(1+'Model Inputs'!$B$35)^(J264-1)+IF(J264&lt;=10,INDEX('Savings Projection'!$BM$19:$BM$28,J264),LOOKUP(2,1/('Savings Projection'!$BM$19:$BM$28&lt;&gt;""),'Savings Projection'!$BM$19:$BM$28))*(1+'Model Inputs'!$B$36)^(J264-1)</f>
        <v>144065.12767999998</v>
      </c>
      <c r="AA264" s="230">
        <f t="shared" si="141"/>
        <v>1266183.4070273705</v>
      </c>
      <c r="AB264" s="230">
        <f>MIN(MAX(AA264,0),'Tax Assumptions'!$B$20)</f>
        <v>7500</v>
      </c>
      <c r="AC264" s="230">
        <f t="shared" si="142"/>
        <v>1258683.4070273705</v>
      </c>
      <c r="AD264" s="230">
        <f>MAX(AD263*(1+'Model Inputs'!$B$13)+AC264,0)</f>
        <v>3090030.7185114617</v>
      </c>
      <c r="AE264" s="230">
        <f>MAX(AE263*(1+'Model Inputs'!$B$13)+U264+AB264,0)</f>
        <v>180386.97472</v>
      </c>
      <c r="AF264" s="230">
        <f t="shared" si="143"/>
        <v>3270417.6932314616</v>
      </c>
      <c r="AG264" s="226" t="str">
        <f t="shared" si="152"/>
        <v/>
      </c>
      <c r="AH264" s="226" t="str">
        <f t="shared" si="153"/>
        <v/>
      </c>
      <c r="AI264" s="226" t="str">
        <f t="shared" si="154"/>
        <v/>
      </c>
      <c r="AJ264" s="226" t="str">
        <f t="shared" si="155"/>
        <v/>
      </c>
    </row>
    <row r="265" spans="1:36" ht="18" customHeight="1" x14ac:dyDescent="0.2">
      <c r="A265" s="226" t="str">
        <f t="shared" si="144"/>
        <v>3Y -&gt; PM Y8 Tail</v>
      </c>
      <c r="B265" s="226">
        <f t="shared" si="145"/>
        <v>3</v>
      </c>
      <c r="C265" s="235">
        <f t="shared" si="146"/>
        <v>3</v>
      </c>
      <c r="D265" s="226">
        <f t="shared" si="147"/>
        <v>8</v>
      </c>
      <c r="E265" s="226" t="str">
        <f t="shared" si="148"/>
        <v>Tail</v>
      </c>
      <c r="F265" s="230">
        <f t="shared" si="149"/>
        <v>100000000</v>
      </c>
      <c r="G265" s="236">
        <f t="shared" si="150"/>
        <v>0.15</v>
      </c>
      <c r="H265" s="230">
        <f t="shared" si="151"/>
        <v>300000</v>
      </c>
      <c r="I265" s="236">
        <f t="shared" si="134"/>
        <v>0</v>
      </c>
      <c r="J265" s="234">
        <v>6</v>
      </c>
      <c r="K265" s="234">
        <f t="shared" si="135"/>
        <v>2031</v>
      </c>
      <c r="L265" s="230">
        <f>IF(J265=1,'Model Inputs'!$B$25*(13-'Model Inputs'!$B$23)/12,'Model Inputs'!$B$25)</f>
        <v>300000</v>
      </c>
      <c r="M265" s="230">
        <f>IF(J265=1,'Model Inputs'!$B$27*(13-'Model Inputs'!$B$23)/12,IF(J265=2,'Model Inputs'!$B$27,IF(J265&lt;=MAX(3,'Model Inputs'!$B$30+1),'Model Inputs'!$B$27*(1+'Model Inputs'!$B$28)^(J265-3),'Model Inputs'!$B$27*(1+'Model Inputs'!$B$28)^(MAX(3,'Model Inputs'!$B$30+1)-3)*(1+'Model Inputs'!$B$29)^(J265-MAX(3,'Model Inputs'!$B$30+1)))))</f>
        <v>1207333.5632986501</v>
      </c>
      <c r="N265" s="236">
        <f>IF(J265&lt;=2,0,'Model Inputs'!$B$32*SIN(2*PI()*(J265-3+'Model Inputs'!$B$34)/MAX(1,'Model Inputs'!$B$33)))</f>
        <v>-2.9391523179536474E-17</v>
      </c>
      <c r="O265" s="230">
        <f t="shared" si="136"/>
        <v>1207333.5632986501</v>
      </c>
      <c r="P265" s="230">
        <f t="shared" si="156"/>
        <v>818900.66583856498</v>
      </c>
      <c r="Q265" s="230">
        <f>L265+P265+IF(J265=1,'Model Inputs'!$B$26,0)</f>
        <v>1118900.665838565</v>
      </c>
      <c r="R265" s="230">
        <f t="shared" si="137"/>
        <v>3356701.9975156952</v>
      </c>
      <c r="S265" s="230">
        <f t="shared" si="138"/>
        <v>15300000</v>
      </c>
      <c r="T265" s="230">
        <f t="shared" si="139"/>
        <v>3356701.9975156952</v>
      </c>
      <c r="U265" s="230">
        <f>MIN(T265,'Tax Assumptions'!$B$19)</f>
        <v>24500</v>
      </c>
      <c r="V265" s="230">
        <f>MAX(T265-U265-'Tax Assumptions'!$B$8,0)</f>
        <v>3316101.9975156952</v>
      </c>
      <c r="W265" s="230">
        <f>MAX(T265-U265-'Tax Assumptions'!$B$9,0)</f>
        <v>3324201.9975156952</v>
      </c>
      <c r="X265" s="230">
        <f>IF(V265=0,0,LOOKUP(V265,'Tax Assumptions'!$F$9:$F$15,'Tax Assumptions'!$I$9:$I$15)+(V265-LOOKUP(V265,'Tax Assumptions'!$F$9:$F$15,'Tax Assumptions'!$F$9:$F$15))*LOOKUP(V265,'Tax Assumptions'!$F$9:$F$15,'Tax Assumptions'!$H$9:$H$15))+MIN(MAX(T265,0),'Tax Assumptions'!$B$11)*'Tax Assumptions'!$B$10+MAX(T265,0)*'Tax Assumptions'!$B$12+MAX(MAX(T265,0)-'Tax Assumptions'!$B$14,0)*'Tax Assumptions'!$B$13+MIN(T265*'Tax Assumptions'!$B$15,'Tax Assumptions'!$B$16)+MIN(T265*'Tax Assumptions'!$B$17,'Tax Assumptions'!$B$18)+IF(W265=0,0,LOOKUP(W265,'Tax Assumptions'!$K$9:$K$17,'Tax Assumptions'!$N$9:$N$17)+(W265-LOOKUP(W265,'Tax Assumptions'!$K$9:$K$17,'Tax Assumptions'!$K$9:$K$17))*LOOKUP(W265,'Tax Assumptions'!$K$9:$K$17,'Tax Assumptions'!$M$9:$M$17))+IF(W265=0,0,LOOKUP(W265,'Tax Assumptions'!$P$9:$P$12,'Tax Assumptions'!$S$9:$S$12)+(W265-LOOKUP(W265,'Tax Assumptions'!$P$9:$P$12,'Tax Assumptions'!$P$9:$P$12))*LOOKUP(W265,'Tax Assumptions'!$P$9:$P$12,'Tax Assumptions'!$R$9:$R$12))</f>
        <v>1688600.3832063989</v>
      </c>
      <c r="Y265" s="230">
        <f t="shared" si="140"/>
        <v>1643601.6143092962</v>
      </c>
      <c r="Z265" s="230">
        <f>IF(J265&lt;=10,INDEX('Savings Projection'!$BL$19:$BL$28,J265),LOOKUP(2,1/('Savings Projection'!$BL$19:$BL$28&lt;&gt;""),'Savings Projection'!$BL$19:$BL$28))*(1+'Model Inputs'!$B$35)^(J265-1)+IF(J265&lt;=10,INDEX('Savings Projection'!$BM$19:$BM$28,J265),LOOKUP(2,1/('Savings Projection'!$BM$19:$BM$28&lt;&gt;""),'Savings Projection'!$BM$19:$BM$28))*(1+'Model Inputs'!$B$36)^(J265-1)</f>
        <v>150705.62965899997</v>
      </c>
      <c r="AA265" s="230">
        <f t="shared" si="141"/>
        <v>1492895.9846502962</v>
      </c>
      <c r="AB265" s="230">
        <f>MIN(MAX(AA265,0),'Tax Assumptions'!$B$20)</f>
        <v>7500</v>
      </c>
      <c r="AC265" s="230">
        <f t="shared" si="142"/>
        <v>1485395.9846502962</v>
      </c>
      <c r="AD265" s="230">
        <f>MAX(AD264*(1+'Model Inputs'!$B$13)+AC265,0)</f>
        <v>4760828.5462724455</v>
      </c>
      <c r="AE265" s="230">
        <f>MAX(AE264*(1+'Model Inputs'!$B$13)+U265+AB265,0)</f>
        <v>223210.1932032</v>
      </c>
      <c r="AF265" s="230">
        <f t="shared" si="143"/>
        <v>4984038.7394756451</v>
      </c>
      <c r="AG265" s="226" t="str">
        <f t="shared" si="152"/>
        <v/>
      </c>
      <c r="AH265" s="226" t="str">
        <f t="shared" si="153"/>
        <v/>
      </c>
      <c r="AI265" s="226" t="str">
        <f t="shared" si="154"/>
        <v/>
      </c>
      <c r="AJ265" s="226" t="str">
        <f t="shared" si="155"/>
        <v/>
      </c>
    </row>
    <row r="266" spans="1:36" ht="18" customHeight="1" x14ac:dyDescent="0.2">
      <c r="A266" s="226" t="str">
        <f t="shared" si="144"/>
        <v>3Y -&gt; PM Y8 Tail</v>
      </c>
      <c r="B266" s="226">
        <f t="shared" si="145"/>
        <v>3</v>
      </c>
      <c r="C266" s="235">
        <f t="shared" si="146"/>
        <v>3</v>
      </c>
      <c r="D266" s="226">
        <f t="shared" si="147"/>
        <v>8</v>
      </c>
      <c r="E266" s="226" t="str">
        <f t="shared" si="148"/>
        <v>Tail</v>
      </c>
      <c r="F266" s="230">
        <f t="shared" si="149"/>
        <v>100000000</v>
      </c>
      <c r="G266" s="236">
        <f t="shared" si="150"/>
        <v>0.15</v>
      </c>
      <c r="H266" s="230">
        <f t="shared" si="151"/>
        <v>300000</v>
      </c>
      <c r="I266" s="236">
        <f t="shared" si="134"/>
        <v>0</v>
      </c>
      <c r="J266" s="234">
        <v>7</v>
      </c>
      <c r="K266" s="234">
        <f t="shared" si="135"/>
        <v>2032</v>
      </c>
      <c r="L266" s="230">
        <f>IF(J266=1,'Model Inputs'!$B$25*(13-'Model Inputs'!$B$23)/12,'Model Inputs'!$B$25)</f>
        <v>300000</v>
      </c>
      <c r="M266" s="230">
        <f>IF(J266=1,'Model Inputs'!$B$27*(13-'Model Inputs'!$B$23)/12,IF(J266=2,'Model Inputs'!$B$27,IF(J266&lt;=MAX(3,'Model Inputs'!$B$30+1),'Model Inputs'!$B$27*(1+'Model Inputs'!$B$28)^(J266-3),'Model Inputs'!$B$27*(1+'Model Inputs'!$B$28)^(MAX(3,'Model Inputs'!$B$30+1)-3)*(1+'Model Inputs'!$B$29)^(J266-MAX(3,'Model Inputs'!$B$30+1)))))</f>
        <v>1534372.9821762268</v>
      </c>
      <c r="N266" s="236">
        <f>IF(J266&lt;=2,0,'Model Inputs'!$B$32*SIN(2*PI()*(J266-3+'Model Inputs'!$B$34)/MAX(1,'Model Inputs'!$B$33)))</f>
        <v>0.10392304845413269</v>
      </c>
      <c r="O266" s="230">
        <f t="shared" si="136"/>
        <v>1693829.6999496389</v>
      </c>
      <c r="P266" s="230">
        <f t="shared" si="156"/>
        <v>1118318.448466131</v>
      </c>
      <c r="Q266" s="230">
        <f>L266+P266+IF(J266=1,'Model Inputs'!$B$26,0)</f>
        <v>1418318.448466131</v>
      </c>
      <c r="R266" s="230">
        <f t="shared" si="137"/>
        <v>4254955.3453983925</v>
      </c>
      <c r="S266" s="230">
        <f t="shared" si="138"/>
        <v>15300000</v>
      </c>
      <c r="T266" s="230">
        <f t="shared" si="139"/>
        <v>4254955.3453983925</v>
      </c>
      <c r="U266" s="230">
        <f>MIN(T266,'Tax Assumptions'!$B$19)</f>
        <v>24500</v>
      </c>
      <c r="V266" s="230">
        <f>MAX(T266-U266-'Tax Assumptions'!$B$8,0)</f>
        <v>4214355.3453983925</v>
      </c>
      <c r="W266" s="230">
        <f>MAX(T266-U266-'Tax Assumptions'!$B$9,0)</f>
        <v>4222455.3453983925</v>
      </c>
      <c r="X266" s="230">
        <f>IF(V266=0,0,LOOKUP(V266,'Tax Assumptions'!$F$9:$F$15,'Tax Assumptions'!$I$9:$I$15)+(V266-LOOKUP(V266,'Tax Assumptions'!$F$9:$F$15,'Tax Assumptions'!$F$9:$F$15))*LOOKUP(V266,'Tax Assumptions'!$F$9:$F$15,'Tax Assumptions'!$H$9:$H$15))+MIN(MAX(T266,0),'Tax Assumptions'!$B$11)*'Tax Assumptions'!$B$10+MAX(T266,0)*'Tax Assumptions'!$B$12+MAX(MAX(T266,0)-'Tax Assumptions'!$B$14,0)*'Tax Assumptions'!$B$13+MIN(T266*'Tax Assumptions'!$B$15,'Tax Assumptions'!$B$16)+MIN(T266*'Tax Assumptions'!$B$17,'Tax Assumptions'!$B$18)+IF(W266=0,0,LOOKUP(W266,'Tax Assumptions'!$K$9:$K$17,'Tax Assumptions'!$N$9:$N$17)+(W266-LOOKUP(W266,'Tax Assumptions'!$K$9:$K$17,'Tax Assumptions'!$K$9:$K$17))*LOOKUP(W266,'Tax Assumptions'!$K$9:$K$17,'Tax Assumptions'!$M$9:$M$17))+IF(W266=0,0,LOOKUP(W266,'Tax Assumptions'!$P$9:$P$12,'Tax Assumptions'!$S$9:$S$12)+(W266-LOOKUP(W266,'Tax Assumptions'!$P$9:$P$12,'Tax Assumptions'!$P$9:$P$12))*LOOKUP(W266,'Tax Assumptions'!$P$9:$P$12,'Tax Assumptions'!$R$9:$R$12))</f>
        <v>2163560.8234328539</v>
      </c>
      <c r="Y266" s="230">
        <f t="shared" si="140"/>
        <v>2066894.5219655386</v>
      </c>
      <c r="Z266" s="230">
        <f>IF(J266&lt;=10,INDEX('Savings Projection'!$BL$19:$BL$28,J266),LOOKUP(2,1/('Savings Projection'!$BL$19:$BL$28&lt;&gt;""),'Savings Projection'!$BL$19:$BL$28))*(1+'Model Inputs'!$B$35)^(J266-1)+IF(J266&lt;=10,INDEX('Savings Projection'!$BM$19:$BM$28,J266),LOOKUP(2,1/('Savings Projection'!$BM$19:$BM$28&lt;&gt;""),'Savings Projection'!$BM$19:$BM$28))*(1+'Model Inputs'!$B$36)^(J266-1)</f>
        <v>155226.79854876999</v>
      </c>
      <c r="AA266" s="230">
        <f t="shared" si="141"/>
        <v>1911667.7234167687</v>
      </c>
      <c r="AB266" s="230">
        <f>MIN(MAX(AA266,0),'Tax Assumptions'!$B$20)</f>
        <v>7500</v>
      </c>
      <c r="AC266" s="230">
        <f t="shared" si="142"/>
        <v>1904167.7234167687</v>
      </c>
      <c r="AD266" s="230">
        <f>MAX(AD265*(1+'Model Inputs'!$B$13)+AC266,0)</f>
        <v>6950645.9824655615</v>
      </c>
      <c r="AE266" s="230">
        <f>MAX(AE265*(1+'Model Inputs'!$B$13)+U266+AB266,0)</f>
        <v>268602.80479539197</v>
      </c>
      <c r="AF266" s="230">
        <f t="shared" si="143"/>
        <v>7219248.7872609533</v>
      </c>
      <c r="AG266" s="226" t="str">
        <f t="shared" si="152"/>
        <v/>
      </c>
      <c r="AH266" s="226" t="str">
        <f t="shared" si="153"/>
        <v/>
      </c>
      <c r="AI266" s="226" t="str">
        <f t="shared" si="154"/>
        <v/>
      </c>
      <c r="AJ266" s="226" t="str">
        <f t="shared" si="155"/>
        <v/>
      </c>
    </row>
    <row r="267" spans="1:36" ht="18" customHeight="1" x14ac:dyDescent="0.2">
      <c r="A267" s="226" t="str">
        <f t="shared" si="144"/>
        <v>3Y -&gt; PM Y8 Tail</v>
      </c>
      <c r="B267" s="226">
        <f t="shared" si="145"/>
        <v>3</v>
      </c>
      <c r="C267" s="235">
        <f t="shared" si="146"/>
        <v>3</v>
      </c>
      <c r="D267" s="226">
        <f t="shared" si="147"/>
        <v>8</v>
      </c>
      <c r="E267" s="226" t="str">
        <f t="shared" si="148"/>
        <v>Tail</v>
      </c>
      <c r="F267" s="230">
        <f t="shared" si="149"/>
        <v>100000000</v>
      </c>
      <c r="G267" s="236">
        <f t="shared" si="150"/>
        <v>0.15</v>
      </c>
      <c r="H267" s="230">
        <f t="shared" si="151"/>
        <v>300000</v>
      </c>
      <c r="I267" s="236">
        <f t="shared" si="134"/>
        <v>0</v>
      </c>
      <c r="J267" s="234">
        <v>8</v>
      </c>
      <c r="K267" s="234">
        <f t="shared" si="135"/>
        <v>2033</v>
      </c>
      <c r="L267" s="230">
        <f>IF(J267=1,'Model Inputs'!$B$25*(13-'Model Inputs'!$B$23)/12,'Model Inputs'!$B$25)</f>
        <v>300000</v>
      </c>
      <c r="M267" s="230">
        <f>IF(J267=1,'Model Inputs'!$B$27*(13-'Model Inputs'!$B$23)/12,IF(J267=2,'Model Inputs'!$B$27,IF(J267&lt;=MAX(3,'Model Inputs'!$B$30+1),'Model Inputs'!$B$27*(1+'Model Inputs'!$B$28)^(J267-3),'Model Inputs'!$B$27*(1+'Model Inputs'!$B$28)^(MAX(3,'Model Inputs'!$B$30+1)-3)*(1+'Model Inputs'!$B$29)^(J267-MAX(3,'Model Inputs'!$B$30+1)))))</f>
        <v>1950000.0000000002</v>
      </c>
      <c r="N267" s="236">
        <f>IF(J267&lt;=2,0,'Model Inputs'!$B$32*SIN(2*PI()*(J267-3+'Model Inputs'!$B$34)/MAX(1,'Model Inputs'!$B$33)))</f>
        <v>-0.10392304845413264</v>
      </c>
      <c r="O267" s="230">
        <f t="shared" si="136"/>
        <v>1747350.0555144416</v>
      </c>
      <c r="P267" s="230">
        <f t="shared" si="156"/>
        <v>1572205.6657868917</v>
      </c>
      <c r="Q267" s="230">
        <f>L267+P267+IF(J267=1,'Model Inputs'!$B$26,0)</f>
        <v>1872205.6657868917</v>
      </c>
      <c r="R267" s="230">
        <f t="shared" si="137"/>
        <v>5616616.9973606747</v>
      </c>
      <c r="S267" s="230">
        <f t="shared" si="138"/>
        <v>15300000</v>
      </c>
      <c r="T267" s="230">
        <f t="shared" si="139"/>
        <v>15300000</v>
      </c>
      <c r="U267" s="230">
        <f>MIN(T267,'Tax Assumptions'!$B$19)</f>
        <v>24500</v>
      </c>
      <c r="V267" s="230">
        <f>MAX(T267-U267-'Tax Assumptions'!$B$8,0)</f>
        <v>15259400</v>
      </c>
      <c r="W267" s="230">
        <f>MAX(T267-U267-'Tax Assumptions'!$B$9,0)</f>
        <v>15267500</v>
      </c>
      <c r="X267" s="230">
        <f>IF(V267=0,0,LOOKUP(V267,'Tax Assumptions'!$F$9:$F$15,'Tax Assumptions'!$I$9:$I$15)+(V267-LOOKUP(V267,'Tax Assumptions'!$F$9:$F$15,'Tax Assumptions'!$F$9:$F$15))*LOOKUP(V267,'Tax Assumptions'!$F$9:$F$15,'Tax Assumptions'!$H$9:$H$15))+MIN(MAX(T267,0),'Tax Assumptions'!$B$11)*'Tax Assumptions'!$B$10+MAX(T267,0)*'Tax Assumptions'!$B$12+MAX(MAX(T267,0)-'Tax Assumptions'!$B$14,0)*'Tax Assumptions'!$B$13+MIN(T267*'Tax Assumptions'!$B$15,'Tax Assumptions'!$B$16)+MIN(T267*'Tax Assumptions'!$B$17,'Tax Assumptions'!$B$18)+IF(W267=0,0,LOOKUP(W267,'Tax Assumptions'!$K$9:$K$17,'Tax Assumptions'!$N$9:$N$17)+(W267-LOOKUP(W267,'Tax Assumptions'!$K$9:$K$17,'Tax Assumptions'!$K$9:$K$17))*LOOKUP(W267,'Tax Assumptions'!$K$9:$K$17,'Tax Assumptions'!$M$9:$M$17))+IF(W267=0,0,LOOKUP(W267,'Tax Assumptions'!$P$9:$P$12,'Tax Assumptions'!$S$9:$S$12)+(W267-LOOKUP(W267,'Tax Assumptions'!$P$9:$P$12,'Tax Assumptions'!$P$9:$P$12))*LOOKUP(W267,'Tax Assumptions'!$P$9:$P$12,'Tax Assumptions'!$R$9:$R$12))</f>
        <v>8070480.54</v>
      </c>
      <c r="Y267" s="230">
        <f t="shared" si="140"/>
        <v>7205019.46</v>
      </c>
      <c r="Z267" s="230">
        <f>IF(J267&lt;=10,INDEX('Savings Projection'!$BL$19:$BL$28,J267),LOOKUP(2,1/('Savings Projection'!$BL$19:$BL$28&lt;&gt;""),'Savings Projection'!$BL$19:$BL$28))*(1+'Model Inputs'!$B$35)^(J267-1)+IF(J267&lt;=10,INDEX('Savings Projection'!$BM$19:$BM$28,J267),LOOKUP(2,1/('Savings Projection'!$BM$19:$BM$28&lt;&gt;""),'Savings Projection'!$BM$19:$BM$28))*(1+'Model Inputs'!$B$36)^(J267-1)</f>
        <v>159883.60250523311</v>
      </c>
      <c r="AA267" s="230">
        <f t="shared" si="141"/>
        <v>7045135.8574947668</v>
      </c>
      <c r="AB267" s="230">
        <f>MIN(MAX(AA267,0),'Tax Assumptions'!$B$20)</f>
        <v>7500</v>
      </c>
      <c r="AC267" s="230">
        <f t="shared" si="142"/>
        <v>7037635.8574947668</v>
      </c>
      <c r="AD267" s="230">
        <f>MAX(AD266*(1+'Model Inputs'!$B$13)+AC267,0)</f>
        <v>14405320.598908262</v>
      </c>
      <c r="AE267" s="230">
        <f>MAX(AE266*(1+'Model Inputs'!$B$13)+U267+AB267,0)</f>
        <v>316718.97308311553</v>
      </c>
      <c r="AF267" s="230">
        <f t="shared" si="143"/>
        <v>14722039.571991378</v>
      </c>
      <c r="AG267" s="226">
        <f t="shared" si="152"/>
        <v>8</v>
      </c>
      <c r="AH267" s="226" t="str">
        <f t="shared" si="153"/>
        <v/>
      </c>
      <c r="AI267" s="226" t="str">
        <f t="shared" si="154"/>
        <v/>
      </c>
      <c r="AJ267" s="226" t="str">
        <f t="shared" si="155"/>
        <v/>
      </c>
    </row>
    <row r="268" spans="1:36" ht="18" customHeight="1" x14ac:dyDescent="0.2">
      <c r="A268" s="226" t="str">
        <f t="shared" si="144"/>
        <v>3Y -&gt; PM Y8 Tail</v>
      </c>
      <c r="B268" s="226">
        <f t="shared" si="145"/>
        <v>3</v>
      </c>
      <c r="C268" s="235">
        <f t="shared" si="146"/>
        <v>3</v>
      </c>
      <c r="D268" s="226">
        <f t="shared" si="147"/>
        <v>8</v>
      </c>
      <c r="E268" s="226" t="str">
        <f t="shared" si="148"/>
        <v>Tail</v>
      </c>
      <c r="F268" s="230">
        <f t="shared" si="149"/>
        <v>100000000</v>
      </c>
      <c r="G268" s="236">
        <f t="shared" si="150"/>
        <v>0.15</v>
      </c>
      <c r="H268" s="230">
        <f t="shared" si="151"/>
        <v>300000</v>
      </c>
      <c r="I268" s="236">
        <f t="shared" si="134"/>
        <v>0</v>
      </c>
      <c r="J268" s="234">
        <v>9</v>
      </c>
      <c r="K268" s="234">
        <f t="shared" si="135"/>
        <v>2034</v>
      </c>
      <c r="L268" s="230">
        <f>IF(J268=1,'Model Inputs'!$B$25*(13-'Model Inputs'!$B$23)/12,'Model Inputs'!$B$25)</f>
        <v>300000</v>
      </c>
      <c r="M268" s="230">
        <f>IF(J268=1,'Model Inputs'!$B$27*(13-'Model Inputs'!$B$23)/12,IF(J268=2,'Model Inputs'!$B$27,IF(J268&lt;=MAX(3,'Model Inputs'!$B$30+1),'Model Inputs'!$B$27*(1+'Model Inputs'!$B$28)^(J268-3),'Model Inputs'!$B$27*(1+'Model Inputs'!$B$28)^(MAX(3,'Model Inputs'!$B$30+1)-3)*(1+'Model Inputs'!$B$29)^(J268-MAX(3,'Model Inputs'!$B$30+1)))))</f>
        <v>2478210.9983498608</v>
      </c>
      <c r="N268" s="236">
        <f>IF(J268&lt;=2,0,'Model Inputs'!$B$32*SIN(2*PI()*(J268-3+'Model Inputs'!$B$34)/MAX(1,'Model Inputs'!$B$33)))</f>
        <v>-5.8783046359072947E-17</v>
      </c>
      <c r="O268" s="230">
        <f t="shared" si="136"/>
        <v>2478210.9983498603</v>
      </c>
      <c r="P268" s="230">
        <f t="shared" si="156"/>
        <v>1733969.9666232408</v>
      </c>
      <c r="Q268" s="230">
        <f>L268+P268+IF(J268=1,'Model Inputs'!$B$26,0)</f>
        <v>2033969.9666232408</v>
      </c>
      <c r="R268" s="230">
        <f t="shared" si="137"/>
        <v>6101909.8998697223</v>
      </c>
      <c r="S268" s="230">
        <f t="shared" si="138"/>
        <v>15300000</v>
      </c>
      <c r="T268" s="230">
        <f t="shared" si="139"/>
        <v>15300000</v>
      </c>
      <c r="U268" s="230">
        <f>MIN(T268,'Tax Assumptions'!$B$19)</f>
        <v>24500</v>
      </c>
      <c r="V268" s="230">
        <f>MAX(T268-U268-'Tax Assumptions'!$B$8,0)</f>
        <v>15259400</v>
      </c>
      <c r="W268" s="230">
        <f>MAX(T268-U268-'Tax Assumptions'!$B$9,0)</f>
        <v>15267500</v>
      </c>
      <c r="X268" s="230">
        <f>IF(V268=0,0,LOOKUP(V268,'Tax Assumptions'!$F$9:$F$15,'Tax Assumptions'!$I$9:$I$15)+(V268-LOOKUP(V268,'Tax Assumptions'!$F$9:$F$15,'Tax Assumptions'!$F$9:$F$15))*LOOKUP(V268,'Tax Assumptions'!$F$9:$F$15,'Tax Assumptions'!$H$9:$H$15))+MIN(MAX(T268,0),'Tax Assumptions'!$B$11)*'Tax Assumptions'!$B$10+MAX(T268,0)*'Tax Assumptions'!$B$12+MAX(MAX(T268,0)-'Tax Assumptions'!$B$14,0)*'Tax Assumptions'!$B$13+MIN(T268*'Tax Assumptions'!$B$15,'Tax Assumptions'!$B$16)+MIN(T268*'Tax Assumptions'!$B$17,'Tax Assumptions'!$B$18)+IF(W268=0,0,LOOKUP(W268,'Tax Assumptions'!$K$9:$K$17,'Tax Assumptions'!$N$9:$N$17)+(W268-LOOKUP(W268,'Tax Assumptions'!$K$9:$K$17,'Tax Assumptions'!$K$9:$K$17))*LOOKUP(W268,'Tax Assumptions'!$K$9:$K$17,'Tax Assumptions'!$M$9:$M$17))+IF(W268=0,0,LOOKUP(W268,'Tax Assumptions'!$P$9:$P$12,'Tax Assumptions'!$S$9:$S$12)+(W268-LOOKUP(W268,'Tax Assumptions'!$P$9:$P$12,'Tax Assumptions'!$P$9:$P$12))*LOOKUP(W268,'Tax Assumptions'!$P$9:$P$12,'Tax Assumptions'!$R$9:$R$12))</f>
        <v>8070480.54</v>
      </c>
      <c r="Y268" s="230">
        <f t="shared" si="140"/>
        <v>7205019.46</v>
      </c>
      <c r="Z268" s="230">
        <f>IF(J268&lt;=10,INDEX('Savings Projection'!$BL$19:$BL$28,J268),LOOKUP(2,1/('Savings Projection'!$BL$19:$BL$28&lt;&gt;""),'Savings Projection'!$BL$19:$BL$28))*(1+'Model Inputs'!$B$35)^(J268-1)+IF(J268&lt;=10,INDEX('Savings Projection'!$BM$19:$BM$28,J268),LOOKUP(2,1/('Savings Projection'!$BM$19:$BM$28&lt;&gt;""),'Savings Projection'!$BM$19:$BM$28))*(1+'Model Inputs'!$B$36)^(J268-1)</f>
        <v>164680.11058039009</v>
      </c>
      <c r="AA268" s="230">
        <f t="shared" si="141"/>
        <v>7040339.3494196096</v>
      </c>
      <c r="AB268" s="230">
        <f>MIN(MAX(AA268,0),'Tax Assumptions'!$B$20)</f>
        <v>7500</v>
      </c>
      <c r="AC268" s="230">
        <f t="shared" si="142"/>
        <v>7032839.3494196096</v>
      </c>
      <c r="AD268" s="230">
        <f>MAX(AD267*(1+'Model Inputs'!$B$13)+AC268,0)</f>
        <v>22302479.184262369</v>
      </c>
      <c r="AE268" s="230">
        <f>MAX(AE267*(1+'Model Inputs'!$B$13)+U268+AB268,0)</f>
        <v>367722.11146810249</v>
      </c>
      <c r="AF268" s="230">
        <f t="shared" si="143"/>
        <v>22670201.295730472</v>
      </c>
      <c r="AG268" s="226" t="str">
        <f t="shared" si="152"/>
        <v/>
      </c>
      <c r="AH268" s="226">
        <f t="shared" si="153"/>
        <v>9</v>
      </c>
      <c r="AI268" s="226">
        <f t="shared" si="154"/>
        <v>9</v>
      </c>
      <c r="AJ268" s="226">
        <f t="shared" si="155"/>
        <v>9</v>
      </c>
    </row>
    <row r="269" spans="1:36" ht="18" customHeight="1" x14ac:dyDescent="0.2">
      <c r="A269" s="226" t="str">
        <f t="shared" si="144"/>
        <v>3Y -&gt; PM Y8 Tail</v>
      </c>
      <c r="B269" s="226">
        <f t="shared" si="145"/>
        <v>3</v>
      </c>
      <c r="C269" s="235">
        <f t="shared" si="146"/>
        <v>3</v>
      </c>
      <c r="D269" s="226">
        <f t="shared" si="147"/>
        <v>8</v>
      </c>
      <c r="E269" s="226" t="str">
        <f t="shared" si="148"/>
        <v>Tail</v>
      </c>
      <c r="F269" s="230">
        <f t="shared" si="149"/>
        <v>100000000</v>
      </c>
      <c r="G269" s="236">
        <f t="shared" si="150"/>
        <v>0.15</v>
      </c>
      <c r="H269" s="230">
        <f t="shared" si="151"/>
        <v>300000</v>
      </c>
      <c r="I269" s="236">
        <f t="shared" si="134"/>
        <v>0</v>
      </c>
      <c r="J269" s="234">
        <v>10</v>
      </c>
      <c r="K269" s="234">
        <f t="shared" si="135"/>
        <v>2035</v>
      </c>
      <c r="L269" s="230">
        <f>IF(J269=1,'Model Inputs'!$B$25*(13-'Model Inputs'!$B$23)/12,'Model Inputs'!$B$25)</f>
        <v>300000</v>
      </c>
      <c r="M269" s="230">
        <f>IF(J269=1,'Model Inputs'!$B$27*(13-'Model Inputs'!$B$23)/12,IF(J269=2,'Model Inputs'!$B$27,IF(J269&lt;=MAX(3,'Model Inputs'!$B$30+1),'Model Inputs'!$B$27*(1+'Model Inputs'!$B$28)^(J269-3),'Model Inputs'!$B$27*(1+'Model Inputs'!$B$28)^(MAX(3,'Model Inputs'!$B$30+1)-3)*(1+'Model Inputs'!$B$29)^(J269-MAX(3,'Model Inputs'!$B$30+1)))))</f>
        <v>3149502.4370985711</v>
      </c>
      <c r="N269" s="236">
        <f>IF(J269&lt;=2,0,'Model Inputs'!$B$32*SIN(2*PI()*(J269-3+'Model Inputs'!$B$34)/MAX(1,'Model Inputs'!$B$33)))</f>
        <v>0.10392304845413271</v>
      </c>
      <c r="O269" s="230">
        <f t="shared" si="136"/>
        <v>3476808.331475575</v>
      </c>
      <c r="P269" s="230">
        <f t="shared" si="156"/>
        <v>2295495.7626410057</v>
      </c>
      <c r="Q269" s="230">
        <f>L269+P269+IF(J269=1,'Model Inputs'!$B$26,0)</f>
        <v>2595495.7626410057</v>
      </c>
      <c r="R269" s="230">
        <f t="shared" si="137"/>
        <v>7786487.2879230175</v>
      </c>
      <c r="S269" s="230">
        <f t="shared" si="138"/>
        <v>15300000</v>
      </c>
      <c r="T269" s="230">
        <f t="shared" si="139"/>
        <v>15300000</v>
      </c>
      <c r="U269" s="230">
        <f>MIN(T269,'Tax Assumptions'!$B$19)</f>
        <v>24500</v>
      </c>
      <c r="V269" s="230">
        <f>MAX(T269-U269-'Tax Assumptions'!$B$8,0)</f>
        <v>15259400</v>
      </c>
      <c r="W269" s="230">
        <f>MAX(T269-U269-'Tax Assumptions'!$B$9,0)</f>
        <v>15267500</v>
      </c>
      <c r="X269" s="230">
        <f>IF(V269=0,0,LOOKUP(V269,'Tax Assumptions'!$F$9:$F$15,'Tax Assumptions'!$I$9:$I$15)+(V269-LOOKUP(V269,'Tax Assumptions'!$F$9:$F$15,'Tax Assumptions'!$F$9:$F$15))*LOOKUP(V269,'Tax Assumptions'!$F$9:$F$15,'Tax Assumptions'!$H$9:$H$15))+MIN(MAX(T269,0),'Tax Assumptions'!$B$11)*'Tax Assumptions'!$B$10+MAX(T269,0)*'Tax Assumptions'!$B$12+MAX(MAX(T269,0)-'Tax Assumptions'!$B$14,0)*'Tax Assumptions'!$B$13+MIN(T269*'Tax Assumptions'!$B$15,'Tax Assumptions'!$B$16)+MIN(T269*'Tax Assumptions'!$B$17,'Tax Assumptions'!$B$18)+IF(W269=0,0,LOOKUP(W269,'Tax Assumptions'!$K$9:$K$17,'Tax Assumptions'!$N$9:$N$17)+(W269-LOOKUP(W269,'Tax Assumptions'!$K$9:$K$17,'Tax Assumptions'!$K$9:$K$17))*LOOKUP(W269,'Tax Assumptions'!$K$9:$K$17,'Tax Assumptions'!$M$9:$M$17))+IF(W269=0,0,LOOKUP(W269,'Tax Assumptions'!$P$9:$P$12,'Tax Assumptions'!$S$9:$S$12)+(W269-LOOKUP(W269,'Tax Assumptions'!$P$9:$P$12,'Tax Assumptions'!$P$9:$P$12))*LOOKUP(W269,'Tax Assumptions'!$P$9:$P$12,'Tax Assumptions'!$R$9:$R$12))</f>
        <v>8070480.54</v>
      </c>
      <c r="Y269" s="230">
        <f t="shared" si="140"/>
        <v>7205019.46</v>
      </c>
      <c r="Z269" s="230">
        <f>IF(J269&lt;=10,INDEX('Savings Projection'!$BL$19:$BL$28,J269),LOOKUP(2,1/('Savings Projection'!$BL$19:$BL$28&lt;&gt;""),'Savings Projection'!$BL$19:$BL$28))*(1+'Model Inputs'!$B$35)^(J269-1)+IF(J269&lt;=10,INDEX('Savings Projection'!$BM$19:$BM$28,J269),LOOKUP(2,1/('Savings Projection'!$BM$19:$BM$28&lt;&gt;""),'Savings Projection'!$BM$19:$BM$28))*(1+'Model Inputs'!$B$36)^(J269-1)</f>
        <v>169620.51389780178</v>
      </c>
      <c r="AA269" s="230">
        <f t="shared" si="141"/>
        <v>7035398.9461021982</v>
      </c>
      <c r="AB269" s="230">
        <f>MIN(MAX(AA269,0),'Tax Assumptions'!$B$20)</f>
        <v>7500</v>
      </c>
      <c r="AC269" s="230">
        <f t="shared" si="142"/>
        <v>7027898.9461021982</v>
      </c>
      <c r="AD269" s="230">
        <f>MAX(AD268*(1+'Model Inputs'!$B$13)+AC269,0)</f>
        <v>30668526.881420311</v>
      </c>
      <c r="AE269" s="230">
        <f>MAX(AE268*(1+'Model Inputs'!$B$13)+U269+AB269,0)</f>
        <v>421785.43815618864</v>
      </c>
      <c r="AF269" s="230">
        <f t="shared" si="143"/>
        <v>31090312.319576498</v>
      </c>
      <c r="AG269" s="226" t="str">
        <f t="shared" si="152"/>
        <v/>
      </c>
      <c r="AH269" s="226" t="str">
        <f t="shared" si="153"/>
        <v/>
      </c>
      <c r="AI269" s="226" t="str">
        <f t="shared" si="154"/>
        <v/>
      </c>
      <c r="AJ269" s="226" t="str">
        <f t="shared" si="155"/>
        <v/>
      </c>
    </row>
    <row r="270" spans="1:36" ht="18" customHeight="1" x14ac:dyDescent="0.2">
      <c r="A270" s="226" t="str">
        <f t="shared" si="144"/>
        <v>3Y -&gt; PM Y8 Tail</v>
      </c>
      <c r="B270" s="226">
        <f t="shared" si="145"/>
        <v>3</v>
      </c>
      <c r="C270" s="235">
        <f t="shared" si="146"/>
        <v>3</v>
      </c>
      <c r="D270" s="226">
        <f t="shared" si="147"/>
        <v>8</v>
      </c>
      <c r="E270" s="226" t="str">
        <f t="shared" si="148"/>
        <v>Tail</v>
      </c>
      <c r="F270" s="230">
        <f t="shared" si="149"/>
        <v>100000000</v>
      </c>
      <c r="G270" s="236">
        <f t="shared" si="150"/>
        <v>0.15</v>
      </c>
      <c r="H270" s="230">
        <f t="shared" si="151"/>
        <v>300000</v>
      </c>
      <c r="I270" s="236">
        <f t="shared" si="134"/>
        <v>0</v>
      </c>
      <c r="J270" s="234">
        <v>11</v>
      </c>
      <c r="K270" s="234">
        <f t="shared" si="135"/>
        <v>2036</v>
      </c>
      <c r="L270" s="230">
        <f>IF(J270=1,'Model Inputs'!$B$25*(13-'Model Inputs'!$B$23)/12,'Model Inputs'!$B$25)</f>
        <v>300000</v>
      </c>
      <c r="M270" s="230">
        <f>IF(J270=1,'Model Inputs'!$B$27*(13-'Model Inputs'!$B$23)/12,IF(J270=2,'Model Inputs'!$B$27,IF(J270&lt;=MAX(3,'Model Inputs'!$B$30+1),'Model Inputs'!$B$27*(1+'Model Inputs'!$B$28)^(J270-3),'Model Inputs'!$B$27*(1+'Model Inputs'!$B$28)^(MAX(3,'Model Inputs'!$B$30+1)-3)*(1+'Model Inputs'!$B$29)^(J270-MAX(3,'Model Inputs'!$B$30+1)))))</f>
        <v>4002631.578947369</v>
      </c>
      <c r="N270" s="236">
        <f>IF(J270&lt;=2,0,'Model Inputs'!$B$32*SIN(2*PI()*(J270-3+'Model Inputs'!$B$34)/MAX(1,'Model Inputs'!$B$33)))</f>
        <v>-0.10392304845413253</v>
      </c>
      <c r="O270" s="230">
        <f t="shared" si="136"/>
        <v>3586665.9034243808</v>
      </c>
      <c r="P270" s="230">
        <f t="shared" si="156"/>
        <v>3227158.9981941464</v>
      </c>
      <c r="Q270" s="230">
        <f>L270+P270+IF(J270=1,'Model Inputs'!$B$26,0)</f>
        <v>3527158.9981941464</v>
      </c>
      <c r="R270" s="230">
        <f t="shared" si="137"/>
        <v>10581476.994582439</v>
      </c>
      <c r="S270" s="230">
        <f t="shared" si="138"/>
        <v>15300000</v>
      </c>
      <c r="T270" s="230">
        <f t="shared" si="139"/>
        <v>15300000</v>
      </c>
      <c r="U270" s="230">
        <f>MIN(T270,'Tax Assumptions'!$B$19)</f>
        <v>24500</v>
      </c>
      <c r="V270" s="230">
        <f>MAX(T270-U270-'Tax Assumptions'!$B$8,0)</f>
        <v>15259400</v>
      </c>
      <c r="W270" s="230">
        <f>MAX(T270-U270-'Tax Assumptions'!$B$9,0)</f>
        <v>15267500</v>
      </c>
      <c r="X270" s="230">
        <f>IF(V270=0,0,LOOKUP(V270,'Tax Assumptions'!$F$9:$F$15,'Tax Assumptions'!$I$9:$I$15)+(V270-LOOKUP(V270,'Tax Assumptions'!$F$9:$F$15,'Tax Assumptions'!$F$9:$F$15))*LOOKUP(V270,'Tax Assumptions'!$F$9:$F$15,'Tax Assumptions'!$H$9:$H$15))+MIN(MAX(T270,0),'Tax Assumptions'!$B$11)*'Tax Assumptions'!$B$10+MAX(T270,0)*'Tax Assumptions'!$B$12+MAX(MAX(T270,0)-'Tax Assumptions'!$B$14,0)*'Tax Assumptions'!$B$13+MIN(T270*'Tax Assumptions'!$B$15,'Tax Assumptions'!$B$16)+MIN(T270*'Tax Assumptions'!$B$17,'Tax Assumptions'!$B$18)+IF(W270=0,0,LOOKUP(W270,'Tax Assumptions'!$K$9:$K$17,'Tax Assumptions'!$N$9:$N$17)+(W270-LOOKUP(W270,'Tax Assumptions'!$K$9:$K$17,'Tax Assumptions'!$K$9:$K$17))*LOOKUP(W270,'Tax Assumptions'!$K$9:$K$17,'Tax Assumptions'!$M$9:$M$17))+IF(W270=0,0,LOOKUP(W270,'Tax Assumptions'!$P$9:$P$12,'Tax Assumptions'!$S$9:$S$12)+(W270-LOOKUP(W270,'Tax Assumptions'!$P$9:$P$12,'Tax Assumptions'!$P$9:$P$12))*LOOKUP(W270,'Tax Assumptions'!$P$9:$P$12,'Tax Assumptions'!$R$9:$R$12))</f>
        <v>8070480.54</v>
      </c>
      <c r="Y270" s="230">
        <f t="shared" si="140"/>
        <v>7205019.46</v>
      </c>
      <c r="Z270" s="230">
        <f>IF(J270&lt;=10,INDEX('Savings Projection'!$BL$19:$BL$28,J270),LOOKUP(2,1/('Savings Projection'!$BL$19:$BL$28&lt;&gt;""),'Savings Projection'!$BL$19:$BL$28))*(1+'Model Inputs'!$B$35)^(J270-1)+IF(J270&lt;=10,INDEX('Savings Projection'!$BM$19:$BM$28,J270),LOOKUP(2,1/('Savings Projection'!$BM$19:$BM$28&lt;&gt;""),'Savings Projection'!$BM$19:$BM$28))*(1+'Model Inputs'!$B$36)^(J270-1)</f>
        <v>174709.12931473582</v>
      </c>
      <c r="AA270" s="230">
        <f t="shared" si="141"/>
        <v>7030310.3306852644</v>
      </c>
      <c r="AB270" s="230">
        <f>MIN(MAX(AA270,0),'Tax Assumptions'!$B$20)</f>
        <v>7500</v>
      </c>
      <c r="AC270" s="230">
        <f t="shared" si="142"/>
        <v>7022810.3306852644</v>
      </c>
      <c r="AD270" s="230">
        <f>MAX(AD269*(1+'Model Inputs'!$B$13)+AC270,0)</f>
        <v>39531448.824990794</v>
      </c>
      <c r="AE270" s="230">
        <f>MAX(AE269*(1+'Model Inputs'!$B$13)+U270+AB270,0)</f>
        <v>479092.56444555998</v>
      </c>
      <c r="AF270" s="230">
        <f t="shared" si="143"/>
        <v>40010541.389436357</v>
      </c>
      <c r="AG270" s="226" t="str">
        <f t="shared" si="152"/>
        <v/>
      </c>
      <c r="AH270" s="226" t="str">
        <f t="shared" si="153"/>
        <v/>
      </c>
      <c r="AI270" s="226" t="str">
        <f t="shared" si="154"/>
        <v/>
      </c>
      <c r="AJ270" s="226" t="str">
        <f t="shared" si="155"/>
        <v/>
      </c>
    </row>
    <row r="271" spans="1:36" ht="18" customHeight="1" x14ac:dyDescent="0.2">
      <c r="A271" s="226" t="str">
        <f t="shared" si="144"/>
        <v>3Y -&gt; PM Y8 Tail</v>
      </c>
      <c r="B271" s="226">
        <f t="shared" si="145"/>
        <v>3</v>
      </c>
      <c r="C271" s="235">
        <f t="shared" si="146"/>
        <v>3</v>
      </c>
      <c r="D271" s="226">
        <f t="shared" si="147"/>
        <v>8</v>
      </c>
      <c r="E271" s="226" t="str">
        <f t="shared" si="148"/>
        <v>Tail</v>
      </c>
      <c r="F271" s="230">
        <f t="shared" si="149"/>
        <v>100000000</v>
      </c>
      <c r="G271" s="236">
        <f t="shared" si="150"/>
        <v>0.15</v>
      </c>
      <c r="H271" s="230">
        <f t="shared" si="151"/>
        <v>300000</v>
      </c>
      <c r="I271" s="236">
        <f t="shared" si="134"/>
        <v>0</v>
      </c>
      <c r="J271" s="234">
        <v>12</v>
      </c>
      <c r="K271" s="234">
        <f t="shared" si="135"/>
        <v>2037</v>
      </c>
      <c r="L271" s="230">
        <f>IF(J271=1,'Model Inputs'!$B$25*(13-'Model Inputs'!$B$23)/12,'Model Inputs'!$B$25)</f>
        <v>300000</v>
      </c>
      <c r="M271" s="230">
        <f>IF(J271=1,'Model Inputs'!$B$27*(13-'Model Inputs'!$B$23)/12,IF(J271=2,'Model Inputs'!$B$27,IF(J271&lt;=MAX(3,'Model Inputs'!$B$30+1),'Model Inputs'!$B$27*(1+'Model Inputs'!$B$28)^(J271-3),'Model Inputs'!$B$27*(1+'Model Inputs'!$B$28)^(MAX(3,'Model Inputs'!$B$30+1)-3)*(1+'Model Inputs'!$B$29)^(J271-MAX(3,'Model Inputs'!$B$30+1)))))</f>
        <v>5086854.15450761</v>
      </c>
      <c r="N271" s="236">
        <f>IF(J271&lt;=2,0,'Model Inputs'!$B$32*SIN(2*PI()*(J271-3+'Model Inputs'!$B$34)/MAX(1,'Model Inputs'!$B$33)))</f>
        <v>-8.8174569538609421E-17</v>
      </c>
      <c r="O271" s="230">
        <f t="shared" si="136"/>
        <v>5086854.1545076091</v>
      </c>
      <c r="P271" s="230">
        <f t="shared" si="156"/>
        <v>3559201.5104371794</v>
      </c>
      <c r="Q271" s="230">
        <f>L271+P271+IF(J271=1,'Model Inputs'!$B$26,0)</f>
        <v>3859201.5104371794</v>
      </c>
      <c r="R271" s="230">
        <f t="shared" si="137"/>
        <v>11577604.531311538</v>
      </c>
      <c r="S271" s="230">
        <f t="shared" si="138"/>
        <v>15300000</v>
      </c>
      <c r="T271" s="230">
        <f t="shared" si="139"/>
        <v>15300000</v>
      </c>
      <c r="U271" s="230">
        <f>MIN(T271,'Tax Assumptions'!$B$19)</f>
        <v>24500</v>
      </c>
      <c r="V271" s="230">
        <f>MAX(T271-U271-'Tax Assumptions'!$B$8,0)</f>
        <v>15259400</v>
      </c>
      <c r="W271" s="230">
        <f>MAX(T271-U271-'Tax Assumptions'!$B$9,0)</f>
        <v>15267500</v>
      </c>
      <c r="X271" s="230">
        <f>IF(V271=0,0,LOOKUP(V271,'Tax Assumptions'!$F$9:$F$15,'Tax Assumptions'!$I$9:$I$15)+(V271-LOOKUP(V271,'Tax Assumptions'!$F$9:$F$15,'Tax Assumptions'!$F$9:$F$15))*LOOKUP(V271,'Tax Assumptions'!$F$9:$F$15,'Tax Assumptions'!$H$9:$H$15))+MIN(MAX(T271,0),'Tax Assumptions'!$B$11)*'Tax Assumptions'!$B$10+MAX(T271,0)*'Tax Assumptions'!$B$12+MAX(MAX(T271,0)-'Tax Assumptions'!$B$14,0)*'Tax Assumptions'!$B$13+MIN(T271*'Tax Assumptions'!$B$15,'Tax Assumptions'!$B$16)+MIN(T271*'Tax Assumptions'!$B$17,'Tax Assumptions'!$B$18)+IF(W271=0,0,LOOKUP(W271,'Tax Assumptions'!$K$9:$K$17,'Tax Assumptions'!$N$9:$N$17)+(W271-LOOKUP(W271,'Tax Assumptions'!$K$9:$K$17,'Tax Assumptions'!$K$9:$K$17))*LOOKUP(W271,'Tax Assumptions'!$K$9:$K$17,'Tax Assumptions'!$M$9:$M$17))+IF(W271=0,0,LOOKUP(W271,'Tax Assumptions'!$P$9:$P$12,'Tax Assumptions'!$S$9:$S$12)+(W271-LOOKUP(W271,'Tax Assumptions'!$P$9:$P$12,'Tax Assumptions'!$P$9:$P$12))*LOOKUP(W271,'Tax Assumptions'!$P$9:$P$12,'Tax Assumptions'!$R$9:$R$12))</f>
        <v>8070480.54</v>
      </c>
      <c r="Y271" s="230">
        <f t="shared" si="140"/>
        <v>7205019.46</v>
      </c>
      <c r="Z271" s="230">
        <f>IF(J271&lt;=10,INDEX('Savings Projection'!$BL$19:$BL$28,J271),LOOKUP(2,1/('Savings Projection'!$BL$19:$BL$28&lt;&gt;""),'Savings Projection'!$BL$19:$BL$28))*(1+'Model Inputs'!$B$35)^(J271-1)+IF(J271&lt;=10,INDEX('Savings Projection'!$BM$19:$BM$28,J271),LOOKUP(2,1/('Savings Projection'!$BM$19:$BM$28&lt;&gt;""),'Savings Projection'!$BM$19:$BM$28))*(1+'Model Inputs'!$B$36)^(J271-1)</f>
        <v>179950.4031941779</v>
      </c>
      <c r="AA271" s="230">
        <f t="shared" si="141"/>
        <v>7025069.0568058221</v>
      </c>
      <c r="AB271" s="230">
        <f>MIN(MAX(AA271,0),'Tax Assumptions'!$B$20)</f>
        <v>7500</v>
      </c>
      <c r="AC271" s="230">
        <f t="shared" si="142"/>
        <v>7017569.0568058221</v>
      </c>
      <c r="AD271" s="230">
        <f>MAX(AD270*(1+'Model Inputs'!$B$13)+AC271,0)</f>
        <v>48920904.811296061</v>
      </c>
      <c r="AE271" s="230">
        <f>MAX(AE270*(1+'Model Inputs'!$B$13)+U271+AB271,0)</f>
        <v>539838.11831229366</v>
      </c>
      <c r="AF271" s="230">
        <f t="shared" si="143"/>
        <v>49460742.929608352</v>
      </c>
      <c r="AG271" s="226" t="str">
        <f t="shared" si="152"/>
        <v/>
      </c>
      <c r="AH271" s="226" t="str">
        <f t="shared" si="153"/>
        <v/>
      </c>
      <c r="AI271" s="226" t="str">
        <f t="shared" si="154"/>
        <v/>
      </c>
      <c r="AJ271" s="226" t="str">
        <f t="shared" si="155"/>
        <v/>
      </c>
    </row>
    <row r="272" spans="1:36" ht="18" customHeight="1" x14ac:dyDescent="0.2">
      <c r="A272" s="226" t="str">
        <f t="shared" si="144"/>
        <v>3Y -&gt; PM Y8 Tail</v>
      </c>
      <c r="B272" s="226">
        <f t="shared" si="145"/>
        <v>3</v>
      </c>
      <c r="C272" s="235">
        <f t="shared" si="146"/>
        <v>3</v>
      </c>
      <c r="D272" s="226">
        <f t="shared" si="147"/>
        <v>8</v>
      </c>
      <c r="E272" s="226" t="str">
        <f t="shared" si="148"/>
        <v>Tail</v>
      </c>
      <c r="F272" s="230">
        <f t="shared" si="149"/>
        <v>100000000</v>
      </c>
      <c r="G272" s="236">
        <f t="shared" si="150"/>
        <v>0.15</v>
      </c>
      <c r="H272" s="230">
        <f t="shared" si="151"/>
        <v>300000</v>
      </c>
      <c r="I272" s="236">
        <f t="shared" si="134"/>
        <v>0</v>
      </c>
      <c r="J272" s="234">
        <v>13</v>
      </c>
      <c r="K272" s="234">
        <f t="shared" si="135"/>
        <v>2038</v>
      </c>
      <c r="L272" s="230">
        <f>IF(J272=1,'Model Inputs'!$B$25*(13-'Model Inputs'!$B$23)/12,'Model Inputs'!$B$25)</f>
        <v>300000</v>
      </c>
      <c r="M272" s="230">
        <f>IF(J272=1,'Model Inputs'!$B$27*(13-'Model Inputs'!$B$23)/12,IF(J272=2,'Model Inputs'!$B$27,IF(J272&lt;=MAX(3,'Model Inputs'!$B$30+1),'Model Inputs'!$B$27*(1+'Model Inputs'!$B$28)^(J272-3),'Model Inputs'!$B$27*(1+'Model Inputs'!$B$28)^(MAX(3,'Model Inputs'!$B$30+1)-3)*(1+'Model Inputs'!$B$29)^(J272-MAX(3,'Model Inputs'!$B$30+1)))))</f>
        <v>6464768.1603602255</v>
      </c>
      <c r="N272" s="236">
        <f>IF(J272&lt;=2,0,'Model Inputs'!$B$32*SIN(2*PI()*(J272-3+'Model Inputs'!$B$34)/MAX(1,'Model Inputs'!$B$33)))</f>
        <v>0.10392304845413261</v>
      </c>
      <c r="O272" s="230">
        <f t="shared" si="136"/>
        <v>7136606.5751340752</v>
      </c>
      <c r="P272" s="230">
        <f t="shared" si="156"/>
        <v>4711807.0917368019</v>
      </c>
      <c r="Q272" s="230">
        <f>L272+P272+IF(J272=1,'Model Inputs'!$B$26,0)</f>
        <v>5011807.0917368019</v>
      </c>
      <c r="R272" s="230">
        <f t="shared" si="137"/>
        <v>15035421.275210407</v>
      </c>
      <c r="S272" s="230">
        <f t="shared" si="138"/>
        <v>15300000</v>
      </c>
      <c r="T272" s="230">
        <f t="shared" si="139"/>
        <v>15300000</v>
      </c>
      <c r="U272" s="230">
        <f>MIN(T272,'Tax Assumptions'!$B$19)</f>
        <v>24500</v>
      </c>
      <c r="V272" s="230">
        <f>MAX(T272-U272-'Tax Assumptions'!$B$8,0)</f>
        <v>15259400</v>
      </c>
      <c r="W272" s="230">
        <f>MAX(T272-U272-'Tax Assumptions'!$B$9,0)</f>
        <v>15267500</v>
      </c>
      <c r="X272" s="230">
        <f>IF(V272=0,0,LOOKUP(V272,'Tax Assumptions'!$F$9:$F$15,'Tax Assumptions'!$I$9:$I$15)+(V272-LOOKUP(V272,'Tax Assumptions'!$F$9:$F$15,'Tax Assumptions'!$F$9:$F$15))*LOOKUP(V272,'Tax Assumptions'!$F$9:$F$15,'Tax Assumptions'!$H$9:$H$15))+MIN(MAX(T272,0),'Tax Assumptions'!$B$11)*'Tax Assumptions'!$B$10+MAX(T272,0)*'Tax Assumptions'!$B$12+MAX(MAX(T272,0)-'Tax Assumptions'!$B$14,0)*'Tax Assumptions'!$B$13+MIN(T272*'Tax Assumptions'!$B$15,'Tax Assumptions'!$B$16)+MIN(T272*'Tax Assumptions'!$B$17,'Tax Assumptions'!$B$18)+IF(W272=0,0,LOOKUP(W272,'Tax Assumptions'!$K$9:$K$17,'Tax Assumptions'!$N$9:$N$17)+(W272-LOOKUP(W272,'Tax Assumptions'!$K$9:$K$17,'Tax Assumptions'!$K$9:$K$17))*LOOKUP(W272,'Tax Assumptions'!$K$9:$K$17,'Tax Assumptions'!$M$9:$M$17))+IF(W272=0,0,LOOKUP(W272,'Tax Assumptions'!$P$9:$P$12,'Tax Assumptions'!$S$9:$S$12)+(W272-LOOKUP(W272,'Tax Assumptions'!$P$9:$P$12,'Tax Assumptions'!$P$9:$P$12))*LOOKUP(W272,'Tax Assumptions'!$P$9:$P$12,'Tax Assumptions'!$R$9:$R$12))</f>
        <v>8070480.54</v>
      </c>
      <c r="Y272" s="230">
        <f t="shared" si="140"/>
        <v>7205019.46</v>
      </c>
      <c r="Z272" s="230">
        <f>IF(J272&lt;=10,INDEX('Savings Projection'!$BL$19:$BL$28,J272),LOOKUP(2,1/('Savings Projection'!$BL$19:$BL$28&lt;&gt;""),'Savings Projection'!$BL$19:$BL$28))*(1+'Model Inputs'!$B$35)^(J272-1)+IF(J272&lt;=10,INDEX('Savings Projection'!$BM$19:$BM$28,J272),LOOKUP(2,1/('Savings Projection'!$BM$19:$BM$28&lt;&gt;""),'Savings Projection'!$BM$19:$BM$28))*(1+'Model Inputs'!$B$36)^(J272-1)</f>
        <v>185348.91529000323</v>
      </c>
      <c r="AA272" s="230">
        <f t="shared" si="141"/>
        <v>7019670.5447099963</v>
      </c>
      <c r="AB272" s="230">
        <f>MIN(MAX(AA272,0),'Tax Assumptions'!$B$20)</f>
        <v>7500</v>
      </c>
      <c r="AC272" s="230">
        <f t="shared" si="142"/>
        <v>7012170.5447099963</v>
      </c>
      <c r="AD272" s="230">
        <f>MAX(AD271*(1+'Model Inputs'!$B$13)+AC272,0)</f>
        <v>58868329.644683823</v>
      </c>
      <c r="AE272" s="230">
        <f>MAX(AE271*(1+'Model Inputs'!$B$13)+U272+AB272,0)</f>
        <v>604228.40541103133</v>
      </c>
      <c r="AF272" s="230">
        <f t="shared" si="143"/>
        <v>59472558.050094858</v>
      </c>
      <c r="AG272" s="226" t="str">
        <f t="shared" si="152"/>
        <v/>
      </c>
      <c r="AH272" s="226" t="str">
        <f t="shared" si="153"/>
        <v/>
      </c>
      <c r="AI272" s="226" t="str">
        <f t="shared" si="154"/>
        <v/>
      </c>
      <c r="AJ272" s="226" t="str">
        <f t="shared" si="155"/>
        <v/>
      </c>
    </row>
    <row r="273" spans="1:36" ht="18" customHeight="1" x14ac:dyDescent="0.2">
      <c r="A273" s="226" t="str">
        <f t="shared" si="144"/>
        <v>3Y -&gt; PM Y8 Tail</v>
      </c>
      <c r="B273" s="226">
        <f t="shared" si="145"/>
        <v>3</v>
      </c>
      <c r="C273" s="235">
        <f t="shared" si="146"/>
        <v>3</v>
      </c>
      <c r="D273" s="226">
        <f t="shared" si="147"/>
        <v>8</v>
      </c>
      <c r="E273" s="226" t="str">
        <f t="shared" si="148"/>
        <v>Tail</v>
      </c>
      <c r="F273" s="230">
        <f t="shared" si="149"/>
        <v>100000000</v>
      </c>
      <c r="G273" s="236">
        <f t="shared" si="150"/>
        <v>0.15</v>
      </c>
      <c r="H273" s="230">
        <f t="shared" si="151"/>
        <v>300000</v>
      </c>
      <c r="I273" s="236">
        <f t="shared" si="134"/>
        <v>0</v>
      </c>
      <c r="J273" s="234">
        <v>14</v>
      </c>
      <c r="K273" s="234">
        <f t="shared" si="135"/>
        <v>2039</v>
      </c>
      <c r="L273" s="230">
        <f>IF(J273=1,'Model Inputs'!$B$25*(13-'Model Inputs'!$B$23)/12,'Model Inputs'!$B$25)</f>
        <v>300000</v>
      </c>
      <c r="M273" s="230">
        <f>IF(J273=1,'Model Inputs'!$B$27*(13-'Model Inputs'!$B$23)/12,IF(J273=2,'Model Inputs'!$B$27,IF(J273&lt;=MAX(3,'Model Inputs'!$B$30+1),'Model Inputs'!$B$27*(1+'Model Inputs'!$B$28)^(J273-3),'Model Inputs'!$B$27*(1+'Model Inputs'!$B$28)^(MAX(3,'Model Inputs'!$B$30+1)-3)*(1+'Model Inputs'!$B$29)^(J273-MAX(3,'Model Inputs'!$B$30+1)))))</f>
        <v>8215927.9778393377</v>
      </c>
      <c r="N273" s="236">
        <f>IF(J273&lt;=2,0,'Model Inputs'!$B$32*SIN(2*PI()*(J273-3+'Model Inputs'!$B$34)/MAX(1,'Model Inputs'!$B$33)))</f>
        <v>-0.10392304845413251</v>
      </c>
      <c r="O273" s="230">
        <f t="shared" si="136"/>
        <v>7362103.6965026772</v>
      </c>
      <c r="P273" s="230">
        <f t="shared" si="156"/>
        <v>6624168.4699774589</v>
      </c>
      <c r="Q273" s="230">
        <f>L273+P273+IF(J273=1,'Model Inputs'!$B$26,0)</f>
        <v>6924168.4699774589</v>
      </c>
      <c r="R273" s="230">
        <f t="shared" si="137"/>
        <v>20772505.409932375</v>
      </c>
      <c r="S273" s="230">
        <f t="shared" si="138"/>
        <v>15300000</v>
      </c>
      <c r="T273" s="230">
        <f t="shared" si="139"/>
        <v>15300000</v>
      </c>
      <c r="U273" s="230">
        <f>MIN(T273,'Tax Assumptions'!$B$19)</f>
        <v>24500</v>
      </c>
      <c r="V273" s="230">
        <f>MAX(T273-U273-'Tax Assumptions'!$B$8,0)</f>
        <v>15259400</v>
      </c>
      <c r="W273" s="230">
        <f>MAX(T273-U273-'Tax Assumptions'!$B$9,0)</f>
        <v>15267500</v>
      </c>
      <c r="X273" s="230">
        <f>IF(V273=0,0,LOOKUP(V273,'Tax Assumptions'!$F$9:$F$15,'Tax Assumptions'!$I$9:$I$15)+(V273-LOOKUP(V273,'Tax Assumptions'!$F$9:$F$15,'Tax Assumptions'!$F$9:$F$15))*LOOKUP(V273,'Tax Assumptions'!$F$9:$F$15,'Tax Assumptions'!$H$9:$H$15))+MIN(MAX(T273,0),'Tax Assumptions'!$B$11)*'Tax Assumptions'!$B$10+MAX(T273,0)*'Tax Assumptions'!$B$12+MAX(MAX(T273,0)-'Tax Assumptions'!$B$14,0)*'Tax Assumptions'!$B$13+MIN(T273*'Tax Assumptions'!$B$15,'Tax Assumptions'!$B$16)+MIN(T273*'Tax Assumptions'!$B$17,'Tax Assumptions'!$B$18)+IF(W273=0,0,LOOKUP(W273,'Tax Assumptions'!$K$9:$K$17,'Tax Assumptions'!$N$9:$N$17)+(W273-LOOKUP(W273,'Tax Assumptions'!$K$9:$K$17,'Tax Assumptions'!$K$9:$K$17))*LOOKUP(W273,'Tax Assumptions'!$K$9:$K$17,'Tax Assumptions'!$M$9:$M$17))+IF(W273=0,0,LOOKUP(W273,'Tax Assumptions'!$P$9:$P$12,'Tax Assumptions'!$S$9:$S$12)+(W273-LOOKUP(W273,'Tax Assumptions'!$P$9:$P$12,'Tax Assumptions'!$P$9:$P$12))*LOOKUP(W273,'Tax Assumptions'!$P$9:$P$12,'Tax Assumptions'!$R$9:$R$12))</f>
        <v>8070480.54</v>
      </c>
      <c r="Y273" s="230">
        <f t="shared" si="140"/>
        <v>7205019.46</v>
      </c>
      <c r="Z273" s="230">
        <f>IF(J273&lt;=10,INDEX('Savings Projection'!$BL$19:$BL$28,J273),LOOKUP(2,1/('Savings Projection'!$BL$19:$BL$28&lt;&gt;""),'Savings Projection'!$BL$19:$BL$28))*(1+'Model Inputs'!$B$35)^(J273-1)+IF(J273&lt;=10,INDEX('Savings Projection'!$BM$19:$BM$28,J273),LOOKUP(2,1/('Savings Projection'!$BM$19:$BM$28&lt;&gt;""),'Savings Projection'!$BM$19:$BM$28))*(1+'Model Inputs'!$B$36)^(J273-1)</f>
        <v>190909.3827487033</v>
      </c>
      <c r="AA273" s="230">
        <f t="shared" si="141"/>
        <v>7014110.0772512965</v>
      </c>
      <c r="AB273" s="230">
        <f>MIN(MAX(AA273,0),'Tax Assumptions'!$B$20)</f>
        <v>7500</v>
      </c>
      <c r="AC273" s="230">
        <f t="shared" si="142"/>
        <v>7006610.0772512965</v>
      </c>
      <c r="AD273" s="230">
        <f>MAX(AD272*(1+'Model Inputs'!$B$13)+AC273,0)</f>
        <v>69407039.500616148</v>
      </c>
      <c r="AE273" s="230">
        <f>MAX(AE272*(1+'Model Inputs'!$B$13)+U273+AB273,0)</f>
        <v>672482.1097356932</v>
      </c>
      <c r="AF273" s="230">
        <f t="shared" si="143"/>
        <v>70079521.610351846</v>
      </c>
      <c r="AG273" s="226" t="str">
        <f t="shared" si="152"/>
        <v/>
      </c>
      <c r="AH273" s="226" t="str">
        <f t="shared" si="153"/>
        <v/>
      </c>
      <c r="AI273" s="226" t="str">
        <f t="shared" si="154"/>
        <v/>
      </c>
      <c r="AJ273" s="226" t="str">
        <f t="shared" si="155"/>
        <v/>
      </c>
    </row>
    <row r="274" spans="1:36" ht="18" customHeight="1" x14ac:dyDescent="0.2">
      <c r="A274" s="226" t="str">
        <f t="shared" si="144"/>
        <v>3Y -&gt; PM Y8 Tail</v>
      </c>
      <c r="B274" s="226">
        <f t="shared" si="145"/>
        <v>3</v>
      </c>
      <c r="C274" s="235">
        <f t="shared" si="146"/>
        <v>3</v>
      </c>
      <c r="D274" s="226">
        <f t="shared" si="147"/>
        <v>8</v>
      </c>
      <c r="E274" s="226" t="str">
        <f t="shared" si="148"/>
        <v>Tail</v>
      </c>
      <c r="F274" s="230">
        <f t="shared" si="149"/>
        <v>100000000</v>
      </c>
      <c r="G274" s="236">
        <f t="shared" si="150"/>
        <v>0.15</v>
      </c>
      <c r="H274" s="230">
        <f t="shared" si="151"/>
        <v>300000</v>
      </c>
      <c r="I274" s="236">
        <f t="shared" si="134"/>
        <v>0</v>
      </c>
      <c r="J274" s="234">
        <v>15</v>
      </c>
      <c r="K274" s="234">
        <f t="shared" si="135"/>
        <v>2040</v>
      </c>
      <c r="L274" s="230">
        <f>IF(J274=1,'Model Inputs'!$B$25*(13-'Model Inputs'!$B$23)/12,'Model Inputs'!$B$25)</f>
        <v>300000</v>
      </c>
      <c r="M274" s="230">
        <f>IF(J274=1,'Model Inputs'!$B$27*(13-'Model Inputs'!$B$23)/12,IF(J274=2,'Model Inputs'!$B$27,IF(J274&lt;=MAX(3,'Model Inputs'!$B$30+1),'Model Inputs'!$B$27*(1+'Model Inputs'!$B$28)^(J274-3),'Model Inputs'!$B$27*(1+'Model Inputs'!$B$28)^(MAX(3,'Model Inputs'!$B$30+1)-3)*(1+'Model Inputs'!$B$29)^(J274-MAX(3,'Model Inputs'!$B$30+1)))))</f>
        <v>10441437.475041937</v>
      </c>
      <c r="N274" s="236">
        <f>IF(J274&lt;=2,0,'Model Inputs'!$B$32*SIN(2*PI()*(J274-3+'Model Inputs'!$B$34)/MAX(1,'Model Inputs'!$B$33)))</f>
        <v>-1.1756609271814589E-16</v>
      </c>
      <c r="O274" s="230">
        <f t="shared" si="136"/>
        <v>10441437.475041935</v>
      </c>
      <c r="P274" s="230">
        <f t="shared" si="156"/>
        <v>7305729.4161605267</v>
      </c>
      <c r="Q274" s="230">
        <f>L274+P274+IF(J274=1,'Model Inputs'!$B$26,0)</f>
        <v>7605729.4161605267</v>
      </c>
      <c r="R274" s="230">
        <f t="shared" si="137"/>
        <v>22817188.248481579</v>
      </c>
      <c r="S274" s="230">
        <f t="shared" si="138"/>
        <v>15300000</v>
      </c>
      <c r="T274" s="230">
        <f t="shared" si="139"/>
        <v>15300000</v>
      </c>
      <c r="U274" s="230">
        <f>MIN(T274,'Tax Assumptions'!$B$19)</f>
        <v>24500</v>
      </c>
      <c r="V274" s="230">
        <f>MAX(T274-U274-'Tax Assumptions'!$B$8,0)</f>
        <v>15259400</v>
      </c>
      <c r="W274" s="230">
        <f>MAX(T274-U274-'Tax Assumptions'!$B$9,0)</f>
        <v>15267500</v>
      </c>
      <c r="X274" s="230">
        <f>IF(V274=0,0,LOOKUP(V274,'Tax Assumptions'!$F$9:$F$15,'Tax Assumptions'!$I$9:$I$15)+(V274-LOOKUP(V274,'Tax Assumptions'!$F$9:$F$15,'Tax Assumptions'!$F$9:$F$15))*LOOKUP(V274,'Tax Assumptions'!$F$9:$F$15,'Tax Assumptions'!$H$9:$H$15))+MIN(MAX(T274,0),'Tax Assumptions'!$B$11)*'Tax Assumptions'!$B$10+MAX(T274,0)*'Tax Assumptions'!$B$12+MAX(MAX(T274,0)-'Tax Assumptions'!$B$14,0)*'Tax Assumptions'!$B$13+MIN(T274*'Tax Assumptions'!$B$15,'Tax Assumptions'!$B$16)+MIN(T274*'Tax Assumptions'!$B$17,'Tax Assumptions'!$B$18)+IF(W274=0,0,LOOKUP(W274,'Tax Assumptions'!$K$9:$K$17,'Tax Assumptions'!$N$9:$N$17)+(W274-LOOKUP(W274,'Tax Assumptions'!$K$9:$K$17,'Tax Assumptions'!$K$9:$K$17))*LOOKUP(W274,'Tax Assumptions'!$K$9:$K$17,'Tax Assumptions'!$M$9:$M$17))+IF(W274=0,0,LOOKUP(W274,'Tax Assumptions'!$P$9:$P$12,'Tax Assumptions'!$S$9:$S$12)+(W274-LOOKUP(W274,'Tax Assumptions'!$P$9:$P$12,'Tax Assumptions'!$P$9:$P$12))*LOOKUP(W274,'Tax Assumptions'!$P$9:$P$12,'Tax Assumptions'!$R$9:$R$12))</f>
        <v>8070480.54</v>
      </c>
      <c r="Y274" s="230">
        <f t="shared" si="140"/>
        <v>7205019.46</v>
      </c>
      <c r="Z274" s="230">
        <f>IF(J274&lt;=10,INDEX('Savings Projection'!$BL$19:$BL$28,J274),LOOKUP(2,1/('Savings Projection'!$BL$19:$BL$28&lt;&gt;""),'Savings Projection'!$BL$19:$BL$28))*(1+'Model Inputs'!$B$35)^(J274-1)+IF(J274&lt;=10,INDEX('Savings Projection'!$BM$19:$BM$28,J274),LOOKUP(2,1/('Savings Projection'!$BM$19:$BM$28&lt;&gt;""),'Savings Projection'!$BM$19:$BM$28))*(1+'Model Inputs'!$B$36)^(J274-1)</f>
        <v>196636.66423116444</v>
      </c>
      <c r="AA274" s="230">
        <f t="shared" si="141"/>
        <v>7008382.7957688356</v>
      </c>
      <c r="AB274" s="230">
        <f>MIN(MAX(AA274,0),'Tax Assumptions'!$B$20)</f>
        <v>7500</v>
      </c>
      <c r="AC274" s="230">
        <f t="shared" si="142"/>
        <v>7000882.7957688356</v>
      </c>
      <c r="AD274" s="230">
        <f>MAX(AD273*(1+'Model Inputs'!$B$13)+AC274,0)</f>
        <v>80572344.666421965</v>
      </c>
      <c r="AE274" s="230">
        <f>MAX(AE273*(1+'Model Inputs'!$B$13)+U274+AB274,0)</f>
        <v>744831.03631983488</v>
      </c>
      <c r="AF274" s="230">
        <f t="shared" si="143"/>
        <v>81317175.702741802</v>
      </c>
      <c r="AG274" s="226" t="str">
        <f t="shared" si="152"/>
        <v/>
      </c>
      <c r="AH274" s="226" t="str">
        <f t="shared" si="153"/>
        <v/>
      </c>
      <c r="AI274" s="226" t="str">
        <f t="shared" si="154"/>
        <v/>
      </c>
      <c r="AJ274" s="226" t="str">
        <f t="shared" si="155"/>
        <v/>
      </c>
    </row>
    <row r="275" spans="1:36" ht="18" customHeight="1" x14ac:dyDescent="0.2">
      <c r="A275" s="226" t="str">
        <f t="shared" si="144"/>
        <v>3Y -&gt; PM Y8 Tail</v>
      </c>
      <c r="B275" s="226">
        <f t="shared" si="145"/>
        <v>3</v>
      </c>
      <c r="C275" s="235">
        <f t="shared" si="146"/>
        <v>3</v>
      </c>
      <c r="D275" s="226">
        <f t="shared" si="147"/>
        <v>8</v>
      </c>
      <c r="E275" s="226" t="str">
        <f t="shared" si="148"/>
        <v>Tail</v>
      </c>
      <c r="F275" s="230">
        <f t="shared" si="149"/>
        <v>100000000</v>
      </c>
      <c r="G275" s="236">
        <f t="shared" si="150"/>
        <v>0.15</v>
      </c>
      <c r="H275" s="230">
        <f t="shared" si="151"/>
        <v>300000</v>
      </c>
      <c r="I275" s="236">
        <f t="shared" si="134"/>
        <v>0</v>
      </c>
      <c r="J275" s="234">
        <v>16</v>
      </c>
      <c r="K275" s="234">
        <f t="shared" si="135"/>
        <v>2041</v>
      </c>
      <c r="L275" s="230">
        <f>IF(J275=1,'Model Inputs'!$B$25*(13-'Model Inputs'!$B$23)/12,'Model Inputs'!$B$25)</f>
        <v>300000</v>
      </c>
      <c r="M275" s="230">
        <f>IF(J275=1,'Model Inputs'!$B$27*(13-'Model Inputs'!$B$23)/12,IF(J275=2,'Model Inputs'!$B$27,IF(J275&lt;=MAX(3,'Model Inputs'!$B$30+1),'Model Inputs'!$B$27*(1+'Model Inputs'!$B$28)^(J275-3),'Model Inputs'!$B$27*(1+'Model Inputs'!$B$28)^(MAX(3,'Model Inputs'!$B$30+1)-3)*(1+'Model Inputs'!$B$29)^(J275-MAX(3,'Model Inputs'!$B$30+1)))))</f>
        <v>13269787.276528884</v>
      </c>
      <c r="N275" s="236">
        <f>IF(J275&lt;=2,0,'Model Inputs'!$B$32*SIN(2*PI()*(J275-3+'Model Inputs'!$B$34)/MAX(1,'Model Inputs'!$B$33)))</f>
        <v>0.10392304845413262</v>
      </c>
      <c r="O275" s="230">
        <f t="shared" si="136"/>
        <v>14648824.022643628</v>
      </c>
      <c r="P275" s="230">
        <f t="shared" si="156"/>
        <v>9671604.0304071214</v>
      </c>
      <c r="Q275" s="230">
        <f>L275+P275+IF(J275=1,'Model Inputs'!$B$26,0)</f>
        <v>9971604.0304071214</v>
      </c>
      <c r="R275" s="230">
        <f t="shared" si="137"/>
        <v>29914812.091221362</v>
      </c>
      <c r="S275" s="230">
        <f t="shared" si="138"/>
        <v>15300000</v>
      </c>
      <c r="T275" s="230">
        <f t="shared" si="139"/>
        <v>15300000</v>
      </c>
      <c r="U275" s="230">
        <f>MIN(T275,'Tax Assumptions'!$B$19)</f>
        <v>24500</v>
      </c>
      <c r="V275" s="230">
        <f>MAX(T275-U275-'Tax Assumptions'!$B$8,0)</f>
        <v>15259400</v>
      </c>
      <c r="W275" s="230">
        <f>MAX(T275-U275-'Tax Assumptions'!$B$9,0)</f>
        <v>15267500</v>
      </c>
      <c r="X275" s="230">
        <f>IF(V275=0,0,LOOKUP(V275,'Tax Assumptions'!$F$9:$F$15,'Tax Assumptions'!$I$9:$I$15)+(V275-LOOKUP(V275,'Tax Assumptions'!$F$9:$F$15,'Tax Assumptions'!$F$9:$F$15))*LOOKUP(V275,'Tax Assumptions'!$F$9:$F$15,'Tax Assumptions'!$H$9:$H$15))+MIN(MAX(T275,0),'Tax Assumptions'!$B$11)*'Tax Assumptions'!$B$10+MAX(T275,0)*'Tax Assumptions'!$B$12+MAX(MAX(T275,0)-'Tax Assumptions'!$B$14,0)*'Tax Assumptions'!$B$13+MIN(T275*'Tax Assumptions'!$B$15,'Tax Assumptions'!$B$16)+MIN(T275*'Tax Assumptions'!$B$17,'Tax Assumptions'!$B$18)+IF(W275=0,0,LOOKUP(W275,'Tax Assumptions'!$K$9:$K$17,'Tax Assumptions'!$N$9:$N$17)+(W275-LOOKUP(W275,'Tax Assumptions'!$K$9:$K$17,'Tax Assumptions'!$K$9:$K$17))*LOOKUP(W275,'Tax Assumptions'!$K$9:$K$17,'Tax Assumptions'!$M$9:$M$17))+IF(W275=0,0,LOOKUP(W275,'Tax Assumptions'!$P$9:$P$12,'Tax Assumptions'!$S$9:$S$12)+(W275-LOOKUP(W275,'Tax Assumptions'!$P$9:$P$12,'Tax Assumptions'!$P$9:$P$12))*LOOKUP(W275,'Tax Assumptions'!$P$9:$P$12,'Tax Assumptions'!$R$9:$R$12))</f>
        <v>8070480.54</v>
      </c>
      <c r="Y275" s="230">
        <f t="shared" si="140"/>
        <v>7205019.46</v>
      </c>
      <c r="Z275" s="230">
        <f>IF(J275&lt;=10,INDEX('Savings Projection'!$BL$19:$BL$28,J275),LOOKUP(2,1/('Savings Projection'!$BL$19:$BL$28&lt;&gt;""),'Savings Projection'!$BL$19:$BL$28))*(1+'Model Inputs'!$B$35)^(J275-1)+IF(J275&lt;=10,INDEX('Savings Projection'!$BM$19:$BM$28,J275),LOOKUP(2,1/('Savings Projection'!$BM$19:$BM$28&lt;&gt;""),'Savings Projection'!$BM$19:$BM$28))*(1+'Model Inputs'!$B$36)^(J275-1)</f>
        <v>202535.76415809937</v>
      </c>
      <c r="AA275" s="230">
        <f t="shared" si="141"/>
        <v>7002483.695841901</v>
      </c>
      <c r="AB275" s="230">
        <f>MIN(MAX(AA275,0),'Tax Assumptions'!$B$20)</f>
        <v>7500</v>
      </c>
      <c r="AC275" s="230">
        <f t="shared" si="142"/>
        <v>6994983.695841901</v>
      </c>
      <c r="AD275" s="230">
        <f>MAX(AD274*(1+'Model Inputs'!$B$13)+AC275,0)</f>
        <v>92401669.042249203</v>
      </c>
      <c r="AE275" s="230">
        <f>MAX(AE274*(1+'Model Inputs'!$B$13)+U275+AB275,0)</f>
        <v>821520.89849902503</v>
      </c>
      <c r="AF275" s="230">
        <f t="shared" si="143"/>
        <v>93223189.94074823</v>
      </c>
      <c r="AG275" s="226" t="str">
        <f t="shared" si="152"/>
        <v/>
      </c>
      <c r="AH275" s="226" t="str">
        <f t="shared" si="153"/>
        <v/>
      </c>
      <c r="AI275" s="226" t="str">
        <f t="shared" si="154"/>
        <v/>
      </c>
      <c r="AJ275" s="226" t="str">
        <f t="shared" si="155"/>
        <v/>
      </c>
    </row>
    <row r="276" spans="1:36" ht="18" customHeight="1" x14ac:dyDescent="0.2">
      <c r="A276" s="226" t="str">
        <f t="shared" si="144"/>
        <v>3Y -&gt; PM Y8 Tail</v>
      </c>
      <c r="B276" s="226">
        <f t="shared" si="145"/>
        <v>3</v>
      </c>
      <c r="C276" s="235">
        <f t="shared" si="146"/>
        <v>3</v>
      </c>
      <c r="D276" s="226">
        <f t="shared" si="147"/>
        <v>8</v>
      </c>
      <c r="E276" s="226" t="str">
        <f t="shared" si="148"/>
        <v>Tail</v>
      </c>
      <c r="F276" s="230">
        <f t="shared" si="149"/>
        <v>100000000</v>
      </c>
      <c r="G276" s="236">
        <f t="shared" si="150"/>
        <v>0.15</v>
      </c>
      <c r="H276" s="230">
        <f t="shared" si="151"/>
        <v>300000</v>
      </c>
      <c r="I276" s="236">
        <f t="shared" si="134"/>
        <v>0</v>
      </c>
      <c r="J276" s="234">
        <v>17</v>
      </c>
      <c r="K276" s="234">
        <f t="shared" si="135"/>
        <v>2042</v>
      </c>
      <c r="L276" s="230">
        <f>IF(J276=1,'Model Inputs'!$B$25*(13-'Model Inputs'!$B$23)/12,'Model Inputs'!$B$25)</f>
        <v>300000</v>
      </c>
      <c r="M276" s="230">
        <f>IF(J276=1,'Model Inputs'!$B$27*(13-'Model Inputs'!$B$23)/12,IF(J276=2,'Model Inputs'!$B$27,IF(J276&lt;=MAX(3,'Model Inputs'!$B$30+1),'Model Inputs'!$B$27*(1+'Model Inputs'!$B$28)^(J276-3),'Model Inputs'!$B$27*(1+'Model Inputs'!$B$28)^(MAX(3,'Model Inputs'!$B$30+1)-3)*(1+'Model Inputs'!$B$29)^(J276-MAX(3,'Model Inputs'!$B$30+1)))))</f>
        <v>16864273.217670217</v>
      </c>
      <c r="N276" s="236">
        <f>IF(J276&lt;=2,0,'Model Inputs'!$B$32*SIN(2*PI()*(J276-3+'Model Inputs'!$B$34)/MAX(1,'Model Inputs'!$B$33)))</f>
        <v>-0.1039230484541325</v>
      </c>
      <c r="O276" s="230">
        <f t="shared" si="136"/>
        <v>15111686.534926547</v>
      </c>
      <c r="P276" s="230">
        <f t="shared" si="156"/>
        <v>13596977.385743205</v>
      </c>
      <c r="Q276" s="230">
        <f>L276+P276+IF(J276=1,'Model Inputs'!$B$26,0)</f>
        <v>13896977.385743205</v>
      </c>
      <c r="R276" s="230">
        <f t="shared" si="137"/>
        <v>41690932.157229617</v>
      </c>
      <c r="S276" s="230">
        <f t="shared" si="138"/>
        <v>15300000</v>
      </c>
      <c r="T276" s="230">
        <f t="shared" si="139"/>
        <v>15300000</v>
      </c>
      <c r="U276" s="230">
        <f>MIN(T276,'Tax Assumptions'!$B$19)</f>
        <v>24500</v>
      </c>
      <c r="V276" s="230">
        <f>MAX(T276-U276-'Tax Assumptions'!$B$8,0)</f>
        <v>15259400</v>
      </c>
      <c r="W276" s="230">
        <f>MAX(T276-U276-'Tax Assumptions'!$B$9,0)</f>
        <v>15267500</v>
      </c>
      <c r="X276" s="230">
        <f>IF(V276=0,0,LOOKUP(V276,'Tax Assumptions'!$F$9:$F$15,'Tax Assumptions'!$I$9:$I$15)+(V276-LOOKUP(V276,'Tax Assumptions'!$F$9:$F$15,'Tax Assumptions'!$F$9:$F$15))*LOOKUP(V276,'Tax Assumptions'!$F$9:$F$15,'Tax Assumptions'!$H$9:$H$15))+MIN(MAX(T276,0),'Tax Assumptions'!$B$11)*'Tax Assumptions'!$B$10+MAX(T276,0)*'Tax Assumptions'!$B$12+MAX(MAX(T276,0)-'Tax Assumptions'!$B$14,0)*'Tax Assumptions'!$B$13+MIN(T276*'Tax Assumptions'!$B$15,'Tax Assumptions'!$B$16)+MIN(T276*'Tax Assumptions'!$B$17,'Tax Assumptions'!$B$18)+IF(W276=0,0,LOOKUP(W276,'Tax Assumptions'!$K$9:$K$17,'Tax Assumptions'!$N$9:$N$17)+(W276-LOOKUP(W276,'Tax Assumptions'!$K$9:$K$17,'Tax Assumptions'!$K$9:$K$17))*LOOKUP(W276,'Tax Assumptions'!$K$9:$K$17,'Tax Assumptions'!$M$9:$M$17))+IF(W276=0,0,LOOKUP(W276,'Tax Assumptions'!$P$9:$P$12,'Tax Assumptions'!$S$9:$S$12)+(W276-LOOKUP(W276,'Tax Assumptions'!$P$9:$P$12,'Tax Assumptions'!$P$9:$P$12))*LOOKUP(W276,'Tax Assumptions'!$P$9:$P$12,'Tax Assumptions'!$R$9:$R$12))</f>
        <v>8070480.54</v>
      </c>
      <c r="Y276" s="230">
        <f t="shared" si="140"/>
        <v>7205019.46</v>
      </c>
      <c r="Z276" s="230">
        <f>IF(J276&lt;=10,INDEX('Savings Projection'!$BL$19:$BL$28,J276),LOOKUP(2,1/('Savings Projection'!$BL$19:$BL$28&lt;&gt;""),'Savings Projection'!$BL$19:$BL$28))*(1+'Model Inputs'!$B$35)^(J276-1)+IF(J276&lt;=10,INDEX('Savings Projection'!$BM$19:$BM$28,J276),LOOKUP(2,1/('Savings Projection'!$BM$19:$BM$28&lt;&gt;""),'Savings Projection'!$BM$19:$BM$28))*(1+'Model Inputs'!$B$36)^(J276-1)</f>
        <v>208611.83708284231</v>
      </c>
      <c r="AA276" s="230">
        <f t="shared" si="141"/>
        <v>6996407.6229171576</v>
      </c>
      <c r="AB276" s="230">
        <f>MIN(MAX(AA276,0),'Tax Assumptions'!$B$20)</f>
        <v>7500</v>
      </c>
      <c r="AC276" s="230">
        <f t="shared" si="142"/>
        <v>6988907.6229171576</v>
      </c>
      <c r="AD276" s="230">
        <f>MAX(AD275*(1+'Model Inputs'!$B$13)+AC276,0)</f>
        <v>104934676.80770132</v>
      </c>
      <c r="AE276" s="230">
        <f>MAX(AE275*(1+'Model Inputs'!$B$13)+U276+AB276,0)</f>
        <v>902812.15240896656</v>
      </c>
      <c r="AF276" s="230">
        <f t="shared" si="143"/>
        <v>105837488.96011029</v>
      </c>
      <c r="AG276" s="226" t="str">
        <f t="shared" si="152"/>
        <v/>
      </c>
      <c r="AH276" s="226" t="str">
        <f t="shared" si="153"/>
        <v/>
      </c>
      <c r="AI276" s="226" t="str">
        <f t="shared" si="154"/>
        <v/>
      </c>
      <c r="AJ276" s="226" t="str">
        <f t="shared" si="155"/>
        <v/>
      </c>
    </row>
    <row r="277" spans="1:36" ht="18" customHeight="1" x14ac:dyDescent="0.2">
      <c r="A277" s="226" t="str">
        <f t="shared" si="144"/>
        <v>3Y -&gt; PM Y8 Tail</v>
      </c>
      <c r="B277" s="226">
        <f t="shared" si="145"/>
        <v>3</v>
      </c>
      <c r="C277" s="235">
        <f t="shared" si="146"/>
        <v>3</v>
      </c>
      <c r="D277" s="226">
        <f t="shared" si="147"/>
        <v>8</v>
      </c>
      <c r="E277" s="226" t="str">
        <f t="shared" si="148"/>
        <v>Tail</v>
      </c>
      <c r="F277" s="230">
        <f t="shared" si="149"/>
        <v>100000000</v>
      </c>
      <c r="G277" s="236">
        <f t="shared" si="150"/>
        <v>0.15</v>
      </c>
      <c r="H277" s="230">
        <f t="shared" si="151"/>
        <v>300000</v>
      </c>
      <c r="I277" s="236">
        <f t="shared" si="134"/>
        <v>0</v>
      </c>
      <c r="J277" s="234">
        <v>18</v>
      </c>
      <c r="K277" s="234">
        <f t="shared" si="135"/>
        <v>2043</v>
      </c>
      <c r="L277" s="230">
        <f>IF(J277=1,'Model Inputs'!$B$25*(13-'Model Inputs'!$B$23)/12,'Model Inputs'!$B$25)</f>
        <v>300000</v>
      </c>
      <c r="M277" s="230">
        <f>IF(J277=1,'Model Inputs'!$B$27*(13-'Model Inputs'!$B$23)/12,IF(J277=2,'Model Inputs'!$B$27,IF(J277&lt;=MAX(3,'Model Inputs'!$B$30+1),'Model Inputs'!$B$27*(1+'Model Inputs'!$B$28)^(J277-3),'Model Inputs'!$B$27*(1+'Model Inputs'!$B$28)^(MAX(3,'Model Inputs'!$B$30+1)-3)*(1+'Model Inputs'!$B$29)^(J277-MAX(3,'Model Inputs'!$B$30+1)))))</f>
        <v>21432424.290875554</v>
      </c>
      <c r="N277" s="236">
        <f>IF(J277&lt;=2,0,'Model Inputs'!$B$32*SIN(2*PI()*(J277-3+'Model Inputs'!$B$34)/MAX(1,'Model Inputs'!$B$33)))</f>
        <v>-5.7328325735374245E-16</v>
      </c>
      <c r="O277" s="230">
        <f t="shared" si="136"/>
        <v>21432424.290875543</v>
      </c>
      <c r="P277" s="230">
        <f t="shared" si="156"/>
        <v>14995970.906855816</v>
      </c>
      <c r="Q277" s="230">
        <f>L277+P277+IF(J277=1,'Model Inputs'!$B$26,0)</f>
        <v>15295970.906855816</v>
      </c>
      <c r="R277" s="230">
        <f t="shared" si="137"/>
        <v>45887912.72056745</v>
      </c>
      <c r="S277" s="230">
        <f t="shared" si="138"/>
        <v>15300000</v>
      </c>
      <c r="T277" s="230">
        <f t="shared" si="139"/>
        <v>15300000</v>
      </c>
      <c r="U277" s="230">
        <f>MIN(T277,'Tax Assumptions'!$B$19)</f>
        <v>24500</v>
      </c>
      <c r="V277" s="230">
        <f>MAX(T277-U277-'Tax Assumptions'!$B$8,0)</f>
        <v>15259400</v>
      </c>
      <c r="W277" s="230">
        <f>MAX(T277-U277-'Tax Assumptions'!$B$9,0)</f>
        <v>15267500</v>
      </c>
      <c r="X277" s="230">
        <f>IF(V277=0,0,LOOKUP(V277,'Tax Assumptions'!$F$9:$F$15,'Tax Assumptions'!$I$9:$I$15)+(V277-LOOKUP(V277,'Tax Assumptions'!$F$9:$F$15,'Tax Assumptions'!$F$9:$F$15))*LOOKUP(V277,'Tax Assumptions'!$F$9:$F$15,'Tax Assumptions'!$H$9:$H$15))+MIN(MAX(T277,0),'Tax Assumptions'!$B$11)*'Tax Assumptions'!$B$10+MAX(T277,0)*'Tax Assumptions'!$B$12+MAX(MAX(T277,0)-'Tax Assumptions'!$B$14,0)*'Tax Assumptions'!$B$13+MIN(T277*'Tax Assumptions'!$B$15,'Tax Assumptions'!$B$16)+MIN(T277*'Tax Assumptions'!$B$17,'Tax Assumptions'!$B$18)+IF(W277=0,0,LOOKUP(W277,'Tax Assumptions'!$K$9:$K$17,'Tax Assumptions'!$N$9:$N$17)+(W277-LOOKUP(W277,'Tax Assumptions'!$K$9:$K$17,'Tax Assumptions'!$K$9:$K$17))*LOOKUP(W277,'Tax Assumptions'!$K$9:$K$17,'Tax Assumptions'!$M$9:$M$17))+IF(W277=0,0,LOOKUP(W277,'Tax Assumptions'!$P$9:$P$12,'Tax Assumptions'!$S$9:$S$12)+(W277-LOOKUP(W277,'Tax Assumptions'!$P$9:$P$12,'Tax Assumptions'!$P$9:$P$12))*LOOKUP(W277,'Tax Assumptions'!$P$9:$P$12,'Tax Assumptions'!$R$9:$R$12))</f>
        <v>8070480.54</v>
      </c>
      <c r="Y277" s="230">
        <f t="shared" si="140"/>
        <v>7205019.46</v>
      </c>
      <c r="Z277" s="230">
        <f>IF(J277&lt;=10,INDEX('Savings Projection'!$BL$19:$BL$28,J277),LOOKUP(2,1/('Savings Projection'!$BL$19:$BL$28&lt;&gt;""),'Savings Projection'!$BL$19:$BL$28))*(1+'Model Inputs'!$B$35)^(J277-1)+IF(J277&lt;=10,INDEX('Savings Projection'!$BM$19:$BM$28,J277),LOOKUP(2,1/('Savings Projection'!$BM$19:$BM$28&lt;&gt;""),'Savings Projection'!$BM$19:$BM$28))*(1+'Model Inputs'!$B$36)^(J277-1)</f>
        <v>214870.1921953276</v>
      </c>
      <c r="AA277" s="230">
        <f t="shared" si="141"/>
        <v>6990149.267804672</v>
      </c>
      <c r="AB277" s="230">
        <f>MIN(MAX(AA277,0),'Tax Assumptions'!$B$20)</f>
        <v>7500</v>
      </c>
      <c r="AC277" s="230">
        <f t="shared" si="142"/>
        <v>6982649.267804672</v>
      </c>
      <c r="AD277" s="230">
        <f>MAX(AD276*(1+'Model Inputs'!$B$13)+AC277,0)</f>
        <v>118213406.68396807</v>
      </c>
      <c r="AE277" s="230">
        <f>MAX(AE276*(1+'Model Inputs'!$B$13)+U277+AB277,0)</f>
        <v>988980.88155350462</v>
      </c>
      <c r="AF277" s="230">
        <f t="shared" si="143"/>
        <v>119202387.56552157</v>
      </c>
      <c r="AG277" s="226" t="str">
        <f t="shared" si="152"/>
        <v/>
      </c>
      <c r="AH277" s="226" t="str">
        <f t="shared" si="153"/>
        <v/>
      </c>
      <c r="AI277" s="226" t="str">
        <f t="shared" si="154"/>
        <v/>
      </c>
      <c r="AJ277" s="226" t="str">
        <f t="shared" si="155"/>
        <v/>
      </c>
    </row>
    <row r="278" spans="1:36" ht="18" customHeight="1" x14ac:dyDescent="0.2">
      <c r="A278" s="226" t="str">
        <f t="shared" si="144"/>
        <v>3Y -&gt; PM Y8 Tail</v>
      </c>
      <c r="B278" s="226">
        <f t="shared" si="145"/>
        <v>3</v>
      </c>
      <c r="C278" s="235">
        <f t="shared" si="146"/>
        <v>3</v>
      </c>
      <c r="D278" s="226">
        <f t="shared" si="147"/>
        <v>8</v>
      </c>
      <c r="E278" s="226" t="str">
        <f t="shared" si="148"/>
        <v>Tail</v>
      </c>
      <c r="F278" s="230">
        <f t="shared" si="149"/>
        <v>100000000</v>
      </c>
      <c r="G278" s="236">
        <f t="shared" si="150"/>
        <v>0.15</v>
      </c>
      <c r="H278" s="230">
        <f t="shared" si="151"/>
        <v>300000</v>
      </c>
      <c r="I278" s="236">
        <f t="shared" si="134"/>
        <v>0</v>
      </c>
      <c r="J278" s="234">
        <v>19</v>
      </c>
      <c r="K278" s="234">
        <f t="shared" si="135"/>
        <v>2044</v>
      </c>
      <c r="L278" s="230">
        <f>IF(J278=1,'Model Inputs'!$B$25*(13-'Model Inputs'!$B$23)/12,'Model Inputs'!$B$25)</f>
        <v>300000</v>
      </c>
      <c r="M278" s="230">
        <f>IF(J278=1,'Model Inputs'!$B$27*(13-'Model Inputs'!$B$23)/12,IF(J278=2,'Model Inputs'!$B$27,IF(J278&lt;=MAX(3,'Model Inputs'!$B$30+1),'Model Inputs'!$B$27*(1+'Model Inputs'!$B$28)^(J278-3),'Model Inputs'!$B$27*(1+'Model Inputs'!$B$28)^(MAX(3,'Model Inputs'!$B$30+1)-3)*(1+'Model Inputs'!$B$29)^(J278-MAX(3,'Model Inputs'!$B$30+1)))))</f>
        <v>27237984.409717187</v>
      </c>
      <c r="N278" s="236">
        <f>IF(J278&lt;=2,0,'Model Inputs'!$B$32*SIN(2*PI()*(J278-3+'Model Inputs'!$B$34)/MAX(1,'Model Inputs'!$B$33)))</f>
        <v>0.10392304845413286</v>
      </c>
      <c r="O278" s="230">
        <f t="shared" si="136"/>
        <v>30068638.783321142</v>
      </c>
      <c r="P278" s="230">
        <f t="shared" si="156"/>
        <v>19852239.851888295</v>
      </c>
      <c r="Q278" s="230">
        <f>L278+P278+IF(J278=1,'Model Inputs'!$B$26,0)</f>
        <v>20152239.851888295</v>
      </c>
      <c r="R278" s="230">
        <f t="shared" si="137"/>
        <v>60456719.555664882</v>
      </c>
      <c r="S278" s="230">
        <f t="shared" si="138"/>
        <v>15300000</v>
      </c>
      <c r="T278" s="230">
        <f t="shared" si="139"/>
        <v>15300000</v>
      </c>
      <c r="U278" s="230">
        <f>MIN(T278,'Tax Assumptions'!$B$19)</f>
        <v>24500</v>
      </c>
      <c r="V278" s="230">
        <f>MAX(T278-U278-'Tax Assumptions'!$B$8,0)</f>
        <v>15259400</v>
      </c>
      <c r="W278" s="230">
        <f>MAX(T278-U278-'Tax Assumptions'!$B$9,0)</f>
        <v>15267500</v>
      </c>
      <c r="X278" s="230">
        <f>IF(V278=0,0,LOOKUP(V278,'Tax Assumptions'!$F$9:$F$15,'Tax Assumptions'!$I$9:$I$15)+(V278-LOOKUP(V278,'Tax Assumptions'!$F$9:$F$15,'Tax Assumptions'!$F$9:$F$15))*LOOKUP(V278,'Tax Assumptions'!$F$9:$F$15,'Tax Assumptions'!$H$9:$H$15))+MIN(MAX(T278,0),'Tax Assumptions'!$B$11)*'Tax Assumptions'!$B$10+MAX(T278,0)*'Tax Assumptions'!$B$12+MAX(MAX(T278,0)-'Tax Assumptions'!$B$14,0)*'Tax Assumptions'!$B$13+MIN(T278*'Tax Assumptions'!$B$15,'Tax Assumptions'!$B$16)+MIN(T278*'Tax Assumptions'!$B$17,'Tax Assumptions'!$B$18)+IF(W278=0,0,LOOKUP(W278,'Tax Assumptions'!$K$9:$K$17,'Tax Assumptions'!$N$9:$N$17)+(W278-LOOKUP(W278,'Tax Assumptions'!$K$9:$K$17,'Tax Assumptions'!$K$9:$K$17))*LOOKUP(W278,'Tax Assumptions'!$K$9:$K$17,'Tax Assumptions'!$M$9:$M$17))+IF(W278=0,0,LOOKUP(W278,'Tax Assumptions'!$P$9:$P$12,'Tax Assumptions'!$S$9:$S$12)+(W278-LOOKUP(W278,'Tax Assumptions'!$P$9:$P$12,'Tax Assumptions'!$P$9:$P$12))*LOOKUP(W278,'Tax Assumptions'!$P$9:$P$12,'Tax Assumptions'!$R$9:$R$12))</f>
        <v>8070480.54</v>
      </c>
      <c r="Y278" s="230">
        <f t="shared" si="140"/>
        <v>7205019.46</v>
      </c>
      <c r="Z278" s="230">
        <f>IF(J278&lt;=10,INDEX('Savings Projection'!$BL$19:$BL$28,J278),LOOKUP(2,1/('Savings Projection'!$BL$19:$BL$28&lt;&gt;""),'Savings Projection'!$BL$19:$BL$28))*(1+'Model Inputs'!$B$35)^(J278-1)+IF(J278&lt;=10,INDEX('Savings Projection'!$BM$19:$BM$28,J278),LOOKUP(2,1/('Savings Projection'!$BM$19:$BM$28&lt;&gt;""),'Savings Projection'!$BM$19:$BM$28))*(1+'Model Inputs'!$B$36)^(J278-1)</f>
        <v>221316.29796118743</v>
      </c>
      <c r="AA278" s="230">
        <f t="shared" si="141"/>
        <v>6983703.1620388124</v>
      </c>
      <c r="AB278" s="230">
        <f>MIN(MAX(AA278,0),'Tax Assumptions'!$B$20)</f>
        <v>7500</v>
      </c>
      <c r="AC278" s="230">
        <f t="shared" si="142"/>
        <v>6976203.1620388124</v>
      </c>
      <c r="AD278" s="230">
        <f>MAX(AD277*(1+'Model Inputs'!$B$13)+AC278,0)</f>
        <v>132282414.24704498</v>
      </c>
      <c r="AE278" s="230">
        <f>MAX(AE277*(1+'Model Inputs'!$B$13)+U278+AB278,0)</f>
        <v>1080319.7344467151</v>
      </c>
      <c r="AF278" s="230">
        <f t="shared" si="143"/>
        <v>133362733.9814917</v>
      </c>
      <c r="AG278" s="226" t="str">
        <f t="shared" si="152"/>
        <v/>
      </c>
      <c r="AH278" s="226" t="str">
        <f t="shared" si="153"/>
        <v/>
      </c>
      <c r="AI278" s="226" t="str">
        <f t="shared" si="154"/>
        <v/>
      </c>
      <c r="AJ278" s="226" t="str">
        <f t="shared" si="155"/>
        <v/>
      </c>
    </row>
    <row r="279" spans="1:36" ht="18" customHeight="1" x14ac:dyDescent="0.2">
      <c r="A279" s="226" t="str">
        <f t="shared" si="144"/>
        <v>3Y -&gt; PM Y8 Tail</v>
      </c>
      <c r="B279" s="226">
        <f t="shared" si="145"/>
        <v>3</v>
      </c>
      <c r="C279" s="235">
        <f t="shared" si="146"/>
        <v>3</v>
      </c>
      <c r="D279" s="226">
        <f t="shared" si="147"/>
        <v>8</v>
      </c>
      <c r="E279" s="226" t="str">
        <f t="shared" si="148"/>
        <v>Tail</v>
      </c>
      <c r="F279" s="230">
        <f t="shared" si="149"/>
        <v>100000000</v>
      </c>
      <c r="G279" s="236">
        <f t="shared" si="150"/>
        <v>0.15</v>
      </c>
      <c r="H279" s="230">
        <f t="shared" si="151"/>
        <v>300000</v>
      </c>
      <c r="I279" s="236">
        <f t="shared" si="134"/>
        <v>0</v>
      </c>
      <c r="J279" s="234">
        <v>20</v>
      </c>
      <c r="K279" s="234">
        <f t="shared" si="135"/>
        <v>2045</v>
      </c>
      <c r="L279" s="230">
        <f>IF(J279=1,'Model Inputs'!$B$25*(13-'Model Inputs'!$B$23)/12,'Model Inputs'!$B$25)</f>
        <v>300000</v>
      </c>
      <c r="M279" s="230">
        <f>IF(J279=1,'Model Inputs'!$B$27*(13-'Model Inputs'!$B$23)/12,IF(J279=2,'Model Inputs'!$B$27,IF(J279&lt;=MAX(3,'Model Inputs'!$B$30+1),'Model Inputs'!$B$27*(1+'Model Inputs'!$B$28)^(J279-3),'Model Inputs'!$B$27*(1+'Model Inputs'!$B$28)^(MAX(3,'Model Inputs'!$B$30+1)-3)*(1+'Model Inputs'!$B$29)^(J279-MAX(3,'Model Inputs'!$B$30+1)))))</f>
        <v>34616139.762586243</v>
      </c>
      <c r="N279" s="236">
        <f>IF(J279&lt;=2,0,'Model Inputs'!$B$32*SIN(2*PI()*(J279-3+'Model Inputs'!$B$34)/MAX(1,'Model Inputs'!$B$33)))</f>
        <v>-0.10392304845413269</v>
      </c>
      <c r="O279" s="230">
        <f t="shared" si="136"/>
        <v>31018724.992743965</v>
      </c>
      <c r="P279" s="230">
        <f t="shared" si="156"/>
        <v>27909585.160209741</v>
      </c>
      <c r="Q279" s="230">
        <f>L279+P279+IF(J279=1,'Model Inputs'!$B$26,0)</f>
        <v>28209585.160209741</v>
      </c>
      <c r="R279" s="230">
        <f t="shared" si="137"/>
        <v>84628755.480629221</v>
      </c>
      <c r="S279" s="230">
        <f t="shared" si="138"/>
        <v>15300000</v>
      </c>
      <c r="T279" s="230">
        <f t="shared" si="139"/>
        <v>15300000</v>
      </c>
      <c r="U279" s="230">
        <f>MIN(T279,'Tax Assumptions'!$B$19)</f>
        <v>24500</v>
      </c>
      <c r="V279" s="230">
        <f>MAX(T279-U279-'Tax Assumptions'!$B$8,0)</f>
        <v>15259400</v>
      </c>
      <c r="W279" s="230">
        <f>MAX(T279-U279-'Tax Assumptions'!$B$9,0)</f>
        <v>15267500</v>
      </c>
      <c r="X279" s="230">
        <f>IF(V279=0,0,LOOKUP(V279,'Tax Assumptions'!$F$9:$F$15,'Tax Assumptions'!$I$9:$I$15)+(V279-LOOKUP(V279,'Tax Assumptions'!$F$9:$F$15,'Tax Assumptions'!$F$9:$F$15))*LOOKUP(V279,'Tax Assumptions'!$F$9:$F$15,'Tax Assumptions'!$H$9:$H$15))+MIN(MAX(T279,0),'Tax Assumptions'!$B$11)*'Tax Assumptions'!$B$10+MAX(T279,0)*'Tax Assumptions'!$B$12+MAX(MAX(T279,0)-'Tax Assumptions'!$B$14,0)*'Tax Assumptions'!$B$13+MIN(T279*'Tax Assumptions'!$B$15,'Tax Assumptions'!$B$16)+MIN(T279*'Tax Assumptions'!$B$17,'Tax Assumptions'!$B$18)+IF(W279=0,0,LOOKUP(W279,'Tax Assumptions'!$K$9:$K$17,'Tax Assumptions'!$N$9:$N$17)+(W279-LOOKUP(W279,'Tax Assumptions'!$K$9:$K$17,'Tax Assumptions'!$K$9:$K$17))*LOOKUP(W279,'Tax Assumptions'!$K$9:$K$17,'Tax Assumptions'!$M$9:$M$17))+IF(W279=0,0,LOOKUP(W279,'Tax Assumptions'!$P$9:$P$12,'Tax Assumptions'!$S$9:$S$12)+(W279-LOOKUP(W279,'Tax Assumptions'!$P$9:$P$12,'Tax Assumptions'!$P$9:$P$12))*LOOKUP(W279,'Tax Assumptions'!$P$9:$P$12,'Tax Assumptions'!$R$9:$R$12))</f>
        <v>8070480.54</v>
      </c>
      <c r="Y279" s="230">
        <f t="shared" si="140"/>
        <v>7205019.46</v>
      </c>
      <c r="Z279" s="230">
        <f>IF(J279&lt;=10,INDEX('Savings Projection'!$BL$19:$BL$28,J279),LOOKUP(2,1/('Savings Projection'!$BL$19:$BL$28&lt;&gt;""),'Savings Projection'!$BL$19:$BL$28))*(1+'Model Inputs'!$B$35)^(J279-1)+IF(J279&lt;=10,INDEX('Savings Projection'!$BM$19:$BM$28,J279),LOOKUP(2,1/('Savings Projection'!$BM$19:$BM$28&lt;&gt;""),'Savings Projection'!$BM$19:$BM$28))*(1+'Model Inputs'!$B$36)^(J279-1)</f>
        <v>227955.78690002306</v>
      </c>
      <c r="AA279" s="230">
        <f t="shared" si="141"/>
        <v>6977063.673099977</v>
      </c>
      <c r="AB279" s="230">
        <f>MIN(MAX(AA279,0),'Tax Assumptions'!$B$20)</f>
        <v>7500</v>
      </c>
      <c r="AC279" s="230">
        <f t="shared" si="142"/>
        <v>6969563.673099977</v>
      </c>
      <c r="AD279" s="230">
        <f>MAX(AD278*(1+'Model Inputs'!$B$13)+AC279,0)</f>
        <v>147188922.77496764</v>
      </c>
      <c r="AE279" s="230">
        <f>MAX(AE278*(1+'Model Inputs'!$B$13)+U279+AB279,0)</f>
        <v>1177138.9185135181</v>
      </c>
      <c r="AF279" s="230">
        <f t="shared" si="143"/>
        <v>148366061.69348115</v>
      </c>
      <c r="AG279" s="226" t="str">
        <f t="shared" si="152"/>
        <v/>
      </c>
      <c r="AH279" s="226" t="str">
        <f t="shared" si="153"/>
        <v/>
      </c>
      <c r="AI279" s="226" t="str">
        <f t="shared" si="154"/>
        <v/>
      </c>
      <c r="AJ279" s="226" t="str">
        <f t="shared" si="155"/>
        <v/>
      </c>
    </row>
    <row r="280" spans="1:36" ht="18" customHeight="1" x14ac:dyDescent="0.2">
      <c r="A280" s="226" t="str">
        <f t="shared" si="144"/>
        <v>3Y -&gt; PM Y8 Tail</v>
      </c>
      <c r="B280" s="226">
        <f t="shared" si="145"/>
        <v>3</v>
      </c>
      <c r="C280" s="235">
        <f t="shared" si="146"/>
        <v>3</v>
      </c>
      <c r="D280" s="226">
        <f t="shared" si="147"/>
        <v>8</v>
      </c>
      <c r="E280" s="226" t="str">
        <f t="shared" si="148"/>
        <v>Tail</v>
      </c>
      <c r="F280" s="230">
        <f t="shared" si="149"/>
        <v>100000000</v>
      </c>
      <c r="G280" s="236">
        <f t="shared" si="150"/>
        <v>0.15</v>
      </c>
      <c r="H280" s="230">
        <f t="shared" si="151"/>
        <v>300000</v>
      </c>
      <c r="I280" s="236">
        <f t="shared" si="134"/>
        <v>0</v>
      </c>
      <c r="J280" s="234">
        <v>21</v>
      </c>
      <c r="K280" s="234">
        <f t="shared" si="135"/>
        <v>2046</v>
      </c>
      <c r="L280" s="230">
        <f>IF(J280=1,'Model Inputs'!$B$25*(13-'Model Inputs'!$B$23)/12,'Model Inputs'!$B$25)</f>
        <v>300000</v>
      </c>
      <c r="M280" s="230">
        <f>IF(J280=1,'Model Inputs'!$B$27*(13-'Model Inputs'!$B$23)/12,IF(J280=2,'Model Inputs'!$B$27,IF(J280&lt;=MAX(3,'Model Inputs'!$B$30+1),'Model Inputs'!$B$27*(1+'Model Inputs'!$B$28)^(J280-3),'Model Inputs'!$B$27*(1+'Model Inputs'!$B$28)^(MAX(3,'Model Inputs'!$B$30+1)-3)*(1+'Model Inputs'!$B$29)^(J280-MAX(3,'Model Inputs'!$B$30+1)))))</f>
        <v>43992870.912849829</v>
      </c>
      <c r="N280" s="236">
        <f>IF(J280&lt;=2,0,'Model Inputs'!$B$32*SIN(2*PI()*(J280-3+'Model Inputs'!$B$34)/MAX(1,'Model Inputs'!$B$33)))</f>
        <v>-1.7634913907721884E-16</v>
      </c>
      <c r="O280" s="230">
        <f t="shared" si="136"/>
        <v>43992870.912849821</v>
      </c>
      <c r="P280" s="230">
        <f t="shared" si="156"/>
        <v>30781203.440388259</v>
      </c>
      <c r="Q280" s="230">
        <f>L280+P280+IF(J280=1,'Model Inputs'!$B$26,0)</f>
        <v>31081203.440388259</v>
      </c>
      <c r="R280" s="230">
        <f t="shared" si="137"/>
        <v>93243610.321164772</v>
      </c>
      <c r="S280" s="230">
        <f t="shared" si="138"/>
        <v>15300000</v>
      </c>
      <c r="T280" s="230">
        <f t="shared" si="139"/>
        <v>15300000</v>
      </c>
      <c r="U280" s="230">
        <f>MIN(T280,'Tax Assumptions'!$B$19)</f>
        <v>24500</v>
      </c>
      <c r="V280" s="230">
        <f>MAX(T280-U280-'Tax Assumptions'!$B$8,0)</f>
        <v>15259400</v>
      </c>
      <c r="W280" s="230">
        <f>MAX(T280-U280-'Tax Assumptions'!$B$9,0)</f>
        <v>15267500</v>
      </c>
      <c r="X280" s="230">
        <f>IF(V280=0,0,LOOKUP(V280,'Tax Assumptions'!$F$9:$F$15,'Tax Assumptions'!$I$9:$I$15)+(V280-LOOKUP(V280,'Tax Assumptions'!$F$9:$F$15,'Tax Assumptions'!$F$9:$F$15))*LOOKUP(V280,'Tax Assumptions'!$F$9:$F$15,'Tax Assumptions'!$H$9:$H$15))+MIN(MAX(T280,0),'Tax Assumptions'!$B$11)*'Tax Assumptions'!$B$10+MAX(T280,0)*'Tax Assumptions'!$B$12+MAX(MAX(T280,0)-'Tax Assumptions'!$B$14,0)*'Tax Assumptions'!$B$13+MIN(T280*'Tax Assumptions'!$B$15,'Tax Assumptions'!$B$16)+MIN(T280*'Tax Assumptions'!$B$17,'Tax Assumptions'!$B$18)+IF(W280=0,0,LOOKUP(W280,'Tax Assumptions'!$K$9:$K$17,'Tax Assumptions'!$N$9:$N$17)+(W280-LOOKUP(W280,'Tax Assumptions'!$K$9:$K$17,'Tax Assumptions'!$K$9:$K$17))*LOOKUP(W280,'Tax Assumptions'!$K$9:$K$17,'Tax Assumptions'!$M$9:$M$17))+IF(W280=0,0,LOOKUP(W280,'Tax Assumptions'!$P$9:$P$12,'Tax Assumptions'!$S$9:$S$12)+(W280-LOOKUP(W280,'Tax Assumptions'!$P$9:$P$12,'Tax Assumptions'!$P$9:$P$12))*LOOKUP(W280,'Tax Assumptions'!$P$9:$P$12,'Tax Assumptions'!$R$9:$R$12))</f>
        <v>8070480.54</v>
      </c>
      <c r="Y280" s="230">
        <f t="shared" si="140"/>
        <v>7205019.46</v>
      </c>
      <c r="Z280" s="230">
        <f>IF(J280&lt;=10,INDEX('Savings Projection'!$BL$19:$BL$28,J280),LOOKUP(2,1/('Savings Projection'!$BL$19:$BL$28&lt;&gt;""),'Savings Projection'!$BL$19:$BL$28))*(1+'Model Inputs'!$B$35)^(J280-1)+IF(J280&lt;=10,INDEX('Savings Projection'!$BM$19:$BM$28,J280),LOOKUP(2,1/('Savings Projection'!$BM$19:$BM$28&lt;&gt;""),'Savings Projection'!$BM$19:$BM$28))*(1+'Model Inputs'!$B$36)^(J280-1)</f>
        <v>234794.46050702373</v>
      </c>
      <c r="AA280" s="230">
        <f t="shared" si="141"/>
        <v>6970224.9994929759</v>
      </c>
      <c r="AB280" s="230">
        <f>MIN(MAX(AA280,0),'Tax Assumptions'!$B$20)</f>
        <v>7500</v>
      </c>
      <c r="AC280" s="230">
        <f t="shared" si="142"/>
        <v>6962724.9994929759</v>
      </c>
      <c r="AD280" s="230">
        <f>MAX(AD279*(1+'Model Inputs'!$B$13)+AC280,0)</f>
        <v>162982983.14095867</v>
      </c>
      <c r="AE280" s="230">
        <f>MAX(AE279*(1+'Model Inputs'!$B$13)+U280+AB280,0)</f>
        <v>1279767.2536243291</v>
      </c>
      <c r="AF280" s="230">
        <f t="shared" si="143"/>
        <v>164262750.39458299</v>
      </c>
      <c r="AG280" s="226" t="str">
        <f t="shared" si="152"/>
        <v/>
      </c>
      <c r="AH280" s="226" t="str">
        <f t="shared" si="153"/>
        <v/>
      </c>
      <c r="AI280" s="226" t="str">
        <f t="shared" si="154"/>
        <v/>
      </c>
      <c r="AJ280" s="226" t="str">
        <f t="shared" si="155"/>
        <v/>
      </c>
    </row>
    <row r="281" spans="1:36" ht="18" customHeight="1" x14ac:dyDescent="0.2">
      <c r="A281" s="226" t="str">
        <f t="shared" si="144"/>
        <v>3Y -&gt; PM Y8 Tail</v>
      </c>
      <c r="B281" s="226">
        <f t="shared" si="145"/>
        <v>3</v>
      </c>
      <c r="C281" s="235">
        <f t="shared" si="146"/>
        <v>3</v>
      </c>
      <c r="D281" s="226">
        <f t="shared" si="147"/>
        <v>8</v>
      </c>
      <c r="E281" s="226" t="str">
        <f t="shared" si="148"/>
        <v>Tail</v>
      </c>
      <c r="F281" s="230">
        <f t="shared" si="149"/>
        <v>100000000</v>
      </c>
      <c r="G281" s="236">
        <f t="shared" si="150"/>
        <v>0.15</v>
      </c>
      <c r="H281" s="230">
        <f t="shared" si="151"/>
        <v>300000</v>
      </c>
      <c r="I281" s="236">
        <f t="shared" si="134"/>
        <v>0</v>
      </c>
      <c r="J281" s="234">
        <v>22</v>
      </c>
      <c r="K281" s="234">
        <f t="shared" si="135"/>
        <v>2047</v>
      </c>
      <c r="L281" s="230">
        <f>IF(J281=1,'Model Inputs'!$B$25*(13-'Model Inputs'!$B$23)/12,'Model Inputs'!$B$25)</f>
        <v>300000</v>
      </c>
      <c r="M281" s="230">
        <f>IF(J281=1,'Model Inputs'!$B$27*(13-'Model Inputs'!$B$23)/12,IF(J281=2,'Model Inputs'!$B$27,IF(J281&lt;=MAX(3,'Model Inputs'!$B$30+1),'Model Inputs'!$B$27*(1+'Model Inputs'!$B$28)^(J281-3),'Model Inputs'!$B$27*(1+'Model Inputs'!$B$28)^(MAX(3,'Model Inputs'!$B$30+1)-3)*(1+'Model Inputs'!$B$29)^(J281-MAX(3,'Model Inputs'!$B$30+1)))))</f>
        <v>55909546.9462616</v>
      </c>
      <c r="N281" s="236">
        <f>IF(J281&lt;=2,0,'Model Inputs'!$B$32*SIN(2*PI()*(J281-3+'Model Inputs'!$B$34)/MAX(1,'Model Inputs'!$B$33)))</f>
        <v>0.10392304845413287</v>
      </c>
      <c r="O281" s="230">
        <f t="shared" si="136"/>
        <v>61719837.502606563</v>
      </c>
      <c r="P281" s="230">
        <f t="shared" si="156"/>
        <v>40749334.43282336</v>
      </c>
      <c r="Q281" s="230">
        <f>L281+P281+IF(J281=1,'Model Inputs'!$B$26,0)</f>
        <v>41049334.43282336</v>
      </c>
      <c r="R281" s="230">
        <f t="shared" si="137"/>
        <v>123148003.29847008</v>
      </c>
      <c r="S281" s="230">
        <f t="shared" si="138"/>
        <v>15300000</v>
      </c>
      <c r="T281" s="230">
        <f t="shared" si="139"/>
        <v>15300000</v>
      </c>
      <c r="U281" s="230">
        <f>MIN(T281,'Tax Assumptions'!$B$19)</f>
        <v>24500</v>
      </c>
      <c r="V281" s="230">
        <f>MAX(T281-U281-'Tax Assumptions'!$B$8,0)</f>
        <v>15259400</v>
      </c>
      <c r="W281" s="230">
        <f>MAX(T281-U281-'Tax Assumptions'!$B$9,0)</f>
        <v>15267500</v>
      </c>
      <c r="X281" s="230">
        <f>IF(V281=0,0,LOOKUP(V281,'Tax Assumptions'!$F$9:$F$15,'Tax Assumptions'!$I$9:$I$15)+(V281-LOOKUP(V281,'Tax Assumptions'!$F$9:$F$15,'Tax Assumptions'!$F$9:$F$15))*LOOKUP(V281,'Tax Assumptions'!$F$9:$F$15,'Tax Assumptions'!$H$9:$H$15))+MIN(MAX(T281,0),'Tax Assumptions'!$B$11)*'Tax Assumptions'!$B$10+MAX(T281,0)*'Tax Assumptions'!$B$12+MAX(MAX(T281,0)-'Tax Assumptions'!$B$14,0)*'Tax Assumptions'!$B$13+MIN(T281*'Tax Assumptions'!$B$15,'Tax Assumptions'!$B$16)+MIN(T281*'Tax Assumptions'!$B$17,'Tax Assumptions'!$B$18)+IF(W281=0,0,LOOKUP(W281,'Tax Assumptions'!$K$9:$K$17,'Tax Assumptions'!$N$9:$N$17)+(W281-LOOKUP(W281,'Tax Assumptions'!$K$9:$K$17,'Tax Assumptions'!$K$9:$K$17))*LOOKUP(W281,'Tax Assumptions'!$K$9:$K$17,'Tax Assumptions'!$M$9:$M$17))+IF(W281=0,0,LOOKUP(W281,'Tax Assumptions'!$P$9:$P$12,'Tax Assumptions'!$S$9:$S$12)+(W281-LOOKUP(W281,'Tax Assumptions'!$P$9:$P$12,'Tax Assumptions'!$P$9:$P$12))*LOOKUP(W281,'Tax Assumptions'!$P$9:$P$12,'Tax Assumptions'!$R$9:$R$12))</f>
        <v>8070480.54</v>
      </c>
      <c r="Y281" s="230">
        <f t="shared" si="140"/>
        <v>7205019.46</v>
      </c>
      <c r="Z281" s="230">
        <f>IF(J281&lt;=10,INDEX('Savings Projection'!$BL$19:$BL$28,J281),LOOKUP(2,1/('Savings Projection'!$BL$19:$BL$28&lt;&gt;""),'Savings Projection'!$BL$19:$BL$28))*(1+'Model Inputs'!$B$35)^(J281-1)+IF(J281&lt;=10,INDEX('Savings Projection'!$BM$19:$BM$28,J281),LOOKUP(2,1/('Savings Projection'!$BM$19:$BM$28&lt;&gt;""),'Savings Projection'!$BM$19:$BM$28))*(1+'Model Inputs'!$B$36)^(J281-1)</f>
        <v>241838.2943222344</v>
      </c>
      <c r="AA281" s="230">
        <f t="shared" si="141"/>
        <v>6963181.1656777654</v>
      </c>
      <c r="AB281" s="230">
        <f>MIN(MAX(AA281,0),'Tax Assumptions'!$B$20)</f>
        <v>7500</v>
      </c>
      <c r="AC281" s="230">
        <f t="shared" si="142"/>
        <v>6955681.1656777654</v>
      </c>
      <c r="AD281" s="230">
        <f>MAX(AD280*(1+'Model Inputs'!$B$13)+AC281,0)</f>
        <v>179717643.29509395</v>
      </c>
      <c r="AE281" s="230">
        <f>MAX(AE280*(1+'Model Inputs'!$B$13)+U281+AB281,0)</f>
        <v>1388553.2888417889</v>
      </c>
      <c r="AF281" s="230">
        <f t="shared" si="143"/>
        <v>181106196.58393574</v>
      </c>
      <c r="AG281" s="226" t="str">
        <f t="shared" si="152"/>
        <v/>
      </c>
      <c r="AH281" s="226" t="str">
        <f t="shared" si="153"/>
        <v/>
      </c>
      <c r="AI281" s="226" t="str">
        <f t="shared" si="154"/>
        <v/>
      </c>
      <c r="AJ281" s="226" t="str">
        <f t="shared" si="155"/>
        <v/>
      </c>
    </row>
    <row r="282" spans="1:36" ht="18" customHeight="1" x14ac:dyDescent="0.2">
      <c r="A282" s="226" t="str">
        <f t="shared" si="144"/>
        <v>3Y -&gt; PM Y8 Tail</v>
      </c>
      <c r="B282" s="226">
        <f t="shared" si="145"/>
        <v>3</v>
      </c>
      <c r="C282" s="235">
        <f t="shared" si="146"/>
        <v>3</v>
      </c>
      <c r="D282" s="226">
        <f t="shared" si="147"/>
        <v>8</v>
      </c>
      <c r="E282" s="226" t="str">
        <f t="shared" si="148"/>
        <v>Tail</v>
      </c>
      <c r="F282" s="230">
        <f t="shared" si="149"/>
        <v>100000000</v>
      </c>
      <c r="G282" s="236">
        <f t="shared" si="150"/>
        <v>0.15</v>
      </c>
      <c r="H282" s="230">
        <f t="shared" si="151"/>
        <v>300000</v>
      </c>
      <c r="I282" s="236">
        <f t="shared" si="134"/>
        <v>0</v>
      </c>
      <c r="J282" s="234">
        <v>23</v>
      </c>
      <c r="K282" s="234">
        <f t="shared" si="135"/>
        <v>2048</v>
      </c>
      <c r="L282" s="230">
        <f>IF(J282=1,'Model Inputs'!$B$25*(13-'Model Inputs'!$B$23)/12,'Model Inputs'!$B$25)</f>
        <v>300000</v>
      </c>
      <c r="M282" s="230">
        <f>IF(J282=1,'Model Inputs'!$B$27*(13-'Model Inputs'!$B$23)/12,IF(J282=2,'Model Inputs'!$B$27,IF(J282&lt;=MAX(3,'Model Inputs'!$B$30+1),'Model Inputs'!$B$27*(1+'Model Inputs'!$B$28)^(J282-3),'Model Inputs'!$B$27*(1+'Model Inputs'!$B$28)^(MAX(3,'Model Inputs'!$B$30+1)-3)*(1+'Model Inputs'!$B$29)^(J282-MAX(3,'Model Inputs'!$B$30+1)))))</f>
        <v>71054181.617940187</v>
      </c>
      <c r="N282" s="236">
        <f>IF(J282&lt;=2,0,'Model Inputs'!$B$32*SIN(2*PI()*(J282-3+'Model Inputs'!$B$34)/MAX(1,'Model Inputs'!$B$33)))</f>
        <v>-0.10392304845413268</v>
      </c>
      <c r="O282" s="230">
        <f t="shared" si="136"/>
        <v>63670014.458790243</v>
      </c>
      <c r="P282" s="230">
        <f t="shared" si="156"/>
        <v>57288095.855167374</v>
      </c>
      <c r="Q282" s="230">
        <f>L282+P282+IF(J282=1,'Model Inputs'!$B$26,0)</f>
        <v>57588095.855167374</v>
      </c>
      <c r="R282" s="230">
        <f t="shared" si="137"/>
        <v>172764287.56550211</v>
      </c>
      <c r="S282" s="230">
        <f t="shared" si="138"/>
        <v>15300000</v>
      </c>
      <c r="T282" s="230">
        <f t="shared" si="139"/>
        <v>15300000</v>
      </c>
      <c r="U282" s="230">
        <f>MIN(T282,'Tax Assumptions'!$B$19)</f>
        <v>24500</v>
      </c>
      <c r="V282" s="230">
        <f>MAX(T282-U282-'Tax Assumptions'!$B$8,0)</f>
        <v>15259400</v>
      </c>
      <c r="W282" s="230">
        <f>MAX(T282-U282-'Tax Assumptions'!$B$9,0)</f>
        <v>15267500</v>
      </c>
      <c r="X282" s="230">
        <f>IF(V282=0,0,LOOKUP(V282,'Tax Assumptions'!$F$9:$F$15,'Tax Assumptions'!$I$9:$I$15)+(V282-LOOKUP(V282,'Tax Assumptions'!$F$9:$F$15,'Tax Assumptions'!$F$9:$F$15))*LOOKUP(V282,'Tax Assumptions'!$F$9:$F$15,'Tax Assumptions'!$H$9:$H$15))+MIN(MAX(T282,0),'Tax Assumptions'!$B$11)*'Tax Assumptions'!$B$10+MAX(T282,0)*'Tax Assumptions'!$B$12+MAX(MAX(T282,0)-'Tax Assumptions'!$B$14,0)*'Tax Assumptions'!$B$13+MIN(T282*'Tax Assumptions'!$B$15,'Tax Assumptions'!$B$16)+MIN(T282*'Tax Assumptions'!$B$17,'Tax Assumptions'!$B$18)+IF(W282=0,0,LOOKUP(W282,'Tax Assumptions'!$K$9:$K$17,'Tax Assumptions'!$N$9:$N$17)+(W282-LOOKUP(W282,'Tax Assumptions'!$K$9:$K$17,'Tax Assumptions'!$K$9:$K$17))*LOOKUP(W282,'Tax Assumptions'!$K$9:$K$17,'Tax Assumptions'!$M$9:$M$17))+IF(W282=0,0,LOOKUP(W282,'Tax Assumptions'!$P$9:$P$12,'Tax Assumptions'!$S$9:$S$12)+(W282-LOOKUP(W282,'Tax Assumptions'!$P$9:$P$12,'Tax Assumptions'!$P$9:$P$12))*LOOKUP(W282,'Tax Assumptions'!$P$9:$P$12,'Tax Assumptions'!$R$9:$R$12))</f>
        <v>8070480.54</v>
      </c>
      <c r="Y282" s="230">
        <f t="shared" si="140"/>
        <v>7205019.46</v>
      </c>
      <c r="Z282" s="230">
        <f>IF(J282&lt;=10,INDEX('Savings Projection'!$BL$19:$BL$28,J282),LOOKUP(2,1/('Savings Projection'!$BL$19:$BL$28&lt;&gt;""),'Savings Projection'!$BL$19:$BL$28))*(1+'Model Inputs'!$B$35)^(J282-1)+IF(J282&lt;=10,INDEX('Savings Projection'!$BM$19:$BM$28,J282),LOOKUP(2,1/('Savings Projection'!$BM$19:$BM$28&lt;&gt;""),'Savings Projection'!$BM$19:$BM$28))*(1+'Model Inputs'!$B$36)^(J282-1)</f>
        <v>249093.44315190148</v>
      </c>
      <c r="AA282" s="230">
        <f t="shared" si="141"/>
        <v>6955926.0168480985</v>
      </c>
      <c r="AB282" s="230">
        <f>MIN(MAX(AA282,0),'Tax Assumptions'!$B$20)</f>
        <v>7500</v>
      </c>
      <c r="AC282" s="230">
        <f t="shared" si="142"/>
        <v>6948426.0168480985</v>
      </c>
      <c r="AD282" s="230">
        <f>MAX(AD281*(1+'Model Inputs'!$B$13)+AC282,0)</f>
        <v>197449127.90964767</v>
      </c>
      <c r="AE282" s="230">
        <f>MAX(AE281*(1+'Model Inputs'!$B$13)+U282+AB282,0)</f>
        <v>1503866.4861722963</v>
      </c>
      <c r="AF282" s="230">
        <f t="shared" si="143"/>
        <v>198952994.39581996</v>
      </c>
      <c r="AG282" s="226" t="str">
        <f t="shared" si="152"/>
        <v/>
      </c>
      <c r="AH282" s="226" t="str">
        <f t="shared" si="153"/>
        <v/>
      </c>
      <c r="AI282" s="226" t="str">
        <f t="shared" si="154"/>
        <v/>
      </c>
      <c r="AJ282" s="226" t="str">
        <f t="shared" si="155"/>
        <v/>
      </c>
    </row>
    <row r="283" spans="1:36" ht="18" customHeight="1" x14ac:dyDescent="0.2">
      <c r="A283" s="226" t="str">
        <f t="shared" si="144"/>
        <v>3Y -&gt; PM Y8 Tail</v>
      </c>
      <c r="B283" s="226">
        <f t="shared" si="145"/>
        <v>3</v>
      </c>
      <c r="C283" s="235">
        <f t="shared" si="146"/>
        <v>3</v>
      </c>
      <c r="D283" s="226">
        <f t="shared" si="147"/>
        <v>8</v>
      </c>
      <c r="E283" s="226" t="str">
        <f t="shared" si="148"/>
        <v>Tail</v>
      </c>
      <c r="F283" s="230">
        <f t="shared" si="149"/>
        <v>100000000</v>
      </c>
      <c r="G283" s="236">
        <f t="shared" si="150"/>
        <v>0.15</v>
      </c>
      <c r="H283" s="230">
        <f t="shared" si="151"/>
        <v>300000</v>
      </c>
      <c r="I283" s="236">
        <f t="shared" si="134"/>
        <v>0</v>
      </c>
      <c r="J283" s="234">
        <v>24</v>
      </c>
      <c r="K283" s="234">
        <f t="shared" si="135"/>
        <v>2049</v>
      </c>
      <c r="L283" s="230">
        <f>IF(J283=1,'Model Inputs'!$B$25*(13-'Model Inputs'!$B$23)/12,'Model Inputs'!$B$25)</f>
        <v>300000</v>
      </c>
      <c r="M283" s="230">
        <f>IF(J283=1,'Model Inputs'!$B$27*(13-'Model Inputs'!$B$23)/12,IF(J283=2,'Model Inputs'!$B$27,IF(J283&lt;=MAX(3,'Model Inputs'!$B$30+1),'Model Inputs'!$B$27*(1+'Model Inputs'!$B$28)^(J283-3),'Model Inputs'!$B$27*(1+'Model Inputs'!$B$28)^(MAX(3,'Model Inputs'!$B$30+1)-3)*(1+'Model Inputs'!$B$29)^(J283-MAX(3,'Model Inputs'!$B$30+1)))))</f>
        <v>90301156.084270701</v>
      </c>
      <c r="N283" s="236">
        <f>IF(J283&lt;=2,0,'Model Inputs'!$B$32*SIN(2*PI()*(J283-3+'Model Inputs'!$B$34)/MAX(1,'Model Inputs'!$B$33)))</f>
        <v>-2.0574066225675533E-16</v>
      </c>
      <c r="O283" s="230">
        <f t="shared" si="136"/>
        <v>90301156.084270686</v>
      </c>
      <c r="P283" s="230">
        <f t="shared" si="156"/>
        <v>63182470.219744325</v>
      </c>
      <c r="Q283" s="230">
        <f>L283+P283+IF(J283=1,'Model Inputs'!$B$26,0)</f>
        <v>63482470.219744325</v>
      </c>
      <c r="R283" s="230">
        <f t="shared" si="137"/>
        <v>190447410.65923297</v>
      </c>
      <c r="S283" s="230">
        <f t="shared" si="138"/>
        <v>15300000</v>
      </c>
      <c r="T283" s="230">
        <f t="shared" si="139"/>
        <v>15300000</v>
      </c>
      <c r="U283" s="230">
        <f>MIN(T283,'Tax Assumptions'!$B$19)</f>
        <v>24500</v>
      </c>
      <c r="V283" s="230">
        <f>MAX(T283-U283-'Tax Assumptions'!$B$8,0)</f>
        <v>15259400</v>
      </c>
      <c r="W283" s="230">
        <f>MAX(T283-U283-'Tax Assumptions'!$B$9,0)</f>
        <v>15267500</v>
      </c>
      <c r="X283" s="230">
        <f>IF(V283=0,0,LOOKUP(V283,'Tax Assumptions'!$F$9:$F$15,'Tax Assumptions'!$I$9:$I$15)+(V283-LOOKUP(V283,'Tax Assumptions'!$F$9:$F$15,'Tax Assumptions'!$F$9:$F$15))*LOOKUP(V283,'Tax Assumptions'!$F$9:$F$15,'Tax Assumptions'!$H$9:$H$15))+MIN(MAX(T283,0),'Tax Assumptions'!$B$11)*'Tax Assumptions'!$B$10+MAX(T283,0)*'Tax Assumptions'!$B$12+MAX(MAX(T283,0)-'Tax Assumptions'!$B$14,0)*'Tax Assumptions'!$B$13+MIN(T283*'Tax Assumptions'!$B$15,'Tax Assumptions'!$B$16)+MIN(T283*'Tax Assumptions'!$B$17,'Tax Assumptions'!$B$18)+IF(W283=0,0,LOOKUP(W283,'Tax Assumptions'!$K$9:$K$17,'Tax Assumptions'!$N$9:$N$17)+(W283-LOOKUP(W283,'Tax Assumptions'!$K$9:$K$17,'Tax Assumptions'!$K$9:$K$17))*LOOKUP(W283,'Tax Assumptions'!$K$9:$K$17,'Tax Assumptions'!$M$9:$M$17))+IF(W283=0,0,LOOKUP(W283,'Tax Assumptions'!$P$9:$P$12,'Tax Assumptions'!$S$9:$S$12)+(W283-LOOKUP(W283,'Tax Assumptions'!$P$9:$P$12,'Tax Assumptions'!$P$9:$P$12))*LOOKUP(W283,'Tax Assumptions'!$P$9:$P$12,'Tax Assumptions'!$R$9:$R$12))</f>
        <v>8070480.54</v>
      </c>
      <c r="Y283" s="230">
        <f t="shared" si="140"/>
        <v>7205019.46</v>
      </c>
      <c r="Z283" s="230">
        <f>IF(J283&lt;=10,INDEX('Savings Projection'!$BL$19:$BL$28,J283),LOOKUP(2,1/('Savings Projection'!$BL$19:$BL$28&lt;&gt;""),'Savings Projection'!$BL$19:$BL$28))*(1+'Model Inputs'!$B$35)^(J283-1)+IF(J283&lt;=10,INDEX('Savings Projection'!$BM$19:$BM$28,J283),LOOKUP(2,1/('Savings Projection'!$BM$19:$BM$28&lt;&gt;""),'Savings Projection'!$BM$19:$BM$28))*(1+'Model Inputs'!$B$36)^(J283-1)</f>
        <v>256566.24644645851</v>
      </c>
      <c r="AA283" s="230">
        <f t="shared" si="141"/>
        <v>6948453.2135535413</v>
      </c>
      <c r="AB283" s="230">
        <f>MIN(MAX(AA283,0),'Tax Assumptions'!$B$20)</f>
        <v>7500</v>
      </c>
      <c r="AC283" s="230">
        <f t="shared" si="142"/>
        <v>6940953.2135535413</v>
      </c>
      <c r="AD283" s="230">
        <f>MAX(AD282*(1+'Model Inputs'!$B$13)+AC283,0)</f>
        <v>216237028.7977801</v>
      </c>
      <c r="AE283" s="230">
        <f>MAX(AE282*(1+'Model Inputs'!$B$13)+U283+AB283,0)</f>
        <v>1626098.4753426341</v>
      </c>
      <c r="AF283" s="230">
        <f t="shared" si="143"/>
        <v>217863127.27312273</v>
      </c>
      <c r="AG283" s="226" t="str">
        <f t="shared" si="152"/>
        <v/>
      </c>
      <c r="AH283" s="226" t="str">
        <f t="shared" si="153"/>
        <v/>
      </c>
      <c r="AI283" s="226" t="str">
        <f t="shared" si="154"/>
        <v/>
      </c>
      <c r="AJ283" s="226" t="str">
        <f t="shared" si="155"/>
        <v/>
      </c>
    </row>
    <row r="284" spans="1:36" ht="18" customHeight="1" x14ac:dyDescent="0.2">
      <c r="A284" s="226" t="str">
        <f t="shared" si="144"/>
        <v>3Y -&gt; PM Y8 Tail</v>
      </c>
      <c r="B284" s="226">
        <f t="shared" si="145"/>
        <v>3</v>
      </c>
      <c r="C284" s="235">
        <f t="shared" si="146"/>
        <v>3</v>
      </c>
      <c r="D284" s="226">
        <f t="shared" si="147"/>
        <v>8</v>
      </c>
      <c r="E284" s="226" t="str">
        <f t="shared" si="148"/>
        <v>Tail</v>
      </c>
      <c r="F284" s="230">
        <f t="shared" si="149"/>
        <v>100000000</v>
      </c>
      <c r="G284" s="236">
        <f t="shared" si="150"/>
        <v>0.15</v>
      </c>
      <c r="H284" s="230">
        <f t="shared" si="151"/>
        <v>300000</v>
      </c>
      <c r="I284" s="236">
        <f t="shared" si="134"/>
        <v>0</v>
      </c>
      <c r="J284" s="234">
        <v>25</v>
      </c>
      <c r="K284" s="234">
        <f t="shared" si="135"/>
        <v>2050</v>
      </c>
      <c r="L284" s="230">
        <f>IF(J284=1,'Model Inputs'!$B$25*(13-'Model Inputs'!$B$23)/12,'Model Inputs'!$B$25)</f>
        <v>300000</v>
      </c>
      <c r="M284" s="230">
        <f>IF(J284=1,'Model Inputs'!$B$27*(13-'Model Inputs'!$B$23)/12,IF(J284=2,'Model Inputs'!$B$27,IF(J284&lt;=MAX(3,'Model Inputs'!$B$30+1),'Model Inputs'!$B$27*(1+'Model Inputs'!$B$28)^(J284-3),'Model Inputs'!$B$27*(1+'Model Inputs'!$B$28)^(MAX(3,'Model Inputs'!$B$30+1)-3)*(1+'Model Inputs'!$B$29)^(J284-MAX(3,'Model Inputs'!$B$30+1)))))</f>
        <v>114761701.62653697</v>
      </c>
      <c r="N284" s="236">
        <f>IF(J284&lt;=2,0,'Model Inputs'!$B$32*SIN(2*PI()*(J284-3+'Model Inputs'!$B$34)/MAX(1,'Model Inputs'!$B$33)))</f>
        <v>0.10392304845413287</v>
      </c>
      <c r="O284" s="230">
        <f t="shared" si="136"/>
        <v>126688087.50535031</v>
      </c>
      <c r="P284" s="230">
        <f t="shared" si="156"/>
        <v>83643370.677900568</v>
      </c>
      <c r="Q284" s="230">
        <f>L284+P284+IF(J284=1,'Model Inputs'!$B$26,0)</f>
        <v>83943370.677900568</v>
      </c>
      <c r="R284" s="230">
        <f t="shared" si="137"/>
        <v>251830112.03370172</v>
      </c>
      <c r="S284" s="230">
        <f t="shared" si="138"/>
        <v>15300000</v>
      </c>
      <c r="T284" s="230">
        <f t="shared" si="139"/>
        <v>15300000</v>
      </c>
      <c r="U284" s="230">
        <f>MIN(T284,'Tax Assumptions'!$B$19)</f>
        <v>24500</v>
      </c>
      <c r="V284" s="230">
        <f>MAX(T284-U284-'Tax Assumptions'!$B$8,0)</f>
        <v>15259400</v>
      </c>
      <c r="W284" s="230">
        <f>MAX(T284-U284-'Tax Assumptions'!$B$9,0)</f>
        <v>15267500</v>
      </c>
      <c r="X284" s="230">
        <f>IF(V284=0,0,LOOKUP(V284,'Tax Assumptions'!$F$9:$F$15,'Tax Assumptions'!$I$9:$I$15)+(V284-LOOKUP(V284,'Tax Assumptions'!$F$9:$F$15,'Tax Assumptions'!$F$9:$F$15))*LOOKUP(V284,'Tax Assumptions'!$F$9:$F$15,'Tax Assumptions'!$H$9:$H$15))+MIN(MAX(T284,0),'Tax Assumptions'!$B$11)*'Tax Assumptions'!$B$10+MAX(T284,0)*'Tax Assumptions'!$B$12+MAX(MAX(T284,0)-'Tax Assumptions'!$B$14,0)*'Tax Assumptions'!$B$13+MIN(T284*'Tax Assumptions'!$B$15,'Tax Assumptions'!$B$16)+MIN(T284*'Tax Assumptions'!$B$17,'Tax Assumptions'!$B$18)+IF(W284=0,0,LOOKUP(W284,'Tax Assumptions'!$K$9:$K$17,'Tax Assumptions'!$N$9:$N$17)+(W284-LOOKUP(W284,'Tax Assumptions'!$K$9:$K$17,'Tax Assumptions'!$K$9:$K$17))*LOOKUP(W284,'Tax Assumptions'!$K$9:$K$17,'Tax Assumptions'!$M$9:$M$17))+IF(W284=0,0,LOOKUP(W284,'Tax Assumptions'!$P$9:$P$12,'Tax Assumptions'!$S$9:$S$12)+(W284-LOOKUP(W284,'Tax Assumptions'!$P$9:$P$12,'Tax Assumptions'!$P$9:$P$12))*LOOKUP(W284,'Tax Assumptions'!$P$9:$P$12,'Tax Assumptions'!$R$9:$R$12))</f>
        <v>8070480.54</v>
      </c>
      <c r="Y284" s="230">
        <f t="shared" si="140"/>
        <v>7205019.46</v>
      </c>
      <c r="Z284" s="230">
        <f>IF(J284&lt;=10,INDEX('Savings Projection'!$BL$19:$BL$28,J284),LOOKUP(2,1/('Savings Projection'!$BL$19:$BL$28&lt;&gt;""),'Savings Projection'!$BL$19:$BL$28))*(1+'Model Inputs'!$B$35)^(J284-1)+IF(J284&lt;=10,INDEX('Savings Projection'!$BM$19:$BM$28,J284),LOOKUP(2,1/('Savings Projection'!$BM$19:$BM$28&lt;&gt;""),'Savings Projection'!$BM$19:$BM$28))*(1+'Model Inputs'!$B$36)^(J284-1)</f>
        <v>264263.23383985227</v>
      </c>
      <c r="AA284" s="230">
        <f t="shared" si="141"/>
        <v>6940756.2261601482</v>
      </c>
      <c r="AB284" s="230">
        <f>MIN(MAX(AA284,0),'Tax Assumptions'!$B$20)</f>
        <v>7500</v>
      </c>
      <c r="AC284" s="230">
        <f t="shared" si="142"/>
        <v>6933256.2261601482</v>
      </c>
      <c r="AD284" s="230">
        <f>MAX(AD283*(1+'Model Inputs'!$B$13)+AC284,0)</f>
        <v>236144506.75180706</v>
      </c>
      <c r="AE284" s="230">
        <f>MAX(AE283*(1+'Model Inputs'!$B$13)+U284+AB284,0)</f>
        <v>1755664.3838631923</v>
      </c>
      <c r="AF284" s="230">
        <f t="shared" si="143"/>
        <v>237900171.13567024</v>
      </c>
      <c r="AG284" s="226" t="str">
        <f t="shared" si="152"/>
        <v/>
      </c>
      <c r="AH284" s="226" t="str">
        <f t="shared" si="153"/>
        <v/>
      </c>
      <c r="AI284" s="226" t="str">
        <f t="shared" si="154"/>
        <v/>
      </c>
      <c r="AJ284" s="226" t="str">
        <f t="shared" si="155"/>
        <v/>
      </c>
    </row>
    <row r="285" spans="1:36" ht="18" customHeight="1" x14ac:dyDescent="0.2">
      <c r="A285" s="226" t="str">
        <f t="shared" si="144"/>
        <v>3Y -&gt; PM Y8 Tail</v>
      </c>
      <c r="B285" s="226">
        <f t="shared" si="145"/>
        <v>3</v>
      </c>
      <c r="C285" s="235">
        <f t="shared" si="146"/>
        <v>3</v>
      </c>
      <c r="D285" s="226">
        <f t="shared" si="147"/>
        <v>8</v>
      </c>
      <c r="E285" s="226" t="str">
        <f t="shared" si="148"/>
        <v>Tail</v>
      </c>
      <c r="F285" s="230">
        <f t="shared" si="149"/>
        <v>100000000</v>
      </c>
      <c r="G285" s="236">
        <f t="shared" si="150"/>
        <v>0.15</v>
      </c>
      <c r="H285" s="230">
        <f t="shared" si="151"/>
        <v>300000</v>
      </c>
      <c r="I285" s="236">
        <f t="shared" si="134"/>
        <v>0</v>
      </c>
      <c r="J285" s="234">
        <v>26</v>
      </c>
      <c r="K285" s="234">
        <f t="shared" si="135"/>
        <v>2051</v>
      </c>
      <c r="L285" s="230">
        <f>IF(J285=1,'Model Inputs'!$B$25*(13-'Model Inputs'!$B$23)/12,'Model Inputs'!$B$25)</f>
        <v>300000</v>
      </c>
      <c r="M285" s="230">
        <f>IF(J285=1,'Model Inputs'!$B$27*(13-'Model Inputs'!$B$23)/12,IF(J285=2,'Model Inputs'!$B$27,IF(J285&lt;=MAX(3,'Model Inputs'!$B$30+1),'Model Inputs'!$B$27*(1+'Model Inputs'!$B$28)^(J285-3),'Model Inputs'!$B$27*(1+'Model Inputs'!$B$28)^(MAX(3,'Model Inputs'!$B$30+1)-3)*(1+'Model Inputs'!$B$29)^(J285-MAX(3,'Model Inputs'!$B$30+1)))))</f>
        <v>145848057.00524563</v>
      </c>
      <c r="N285" s="236">
        <f>IF(J285&lt;=2,0,'Model Inputs'!$B$32*SIN(2*PI()*(J285-3+'Model Inputs'!$B$34)/MAX(1,'Model Inputs'!$B$33)))</f>
        <v>-0.10392304845413224</v>
      </c>
      <c r="O285" s="230">
        <f t="shared" si="136"/>
        <v>130691082.31014845</v>
      </c>
      <c r="P285" s="230">
        <f t="shared" si="156"/>
        <v>117591354.65008041</v>
      </c>
      <c r="Q285" s="230">
        <f>L285+P285+IF(J285=1,'Model Inputs'!$B$26,0)</f>
        <v>117891354.65008041</v>
      </c>
      <c r="R285" s="230">
        <f t="shared" si="137"/>
        <v>353674063.95024121</v>
      </c>
      <c r="S285" s="230">
        <f t="shared" si="138"/>
        <v>15300000</v>
      </c>
      <c r="T285" s="230">
        <f t="shared" si="139"/>
        <v>15300000</v>
      </c>
      <c r="U285" s="230">
        <f>MIN(T285,'Tax Assumptions'!$B$19)</f>
        <v>24500</v>
      </c>
      <c r="V285" s="230">
        <f>MAX(T285-U285-'Tax Assumptions'!$B$8,0)</f>
        <v>15259400</v>
      </c>
      <c r="W285" s="230">
        <f>MAX(T285-U285-'Tax Assumptions'!$B$9,0)</f>
        <v>15267500</v>
      </c>
      <c r="X285" s="230">
        <f>IF(V285=0,0,LOOKUP(V285,'Tax Assumptions'!$F$9:$F$15,'Tax Assumptions'!$I$9:$I$15)+(V285-LOOKUP(V285,'Tax Assumptions'!$F$9:$F$15,'Tax Assumptions'!$F$9:$F$15))*LOOKUP(V285,'Tax Assumptions'!$F$9:$F$15,'Tax Assumptions'!$H$9:$H$15))+MIN(MAX(T285,0),'Tax Assumptions'!$B$11)*'Tax Assumptions'!$B$10+MAX(T285,0)*'Tax Assumptions'!$B$12+MAX(MAX(T285,0)-'Tax Assumptions'!$B$14,0)*'Tax Assumptions'!$B$13+MIN(T285*'Tax Assumptions'!$B$15,'Tax Assumptions'!$B$16)+MIN(T285*'Tax Assumptions'!$B$17,'Tax Assumptions'!$B$18)+IF(W285=0,0,LOOKUP(W285,'Tax Assumptions'!$K$9:$K$17,'Tax Assumptions'!$N$9:$N$17)+(W285-LOOKUP(W285,'Tax Assumptions'!$K$9:$K$17,'Tax Assumptions'!$K$9:$K$17))*LOOKUP(W285,'Tax Assumptions'!$K$9:$K$17,'Tax Assumptions'!$M$9:$M$17))+IF(W285=0,0,LOOKUP(W285,'Tax Assumptions'!$P$9:$P$12,'Tax Assumptions'!$S$9:$S$12)+(W285-LOOKUP(W285,'Tax Assumptions'!$P$9:$P$12,'Tax Assumptions'!$P$9:$P$12))*LOOKUP(W285,'Tax Assumptions'!$P$9:$P$12,'Tax Assumptions'!$R$9:$R$12))</f>
        <v>8070480.54</v>
      </c>
      <c r="Y285" s="230">
        <f t="shared" si="140"/>
        <v>7205019.46</v>
      </c>
      <c r="Z285" s="230">
        <f>IF(J285&lt;=10,INDEX('Savings Projection'!$BL$19:$BL$28,J285),LOOKUP(2,1/('Savings Projection'!$BL$19:$BL$28&lt;&gt;""),'Savings Projection'!$BL$19:$BL$28))*(1+'Model Inputs'!$B$35)^(J285-1)+IF(J285&lt;=10,INDEX('Savings Projection'!$BM$19:$BM$28,J285),LOOKUP(2,1/('Savings Projection'!$BM$19:$BM$28&lt;&gt;""),'Savings Projection'!$BM$19:$BM$28))*(1+'Model Inputs'!$B$36)^(J285-1)</f>
        <v>272191.13085504784</v>
      </c>
      <c r="AA285" s="230">
        <f t="shared" si="141"/>
        <v>6932828.3291449519</v>
      </c>
      <c r="AB285" s="230">
        <f>MIN(MAX(AA285,0),'Tax Assumptions'!$B$20)</f>
        <v>7500</v>
      </c>
      <c r="AC285" s="230">
        <f t="shared" si="142"/>
        <v>6925328.3291449519</v>
      </c>
      <c r="AD285" s="230">
        <f>MAX(AD284*(1+'Model Inputs'!$B$13)+AC285,0)</f>
        <v>257238505.48606044</v>
      </c>
      <c r="AE285" s="230">
        <f>MAX(AE284*(1+'Model Inputs'!$B$13)+U285+AB285,0)</f>
        <v>1893004.2468949838</v>
      </c>
      <c r="AF285" s="230">
        <f t="shared" si="143"/>
        <v>259131509.73295543</v>
      </c>
      <c r="AG285" s="226" t="str">
        <f t="shared" si="152"/>
        <v/>
      </c>
      <c r="AH285" s="226" t="str">
        <f t="shared" si="153"/>
        <v/>
      </c>
      <c r="AI285" s="226" t="str">
        <f t="shared" si="154"/>
        <v/>
      </c>
      <c r="AJ285" s="226" t="str">
        <f t="shared" si="155"/>
        <v/>
      </c>
    </row>
    <row r="286" spans="1:36" ht="18" customHeight="1" x14ac:dyDescent="0.2">
      <c r="A286" s="226" t="str">
        <f t="shared" si="144"/>
        <v>3Y -&gt; PM Y8 Tail</v>
      </c>
      <c r="B286" s="226">
        <f t="shared" si="145"/>
        <v>3</v>
      </c>
      <c r="C286" s="235">
        <f t="shared" si="146"/>
        <v>3</v>
      </c>
      <c r="D286" s="226">
        <f t="shared" si="147"/>
        <v>8</v>
      </c>
      <c r="E286" s="226" t="str">
        <f t="shared" si="148"/>
        <v>Tail</v>
      </c>
      <c r="F286" s="230">
        <f t="shared" si="149"/>
        <v>100000000</v>
      </c>
      <c r="G286" s="236">
        <f t="shared" si="150"/>
        <v>0.15</v>
      </c>
      <c r="H286" s="230">
        <f t="shared" si="151"/>
        <v>300000</v>
      </c>
      <c r="I286" s="236">
        <f t="shared" si="134"/>
        <v>0</v>
      </c>
      <c r="J286" s="234">
        <v>27</v>
      </c>
      <c r="K286" s="234">
        <f t="shared" si="135"/>
        <v>2052</v>
      </c>
      <c r="L286" s="230">
        <f>IF(J286=1,'Model Inputs'!$B$25*(13-'Model Inputs'!$B$23)/12,'Model Inputs'!$B$25)</f>
        <v>300000</v>
      </c>
      <c r="M286" s="230">
        <f>IF(J286=1,'Model Inputs'!$B$27*(13-'Model Inputs'!$B$23)/12,IF(J286=2,'Model Inputs'!$B$27,IF(J286&lt;=MAX(3,'Model Inputs'!$B$30+1),'Model Inputs'!$B$27*(1+'Model Inputs'!$B$28)^(J286-3),'Model Inputs'!$B$27*(1+'Model Inputs'!$B$28)^(MAX(3,'Model Inputs'!$B$30+1)-3)*(1+'Model Inputs'!$B$29)^(J286-MAX(3,'Model Inputs'!$B$30+1)))))</f>
        <v>185355004.59402937</v>
      </c>
      <c r="N286" s="236">
        <f>IF(J286&lt;=2,0,'Model Inputs'!$B$32*SIN(2*PI()*(J286-3+'Model Inputs'!$B$34)/MAX(1,'Model Inputs'!$B$33)))</f>
        <v>-2.3513218543629179E-16</v>
      </c>
      <c r="O286" s="230">
        <f t="shared" si="136"/>
        <v>185355004.59402934</v>
      </c>
      <c r="P286" s="230">
        <f t="shared" si="156"/>
        <v>129690333.6089489</v>
      </c>
      <c r="Q286" s="230">
        <f>L286+P286+IF(J286=1,'Model Inputs'!$B$26,0)</f>
        <v>129990333.6089489</v>
      </c>
      <c r="R286" s="230">
        <f t="shared" si="137"/>
        <v>389971000.82684672</v>
      </c>
      <c r="S286" s="230">
        <f t="shared" si="138"/>
        <v>15300000</v>
      </c>
      <c r="T286" s="230">
        <f t="shared" si="139"/>
        <v>15300000</v>
      </c>
      <c r="U286" s="230">
        <f>MIN(T286,'Tax Assumptions'!$B$19)</f>
        <v>24500</v>
      </c>
      <c r="V286" s="230">
        <f>MAX(T286-U286-'Tax Assumptions'!$B$8,0)</f>
        <v>15259400</v>
      </c>
      <c r="W286" s="230">
        <f>MAX(T286-U286-'Tax Assumptions'!$B$9,0)</f>
        <v>15267500</v>
      </c>
      <c r="X286" s="230">
        <f>IF(V286=0,0,LOOKUP(V286,'Tax Assumptions'!$F$9:$F$15,'Tax Assumptions'!$I$9:$I$15)+(V286-LOOKUP(V286,'Tax Assumptions'!$F$9:$F$15,'Tax Assumptions'!$F$9:$F$15))*LOOKUP(V286,'Tax Assumptions'!$F$9:$F$15,'Tax Assumptions'!$H$9:$H$15))+MIN(MAX(T286,0),'Tax Assumptions'!$B$11)*'Tax Assumptions'!$B$10+MAX(T286,0)*'Tax Assumptions'!$B$12+MAX(MAX(T286,0)-'Tax Assumptions'!$B$14,0)*'Tax Assumptions'!$B$13+MIN(T286*'Tax Assumptions'!$B$15,'Tax Assumptions'!$B$16)+MIN(T286*'Tax Assumptions'!$B$17,'Tax Assumptions'!$B$18)+IF(W286=0,0,LOOKUP(W286,'Tax Assumptions'!$K$9:$K$17,'Tax Assumptions'!$N$9:$N$17)+(W286-LOOKUP(W286,'Tax Assumptions'!$K$9:$K$17,'Tax Assumptions'!$K$9:$K$17))*LOOKUP(W286,'Tax Assumptions'!$K$9:$K$17,'Tax Assumptions'!$M$9:$M$17))+IF(W286=0,0,LOOKUP(W286,'Tax Assumptions'!$P$9:$P$12,'Tax Assumptions'!$S$9:$S$12)+(W286-LOOKUP(W286,'Tax Assumptions'!$P$9:$P$12,'Tax Assumptions'!$P$9:$P$12))*LOOKUP(W286,'Tax Assumptions'!$P$9:$P$12,'Tax Assumptions'!$R$9:$R$12))</f>
        <v>8070480.54</v>
      </c>
      <c r="Y286" s="230">
        <f t="shared" si="140"/>
        <v>7205019.46</v>
      </c>
      <c r="Z286" s="230">
        <f>IF(J286&lt;=10,INDEX('Savings Projection'!$BL$19:$BL$28,J286),LOOKUP(2,1/('Savings Projection'!$BL$19:$BL$28&lt;&gt;""),'Savings Projection'!$BL$19:$BL$28))*(1+'Model Inputs'!$B$35)^(J286-1)+IF(J286&lt;=10,INDEX('Savings Projection'!$BM$19:$BM$28,J286),LOOKUP(2,1/('Savings Projection'!$BM$19:$BM$28&lt;&gt;""),'Savings Projection'!$BM$19:$BM$28))*(1+'Model Inputs'!$B$36)^(J286-1)</f>
        <v>280356.86478069925</v>
      </c>
      <c r="AA286" s="230">
        <f t="shared" si="141"/>
        <v>6924662.5952193011</v>
      </c>
      <c r="AB286" s="230">
        <f>MIN(MAX(AA286,0),'Tax Assumptions'!$B$20)</f>
        <v>7500</v>
      </c>
      <c r="AC286" s="230">
        <f t="shared" si="142"/>
        <v>6917162.5952193011</v>
      </c>
      <c r="AD286" s="230">
        <f>MAX(AD285*(1+'Model Inputs'!$B$13)+AC286,0)</f>
        <v>279589978.41044337</v>
      </c>
      <c r="AE286" s="230">
        <f>MAX(AE285*(1+'Model Inputs'!$B$13)+U286+AB286,0)</f>
        <v>2038584.5017086829</v>
      </c>
      <c r="AF286" s="230">
        <f t="shared" si="143"/>
        <v>281628562.91215205</v>
      </c>
      <c r="AG286" s="226" t="str">
        <f t="shared" si="152"/>
        <v/>
      </c>
      <c r="AH286" s="226" t="str">
        <f t="shared" si="153"/>
        <v/>
      </c>
      <c r="AI286" s="226" t="str">
        <f t="shared" si="154"/>
        <v/>
      </c>
      <c r="AJ286" s="226" t="str">
        <f t="shared" si="155"/>
        <v/>
      </c>
    </row>
    <row r="287" spans="1:36" ht="18" customHeight="1" x14ac:dyDescent="0.2">
      <c r="A287" s="226" t="str">
        <f t="shared" si="144"/>
        <v>3Y -&gt; PM Y8 Tail</v>
      </c>
      <c r="B287" s="226">
        <f t="shared" si="145"/>
        <v>3</v>
      </c>
      <c r="C287" s="235">
        <f t="shared" si="146"/>
        <v>3</v>
      </c>
      <c r="D287" s="226">
        <f t="shared" si="147"/>
        <v>8</v>
      </c>
      <c r="E287" s="226" t="str">
        <f t="shared" si="148"/>
        <v>Tail</v>
      </c>
      <c r="F287" s="230">
        <f t="shared" si="149"/>
        <v>100000000</v>
      </c>
      <c r="G287" s="236">
        <f t="shared" si="150"/>
        <v>0.15</v>
      </c>
      <c r="H287" s="230">
        <f t="shared" si="151"/>
        <v>300000</v>
      </c>
      <c r="I287" s="236">
        <f t="shared" si="134"/>
        <v>0</v>
      </c>
      <c r="J287" s="234">
        <v>28</v>
      </c>
      <c r="K287" s="234">
        <f t="shared" si="135"/>
        <v>2053</v>
      </c>
      <c r="L287" s="230">
        <f>IF(J287=1,'Model Inputs'!$B$25*(13-'Model Inputs'!$B$23)/12,'Model Inputs'!$B$25)</f>
        <v>300000</v>
      </c>
      <c r="M287" s="230">
        <f>IF(J287=1,'Model Inputs'!$B$27*(13-'Model Inputs'!$B$23)/12,IF(J287=2,'Model Inputs'!$B$27,IF(J287&lt;=MAX(3,'Model Inputs'!$B$30+1),'Model Inputs'!$B$27*(1+'Model Inputs'!$B$28)^(J287-3),'Model Inputs'!$B$27*(1+'Model Inputs'!$B$28)^(MAX(3,'Model Inputs'!$B$30+1)-3)*(1+'Model Inputs'!$B$29)^(J287-MAX(3,'Model Inputs'!$B$30+1)))))</f>
        <v>235563492.81236541</v>
      </c>
      <c r="N287" s="236">
        <f>IF(J287&lt;=2,0,'Model Inputs'!$B$32*SIN(2*PI()*(J287-3+'Model Inputs'!$B$34)/MAX(1,'Model Inputs'!$B$33)))</f>
        <v>0.10392304845413247</v>
      </c>
      <c r="O287" s="230">
        <f t="shared" si="136"/>
        <v>260043969.08992955</v>
      </c>
      <c r="P287" s="230">
        <f t="shared" si="156"/>
        <v>171689024.02305913</v>
      </c>
      <c r="Q287" s="230">
        <f>L287+P287+IF(J287=1,'Model Inputs'!$B$26,0)</f>
        <v>171989024.02305913</v>
      </c>
      <c r="R287" s="230">
        <f t="shared" si="137"/>
        <v>515967072.06917739</v>
      </c>
      <c r="S287" s="230">
        <f t="shared" si="138"/>
        <v>15300000</v>
      </c>
      <c r="T287" s="230">
        <f t="shared" si="139"/>
        <v>15300000</v>
      </c>
      <c r="U287" s="230">
        <f>MIN(T287,'Tax Assumptions'!$B$19)</f>
        <v>24500</v>
      </c>
      <c r="V287" s="230">
        <f>MAX(T287-U287-'Tax Assumptions'!$B$8,0)</f>
        <v>15259400</v>
      </c>
      <c r="W287" s="230">
        <f>MAX(T287-U287-'Tax Assumptions'!$B$9,0)</f>
        <v>15267500</v>
      </c>
      <c r="X287" s="230">
        <f>IF(V287=0,0,LOOKUP(V287,'Tax Assumptions'!$F$9:$F$15,'Tax Assumptions'!$I$9:$I$15)+(V287-LOOKUP(V287,'Tax Assumptions'!$F$9:$F$15,'Tax Assumptions'!$F$9:$F$15))*LOOKUP(V287,'Tax Assumptions'!$F$9:$F$15,'Tax Assumptions'!$H$9:$H$15))+MIN(MAX(T287,0),'Tax Assumptions'!$B$11)*'Tax Assumptions'!$B$10+MAX(T287,0)*'Tax Assumptions'!$B$12+MAX(MAX(T287,0)-'Tax Assumptions'!$B$14,0)*'Tax Assumptions'!$B$13+MIN(T287*'Tax Assumptions'!$B$15,'Tax Assumptions'!$B$16)+MIN(T287*'Tax Assumptions'!$B$17,'Tax Assumptions'!$B$18)+IF(W287=0,0,LOOKUP(W287,'Tax Assumptions'!$K$9:$K$17,'Tax Assumptions'!$N$9:$N$17)+(W287-LOOKUP(W287,'Tax Assumptions'!$K$9:$K$17,'Tax Assumptions'!$K$9:$K$17))*LOOKUP(W287,'Tax Assumptions'!$K$9:$K$17,'Tax Assumptions'!$M$9:$M$17))+IF(W287=0,0,LOOKUP(W287,'Tax Assumptions'!$P$9:$P$12,'Tax Assumptions'!$S$9:$S$12)+(W287-LOOKUP(W287,'Tax Assumptions'!$P$9:$P$12,'Tax Assumptions'!$P$9:$P$12))*LOOKUP(W287,'Tax Assumptions'!$P$9:$P$12,'Tax Assumptions'!$R$9:$R$12))</f>
        <v>8070480.54</v>
      </c>
      <c r="Y287" s="230">
        <f t="shared" si="140"/>
        <v>7205019.46</v>
      </c>
      <c r="Z287" s="230">
        <f>IF(J287&lt;=10,INDEX('Savings Projection'!$BL$19:$BL$28,J287),LOOKUP(2,1/('Savings Projection'!$BL$19:$BL$28&lt;&gt;""),'Savings Projection'!$BL$19:$BL$28))*(1+'Model Inputs'!$B$35)^(J287-1)+IF(J287&lt;=10,INDEX('Savings Projection'!$BM$19:$BM$28,J287),LOOKUP(2,1/('Savings Projection'!$BM$19:$BM$28&lt;&gt;""),'Savings Projection'!$BM$19:$BM$28))*(1+'Model Inputs'!$B$36)^(J287-1)</f>
        <v>288767.57072412025</v>
      </c>
      <c r="AA287" s="230">
        <f t="shared" si="141"/>
        <v>6916251.8892758796</v>
      </c>
      <c r="AB287" s="230">
        <f>MIN(MAX(AA287,0),'Tax Assumptions'!$B$20)</f>
        <v>7500</v>
      </c>
      <c r="AC287" s="230">
        <f t="shared" si="142"/>
        <v>6908751.8892758796</v>
      </c>
      <c r="AD287" s="230">
        <f>MAX(AD286*(1+'Model Inputs'!$B$13)+AC287,0)</f>
        <v>303274129.00434589</v>
      </c>
      <c r="AE287" s="230">
        <f>MAX(AE286*(1+'Model Inputs'!$B$13)+U287+AB287,0)</f>
        <v>2192899.5718112038</v>
      </c>
      <c r="AF287" s="230">
        <f t="shared" si="143"/>
        <v>305467028.57615709</v>
      </c>
      <c r="AG287" s="226" t="str">
        <f t="shared" si="152"/>
        <v/>
      </c>
      <c r="AH287" s="226" t="str">
        <f t="shared" si="153"/>
        <v/>
      </c>
      <c r="AI287" s="226" t="str">
        <f t="shared" si="154"/>
        <v/>
      </c>
      <c r="AJ287" s="226" t="str">
        <f t="shared" si="155"/>
        <v/>
      </c>
    </row>
    <row r="288" spans="1:36" ht="18" customHeight="1" x14ac:dyDescent="0.2">
      <c r="A288" s="226" t="str">
        <f t="shared" si="144"/>
        <v>3Y -&gt; PM Y8 Tail</v>
      </c>
      <c r="B288" s="226">
        <f t="shared" si="145"/>
        <v>3</v>
      </c>
      <c r="C288" s="235">
        <f t="shared" si="146"/>
        <v>3</v>
      </c>
      <c r="D288" s="226">
        <f t="shared" si="147"/>
        <v>8</v>
      </c>
      <c r="E288" s="226" t="str">
        <f t="shared" si="148"/>
        <v>Tail</v>
      </c>
      <c r="F288" s="230">
        <f t="shared" si="149"/>
        <v>100000000</v>
      </c>
      <c r="G288" s="236">
        <f t="shared" si="150"/>
        <v>0.15</v>
      </c>
      <c r="H288" s="230">
        <f t="shared" si="151"/>
        <v>300000</v>
      </c>
      <c r="I288" s="236">
        <f t="shared" si="134"/>
        <v>0</v>
      </c>
      <c r="J288" s="234">
        <v>29</v>
      </c>
      <c r="K288" s="234">
        <f t="shared" si="135"/>
        <v>2054</v>
      </c>
      <c r="L288" s="230">
        <f>IF(J288=1,'Model Inputs'!$B$25*(13-'Model Inputs'!$B$23)/12,'Model Inputs'!$B$25)</f>
        <v>300000</v>
      </c>
      <c r="M288" s="230">
        <f>IF(J288=1,'Model Inputs'!$B$27*(13-'Model Inputs'!$B$23)/12,IF(J288=2,'Model Inputs'!$B$27,IF(J288&lt;=MAX(3,'Model Inputs'!$B$30+1),'Model Inputs'!$B$27*(1+'Model Inputs'!$B$28)^(J288-3),'Model Inputs'!$B$27*(1+'Model Inputs'!$B$28)^(MAX(3,'Model Inputs'!$B$30+1)-3)*(1+'Model Inputs'!$B$29)^(J288-MAX(3,'Model Inputs'!$B$30+1)))))</f>
        <v>299372327.53708321</v>
      </c>
      <c r="N288" s="236">
        <f>IF(J288&lt;=2,0,'Model Inputs'!$B$32*SIN(2*PI()*(J288-3+'Model Inputs'!$B$34)/MAX(1,'Model Inputs'!$B$33)))</f>
        <v>-0.10392304845413265</v>
      </c>
      <c r="O288" s="230">
        <f t="shared" si="136"/>
        <v>268260642.63662043</v>
      </c>
      <c r="P288" s="230">
        <f t="shared" si="156"/>
        <v>241371727.96595448</v>
      </c>
      <c r="Q288" s="230">
        <f>L288+P288+IF(J288=1,'Model Inputs'!$B$26,0)</f>
        <v>241671727.96595448</v>
      </c>
      <c r="R288" s="230">
        <f t="shared" si="137"/>
        <v>725015183.89786339</v>
      </c>
      <c r="S288" s="230">
        <f t="shared" si="138"/>
        <v>15300000</v>
      </c>
      <c r="T288" s="230">
        <f t="shared" si="139"/>
        <v>15300000</v>
      </c>
      <c r="U288" s="230">
        <f>MIN(T288,'Tax Assumptions'!$B$19)</f>
        <v>24500</v>
      </c>
      <c r="V288" s="230">
        <f>MAX(T288-U288-'Tax Assumptions'!$B$8,0)</f>
        <v>15259400</v>
      </c>
      <c r="W288" s="230">
        <f>MAX(T288-U288-'Tax Assumptions'!$B$9,0)</f>
        <v>15267500</v>
      </c>
      <c r="X288" s="230">
        <f>IF(V288=0,0,LOOKUP(V288,'Tax Assumptions'!$F$9:$F$15,'Tax Assumptions'!$I$9:$I$15)+(V288-LOOKUP(V288,'Tax Assumptions'!$F$9:$F$15,'Tax Assumptions'!$F$9:$F$15))*LOOKUP(V288,'Tax Assumptions'!$F$9:$F$15,'Tax Assumptions'!$H$9:$H$15))+MIN(MAX(T288,0),'Tax Assumptions'!$B$11)*'Tax Assumptions'!$B$10+MAX(T288,0)*'Tax Assumptions'!$B$12+MAX(MAX(T288,0)-'Tax Assumptions'!$B$14,0)*'Tax Assumptions'!$B$13+MIN(T288*'Tax Assumptions'!$B$15,'Tax Assumptions'!$B$16)+MIN(T288*'Tax Assumptions'!$B$17,'Tax Assumptions'!$B$18)+IF(W288=0,0,LOOKUP(W288,'Tax Assumptions'!$K$9:$K$17,'Tax Assumptions'!$N$9:$N$17)+(W288-LOOKUP(W288,'Tax Assumptions'!$K$9:$K$17,'Tax Assumptions'!$K$9:$K$17))*LOOKUP(W288,'Tax Assumptions'!$K$9:$K$17,'Tax Assumptions'!$M$9:$M$17))+IF(W288=0,0,LOOKUP(W288,'Tax Assumptions'!$P$9:$P$12,'Tax Assumptions'!$S$9:$S$12)+(W288-LOOKUP(W288,'Tax Assumptions'!$P$9:$P$12,'Tax Assumptions'!$P$9:$P$12))*LOOKUP(W288,'Tax Assumptions'!$P$9:$P$12,'Tax Assumptions'!$R$9:$R$12))</f>
        <v>8070480.54</v>
      </c>
      <c r="Y288" s="230">
        <f t="shared" si="140"/>
        <v>7205019.46</v>
      </c>
      <c r="Z288" s="230">
        <f>IF(J288&lt;=10,INDEX('Savings Projection'!$BL$19:$BL$28,J288),LOOKUP(2,1/('Savings Projection'!$BL$19:$BL$28&lt;&gt;""),'Savings Projection'!$BL$19:$BL$28))*(1+'Model Inputs'!$B$35)^(J288-1)+IF(J288&lt;=10,INDEX('Savings Projection'!$BM$19:$BM$28,J288),LOOKUP(2,1/('Savings Projection'!$BM$19:$BM$28&lt;&gt;""),'Savings Projection'!$BM$19:$BM$28))*(1+'Model Inputs'!$B$36)^(J288-1)</f>
        <v>297430.59784584382</v>
      </c>
      <c r="AA288" s="230">
        <f t="shared" si="141"/>
        <v>6907588.862154156</v>
      </c>
      <c r="AB288" s="230">
        <f>MIN(MAX(AA288,0),'Tax Assumptions'!$B$20)</f>
        <v>7500</v>
      </c>
      <c r="AC288" s="230">
        <f t="shared" si="142"/>
        <v>6900088.862154156</v>
      </c>
      <c r="AD288" s="230">
        <f>MAX(AD287*(1+'Model Inputs'!$B$13)+AC288,0)</f>
        <v>328370665.60676086</v>
      </c>
      <c r="AE288" s="230">
        <f>MAX(AE287*(1+'Model Inputs'!$B$13)+U288+AB288,0)</f>
        <v>2356473.5461198762</v>
      </c>
      <c r="AF288" s="230">
        <f t="shared" si="143"/>
        <v>330727139.15288073</v>
      </c>
      <c r="AG288" s="226" t="str">
        <f t="shared" si="152"/>
        <v/>
      </c>
      <c r="AH288" s="226" t="str">
        <f t="shared" si="153"/>
        <v/>
      </c>
      <c r="AI288" s="226" t="str">
        <f t="shared" si="154"/>
        <v/>
      </c>
      <c r="AJ288" s="226" t="str">
        <f t="shared" si="155"/>
        <v/>
      </c>
    </row>
    <row r="289" spans="1:36" ht="18" customHeight="1" x14ac:dyDescent="0.2">
      <c r="A289" s="226" t="str">
        <f t="shared" si="144"/>
        <v>3Y -&gt; PM Y8 Tail</v>
      </c>
      <c r="B289" s="226">
        <f t="shared" si="145"/>
        <v>3</v>
      </c>
      <c r="C289" s="235">
        <f t="shared" si="146"/>
        <v>3</v>
      </c>
      <c r="D289" s="226">
        <f t="shared" si="147"/>
        <v>8</v>
      </c>
      <c r="E289" s="226" t="str">
        <f t="shared" si="148"/>
        <v>Tail</v>
      </c>
      <c r="F289" s="230">
        <f t="shared" si="149"/>
        <v>100000000</v>
      </c>
      <c r="G289" s="236">
        <f t="shared" si="150"/>
        <v>0.15</v>
      </c>
      <c r="H289" s="230">
        <f t="shared" si="151"/>
        <v>300000</v>
      </c>
      <c r="I289" s="236">
        <f t="shared" si="134"/>
        <v>0</v>
      </c>
      <c r="J289" s="234">
        <v>30</v>
      </c>
      <c r="K289" s="234">
        <f t="shared" si="135"/>
        <v>2055</v>
      </c>
      <c r="L289" s="230">
        <f>IF(J289=1,'Model Inputs'!$B$25*(13-'Model Inputs'!$B$23)/12,'Model Inputs'!$B$25)</f>
        <v>300000</v>
      </c>
      <c r="M289" s="230">
        <f>IF(J289=1,'Model Inputs'!$B$27*(13-'Model Inputs'!$B$23)/12,IF(J289=2,'Model Inputs'!$B$27,IF(J289&lt;=MAX(3,'Model Inputs'!$B$30+1),'Model Inputs'!$B$27*(1+'Model Inputs'!$B$28)^(J289-3),'Model Inputs'!$B$27*(1+'Model Inputs'!$B$28)^(MAX(3,'Model Inputs'!$B$30+1)-3)*(1+'Model Inputs'!$B$29)^(J289-MAX(3,'Model Inputs'!$B$30+1)))))</f>
        <v>380465535.74563926</v>
      </c>
      <c r="N289" s="236">
        <f>IF(J289&lt;=2,0,'Model Inputs'!$B$32*SIN(2*PI()*(J289-3+'Model Inputs'!$B$34)/MAX(1,'Model Inputs'!$B$33)))</f>
        <v>-2.645237086158283E-16</v>
      </c>
      <c r="O289" s="230">
        <f t="shared" si="136"/>
        <v>380465535.7456392</v>
      </c>
      <c r="P289" s="230">
        <f t="shared" si="156"/>
        <v>266206474.24994773</v>
      </c>
      <c r="Q289" s="230">
        <f>L289+P289+IF(J289=1,'Model Inputs'!$B$26,0)</f>
        <v>266506474.24994773</v>
      </c>
      <c r="R289" s="230">
        <f t="shared" si="137"/>
        <v>799519422.74984312</v>
      </c>
      <c r="S289" s="230">
        <f t="shared" si="138"/>
        <v>15300000</v>
      </c>
      <c r="T289" s="230">
        <f t="shared" si="139"/>
        <v>15300000</v>
      </c>
      <c r="U289" s="230">
        <f>MIN(T289,'Tax Assumptions'!$B$19)</f>
        <v>24500</v>
      </c>
      <c r="V289" s="230">
        <f>MAX(T289-U289-'Tax Assumptions'!$B$8,0)</f>
        <v>15259400</v>
      </c>
      <c r="W289" s="230">
        <f>MAX(T289-U289-'Tax Assumptions'!$B$9,0)</f>
        <v>15267500</v>
      </c>
      <c r="X289" s="230">
        <f>IF(V289=0,0,LOOKUP(V289,'Tax Assumptions'!$F$9:$F$15,'Tax Assumptions'!$I$9:$I$15)+(V289-LOOKUP(V289,'Tax Assumptions'!$F$9:$F$15,'Tax Assumptions'!$F$9:$F$15))*LOOKUP(V289,'Tax Assumptions'!$F$9:$F$15,'Tax Assumptions'!$H$9:$H$15))+MIN(MAX(T289,0),'Tax Assumptions'!$B$11)*'Tax Assumptions'!$B$10+MAX(T289,0)*'Tax Assumptions'!$B$12+MAX(MAX(T289,0)-'Tax Assumptions'!$B$14,0)*'Tax Assumptions'!$B$13+MIN(T289*'Tax Assumptions'!$B$15,'Tax Assumptions'!$B$16)+MIN(T289*'Tax Assumptions'!$B$17,'Tax Assumptions'!$B$18)+IF(W289=0,0,LOOKUP(W289,'Tax Assumptions'!$K$9:$K$17,'Tax Assumptions'!$N$9:$N$17)+(W289-LOOKUP(W289,'Tax Assumptions'!$K$9:$K$17,'Tax Assumptions'!$K$9:$K$17))*LOOKUP(W289,'Tax Assumptions'!$K$9:$K$17,'Tax Assumptions'!$M$9:$M$17))+IF(W289=0,0,LOOKUP(W289,'Tax Assumptions'!$P$9:$P$12,'Tax Assumptions'!$S$9:$S$12)+(W289-LOOKUP(W289,'Tax Assumptions'!$P$9:$P$12,'Tax Assumptions'!$P$9:$P$12))*LOOKUP(W289,'Tax Assumptions'!$P$9:$P$12,'Tax Assumptions'!$R$9:$R$12))</f>
        <v>8070480.54</v>
      </c>
      <c r="Y289" s="230">
        <f t="shared" si="140"/>
        <v>7205019.46</v>
      </c>
      <c r="Z289" s="230">
        <f>IF(J289&lt;=10,INDEX('Savings Projection'!$BL$19:$BL$28,J289),LOOKUP(2,1/('Savings Projection'!$BL$19:$BL$28&lt;&gt;""),'Savings Projection'!$BL$19:$BL$28))*(1+'Model Inputs'!$B$35)^(J289-1)+IF(J289&lt;=10,INDEX('Savings Projection'!$BM$19:$BM$28,J289),LOOKUP(2,1/('Savings Projection'!$BM$19:$BM$28&lt;&gt;""),'Savings Projection'!$BM$19:$BM$28))*(1+'Model Inputs'!$B$36)^(J289-1)</f>
        <v>306353.51578121912</v>
      </c>
      <c r="AA289" s="230">
        <f t="shared" si="141"/>
        <v>6898665.9442187808</v>
      </c>
      <c r="AB289" s="230">
        <f>MIN(MAX(AA289,0),'Tax Assumptions'!$B$20)</f>
        <v>7500</v>
      </c>
      <c r="AC289" s="230">
        <f t="shared" si="142"/>
        <v>6891165.9442187808</v>
      </c>
      <c r="AD289" s="230">
        <f>MAX(AD288*(1+'Model Inputs'!$B$13)+AC289,0)</f>
        <v>354964071.48738527</v>
      </c>
      <c r="AE289" s="230">
        <f>MAX(AE288*(1+'Model Inputs'!$B$13)+U289+AB289,0)</f>
        <v>2529861.958887069</v>
      </c>
      <c r="AF289" s="230">
        <f t="shared" si="143"/>
        <v>357493933.44627231</v>
      </c>
      <c r="AG289" s="226" t="str">
        <f t="shared" si="152"/>
        <v/>
      </c>
      <c r="AH289" s="226" t="str">
        <f t="shared" si="153"/>
        <v/>
      </c>
      <c r="AI289" s="226" t="str">
        <f t="shared" si="154"/>
        <v/>
      </c>
      <c r="AJ289" s="226" t="str">
        <f t="shared" si="155"/>
        <v/>
      </c>
    </row>
    <row r="290" spans="1:36" ht="18" customHeight="1" x14ac:dyDescent="0.2">
      <c r="A290" s="226" t="str">
        <f t="shared" ref="A290:A319" si="157">$A$30</f>
        <v>4Y -&gt; PM Y7 Starter</v>
      </c>
      <c r="B290" s="226">
        <f t="shared" ref="B290:B319" si="158">$B$30</f>
        <v>4</v>
      </c>
      <c r="C290" s="235">
        <f t="shared" ref="C290:C319" si="159">$C$30</f>
        <v>3</v>
      </c>
      <c r="D290" s="226">
        <f t="shared" ref="D290:D319" si="160">$D$30</f>
        <v>7</v>
      </c>
      <c r="E290" s="226" t="str">
        <f t="shared" ref="E290:E319" si="161">$E$30</f>
        <v>Starter</v>
      </c>
      <c r="F290" s="230">
        <f t="shared" ref="F290:F319" si="162">$F$30</f>
        <v>10000000</v>
      </c>
      <c r="G290" s="236">
        <f t="shared" ref="G290:G319" si="163">$G$30</f>
        <v>0.15</v>
      </c>
      <c r="H290" s="230">
        <f t="shared" ref="H290:H319" si="164">$H$30</f>
        <v>300000</v>
      </c>
      <c r="I290" s="236">
        <f t="shared" si="134"/>
        <v>0</v>
      </c>
      <c r="J290" s="234">
        <v>1</v>
      </c>
      <c r="K290" s="234">
        <f t="shared" si="135"/>
        <v>2026</v>
      </c>
      <c r="L290" s="230">
        <f>IF(J290=1,'Model Inputs'!$B$25*(13-'Model Inputs'!$B$23)/12,'Model Inputs'!$B$25)</f>
        <v>100000</v>
      </c>
      <c r="M290" s="230">
        <f>IF(J290=1,'Model Inputs'!$B$27*(13-'Model Inputs'!$B$23)/12,IF(J290=2,'Model Inputs'!$B$27,IF(J290&lt;=MAX(3,'Model Inputs'!$B$30+1),'Model Inputs'!$B$27*(1+'Model Inputs'!$B$28)^(J290-3),'Model Inputs'!$B$27*(1+'Model Inputs'!$B$28)^(MAX(3,'Model Inputs'!$B$30+1)-3)*(1+'Model Inputs'!$B$29)^(J290-MAX(3,'Model Inputs'!$B$30+1)))))</f>
        <v>150000</v>
      </c>
      <c r="N290" s="236">
        <f>IF(J290&lt;=2,0,'Model Inputs'!$B$32*SIN(2*PI()*(J290-3+'Model Inputs'!$B$34)/MAX(1,'Model Inputs'!$B$33)))</f>
        <v>0</v>
      </c>
      <c r="O290" s="230">
        <f t="shared" si="136"/>
        <v>150000</v>
      </c>
      <c r="P290" s="230">
        <f>0</f>
        <v>0</v>
      </c>
      <c r="Q290" s="230">
        <f>L290+P290+IF(J290=1,'Model Inputs'!$B$26,0)</f>
        <v>550000</v>
      </c>
      <c r="R290" s="230">
        <f t="shared" si="137"/>
        <v>550000</v>
      </c>
      <c r="S290" s="230">
        <f t="shared" si="138"/>
        <v>1800000</v>
      </c>
      <c r="T290" s="230">
        <f t="shared" si="139"/>
        <v>550000</v>
      </c>
      <c r="U290" s="230">
        <f>MIN(T290,'Tax Assumptions'!$B$19)</f>
        <v>24500</v>
      </c>
      <c r="V290" s="230">
        <f>MAX(T290-U290-'Tax Assumptions'!$B$8,0)</f>
        <v>509400</v>
      </c>
      <c r="W290" s="230">
        <f>MAX(T290-U290-'Tax Assumptions'!$B$9,0)</f>
        <v>517500</v>
      </c>
      <c r="X290" s="230">
        <f>IF(V290=0,0,LOOKUP(V290,'Tax Assumptions'!$F$9:$F$15,'Tax Assumptions'!$I$9:$I$15)+(V290-LOOKUP(V290,'Tax Assumptions'!$F$9:$F$15,'Tax Assumptions'!$F$9:$F$15))*LOOKUP(V290,'Tax Assumptions'!$F$9:$F$15,'Tax Assumptions'!$H$9:$H$15))+MIN(MAX(T290,0),'Tax Assumptions'!$B$11)*'Tax Assumptions'!$B$10+MAX(T290,0)*'Tax Assumptions'!$B$12+MAX(MAX(T290,0)-'Tax Assumptions'!$B$14,0)*'Tax Assumptions'!$B$13+MIN(T290*'Tax Assumptions'!$B$15,'Tax Assumptions'!$B$16)+MIN(T290*'Tax Assumptions'!$B$17,'Tax Assumptions'!$B$18)+IF(W290=0,0,LOOKUP(W290,'Tax Assumptions'!$K$9:$K$17,'Tax Assumptions'!$N$9:$N$17)+(W290-LOOKUP(W290,'Tax Assumptions'!$K$9:$K$17,'Tax Assumptions'!$K$9:$K$17))*LOOKUP(W290,'Tax Assumptions'!$K$9:$K$17,'Tax Assumptions'!$M$9:$M$17))+IF(W290=0,0,LOOKUP(W290,'Tax Assumptions'!$P$9:$P$12,'Tax Assumptions'!$S$9:$S$12)+(W290-LOOKUP(W290,'Tax Assumptions'!$P$9:$P$12,'Tax Assumptions'!$P$9:$P$12))*LOOKUP(W290,'Tax Assumptions'!$P$9:$P$12,'Tax Assumptions'!$R$9:$R$12))</f>
        <v>222834.53000000003</v>
      </c>
      <c r="Y290" s="230">
        <f t="shared" si="140"/>
        <v>302665.46999999997</v>
      </c>
      <c r="Z290" s="230">
        <f>IF(J290&lt;=10,INDEX('Savings Projection'!$BL$19:$BL$28,J290),LOOKUP(2,1/('Savings Projection'!$BL$19:$BL$28&lt;&gt;""),'Savings Projection'!$BL$19:$BL$28))*(1+'Model Inputs'!$B$35)^(J290-1)+IF(J290&lt;=10,INDEX('Savings Projection'!$BM$19:$BM$28,J290),LOOKUP(2,1/('Savings Projection'!$BM$19:$BM$28&lt;&gt;""),'Savings Projection'!$BM$19:$BM$28))*(1+'Model Inputs'!$B$36)^(J290-1)</f>
        <v>118000</v>
      </c>
      <c r="AA290" s="230">
        <f t="shared" si="141"/>
        <v>184665.46999999997</v>
      </c>
      <c r="AB290" s="230">
        <f>MIN(MAX(AA290,0),'Tax Assumptions'!$B$20)</f>
        <v>7500</v>
      </c>
      <c r="AC290" s="230">
        <f t="shared" si="142"/>
        <v>177165.46999999997</v>
      </c>
      <c r="AD290" s="230">
        <f>MAX('Model Inputs'!$B$7*(1+'Model Inputs'!$B$13)+AC290,0)</f>
        <v>336165.47</v>
      </c>
      <c r="AE290" s="230">
        <f>MAX(('Model Inputs'!$B$8+'Model Inputs'!$B$9+'Model Inputs'!$B$10)*(1+'Model Inputs'!$B$13)+U290+AB290,0)</f>
        <v>32000</v>
      </c>
      <c r="AF290" s="230">
        <f t="shared" si="143"/>
        <v>368165.47</v>
      </c>
      <c r="AG290" s="226" t="str">
        <f>IF(AND(AF290&gt;=$F$14,0&lt;$F$14),J290,"")</f>
        <v/>
      </c>
      <c r="AH290" s="226" t="str">
        <f>IF(AND(AF290&gt;=$F$15,0&lt;$F$15),J290,"")</f>
        <v/>
      </c>
      <c r="AI290" s="226" t="str">
        <f>IF(AND(AF290&gt;=$F$16,0&lt;$F$16),J290,"")</f>
        <v/>
      </c>
      <c r="AJ290" s="226" t="str">
        <f>IF(AND(AF290&gt;=$F$17,0&lt;$F$17),J290,"")</f>
        <v/>
      </c>
    </row>
    <row r="291" spans="1:36" ht="18" customHeight="1" x14ac:dyDescent="0.2">
      <c r="A291" s="226" t="str">
        <f t="shared" si="157"/>
        <v>4Y -&gt; PM Y7 Starter</v>
      </c>
      <c r="B291" s="226">
        <f t="shared" si="158"/>
        <v>4</v>
      </c>
      <c r="C291" s="235">
        <f t="shared" si="159"/>
        <v>3</v>
      </c>
      <c r="D291" s="226">
        <f t="shared" si="160"/>
        <v>7</v>
      </c>
      <c r="E291" s="226" t="str">
        <f t="shared" si="161"/>
        <v>Starter</v>
      </c>
      <c r="F291" s="230">
        <f t="shared" si="162"/>
        <v>10000000</v>
      </c>
      <c r="G291" s="236">
        <f t="shared" si="163"/>
        <v>0.15</v>
      </c>
      <c r="H291" s="230">
        <f t="shared" si="164"/>
        <v>300000</v>
      </c>
      <c r="I291" s="236">
        <f t="shared" si="134"/>
        <v>0</v>
      </c>
      <c r="J291" s="234">
        <v>2</v>
      </c>
      <c r="K291" s="234">
        <f t="shared" si="135"/>
        <v>2027</v>
      </c>
      <c r="L291" s="230">
        <f>IF(J291=1,'Model Inputs'!$B$25*(13-'Model Inputs'!$B$23)/12,'Model Inputs'!$B$25)</f>
        <v>300000</v>
      </c>
      <c r="M291" s="230">
        <f>IF(J291=1,'Model Inputs'!$B$27*(13-'Model Inputs'!$B$23)/12,IF(J291=2,'Model Inputs'!$B$27,IF(J291&lt;=MAX(3,'Model Inputs'!$B$30+1),'Model Inputs'!$B$27*(1+'Model Inputs'!$B$28)^(J291-3),'Model Inputs'!$B$27*(1+'Model Inputs'!$B$28)^(MAX(3,'Model Inputs'!$B$30+1)-3)*(1+'Model Inputs'!$B$29)^(J291-MAX(3,'Model Inputs'!$B$30+1)))))</f>
        <v>450000</v>
      </c>
      <c r="N291" s="236">
        <f>IF(J291&lt;=2,0,'Model Inputs'!$B$32*SIN(2*PI()*(J291-3+'Model Inputs'!$B$34)/MAX(1,'Model Inputs'!$B$33)))</f>
        <v>0</v>
      </c>
      <c r="O291" s="230">
        <f t="shared" si="136"/>
        <v>450000</v>
      </c>
      <c r="P291" s="230">
        <f>0.75*O290</f>
        <v>112500</v>
      </c>
      <c r="Q291" s="230">
        <f>L291+P291+IF(J291=1,'Model Inputs'!$B$26,0)</f>
        <v>412500</v>
      </c>
      <c r="R291" s="230">
        <f t="shared" si="137"/>
        <v>412500</v>
      </c>
      <c r="S291" s="230">
        <f t="shared" si="138"/>
        <v>1800000</v>
      </c>
      <c r="T291" s="230">
        <f t="shared" si="139"/>
        <v>412500</v>
      </c>
      <c r="U291" s="230">
        <f>MIN(T291,'Tax Assumptions'!$B$19)</f>
        <v>24500</v>
      </c>
      <c r="V291" s="230">
        <f>MAX(T291-U291-'Tax Assumptions'!$B$8,0)</f>
        <v>371900</v>
      </c>
      <c r="W291" s="230">
        <f>MAX(T291-U291-'Tax Assumptions'!$B$9,0)</f>
        <v>380000</v>
      </c>
      <c r="X291" s="230">
        <f>IF(V291=0,0,LOOKUP(V291,'Tax Assumptions'!$F$9:$F$15,'Tax Assumptions'!$I$9:$I$15)+(V291-LOOKUP(V291,'Tax Assumptions'!$F$9:$F$15,'Tax Assumptions'!$F$9:$F$15))*LOOKUP(V291,'Tax Assumptions'!$F$9:$F$15,'Tax Assumptions'!$H$9:$H$15))+MIN(MAX(T291,0),'Tax Assumptions'!$B$11)*'Tax Assumptions'!$B$10+MAX(T291,0)*'Tax Assumptions'!$B$12+MAX(MAX(T291,0)-'Tax Assumptions'!$B$14,0)*'Tax Assumptions'!$B$13+MIN(T291*'Tax Assumptions'!$B$15,'Tax Assumptions'!$B$16)+MIN(T291*'Tax Assumptions'!$B$17,'Tax Assumptions'!$B$18)+IF(W291=0,0,LOOKUP(W291,'Tax Assumptions'!$K$9:$K$17,'Tax Assumptions'!$N$9:$N$17)+(W291-LOOKUP(W291,'Tax Assumptions'!$K$9:$K$17,'Tax Assumptions'!$K$9:$K$17))*LOOKUP(W291,'Tax Assumptions'!$K$9:$K$17,'Tax Assumptions'!$M$9:$M$17))+IF(W291=0,0,LOOKUP(W291,'Tax Assumptions'!$P$9:$P$12,'Tax Assumptions'!$S$9:$S$12)+(W291-LOOKUP(W291,'Tax Assumptions'!$P$9:$P$12,'Tax Assumptions'!$P$9:$P$12))*LOOKUP(W291,'Tax Assumptions'!$P$9:$P$12,'Tax Assumptions'!$R$9:$R$12))</f>
        <v>156730.03</v>
      </c>
      <c r="Y291" s="230">
        <f t="shared" si="140"/>
        <v>231269.97</v>
      </c>
      <c r="Z291" s="230">
        <f>IF(J291&lt;=10,INDEX('Savings Projection'!$BL$19:$BL$28,J291),LOOKUP(2,1/('Savings Projection'!$BL$19:$BL$28&lt;&gt;""),'Savings Projection'!$BL$19:$BL$28))*(1+'Model Inputs'!$B$35)^(J291-1)+IF(J291&lt;=10,INDEX('Savings Projection'!$BM$19:$BM$28,J291),LOOKUP(2,1/('Savings Projection'!$BM$19:$BM$28&lt;&gt;""),'Savings Projection'!$BM$19:$BM$28))*(1+'Model Inputs'!$B$36)^(J291-1)</f>
        <v>121540</v>
      </c>
      <c r="AA291" s="230">
        <f t="shared" si="141"/>
        <v>109729.97</v>
      </c>
      <c r="AB291" s="230">
        <f>MIN(MAX(AA291,0),'Tax Assumptions'!$B$20)</f>
        <v>7500</v>
      </c>
      <c r="AC291" s="230">
        <f t="shared" si="142"/>
        <v>102229.97</v>
      </c>
      <c r="AD291" s="230">
        <f>MAX(AD290*(1+'Model Inputs'!$B$13)+AC291,0)</f>
        <v>458565.36820000003</v>
      </c>
      <c r="AE291" s="230">
        <f>MAX(AE290*(1+'Model Inputs'!$B$13)+U291+AB291,0)</f>
        <v>65920</v>
      </c>
      <c r="AF291" s="230">
        <f t="shared" si="143"/>
        <v>524485.36820000003</v>
      </c>
      <c r="AG291" s="226" t="str">
        <f t="shared" ref="AG291:AG319" si="165">IF(AND(AF291&gt;=$F$14,AF290&lt;$F$14),J291,"")</f>
        <v/>
      </c>
      <c r="AH291" s="226" t="str">
        <f t="shared" ref="AH291:AH319" si="166">IF(AND(AF291&gt;=$F$15,AF290&lt;$F$15),J291,"")</f>
        <v/>
      </c>
      <c r="AI291" s="226" t="str">
        <f t="shared" ref="AI291:AI319" si="167">IF(AND(AF291&gt;=$F$16,AF290&lt;$F$16),J291,"")</f>
        <v/>
      </c>
      <c r="AJ291" s="226" t="str">
        <f t="shared" ref="AJ291:AJ319" si="168">IF(AND(AF291&gt;=$F$17,AF290&lt;$F$17),J291,"")</f>
        <v/>
      </c>
    </row>
    <row r="292" spans="1:36" ht="18" customHeight="1" x14ac:dyDescent="0.2">
      <c r="A292" s="226" t="str">
        <f t="shared" si="157"/>
        <v>4Y -&gt; PM Y7 Starter</v>
      </c>
      <c r="B292" s="226">
        <f t="shared" si="158"/>
        <v>4</v>
      </c>
      <c r="C292" s="235">
        <f t="shared" si="159"/>
        <v>3</v>
      </c>
      <c r="D292" s="226">
        <f t="shared" si="160"/>
        <v>7</v>
      </c>
      <c r="E292" s="226" t="str">
        <f t="shared" si="161"/>
        <v>Starter</v>
      </c>
      <c r="F292" s="230">
        <f t="shared" si="162"/>
        <v>10000000</v>
      </c>
      <c r="G292" s="236">
        <f t="shared" si="163"/>
        <v>0.15</v>
      </c>
      <c r="H292" s="230">
        <f t="shared" si="164"/>
        <v>300000</v>
      </c>
      <c r="I292" s="236">
        <f t="shared" si="134"/>
        <v>0</v>
      </c>
      <c r="J292" s="234">
        <v>3</v>
      </c>
      <c r="K292" s="234">
        <f t="shared" si="135"/>
        <v>2028</v>
      </c>
      <c r="L292" s="230">
        <f>IF(J292=1,'Model Inputs'!$B$25*(13-'Model Inputs'!$B$23)/12,'Model Inputs'!$B$25)</f>
        <v>300000</v>
      </c>
      <c r="M292" s="230">
        <f>IF(J292=1,'Model Inputs'!$B$27*(13-'Model Inputs'!$B$23)/12,IF(J292=2,'Model Inputs'!$B$27,IF(J292&lt;=MAX(3,'Model Inputs'!$B$30+1),'Model Inputs'!$B$27*(1+'Model Inputs'!$B$28)^(J292-3),'Model Inputs'!$B$27*(1+'Model Inputs'!$B$28)^(MAX(3,'Model Inputs'!$B$30+1)-3)*(1+'Model Inputs'!$B$29)^(J292-MAX(3,'Model Inputs'!$B$30+1)))))</f>
        <v>450000</v>
      </c>
      <c r="N292" s="236">
        <f>IF(J292&lt;=2,0,'Model Inputs'!$B$32*SIN(2*PI()*(J292-3+'Model Inputs'!$B$34)/MAX(1,'Model Inputs'!$B$33)))</f>
        <v>0</v>
      </c>
      <c r="O292" s="230">
        <f t="shared" si="136"/>
        <v>450000</v>
      </c>
      <c r="P292" s="230">
        <f t="shared" ref="P292:P319" si="169">0.75*O291+0.25*O290</f>
        <v>375000</v>
      </c>
      <c r="Q292" s="230">
        <f>L292+P292+IF(J292=1,'Model Inputs'!$B$26,0)</f>
        <v>675000</v>
      </c>
      <c r="R292" s="230">
        <f t="shared" si="137"/>
        <v>675000</v>
      </c>
      <c r="S292" s="230">
        <f t="shared" si="138"/>
        <v>1800000</v>
      </c>
      <c r="T292" s="230">
        <f t="shared" si="139"/>
        <v>675000</v>
      </c>
      <c r="U292" s="230">
        <f>MIN(T292,'Tax Assumptions'!$B$19)</f>
        <v>24500</v>
      </c>
      <c r="V292" s="230">
        <f>MAX(T292-U292-'Tax Assumptions'!$B$8,0)</f>
        <v>634400</v>
      </c>
      <c r="W292" s="230">
        <f>MAX(T292-U292-'Tax Assumptions'!$B$9,0)</f>
        <v>642500</v>
      </c>
      <c r="X292" s="230">
        <f>IF(V292=0,0,LOOKUP(V292,'Tax Assumptions'!$F$9:$F$15,'Tax Assumptions'!$I$9:$I$15)+(V292-LOOKUP(V292,'Tax Assumptions'!$F$9:$F$15,'Tax Assumptions'!$F$9:$F$15))*LOOKUP(V292,'Tax Assumptions'!$F$9:$F$15,'Tax Assumptions'!$H$9:$H$15))+MIN(MAX(T292,0),'Tax Assumptions'!$B$11)*'Tax Assumptions'!$B$10+MAX(T292,0)*'Tax Assumptions'!$B$12+MAX(MAX(T292,0)-'Tax Assumptions'!$B$14,0)*'Tax Assumptions'!$B$13+MIN(T292*'Tax Assumptions'!$B$15,'Tax Assumptions'!$B$16)+MIN(T292*'Tax Assumptions'!$B$17,'Tax Assumptions'!$B$18)+IF(W292=0,0,LOOKUP(W292,'Tax Assumptions'!$K$9:$K$17,'Tax Assumptions'!$N$9:$N$17)+(W292-LOOKUP(W292,'Tax Assumptions'!$K$9:$K$17,'Tax Assumptions'!$K$9:$K$17))*LOOKUP(W292,'Tax Assumptions'!$K$9:$K$17,'Tax Assumptions'!$M$9:$M$17))+IF(W292=0,0,LOOKUP(W292,'Tax Assumptions'!$P$9:$P$12,'Tax Assumptions'!$S$9:$S$12)+(W292-LOOKUP(W292,'Tax Assumptions'!$P$9:$P$12,'Tax Assumptions'!$P$9:$P$12))*LOOKUP(W292,'Tax Assumptions'!$P$9:$P$12,'Tax Assumptions'!$R$9:$R$12))</f>
        <v>282929.53000000003</v>
      </c>
      <c r="Y292" s="230">
        <f t="shared" si="140"/>
        <v>367570.47</v>
      </c>
      <c r="Z292" s="230">
        <f>IF(J292&lt;=10,INDEX('Savings Projection'!$BL$19:$BL$28,J292),LOOKUP(2,1/('Savings Projection'!$BL$19:$BL$28&lt;&gt;""),'Savings Projection'!$BL$19:$BL$28))*(1+'Model Inputs'!$B$35)^(J292-1)+IF(J292&lt;=10,INDEX('Savings Projection'!$BM$19:$BM$28,J292),LOOKUP(2,1/('Savings Projection'!$BM$19:$BM$28&lt;&gt;""),'Savings Projection'!$BM$19:$BM$28))*(1+'Model Inputs'!$B$36)^(J292-1)</f>
        <v>135795.20000000001</v>
      </c>
      <c r="AA292" s="230">
        <f t="shared" si="141"/>
        <v>231775.26999999996</v>
      </c>
      <c r="AB292" s="230">
        <f>MIN(MAX(AA292,0),'Tax Assumptions'!$B$20)</f>
        <v>7500</v>
      </c>
      <c r="AC292" s="230">
        <f t="shared" si="142"/>
        <v>224275.26999999996</v>
      </c>
      <c r="AD292" s="230">
        <f>MAX(AD291*(1+'Model Inputs'!$B$13)+AC292,0)</f>
        <v>710354.56029199995</v>
      </c>
      <c r="AE292" s="230">
        <f>MAX(AE291*(1+'Model Inputs'!$B$13)+U292+AB292,0)</f>
        <v>101875.2</v>
      </c>
      <c r="AF292" s="230">
        <f t="shared" si="143"/>
        <v>812229.7602919999</v>
      </c>
      <c r="AG292" s="226" t="str">
        <f t="shared" si="165"/>
        <v/>
      </c>
      <c r="AH292" s="226" t="str">
        <f t="shared" si="166"/>
        <v/>
      </c>
      <c r="AI292" s="226" t="str">
        <f t="shared" si="167"/>
        <v/>
      </c>
      <c r="AJ292" s="226" t="str">
        <f t="shared" si="168"/>
        <v/>
      </c>
    </row>
    <row r="293" spans="1:36" ht="18" customHeight="1" x14ac:dyDescent="0.2">
      <c r="A293" s="226" t="str">
        <f t="shared" si="157"/>
        <v>4Y -&gt; PM Y7 Starter</v>
      </c>
      <c r="B293" s="226">
        <f t="shared" si="158"/>
        <v>4</v>
      </c>
      <c r="C293" s="235">
        <f t="shared" si="159"/>
        <v>3</v>
      </c>
      <c r="D293" s="226">
        <f t="shared" si="160"/>
        <v>7</v>
      </c>
      <c r="E293" s="226" t="str">
        <f t="shared" si="161"/>
        <v>Starter</v>
      </c>
      <c r="F293" s="230">
        <f t="shared" si="162"/>
        <v>10000000</v>
      </c>
      <c r="G293" s="236">
        <f t="shared" si="163"/>
        <v>0.15</v>
      </c>
      <c r="H293" s="230">
        <f t="shared" si="164"/>
        <v>300000</v>
      </c>
      <c r="I293" s="236">
        <f t="shared" si="134"/>
        <v>0</v>
      </c>
      <c r="J293" s="234">
        <v>4</v>
      </c>
      <c r="K293" s="234">
        <f t="shared" si="135"/>
        <v>2029</v>
      </c>
      <c r="L293" s="230">
        <f>IF(J293=1,'Model Inputs'!$B$25*(13-'Model Inputs'!$B$23)/12,'Model Inputs'!$B$25)</f>
        <v>300000</v>
      </c>
      <c r="M293" s="230">
        <f>IF(J293=1,'Model Inputs'!$B$27*(13-'Model Inputs'!$B$23)/12,IF(J293=2,'Model Inputs'!$B$27,IF(J293&lt;=MAX(3,'Model Inputs'!$B$30+1),'Model Inputs'!$B$27*(1+'Model Inputs'!$B$28)^(J293-3),'Model Inputs'!$B$27*(1+'Model Inputs'!$B$28)^(MAX(3,'Model Inputs'!$B$30+1)-3)*(1+'Model Inputs'!$B$29)^(J293-MAX(3,'Model Inputs'!$B$30+1)))))</f>
        <v>653834.84153110103</v>
      </c>
      <c r="N293" s="236">
        <f>IF(J293&lt;=2,0,'Model Inputs'!$B$32*SIN(2*PI()*(J293-3+'Model Inputs'!$B$34)/MAX(1,'Model Inputs'!$B$33)))</f>
        <v>0.10392304845413264</v>
      </c>
      <c r="O293" s="230">
        <f t="shared" si="136"/>
        <v>721783.35144853778</v>
      </c>
      <c r="P293" s="230">
        <f t="shared" si="169"/>
        <v>450000</v>
      </c>
      <c r="Q293" s="230">
        <f>L293+P293+IF(J293=1,'Model Inputs'!$B$26,0)</f>
        <v>750000</v>
      </c>
      <c r="R293" s="230">
        <f t="shared" si="137"/>
        <v>750000</v>
      </c>
      <c r="S293" s="230">
        <f t="shared" si="138"/>
        <v>1800000</v>
      </c>
      <c r="T293" s="230">
        <f t="shared" si="139"/>
        <v>750000</v>
      </c>
      <c r="U293" s="230">
        <f>MIN(T293,'Tax Assumptions'!$B$19)</f>
        <v>24500</v>
      </c>
      <c r="V293" s="230">
        <f>MAX(T293-U293-'Tax Assumptions'!$B$8,0)</f>
        <v>709400</v>
      </c>
      <c r="W293" s="230">
        <f>MAX(T293-U293-'Tax Assumptions'!$B$9,0)</f>
        <v>717500</v>
      </c>
      <c r="X293" s="230">
        <f>IF(V293=0,0,LOOKUP(V293,'Tax Assumptions'!$F$9:$F$15,'Tax Assumptions'!$I$9:$I$15)+(V293-LOOKUP(V293,'Tax Assumptions'!$F$9:$F$15,'Tax Assumptions'!$F$9:$F$15))*LOOKUP(V293,'Tax Assumptions'!$F$9:$F$15,'Tax Assumptions'!$H$9:$H$15))+MIN(MAX(T293,0),'Tax Assumptions'!$B$11)*'Tax Assumptions'!$B$10+MAX(T293,0)*'Tax Assumptions'!$B$12+MAX(MAX(T293,0)-'Tax Assumptions'!$B$14,0)*'Tax Assumptions'!$B$13+MIN(T293*'Tax Assumptions'!$B$15,'Tax Assumptions'!$B$16)+MIN(T293*'Tax Assumptions'!$B$17,'Tax Assumptions'!$B$18)+IF(W293=0,0,LOOKUP(W293,'Tax Assumptions'!$K$9:$K$17,'Tax Assumptions'!$N$9:$N$17)+(W293-LOOKUP(W293,'Tax Assumptions'!$K$9:$K$17,'Tax Assumptions'!$K$9:$K$17))*LOOKUP(W293,'Tax Assumptions'!$K$9:$K$17,'Tax Assumptions'!$M$9:$M$17))+IF(W293=0,0,LOOKUP(W293,'Tax Assumptions'!$P$9:$P$12,'Tax Assumptions'!$S$9:$S$12)+(W293-LOOKUP(W293,'Tax Assumptions'!$P$9:$P$12,'Tax Assumptions'!$P$9:$P$12))*LOOKUP(W293,'Tax Assumptions'!$P$9:$P$12,'Tax Assumptions'!$R$9:$R$12))</f>
        <v>320362.53000000003</v>
      </c>
      <c r="Y293" s="230">
        <f t="shared" si="140"/>
        <v>405137.47</v>
      </c>
      <c r="Z293" s="230">
        <f>IF(J293&lt;=10,INDEX('Savings Projection'!$BL$19:$BL$28,J293),LOOKUP(2,1/('Savings Projection'!$BL$19:$BL$28&lt;&gt;""),'Savings Projection'!$BL$19:$BL$28))*(1+'Model Inputs'!$B$35)^(J293-1)+IF(J293&lt;=10,INDEX('Savings Projection'!$BM$19:$BM$28,J293),LOOKUP(2,1/('Savings Projection'!$BM$19:$BM$28&lt;&gt;""),'Savings Projection'!$BM$19:$BM$28))*(1+'Model Inputs'!$B$36)^(J293-1)</f>
        <v>139869.05600000001</v>
      </c>
      <c r="AA293" s="230">
        <f t="shared" si="141"/>
        <v>265268.41399999999</v>
      </c>
      <c r="AB293" s="230">
        <f>MIN(MAX(AA293,0),'Tax Assumptions'!$B$20)</f>
        <v>7500</v>
      </c>
      <c r="AC293" s="230">
        <f t="shared" si="142"/>
        <v>257768.41399999999</v>
      </c>
      <c r="AD293" s="230">
        <f>MAX(AD292*(1+'Model Inputs'!$B$13)+AC293,0)</f>
        <v>1010744.2479095199</v>
      </c>
      <c r="AE293" s="230">
        <f>MAX(AE292*(1+'Model Inputs'!$B$13)+U293+AB293,0)</f>
        <v>139987.712</v>
      </c>
      <c r="AF293" s="230">
        <f t="shared" si="143"/>
        <v>1150731.9599095199</v>
      </c>
      <c r="AG293" s="226" t="str">
        <f t="shared" si="165"/>
        <v/>
      </c>
      <c r="AH293" s="226" t="str">
        <f t="shared" si="166"/>
        <v/>
      </c>
      <c r="AI293" s="226" t="str">
        <f t="shared" si="167"/>
        <v/>
      </c>
      <c r="AJ293" s="226" t="str">
        <f t="shared" si="168"/>
        <v/>
      </c>
    </row>
    <row r="294" spans="1:36" ht="18" customHeight="1" x14ac:dyDescent="0.2">
      <c r="A294" s="226" t="str">
        <f t="shared" si="157"/>
        <v>4Y -&gt; PM Y7 Starter</v>
      </c>
      <c r="B294" s="226">
        <f t="shared" si="158"/>
        <v>4</v>
      </c>
      <c r="C294" s="235">
        <f t="shared" si="159"/>
        <v>3</v>
      </c>
      <c r="D294" s="226">
        <f t="shared" si="160"/>
        <v>7</v>
      </c>
      <c r="E294" s="226" t="str">
        <f t="shared" si="161"/>
        <v>Starter</v>
      </c>
      <c r="F294" s="230">
        <f t="shared" si="162"/>
        <v>10000000</v>
      </c>
      <c r="G294" s="236">
        <f t="shared" si="163"/>
        <v>0.15</v>
      </c>
      <c r="H294" s="230">
        <f t="shared" si="164"/>
        <v>300000</v>
      </c>
      <c r="I294" s="236">
        <f t="shared" si="134"/>
        <v>0</v>
      </c>
      <c r="J294" s="234">
        <v>5</v>
      </c>
      <c r="K294" s="234">
        <f t="shared" si="135"/>
        <v>2030</v>
      </c>
      <c r="L294" s="230">
        <f>IF(J294=1,'Model Inputs'!$B$25*(13-'Model Inputs'!$B$23)/12,'Model Inputs'!$B$25)</f>
        <v>300000</v>
      </c>
      <c r="M294" s="230">
        <f>IF(J294=1,'Model Inputs'!$B$27*(13-'Model Inputs'!$B$23)/12,IF(J294=2,'Model Inputs'!$B$27,IF(J294&lt;=MAX(3,'Model Inputs'!$B$30+1),'Model Inputs'!$B$27*(1+'Model Inputs'!$B$28)^(J294-3),'Model Inputs'!$B$27*(1+'Model Inputs'!$B$28)^(MAX(3,'Model Inputs'!$B$30+1)-3)*(1+'Model Inputs'!$B$29)^(J294-MAX(3,'Model Inputs'!$B$30+1)))))</f>
        <v>950000</v>
      </c>
      <c r="N294" s="236">
        <f>IF(J294&lt;=2,0,'Model Inputs'!$B$32*SIN(2*PI()*(J294-3+'Model Inputs'!$B$34)/MAX(1,'Model Inputs'!$B$33)))</f>
        <v>-0.1039230484541326</v>
      </c>
      <c r="O294" s="230">
        <f t="shared" si="136"/>
        <v>851273.10396857408</v>
      </c>
      <c r="P294" s="230">
        <f t="shared" si="169"/>
        <v>653837.51358640334</v>
      </c>
      <c r="Q294" s="230">
        <f>L294+P294+IF(J294=1,'Model Inputs'!$B$26,0)</f>
        <v>953837.51358640334</v>
      </c>
      <c r="R294" s="230">
        <f t="shared" si="137"/>
        <v>2861512.54075921</v>
      </c>
      <c r="S294" s="230">
        <f t="shared" si="138"/>
        <v>1800000</v>
      </c>
      <c r="T294" s="230">
        <f t="shared" si="139"/>
        <v>2861512.54075921</v>
      </c>
      <c r="U294" s="230">
        <f>MIN(T294,'Tax Assumptions'!$B$19)</f>
        <v>24500</v>
      </c>
      <c r="V294" s="230">
        <f>MAX(T294-U294-'Tax Assumptions'!$B$8,0)</f>
        <v>2820912.54075921</v>
      </c>
      <c r="W294" s="230">
        <f>MAX(T294-U294-'Tax Assumptions'!$B$9,0)</f>
        <v>2829012.54075921</v>
      </c>
      <c r="X294" s="230">
        <f>IF(V294=0,0,LOOKUP(V294,'Tax Assumptions'!$F$9:$F$15,'Tax Assumptions'!$I$9:$I$15)+(V294-LOOKUP(V294,'Tax Assumptions'!$F$9:$F$15,'Tax Assumptions'!$F$9:$F$15))*LOOKUP(V294,'Tax Assumptions'!$F$9:$F$15,'Tax Assumptions'!$H$9:$H$15))+MIN(MAX(T294,0),'Tax Assumptions'!$B$11)*'Tax Assumptions'!$B$10+MAX(T294,0)*'Tax Assumptions'!$B$12+MAX(MAX(T294,0)-'Tax Assumptions'!$B$14,0)*'Tax Assumptions'!$B$13+MIN(T294*'Tax Assumptions'!$B$15,'Tax Assumptions'!$B$16)+MIN(T294*'Tax Assumptions'!$B$17,'Tax Assumptions'!$B$18)+IF(W294=0,0,LOOKUP(W294,'Tax Assumptions'!$K$9:$K$17,'Tax Assumptions'!$N$9:$N$17)+(W294-LOOKUP(W294,'Tax Assumptions'!$K$9:$K$17,'Tax Assumptions'!$K$9:$K$17))*LOOKUP(W294,'Tax Assumptions'!$K$9:$K$17,'Tax Assumptions'!$M$9:$M$17))+IF(W294=0,0,LOOKUP(W294,'Tax Assumptions'!$P$9:$P$12,'Tax Assumptions'!$S$9:$S$12)+(W294-LOOKUP(W294,'Tax Assumptions'!$P$9:$P$12,'Tax Assumptions'!$P$9:$P$12))*LOOKUP(W294,'Tax Assumptions'!$P$9:$P$12,'Tax Assumptions'!$R$9:$R$12))</f>
        <v>1426764.0060518396</v>
      </c>
      <c r="Y294" s="230">
        <f t="shared" si="140"/>
        <v>1410248.5347073704</v>
      </c>
      <c r="Z294" s="230">
        <f>IF(J294&lt;=10,INDEX('Savings Projection'!$BL$19:$BL$28,J294),LOOKUP(2,1/('Savings Projection'!$BL$19:$BL$28&lt;&gt;""),'Savings Projection'!$BL$19:$BL$28))*(1+'Model Inputs'!$B$35)^(J294-1)+IF(J294&lt;=10,INDEX('Savings Projection'!$BM$19:$BM$28,J294),LOOKUP(2,1/('Savings Projection'!$BM$19:$BM$28&lt;&gt;""),'Savings Projection'!$BM$19:$BM$28))*(1+'Model Inputs'!$B$36)^(J294-1)</f>
        <v>144065.12767999998</v>
      </c>
      <c r="AA294" s="230">
        <f t="shared" si="141"/>
        <v>1266183.4070273705</v>
      </c>
      <c r="AB294" s="230">
        <f>MIN(MAX(AA294,0),'Tax Assumptions'!$B$20)</f>
        <v>7500</v>
      </c>
      <c r="AC294" s="230">
        <f t="shared" si="142"/>
        <v>1258683.4070273705</v>
      </c>
      <c r="AD294" s="230">
        <f>MAX(AD293*(1+'Model Inputs'!$B$13)+AC294,0)</f>
        <v>2330072.3098114617</v>
      </c>
      <c r="AE294" s="230">
        <f>MAX(AE293*(1+'Model Inputs'!$B$13)+U294+AB294,0)</f>
        <v>180386.97472</v>
      </c>
      <c r="AF294" s="230">
        <f t="shared" si="143"/>
        <v>2510459.2845314615</v>
      </c>
      <c r="AG294" s="226" t="str">
        <f t="shared" si="165"/>
        <v/>
      </c>
      <c r="AH294" s="226" t="str">
        <f t="shared" si="166"/>
        <v/>
      </c>
      <c r="AI294" s="226" t="str">
        <f t="shared" si="167"/>
        <v/>
      </c>
      <c r="AJ294" s="226" t="str">
        <f t="shared" si="168"/>
        <v/>
      </c>
    </row>
    <row r="295" spans="1:36" ht="18" customHeight="1" x14ac:dyDescent="0.2">
      <c r="A295" s="226" t="str">
        <f t="shared" si="157"/>
        <v>4Y -&gt; PM Y7 Starter</v>
      </c>
      <c r="B295" s="226">
        <f t="shared" si="158"/>
        <v>4</v>
      </c>
      <c r="C295" s="235">
        <f t="shared" si="159"/>
        <v>3</v>
      </c>
      <c r="D295" s="226">
        <f t="shared" si="160"/>
        <v>7</v>
      </c>
      <c r="E295" s="226" t="str">
        <f t="shared" si="161"/>
        <v>Starter</v>
      </c>
      <c r="F295" s="230">
        <f t="shared" si="162"/>
        <v>10000000</v>
      </c>
      <c r="G295" s="236">
        <f t="shared" si="163"/>
        <v>0.15</v>
      </c>
      <c r="H295" s="230">
        <f t="shared" si="164"/>
        <v>300000</v>
      </c>
      <c r="I295" s="236">
        <f t="shared" si="134"/>
        <v>0</v>
      </c>
      <c r="J295" s="234">
        <v>6</v>
      </c>
      <c r="K295" s="234">
        <f t="shared" si="135"/>
        <v>2031</v>
      </c>
      <c r="L295" s="230">
        <f>IF(J295=1,'Model Inputs'!$B$25*(13-'Model Inputs'!$B$23)/12,'Model Inputs'!$B$25)</f>
        <v>300000</v>
      </c>
      <c r="M295" s="230">
        <f>IF(J295=1,'Model Inputs'!$B$27*(13-'Model Inputs'!$B$23)/12,IF(J295=2,'Model Inputs'!$B$27,IF(J295&lt;=MAX(3,'Model Inputs'!$B$30+1),'Model Inputs'!$B$27*(1+'Model Inputs'!$B$28)^(J295-3),'Model Inputs'!$B$27*(1+'Model Inputs'!$B$28)^(MAX(3,'Model Inputs'!$B$30+1)-3)*(1+'Model Inputs'!$B$29)^(J295-MAX(3,'Model Inputs'!$B$30+1)))))</f>
        <v>1207333.5632986501</v>
      </c>
      <c r="N295" s="236">
        <f>IF(J295&lt;=2,0,'Model Inputs'!$B$32*SIN(2*PI()*(J295-3+'Model Inputs'!$B$34)/MAX(1,'Model Inputs'!$B$33)))</f>
        <v>-2.9391523179536474E-17</v>
      </c>
      <c r="O295" s="230">
        <f t="shared" si="136"/>
        <v>1207333.5632986501</v>
      </c>
      <c r="P295" s="230">
        <f t="shared" si="169"/>
        <v>818900.66583856498</v>
      </c>
      <c r="Q295" s="230">
        <f>L295+P295+IF(J295=1,'Model Inputs'!$B$26,0)</f>
        <v>1118900.665838565</v>
      </c>
      <c r="R295" s="230">
        <f t="shared" si="137"/>
        <v>3356701.9975156952</v>
      </c>
      <c r="S295" s="230">
        <f t="shared" si="138"/>
        <v>1800000</v>
      </c>
      <c r="T295" s="230">
        <f t="shared" si="139"/>
        <v>3356701.9975156952</v>
      </c>
      <c r="U295" s="230">
        <f>MIN(T295,'Tax Assumptions'!$B$19)</f>
        <v>24500</v>
      </c>
      <c r="V295" s="230">
        <f>MAX(T295-U295-'Tax Assumptions'!$B$8,0)</f>
        <v>3316101.9975156952</v>
      </c>
      <c r="W295" s="230">
        <f>MAX(T295-U295-'Tax Assumptions'!$B$9,0)</f>
        <v>3324201.9975156952</v>
      </c>
      <c r="X295" s="230">
        <f>IF(V295=0,0,LOOKUP(V295,'Tax Assumptions'!$F$9:$F$15,'Tax Assumptions'!$I$9:$I$15)+(V295-LOOKUP(V295,'Tax Assumptions'!$F$9:$F$15,'Tax Assumptions'!$F$9:$F$15))*LOOKUP(V295,'Tax Assumptions'!$F$9:$F$15,'Tax Assumptions'!$H$9:$H$15))+MIN(MAX(T295,0),'Tax Assumptions'!$B$11)*'Tax Assumptions'!$B$10+MAX(T295,0)*'Tax Assumptions'!$B$12+MAX(MAX(T295,0)-'Tax Assumptions'!$B$14,0)*'Tax Assumptions'!$B$13+MIN(T295*'Tax Assumptions'!$B$15,'Tax Assumptions'!$B$16)+MIN(T295*'Tax Assumptions'!$B$17,'Tax Assumptions'!$B$18)+IF(W295=0,0,LOOKUP(W295,'Tax Assumptions'!$K$9:$K$17,'Tax Assumptions'!$N$9:$N$17)+(W295-LOOKUP(W295,'Tax Assumptions'!$K$9:$K$17,'Tax Assumptions'!$K$9:$K$17))*LOOKUP(W295,'Tax Assumptions'!$K$9:$K$17,'Tax Assumptions'!$M$9:$M$17))+IF(W295=0,0,LOOKUP(W295,'Tax Assumptions'!$P$9:$P$12,'Tax Assumptions'!$S$9:$S$12)+(W295-LOOKUP(W295,'Tax Assumptions'!$P$9:$P$12,'Tax Assumptions'!$P$9:$P$12))*LOOKUP(W295,'Tax Assumptions'!$P$9:$P$12,'Tax Assumptions'!$R$9:$R$12))</f>
        <v>1688600.3832063989</v>
      </c>
      <c r="Y295" s="230">
        <f t="shared" si="140"/>
        <v>1643601.6143092962</v>
      </c>
      <c r="Z295" s="230">
        <f>IF(J295&lt;=10,INDEX('Savings Projection'!$BL$19:$BL$28,J295),LOOKUP(2,1/('Savings Projection'!$BL$19:$BL$28&lt;&gt;""),'Savings Projection'!$BL$19:$BL$28))*(1+'Model Inputs'!$B$35)^(J295-1)+IF(J295&lt;=10,INDEX('Savings Projection'!$BM$19:$BM$28,J295),LOOKUP(2,1/('Savings Projection'!$BM$19:$BM$28&lt;&gt;""),'Savings Projection'!$BM$19:$BM$28))*(1+'Model Inputs'!$B$36)^(J295-1)</f>
        <v>150705.62965899997</v>
      </c>
      <c r="AA295" s="230">
        <f t="shared" si="141"/>
        <v>1492895.9846502962</v>
      </c>
      <c r="AB295" s="230">
        <f>MIN(MAX(AA295,0),'Tax Assumptions'!$B$20)</f>
        <v>7500</v>
      </c>
      <c r="AC295" s="230">
        <f t="shared" si="142"/>
        <v>1485395.9846502962</v>
      </c>
      <c r="AD295" s="230">
        <f>MAX(AD294*(1+'Model Inputs'!$B$13)+AC295,0)</f>
        <v>3955272.6330504459</v>
      </c>
      <c r="AE295" s="230">
        <f>MAX(AE294*(1+'Model Inputs'!$B$13)+U295+AB295,0)</f>
        <v>223210.1932032</v>
      </c>
      <c r="AF295" s="230">
        <f t="shared" si="143"/>
        <v>4178482.8262536461</v>
      </c>
      <c r="AG295" s="226" t="str">
        <f t="shared" si="165"/>
        <v/>
      </c>
      <c r="AH295" s="226" t="str">
        <f t="shared" si="166"/>
        <v/>
      </c>
      <c r="AI295" s="226" t="str">
        <f t="shared" si="167"/>
        <v/>
      </c>
      <c r="AJ295" s="226" t="str">
        <f t="shared" si="168"/>
        <v/>
      </c>
    </row>
    <row r="296" spans="1:36" ht="18" customHeight="1" x14ac:dyDescent="0.2">
      <c r="A296" s="226" t="str">
        <f t="shared" si="157"/>
        <v>4Y -&gt; PM Y7 Starter</v>
      </c>
      <c r="B296" s="226">
        <f t="shared" si="158"/>
        <v>4</v>
      </c>
      <c r="C296" s="235">
        <f t="shared" si="159"/>
        <v>3</v>
      </c>
      <c r="D296" s="226">
        <f t="shared" si="160"/>
        <v>7</v>
      </c>
      <c r="E296" s="226" t="str">
        <f t="shared" si="161"/>
        <v>Starter</v>
      </c>
      <c r="F296" s="230">
        <f t="shared" si="162"/>
        <v>10000000</v>
      </c>
      <c r="G296" s="236">
        <f t="shared" si="163"/>
        <v>0.15</v>
      </c>
      <c r="H296" s="230">
        <f t="shared" si="164"/>
        <v>300000</v>
      </c>
      <c r="I296" s="236">
        <f t="shared" si="134"/>
        <v>0</v>
      </c>
      <c r="J296" s="234">
        <v>7</v>
      </c>
      <c r="K296" s="234">
        <f t="shared" si="135"/>
        <v>2032</v>
      </c>
      <c r="L296" s="230">
        <f>IF(J296=1,'Model Inputs'!$B$25*(13-'Model Inputs'!$B$23)/12,'Model Inputs'!$B$25)</f>
        <v>300000</v>
      </c>
      <c r="M296" s="230">
        <f>IF(J296=1,'Model Inputs'!$B$27*(13-'Model Inputs'!$B$23)/12,IF(J296=2,'Model Inputs'!$B$27,IF(J296&lt;=MAX(3,'Model Inputs'!$B$30+1),'Model Inputs'!$B$27*(1+'Model Inputs'!$B$28)^(J296-3),'Model Inputs'!$B$27*(1+'Model Inputs'!$B$28)^(MAX(3,'Model Inputs'!$B$30+1)-3)*(1+'Model Inputs'!$B$29)^(J296-MAX(3,'Model Inputs'!$B$30+1)))))</f>
        <v>1534372.9821762268</v>
      </c>
      <c r="N296" s="236">
        <f>IF(J296&lt;=2,0,'Model Inputs'!$B$32*SIN(2*PI()*(J296-3+'Model Inputs'!$B$34)/MAX(1,'Model Inputs'!$B$33)))</f>
        <v>0.10392304845413269</v>
      </c>
      <c r="O296" s="230">
        <f t="shared" si="136"/>
        <v>1693829.6999496389</v>
      </c>
      <c r="P296" s="230">
        <f t="shared" si="169"/>
        <v>1118318.448466131</v>
      </c>
      <c r="Q296" s="230">
        <f>L296+P296+IF(J296=1,'Model Inputs'!$B$26,0)</f>
        <v>1418318.448466131</v>
      </c>
      <c r="R296" s="230">
        <f t="shared" si="137"/>
        <v>4254955.3453983925</v>
      </c>
      <c r="S296" s="230">
        <f t="shared" si="138"/>
        <v>1800000</v>
      </c>
      <c r="T296" s="230">
        <f t="shared" si="139"/>
        <v>1800000</v>
      </c>
      <c r="U296" s="230">
        <f>MIN(T296,'Tax Assumptions'!$B$19)</f>
        <v>24500</v>
      </c>
      <c r="V296" s="230">
        <f>MAX(T296-U296-'Tax Assumptions'!$B$8,0)</f>
        <v>1759400</v>
      </c>
      <c r="W296" s="230">
        <f>MAX(T296-U296-'Tax Assumptions'!$B$9,0)</f>
        <v>1767500</v>
      </c>
      <c r="X296" s="230">
        <f>IF(V296=0,0,LOOKUP(V296,'Tax Assumptions'!$F$9:$F$15,'Tax Assumptions'!$I$9:$I$15)+(V296-LOOKUP(V296,'Tax Assumptions'!$F$9:$F$15,'Tax Assumptions'!$F$9:$F$15))*LOOKUP(V296,'Tax Assumptions'!$F$9:$F$15,'Tax Assumptions'!$H$9:$H$15))+MIN(MAX(T296,0),'Tax Assumptions'!$B$11)*'Tax Assumptions'!$B$10+MAX(T296,0)*'Tax Assumptions'!$B$12+MAX(MAX(T296,0)-'Tax Assumptions'!$B$14,0)*'Tax Assumptions'!$B$13+MIN(T296*'Tax Assumptions'!$B$15,'Tax Assumptions'!$B$16)+MIN(T296*'Tax Assumptions'!$B$17,'Tax Assumptions'!$B$18)+IF(W296=0,0,LOOKUP(W296,'Tax Assumptions'!$K$9:$K$17,'Tax Assumptions'!$N$9:$N$17)+(W296-LOOKUP(W296,'Tax Assumptions'!$K$9:$K$17,'Tax Assumptions'!$K$9:$K$17))*LOOKUP(W296,'Tax Assumptions'!$K$9:$K$17,'Tax Assumptions'!$M$9:$M$17))+IF(W296=0,0,LOOKUP(W296,'Tax Assumptions'!$P$9:$P$12,'Tax Assumptions'!$S$9:$S$12)+(W296-LOOKUP(W296,'Tax Assumptions'!$P$9:$P$12,'Tax Assumptions'!$P$9:$P$12))*LOOKUP(W296,'Tax Assumptions'!$P$9:$P$12,'Tax Assumptions'!$R$9:$R$12))</f>
        <v>865478.63500000001</v>
      </c>
      <c r="Y296" s="230">
        <f t="shared" si="140"/>
        <v>910021.36499999999</v>
      </c>
      <c r="Z296" s="230">
        <f>IF(J296&lt;=10,INDEX('Savings Projection'!$BL$19:$BL$28,J296),LOOKUP(2,1/('Savings Projection'!$BL$19:$BL$28&lt;&gt;""),'Savings Projection'!$BL$19:$BL$28))*(1+'Model Inputs'!$B$35)^(J296-1)+IF(J296&lt;=10,INDEX('Savings Projection'!$BM$19:$BM$28,J296),LOOKUP(2,1/('Savings Projection'!$BM$19:$BM$28&lt;&gt;""),'Savings Projection'!$BM$19:$BM$28))*(1+'Model Inputs'!$B$36)^(J296-1)</f>
        <v>155226.79854876999</v>
      </c>
      <c r="AA296" s="230">
        <f t="shared" si="141"/>
        <v>754794.56645122997</v>
      </c>
      <c r="AB296" s="230">
        <f>MIN(MAX(AA296,0),'Tax Assumptions'!$B$20)</f>
        <v>7500</v>
      </c>
      <c r="AC296" s="230">
        <f t="shared" si="142"/>
        <v>747294.56645122997</v>
      </c>
      <c r="AD296" s="230">
        <f>MAX(AD295*(1+'Model Inputs'!$B$13)+AC296,0)</f>
        <v>4939883.5574847031</v>
      </c>
      <c r="AE296" s="230">
        <f>MAX(AE295*(1+'Model Inputs'!$B$13)+U296+AB296,0)</f>
        <v>268602.80479539197</v>
      </c>
      <c r="AF296" s="230">
        <f t="shared" si="143"/>
        <v>5208486.362280095</v>
      </c>
      <c r="AG296" s="226" t="str">
        <f t="shared" si="165"/>
        <v/>
      </c>
      <c r="AH296" s="226" t="str">
        <f t="shared" si="166"/>
        <v/>
      </c>
      <c r="AI296" s="226" t="str">
        <f t="shared" si="167"/>
        <v/>
      </c>
      <c r="AJ296" s="226" t="str">
        <f t="shared" si="168"/>
        <v/>
      </c>
    </row>
    <row r="297" spans="1:36" ht="18" customHeight="1" x14ac:dyDescent="0.2">
      <c r="A297" s="226" t="str">
        <f t="shared" si="157"/>
        <v>4Y -&gt; PM Y7 Starter</v>
      </c>
      <c r="B297" s="226">
        <f t="shared" si="158"/>
        <v>4</v>
      </c>
      <c r="C297" s="235">
        <f t="shared" si="159"/>
        <v>3</v>
      </c>
      <c r="D297" s="226">
        <f t="shared" si="160"/>
        <v>7</v>
      </c>
      <c r="E297" s="226" t="str">
        <f t="shared" si="161"/>
        <v>Starter</v>
      </c>
      <c r="F297" s="230">
        <f t="shared" si="162"/>
        <v>10000000</v>
      </c>
      <c r="G297" s="236">
        <f t="shared" si="163"/>
        <v>0.15</v>
      </c>
      <c r="H297" s="230">
        <f t="shared" si="164"/>
        <v>300000</v>
      </c>
      <c r="I297" s="236">
        <f t="shared" si="134"/>
        <v>0</v>
      </c>
      <c r="J297" s="234">
        <v>8</v>
      </c>
      <c r="K297" s="234">
        <f t="shared" si="135"/>
        <v>2033</v>
      </c>
      <c r="L297" s="230">
        <f>IF(J297=1,'Model Inputs'!$B$25*(13-'Model Inputs'!$B$23)/12,'Model Inputs'!$B$25)</f>
        <v>300000</v>
      </c>
      <c r="M297" s="230">
        <f>IF(J297=1,'Model Inputs'!$B$27*(13-'Model Inputs'!$B$23)/12,IF(J297=2,'Model Inputs'!$B$27,IF(J297&lt;=MAX(3,'Model Inputs'!$B$30+1),'Model Inputs'!$B$27*(1+'Model Inputs'!$B$28)^(J297-3),'Model Inputs'!$B$27*(1+'Model Inputs'!$B$28)^(MAX(3,'Model Inputs'!$B$30+1)-3)*(1+'Model Inputs'!$B$29)^(J297-MAX(3,'Model Inputs'!$B$30+1)))))</f>
        <v>1950000.0000000002</v>
      </c>
      <c r="N297" s="236">
        <f>IF(J297&lt;=2,0,'Model Inputs'!$B$32*SIN(2*PI()*(J297-3+'Model Inputs'!$B$34)/MAX(1,'Model Inputs'!$B$33)))</f>
        <v>-0.10392304845413264</v>
      </c>
      <c r="O297" s="230">
        <f t="shared" si="136"/>
        <v>1747350.0555144416</v>
      </c>
      <c r="P297" s="230">
        <f t="shared" si="169"/>
        <v>1572205.6657868917</v>
      </c>
      <c r="Q297" s="230">
        <f>L297+P297+IF(J297=1,'Model Inputs'!$B$26,0)</f>
        <v>1872205.6657868917</v>
      </c>
      <c r="R297" s="230">
        <f t="shared" si="137"/>
        <v>5616616.9973606747</v>
      </c>
      <c r="S297" s="230">
        <f t="shared" si="138"/>
        <v>1800000</v>
      </c>
      <c r="T297" s="230">
        <f t="shared" si="139"/>
        <v>1800000</v>
      </c>
      <c r="U297" s="230">
        <f>MIN(T297,'Tax Assumptions'!$B$19)</f>
        <v>24500</v>
      </c>
      <c r="V297" s="230">
        <f>MAX(T297-U297-'Tax Assumptions'!$B$8,0)</f>
        <v>1759400</v>
      </c>
      <c r="W297" s="230">
        <f>MAX(T297-U297-'Tax Assumptions'!$B$9,0)</f>
        <v>1767500</v>
      </c>
      <c r="X297" s="230">
        <f>IF(V297=0,0,LOOKUP(V297,'Tax Assumptions'!$F$9:$F$15,'Tax Assumptions'!$I$9:$I$15)+(V297-LOOKUP(V297,'Tax Assumptions'!$F$9:$F$15,'Tax Assumptions'!$F$9:$F$15))*LOOKUP(V297,'Tax Assumptions'!$F$9:$F$15,'Tax Assumptions'!$H$9:$H$15))+MIN(MAX(T297,0),'Tax Assumptions'!$B$11)*'Tax Assumptions'!$B$10+MAX(T297,0)*'Tax Assumptions'!$B$12+MAX(MAX(T297,0)-'Tax Assumptions'!$B$14,0)*'Tax Assumptions'!$B$13+MIN(T297*'Tax Assumptions'!$B$15,'Tax Assumptions'!$B$16)+MIN(T297*'Tax Assumptions'!$B$17,'Tax Assumptions'!$B$18)+IF(W297=0,0,LOOKUP(W297,'Tax Assumptions'!$K$9:$K$17,'Tax Assumptions'!$N$9:$N$17)+(W297-LOOKUP(W297,'Tax Assumptions'!$K$9:$K$17,'Tax Assumptions'!$K$9:$K$17))*LOOKUP(W297,'Tax Assumptions'!$K$9:$K$17,'Tax Assumptions'!$M$9:$M$17))+IF(W297=0,0,LOOKUP(W297,'Tax Assumptions'!$P$9:$P$12,'Tax Assumptions'!$S$9:$S$12)+(W297-LOOKUP(W297,'Tax Assumptions'!$P$9:$P$12,'Tax Assumptions'!$P$9:$P$12))*LOOKUP(W297,'Tax Assumptions'!$P$9:$P$12,'Tax Assumptions'!$R$9:$R$12))</f>
        <v>865478.63500000001</v>
      </c>
      <c r="Y297" s="230">
        <f t="shared" si="140"/>
        <v>910021.36499999999</v>
      </c>
      <c r="Z297" s="230">
        <f>IF(J297&lt;=10,INDEX('Savings Projection'!$BL$19:$BL$28,J297),LOOKUP(2,1/('Savings Projection'!$BL$19:$BL$28&lt;&gt;""),'Savings Projection'!$BL$19:$BL$28))*(1+'Model Inputs'!$B$35)^(J297-1)+IF(J297&lt;=10,INDEX('Savings Projection'!$BM$19:$BM$28,J297),LOOKUP(2,1/('Savings Projection'!$BM$19:$BM$28&lt;&gt;""),'Savings Projection'!$BM$19:$BM$28))*(1+'Model Inputs'!$B$36)^(J297-1)</f>
        <v>159883.60250523311</v>
      </c>
      <c r="AA297" s="230">
        <f t="shared" si="141"/>
        <v>750137.76249476685</v>
      </c>
      <c r="AB297" s="230">
        <f>MIN(MAX(AA297,0),'Tax Assumptions'!$B$20)</f>
        <v>7500</v>
      </c>
      <c r="AC297" s="230">
        <f t="shared" si="142"/>
        <v>742637.76249476685</v>
      </c>
      <c r="AD297" s="230">
        <f>MAX(AD296*(1+'Model Inputs'!$B$13)+AC297,0)</f>
        <v>5978914.3334285524</v>
      </c>
      <c r="AE297" s="230">
        <f>MAX(AE296*(1+'Model Inputs'!$B$13)+U297+AB297,0)</f>
        <v>316718.97308311553</v>
      </c>
      <c r="AF297" s="230">
        <f t="shared" si="143"/>
        <v>6295633.3065116676</v>
      </c>
      <c r="AG297" s="226" t="str">
        <f t="shared" si="165"/>
        <v/>
      </c>
      <c r="AH297" s="226" t="str">
        <f t="shared" si="166"/>
        <v/>
      </c>
      <c r="AI297" s="226" t="str">
        <f t="shared" si="167"/>
        <v/>
      </c>
      <c r="AJ297" s="226" t="str">
        <f t="shared" si="168"/>
        <v/>
      </c>
    </row>
    <row r="298" spans="1:36" ht="18" customHeight="1" x14ac:dyDescent="0.2">
      <c r="A298" s="226" t="str">
        <f t="shared" si="157"/>
        <v>4Y -&gt; PM Y7 Starter</v>
      </c>
      <c r="B298" s="226">
        <f t="shared" si="158"/>
        <v>4</v>
      </c>
      <c r="C298" s="235">
        <f t="shared" si="159"/>
        <v>3</v>
      </c>
      <c r="D298" s="226">
        <f t="shared" si="160"/>
        <v>7</v>
      </c>
      <c r="E298" s="226" t="str">
        <f t="shared" si="161"/>
        <v>Starter</v>
      </c>
      <c r="F298" s="230">
        <f t="shared" si="162"/>
        <v>10000000</v>
      </c>
      <c r="G298" s="236">
        <f t="shared" si="163"/>
        <v>0.15</v>
      </c>
      <c r="H298" s="230">
        <f t="shared" si="164"/>
        <v>300000</v>
      </c>
      <c r="I298" s="236">
        <f t="shared" si="134"/>
        <v>0</v>
      </c>
      <c r="J298" s="234">
        <v>9</v>
      </c>
      <c r="K298" s="234">
        <f t="shared" si="135"/>
        <v>2034</v>
      </c>
      <c r="L298" s="230">
        <f>IF(J298=1,'Model Inputs'!$B$25*(13-'Model Inputs'!$B$23)/12,'Model Inputs'!$B$25)</f>
        <v>300000</v>
      </c>
      <c r="M298" s="230">
        <f>IF(J298=1,'Model Inputs'!$B$27*(13-'Model Inputs'!$B$23)/12,IF(J298=2,'Model Inputs'!$B$27,IF(J298&lt;=MAX(3,'Model Inputs'!$B$30+1),'Model Inputs'!$B$27*(1+'Model Inputs'!$B$28)^(J298-3),'Model Inputs'!$B$27*(1+'Model Inputs'!$B$28)^(MAX(3,'Model Inputs'!$B$30+1)-3)*(1+'Model Inputs'!$B$29)^(J298-MAX(3,'Model Inputs'!$B$30+1)))))</f>
        <v>2478210.9983498608</v>
      </c>
      <c r="N298" s="236">
        <f>IF(J298&lt;=2,0,'Model Inputs'!$B$32*SIN(2*PI()*(J298-3+'Model Inputs'!$B$34)/MAX(1,'Model Inputs'!$B$33)))</f>
        <v>-5.8783046359072947E-17</v>
      </c>
      <c r="O298" s="230">
        <f t="shared" si="136"/>
        <v>2478210.9983498603</v>
      </c>
      <c r="P298" s="230">
        <f t="shared" si="169"/>
        <v>1733969.9666232408</v>
      </c>
      <c r="Q298" s="230">
        <f>L298+P298+IF(J298=1,'Model Inputs'!$B$26,0)</f>
        <v>2033969.9666232408</v>
      </c>
      <c r="R298" s="230">
        <f t="shared" si="137"/>
        <v>6101909.8998697223</v>
      </c>
      <c r="S298" s="230">
        <f t="shared" si="138"/>
        <v>1800000</v>
      </c>
      <c r="T298" s="230">
        <f t="shared" si="139"/>
        <v>1800000</v>
      </c>
      <c r="U298" s="230">
        <f>MIN(T298,'Tax Assumptions'!$B$19)</f>
        <v>24500</v>
      </c>
      <c r="V298" s="230">
        <f>MAX(T298-U298-'Tax Assumptions'!$B$8,0)</f>
        <v>1759400</v>
      </c>
      <c r="W298" s="230">
        <f>MAX(T298-U298-'Tax Assumptions'!$B$9,0)</f>
        <v>1767500</v>
      </c>
      <c r="X298" s="230">
        <f>IF(V298=0,0,LOOKUP(V298,'Tax Assumptions'!$F$9:$F$15,'Tax Assumptions'!$I$9:$I$15)+(V298-LOOKUP(V298,'Tax Assumptions'!$F$9:$F$15,'Tax Assumptions'!$F$9:$F$15))*LOOKUP(V298,'Tax Assumptions'!$F$9:$F$15,'Tax Assumptions'!$H$9:$H$15))+MIN(MAX(T298,0),'Tax Assumptions'!$B$11)*'Tax Assumptions'!$B$10+MAX(T298,0)*'Tax Assumptions'!$B$12+MAX(MAX(T298,0)-'Tax Assumptions'!$B$14,0)*'Tax Assumptions'!$B$13+MIN(T298*'Tax Assumptions'!$B$15,'Tax Assumptions'!$B$16)+MIN(T298*'Tax Assumptions'!$B$17,'Tax Assumptions'!$B$18)+IF(W298=0,0,LOOKUP(W298,'Tax Assumptions'!$K$9:$K$17,'Tax Assumptions'!$N$9:$N$17)+(W298-LOOKUP(W298,'Tax Assumptions'!$K$9:$K$17,'Tax Assumptions'!$K$9:$K$17))*LOOKUP(W298,'Tax Assumptions'!$K$9:$K$17,'Tax Assumptions'!$M$9:$M$17))+IF(W298=0,0,LOOKUP(W298,'Tax Assumptions'!$P$9:$P$12,'Tax Assumptions'!$S$9:$S$12)+(W298-LOOKUP(W298,'Tax Assumptions'!$P$9:$P$12,'Tax Assumptions'!$P$9:$P$12))*LOOKUP(W298,'Tax Assumptions'!$P$9:$P$12,'Tax Assumptions'!$R$9:$R$12))</f>
        <v>865478.63500000001</v>
      </c>
      <c r="Y298" s="230">
        <f t="shared" si="140"/>
        <v>910021.36499999999</v>
      </c>
      <c r="Z298" s="230">
        <f>IF(J298&lt;=10,INDEX('Savings Projection'!$BL$19:$BL$28,J298),LOOKUP(2,1/('Savings Projection'!$BL$19:$BL$28&lt;&gt;""),'Savings Projection'!$BL$19:$BL$28))*(1+'Model Inputs'!$B$35)^(J298-1)+IF(J298&lt;=10,INDEX('Savings Projection'!$BM$19:$BM$28,J298),LOOKUP(2,1/('Savings Projection'!$BM$19:$BM$28&lt;&gt;""),'Savings Projection'!$BM$19:$BM$28))*(1+'Model Inputs'!$B$36)^(J298-1)</f>
        <v>164680.11058039009</v>
      </c>
      <c r="AA298" s="230">
        <f t="shared" si="141"/>
        <v>745341.2544196099</v>
      </c>
      <c r="AB298" s="230">
        <f>MIN(MAX(AA298,0),'Tax Assumptions'!$B$20)</f>
        <v>7500</v>
      </c>
      <c r="AC298" s="230">
        <f t="shared" si="142"/>
        <v>737841.2544196099</v>
      </c>
      <c r="AD298" s="230">
        <f>MAX(AD297*(1+'Model Inputs'!$B$13)+AC298,0)</f>
        <v>7075490.4478538753</v>
      </c>
      <c r="AE298" s="230">
        <f>MAX(AE297*(1+'Model Inputs'!$B$13)+U298+AB298,0)</f>
        <v>367722.11146810249</v>
      </c>
      <c r="AF298" s="230">
        <f t="shared" si="143"/>
        <v>7443212.5593219781</v>
      </c>
      <c r="AG298" s="226" t="str">
        <f t="shared" si="165"/>
        <v/>
      </c>
      <c r="AH298" s="226" t="str">
        <f t="shared" si="166"/>
        <v/>
      </c>
      <c r="AI298" s="226" t="str">
        <f t="shared" si="167"/>
        <v/>
      </c>
      <c r="AJ298" s="226" t="str">
        <f t="shared" si="168"/>
        <v/>
      </c>
    </row>
    <row r="299" spans="1:36" ht="18" customHeight="1" x14ac:dyDescent="0.2">
      <c r="A299" s="226" t="str">
        <f t="shared" si="157"/>
        <v>4Y -&gt; PM Y7 Starter</v>
      </c>
      <c r="B299" s="226">
        <f t="shared" si="158"/>
        <v>4</v>
      </c>
      <c r="C299" s="235">
        <f t="shared" si="159"/>
        <v>3</v>
      </c>
      <c r="D299" s="226">
        <f t="shared" si="160"/>
        <v>7</v>
      </c>
      <c r="E299" s="226" t="str">
        <f t="shared" si="161"/>
        <v>Starter</v>
      </c>
      <c r="F299" s="230">
        <f t="shared" si="162"/>
        <v>10000000</v>
      </c>
      <c r="G299" s="236">
        <f t="shared" si="163"/>
        <v>0.15</v>
      </c>
      <c r="H299" s="230">
        <f t="shared" si="164"/>
        <v>300000</v>
      </c>
      <c r="I299" s="236">
        <f t="shared" si="134"/>
        <v>0</v>
      </c>
      <c r="J299" s="234">
        <v>10</v>
      </c>
      <c r="K299" s="234">
        <f t="shared" si="135"/>
        <v>2035</v>
      </c>
      <c r="L299" s="230">
        <f>IF(J299=1,'Model Inputs'!$B$25*(13-'Model Inputs'!$B$23)/12,'Model Inputs'!$B$25)</f>
        <v>300000</v>
      </c>
      <c r="M299" s="230">
        <f>IF(J299=1,'Model Inputs'!$B$27*(13-'Model Inputs'!$B$23)/12,IF(J299=2,'Model Inputs'!$B$27,IF(J299&lt;=MAX(3,'Model Inputs'!$B$30+1),'Model Inputs'!$B$27*(1+'Model Inputs'!$B$28)^(J299-3),'Model Inputs'!$B$27*(1+'Model Inputs'!$B$28)^(MAX(3,'Model Inputs'!$B$30+1)-3)*(1+'Model Inputs'!$B$29)^(J299-MAX(3,'Model Inputs'!$B$30+1)))))</f>
        <v>3149502.4370985711</v>
      </c>
      <c r="N299" s="236">
        <f>IF(J299&lt;=2,0,'Model Inputs'!$B$32*SIN(2*PI()*(J299-3+'Model Inputs'!$B$34)/MAX(1,'Model Inputs'!$B$33)))</f>
        <v>0.10392304845413271</v>
      </c>
      <c r="O299" s="230">
        <f t="shared" si="136"/>
        <v>3476808.331475575</v>
      </c>
      <c r="P299" s="230">
        <f t="shared" si="169"/>
        <v>2295495.7626410057</v>
      </c>
      <c r="Q299" s="230">
        <f>L299+P299+IF(J299=1,'Model Inputs'!$B$26,0)</f>
        <v>2595495.7626410057</v>
      </c>
      <c r="R299" s="230">
        <f t="shared" si="137"/>
        <v>7786487.2879230175</v>
      </c>
      <c r="S299" s="230">
        <f t="shared" si="138"/>
        <v>1800000</v>
      </c>
      <c r="T299" s="230">
        <f t="shared" si="139"/>
        <v>1800000</v>
      </c>
      <c r="U299" s="230">
        <f>MIN(T299,'Tax Assumptions'!$B$19)</f>
        <v>24500</v>
      </c>
      <c r="V299" s="230">
        <f>MAX(T299-U299-'Tax Assumptions'!$B$8,0)</f>
        <v>1759400</v>
      </c>
      <c r="W299" s="230">
        <f>MAX(T299-U299-'Tax Assumptions'!$B$9,0)</f>
        <v>1767500</v>
      </c>
      <c r="X299" s="230">
        <f>IF(V299=0,0,LOOKUP(V299,'Tax Assumptions'!$F$9:$F$15,'Tax Assumptions'!$I$9:$I$15)+(V299-LOOKUP(V299,'Tax Assumptions'!$F$9:$F$15,'Tax Assumptions'!$F$9:$F$15))*LOOKUP(V299,'Tax Assumptions'!$F$9:$F$15,'Tax Assumptions'!$H$9:$H$15))+MIN(MAX(T299,0),'Tax Assumptions'!$B$11)*'Tax Assumptions'!$B$10+MAX(T299,0)*'Tax Assumptions'!$B$12+MAX(MAX(T299,0)-'Tax Assumptions'!$B$14,0)*'Tax Assumptions'!$B$13+MIN(T299*'Tax Assumptions'!$B$15,'Tax Assumptions'!$B$16)+MIN(T299*'Tax Assumptions'!$B$17,'Tax Assumptions'!$B$18)+IF(W299=0,0,LOOKUP(W299,'Tax Assumptions'!$K$9:$K$17,'Tax Assumptions'!$N$9:$N$17)+(W299-LOOKUP(W299,'Tax Assumptions'!$K$9:$K$17,'Tax Assumptions'!$K$9:$K$17))*LOOKUP(W299,'Tax Assumptions'!$K$9:$K$17,'Tax Assumptions'!$M$9:$M$17))+IF(W299=0,0,LOOKUP(W299,'Tax Assumptions'!$P$9:$P$12,'Tax Assumptions'!$S$9:$S$12)+(W299-LOOKUP(W299,'Tax Assumptions'!$P$9:$P$12,'Tax Assumptions'!$P$9:$P$12))*LOOKUP(W299,'Tax Assumptions'!$P$9:$P$12,'Tax Assumptions'!$R$9:$R$12))</f>
        <v>865478.63500000001</v>
      </c>
      <c r="Y299" s="230">
        <f t="shared" si="140"/>
        <v>910021.36499999999</v>
      </c>
      <c r="Z299" s="230">
        <f>IF(J299&lt;=10,INDEX('Savings Projection'!$BL$19:$BL$28,J299),LOOKUP(2,1/('Savings Projection'!$BL$19:$BL$28&lt;&gt;""),'Savings Projection'!$BL$19:$BL$28))*(1+'Model Inputs'!$B$35)^(J299-1)+IF(J299&lt;=10,INDEX('Savings Projection'!$BM$19:$BM$28,J299),LOOKUP(2,1/('Savings Projection'!$BM$19:$BM$28&lt;&gt;""),'Savings Projection'!$BM$19:$BM$28))*(1+'Model Inputs'!$B$36)^(J299-1)</f>
        <v>169620.51389780178</v>
      </c>
      <c r="AA299" s="230">
        <f t="shared" si="141"/>
        <v>740400.85110219824</v>
      </c>
      <c r="AB299" s="230">
        <f>MIN(MAX(AA299,0),'Tax Assumptions'!$B$20)</f>
        <v>7500</v>
      </c>
      <c r="AC299" s="230">
        <f t="shared" si="142"/>
        <v>732900.85110219824</v>
      </c>
      <c r="AD299" s="230">
        <f>MAX(AD298*(1+'Model Inputs'!$B$13)+AC299,0)</f>
        <v>8232920.7258273065</v>
      </c>
      <c r="AE299" s="230">
        <f>MAX(AE298*(1+'Model Inputs'!$B$13)+U299+AB299,0)</f>
        <v>421785.43815618864</v>
      </c>
      <c r="AF299" s="230">
        <f t="shared" si="143"/>
        <v>8654706.1639834959</v>
      </c>
      <c r="AG299" s="226" t="str">
        <f t="shared" si="165"/>
        <v/>
      </c>
      <c r="AH299" s="226" t="str">
        <f t="shared" si="166"/>
        <v/>
      </c>
      <c r="AI299" s="226" t="str">
        <f t="shared" si="167"/>
        <v/>
      </c>
      <c r="AJ299" s="226" t="str">
        <f t="shared" si="168"/>
        <v/>
      </c>
    </row>
    <row r="300" spans="1:36" ht="18" customHeight="1" x14ac:dyDescent="0.2">
      <c r="A300" s="226" t="str">
        <f t="shared" si="157"/>
        <v>4Y -&gt; PM Y7 Starter</v>
      </c>
      <c r="B300" s="226">
        <f t="shared" si="158"/>
        <v>4</v>
      </c>
      <c r="C300" s="235">
        <f t="shared" si="159"/>
        <v>3</v>
      </c>
      <c r="D300" s="226">
        <f t="shared" si="160"/>
        <v>7</v>
      </c>
      <c r="E300" s="226" t="str">
        <f t="shared" si="161"/>
        <v>Starter</v>
      </c>
      <c r="F300" s="230">
        <f t="shared" si="162"/>
        <v>10000000</v>
      </c>
      <c r="G300" s="236">
        <f t="shared" si="163"/>
        <v>0.15</v>
      </c>
      <c r="H300" s="230">
        <f t="shared" si="164"/>
        <v>300000</v>
      </c>
      <c r="I300" s="236">
        <f t="shared" si="134"/>
        <v>0</v>
      </c>
      <c r="J300" s="234">
        <v>11</v>
      </c>
      <c r="K300" s="234">
        <f t="shared" si="135"/>
        <v>2036</v>
      </c>
      <c r="L300" s="230">
        <f>IF(J300=1,'Model Inputs'!$B$25*(13-'Model Inputs'!$B$23)/12,'Model Inputs'!$B$25)</f>
        <v>300000</v>
      </c>
      <c r="M300" s="230">
        <f>IF(J300=1,'Model Inputs'!$B$27*(13-'Model Inputs'!$B$23)/12,IF(J300=2,'Model Inputs'!$B$27,IF(J300&lt;=MAX(3,'Model Inputs'!$B$30+1),'Model Inputs'!$B$27*(1+'Model Inputs'!$B$28)^(J300-3),'Model Inputs'!$B$27*(1+'Model Inputs'!$B$28)^(MAX(3,'Model Inputs'!$B$30+1)-3)*(1+'Model Inputs'!$B$29)^(J300-MAX(3,'Model Inputs'!$B$30+1)))))</f>
        <v>4002631.578947369</v>
      </c>
      <c r="N300" s="236">
        <f>IF(J300&lt;=2,0,'Model Inputs'!$B$32*SIN(2*PI()*(J300-3+'Model Inputs'!$B$34)/MAX(1,'Model Inputs'!$B$33)))</f>
        <v>-0.10392304845413253</v>
      </c>
      <c r="O300" s="230">
        <f t="shared" si="136"/>
        <v>3586665.9034243808</v>
      </c>
      <c r="P300" s="230">
        <f t="shared" si="169"/>
        <v>3227158.9981941464</v>
      </c>
      <c r="Q300" s="230">
        <f>L300+P300+IF(J300=1,'Model Inputs'!$B$26,0)</f>
        <v>3527158.9981941464</v>
      </c>
      <c r="R300" s="230">
        <f t="shared" si="137"/>
        <v>10581476.994582439</v>
      </c>
      <c r="S300" s="230">
        <f t="shared" si="138"/>
        <v>1800000</v>
      </c>
      <c r="T300" s="230">
        <f t="shared" si="139"/>
        <v>1800000</v>
      </c>
      <c r="U300" s="230">
        <f>MIN(T300,'Tax Assumptions'!$B$19)</f>
        <v>24500</v>
      </c>
      <c r="V300" s="230">
        <f>MAX(T300-U300-'Tax Assumptions'!$B$8,0)</f>
        <v>1759400</v>
      </c>
      <c r="W300" s="230">
        <f>MAX(T300-U300-'Tax Assumptions'!$B$9,0)</f>
        <v>1767500</v>
      </c>
      <c r="X300" s="230">
        <f>IF(V300=0,0,LOOKUP(V300,'Tax Assumptions'!$F$9:$F$15,'Tax Assumptions'!$I$9:$I$15)+(V300-LOOKUP(V300,'Tax Assumptions'!$F$9:$F$15,'Tax Assumptions'!$F$9:$F$15))*LOOKUP(V300,'Tax Assumptions'!$F$9:$F$15,'Tax Assumptions'!$H$9:$H$15))+MIN(MAX(T300,0),'Tax Assumptions'!$B$11)*'Tax Assumptions'!$B$10+MAX(T300,0)*'Tax Assumptions'!$B$12+MAX(MAX(T300,0)-'Tax Assumptions'!$B$14,0)*'Tax Assumptions'!$B$13+MIN(T300*'Tax Assumptions'!$B$15,'Tax Assumptions'!$B$16)+MIN(T300*'Tax Assumptions'!$B$17,'Tax Assumptions'!$B$18)+IF(W300=0,0,LOOKUP(W300,'Tax Assumptions'!$K$9:$K$17,'Tax Assumptions'!$N$9:$N$17)+(W300-LOOKUP(W300,'Tax Assumptions'!$K$9:$K$17,'Tax Assumptions'!$K$9:$K$17))*LOOKUP(W300,'Tax Assumptions'!$K$9:$K$17,'Tax Assumptions'!$M$9:$M$17))+IF(W300=0,0,LOOKUP(W300,'Tax Assumptions'!$P$9:$P$12,'Tax Assumptions'!$S$9:$S$12)+(W300-LOOKUP(W300,'Tax Assumptions'!$P$9:$P$12,'Tax Assumptions'!$P$9:$P$12))*LOOKUP(W300,'Tax Assumptions'!$P$9:$P$12,'Tax Assumptions'!$R$9:$R$12))</f>
        <v>865478.63500000001</v>
      </c>
      <c r="Y300" s="230">
        <f t="shared" si="140"/>
        <v>910021.36499999999</v>
      </c>
      <c r="Z300" s="230">
        <f>IF(J300&lt;=10,INDEX('Savings Projection'!$BL$19:$BL$28,J300),LOOKUP(2,1/('Savings Projection'!$BL$19:$BL$28&lt;&gt;""),'Savings Projection'!$BL$19:$BL$28))*(1+'Model Inputs'!$B$35)^(J300-1)+IF(J300&lt;=10,INDEX('Savings Projection'!$BM$19:$BM$28,J300),LOOKUP(2,1/('Savings Projection'!$BM$19:$BM$28&lt;&gt;""),'Savings Projection'!$BM$19:$BM$28))*(1+'Model Inputs'!$B$36)^(J300-1)</f>
        <v>174709.12931473582</v>
      </c>
      <c r="AA300" s="230">
        <f t="shared" si="141"/>
        <v>735312.23568526423</v>
      </c>
      <c r="AB300" s="230">
        <f>MIN(MAX(AA300,0),'Tax Assumptions'!$B$20)</f>
        <v>7500</v>
      </c>
      <c r="AC300" s="230">
        <f t="shared" si="142"/>
        <v>727812.23568526423</v>
      </c>
      <c r="AD300" s="230">
        <f>MAX(AD299*(1+'Model Inputs'!$B$13)+AC300,0)</f>
        <v>9454708.2050622106</v>
      </c>
      <c r="AE300" s="230">
        <f>MAX(AE299*(1+'Model Inputs'!$B$13)+U300+AB300,0)</f>
        <v>479092.56444555998</v>
      </c>
      <c r="AF300" s="230">
        <f t="shared" si="143"/>
        <v>9933800.7695077714</v>
      </c>
      <c r="AG300" s="226" t="str">
        <f t="shared" si="165"/>
        <v/>
      </c>
      <c r="AH300" s="226" t="str">
        <f t="shared" si="166"/>
        <v/>
      </c>
      <c r="AI300" s="226" t="str">
        <f t="shared" si="167"/>
        <v/>
      </c>
      <c r="AJ300" s="226" t="str">
        <f t="shared" si="168"/>
        <v/>
      </c>
    </row>
    <row r="301" spans="1:36" ht="18" customHeight="1" x14ac:dyDescent="0.2">
      <c r="A301" s="226" t="str">
        <f t="shared" si="157"/>
        <v>4Y -&gt; PM Y7 Starter</v>
      </c>
      <c r="B301" s="226">
        <f t="shared" si="158"/>
        <v>4</v>
      </c>
      <c r="C301" s="235">
        <f t="shared" si="159"/>
        <v>3</v>
      </c>
      <c r="D301" s="226">
        <f t="shared" si="160"/>
        <v>7</v>
      </c>
      <c r="E301" s="226" t="str">
        <f t="shared" si="161"/>
        <v>Starter</v>
      </c>
      <c r="F301" s="230">
        <f t="shared" si="162"/>
        <v>10000000</v>
      </c>
      <c r="G301" s="236">
        <f t="shared" si="163"/>
        <v>0.15</v>
      </c>
      <c r="H301" s="230">
        <f t="shared" si="164"/>
        <v>300000</v>
      </c>
      <c r="I301" s="236">
        <f t="shared" si="134"/>
        <v>0</v>
      </c>
      <c r="J301" s="234">
        <v>12</v>
      </c>
      <c r="K301" s="234">
        <f t="shared" si="135"/>
        <v>2037</v>
      </c>
      <c r="L301" s="230">
        <f>IF(J301=1,'Model Inputs'!$B$25*(13-'Model Inputs'!$B$23)/12,'Model Inputs'!$B$25)</f>
        <v>300000</v>
      </c>
      <c r="M301" s="230">
        <f>IF(J301=1,'Model Inputs'!$B$27*(13-'Model Inputs'!$B$23)/12,IF(J301=2,'Model Inputs'!$B$27,IF(J301&lt;=MAX(3,'Model Inputs'!$B$30+1),'Model Inputs'!$B$27*(1+'Model Inputs'!$B$28)^(J301-3),'Model Inputs'!$B$27*(1+'Model Inputs'!$B$28)^(MAX(3,'Model Inputs'!$B$30+1)-3)*(1+'Model Inputs'!$B$29)^(J301-MAX(3,'Model Inputs'!$B$30+1)))))</f>
        <v>5086854.15450761</v>
      </c>
      <c r="N301" s="236">
        <f>IF(J301&lt;=2,0,'Model Inputs'!$B$32*SIN(2*PI()*(J301-3+'Model Inputs'!$B$34)/MAX(1,'Model Inputs'!$B$33)))</f>
        <v>-8.8174569538609421E-17</v>
      </c>
      <c r="O301" s="230">
        <f t="shared" si="136"/>
        <v>5086854.1545076091</v>
      </c>
      <c r="P301" s="230">
        <f t="shared" si="169"/>
        <v>3559201.5104371794</v>
      </c>
      <c r="Q301" s="230">
        <f>L301+P301+IF(J301=1,'Model Inputs'!$B$26,0)</f>
        <v>3859201.5104371794</v>
      </c>
      <c r="R301" s="230">
        <f t="shared" si="137"/>
        <v>11577604.531311538</v>
      </c>
      <c r="S301" s="230">
        <f t="shared" si="138"/>
        <v>1800000</v>
      </c>
      <c r="T301" s="230">
        <f t="shared" si="139"/>
        <v>1800000</v>
      </c>
      <c r="U301" s="230">
        <f>MIN(T301,'Tax Assumptions'!$B$19)</f>
        <v>24500</v>
      </c>
      <c r="V301" s="230">
        <f>MAX(T301-U301-'Tax Assumptions'!$B$8,0)</f>
        <v>1759400</v>
      </c>
      <c r="W301" s="230">
        <f>MAX(T301-U301-'Tax Assumptions'!$B$9,0)</f>
        <v>1767500</v>
      </c>
      <c r="X301" s="230">
        <f>IF(V301=0,0,LOOKUP(V301,'Tax Assumptions'!$F$9:$F$15,'Tax Assumptions'!$I$9:$I$15)+(V301-LOOKUP(V301,'Tax Assumptions'!$F$9:$F$15,'Tax Assumptions'!$F$9:$F$15))*LOOKUP(V301,'Tax Assumptions'!$F$9:$F$15,'Tax Assumptions'!$H$9:$H$15))+MIN(MAX(T301,0),'Tax Assumptions'!$B$11)*'Tax Assumptions'!$B$10+MAX(T301,0)*'Tax Assumptions'!$B$12+MAX(MAX(T301,0)-'Tax Assumptions'!$B$14,0)*'Tax Assumptions'!$B$13+MIN(T301*'Tax Assumptions'!$B$15,'Tax Assumptions'!$B$16)+MIN(T301*'Tax Assumptions'!$B$17,'Tax Assumptions'!$B$18)+IF(W301=0,0,LOOKUP(W301,'Tax Assumptions'!$K$9:$K$17,'Tax Assumptions'!$N$9:$N$17)+(W301-LOOKUP(W301,'Tax Assumptions'!$K$9:$K$17,'Tax Assumptions'!$K$9:$K$17))*LOOKUP(W301,'Tax Assumptions'!$K$9:$K$17,'Tax Assumptions'!$M$9:$M$17))+IF(W301=0,0,LOOKUP(W301,'Tax Assumptions'!$P$9:$P$12,'Tax Assumptions'!$S$9:$S$12)+(W301-LOOKUP(W301,'Tax Assumptions'!$P$9:$P$12,'Tax Assumptions'!$P$9:$P$12))*LOOKUP(W301,'Tax Assumptions'!$P$9:$P$12,'Tax Assumptions'!$R$9:$R$12))</f>
        <v>865478.63500000001</v>
      </c>
      <c r="Y301" s="230">
        <f t="shared" si="140"/>
        <v>910021.36499999999</v>
      </c>
      <c r="Z301" s="230">
        <f>IF(J301&lt;=10,INDEX('Savings Projection'!$BL$19:$BL$28,J301),LOOKUP(2,1/('Savings Projection'!$BL$19:$BL$28&lt;&gt;""),'Savings Projection'!$BL$19:$BL$28))*(1+'Model Inputs'!$B$35)^(J301-1)+IF(J301&lt;=10,INDEX('Savings Projection'!$BM$19:$BM$28,J301),LOOKUP(2,1/('Savings Projection'!$BM$19:$BM$28&lt;&gt;""),'Savings Projection'!$BM$19:$BM$28))*(1+'Model Inputs'!$B$36)^(J301-1)</f>
        <v>179950.4031941779</v>
      </c>
      <c r="AA301" s="230">
        <f t="shared" si="141"/>
        <v>730070.96180582209</v>
      </c>
      <c r="AB301" s="230">
        <f>MIN(MAX(AA301,0),'Tax Assumptions'!$B$20)</f>
        <v>7500</v>
      </c>
      <c r="AC301" s="230">
        <f t="shared" si="142"/>
        <v>722570.96180582209</v>
      </c>
      <c r="AD301" s="230">
        <f>MAX(AD300*(1+'Model Inputs'!$B$13)+AC301,0)</f>
        <v>10744561.659171766</v>
      </c>
      <c r="AE301" s="230">
        <f>MAX(AE300*(1+'Model Inputs'!$B$13)+U301+AB301,0)</f>
        <v>539838.11831229366</v>
      </c>
      <c r="AF301" s="230">
        <f t="shared" si="143"/>
        <v>11284399.777484059</v>
      </c>
      <c r="AG301" s="226" t="str">
        <f t="shared" si="165"/>
        <v/>
      </c>
      <c r="AH301" s="226" t="str">
        <f t="shared" si="166"/>
        <v/>
      </c>
      <c r="AI301" s="226" t="str">
        <f t="shared" si="167"/>
        <v/>
      </c>
      <c r="AJ301" s="226" t="str">
        <f t="shared" si="168"/>
        <v/>
      </c>
    </row>
    <row r="302" spans="1:36" ht="18" customHeight="1" x14ac:dyDescent="0.2">
      <c r="A302" s="226" t="str">
        <f t="shared" si="157"/>
        <v>4Y -&gt; PM Y7 Starter</v>
      </c>
      <c r="B302" s="226">
        <f t="shared" si="158"/>
        <v>4</v>
      </c>
      <c r="C302" s="235">
        <f t="shared" si="159"/>
        <v>3</v>
      </c>
      <c r="D302" s="226">
        <f t="shared" si="160"/>
        <v>7</v>
      </c>
      <c r="E302" s="226" t="str">
        <f t="shared" si="161"/>
        <v>Starter</v>
      </c>
      <c r="F302" s="230">
        <f t="shared" si="162"/>
        <v>10000000</v>
      </c>
      <c r="G302" s="236">
        <f t="shared" si="163"/>
        <v>0.15</v>
      </c>
      <c r="H302" s="230">
        <f t="shared" si="164"/>
        <v>300000</v>
      </c>
      <c r="I302" s="236">
        <f t="shared" si="134"/>
        <v>0</v>
      </c>
      <c r="J302" s="234">
        <v>13</v>
      </c>
      <c r="K302" s="234">
        <f t="shared" si="135"/>
        <v>2038</v>
      </c>
      <c r="L302" s="230">
        <f>IF(J302=1,'Model Inputs'!$B$25*(13-'Model Inputs'!$B$23)/12,'Model Inputs'!$B$25)</f>
        <v>300000</v>
      </c>
      <c r="M302" s="230">
        <f>IF(J302=1,'Model Inputs'!$B$27*(13-'Model Inputs'!$B$23)/12,IF(J302=2,'Model Inputs'!$B$27,IF(J302&lt;=MAX(3,'Model Inputs'!$B$30+1),'Model Inputs'!$B$27*(1+'Model Inputs'!$B$28)^(J302-3),'Model Inputs'!$B$27*(1+'Model Inputs'!$B$28)^(MAX(3,'Model Inputs'!$B$30+1)-3)*(1+'Model Inputs'!$B$29)^(J302-MAX(3,'Model Inputs'!$B$30+1)))))</f>
        <v>6464768.1603602255</v>
      </c>
      <c r="N302" s="236">
        <f>IF(J302&lt;=2,0,'Model Inputs'!$B$32*SIN(2*PI()*(J302-3+'Model Inputs'!$B$34)/MAX(1,'Model Inputs'!$B$33)))</f>
        <v>0.10392304845413261</v>
      </c>
      <c r="O302" s="230">
        <f t="shared" si="136"/>
        <v>7136606.5751340752</v>
      </c>
      <c r="P302" s="230">
        <f t="shared" si="169"/>
        <v>4711807.0917368019</v>
      </c>
      <c r="Q302" s="230">
        <f>L302+P302+IF(J302=1,'Model Inputs'!$B$26,0)</f>
        <v>5011807.0917368019</v>
      </c>
      <c r="R302" s="230">
        <f t="shared" si="137"/>
        <v>15035421.275210407</v>
      </c>
      <c r="S302" s="230">
        <f t="shared" si="138"/>
        <v>1800000</v>
      </c>
      <c r="T302" s="230">
        <f t="shared" si="139"/>
        <v>1800000</v>
      </c>
      <c r="U302" s="230">
        <f>MIN(T302,'Tax Assumptions'!$B$19)</f>
        <v>24500</v>
      </c>
      <c r="V302" s="230">
        <f>MAX(T302-U302-'Tax Assumptions'!$B$8,0)</f>
        <v>1759400</v>
      </c>
      <c r="W302" s="230">
        <f>MAX(T302-U302-'Tax Assumptions'!$B$9,0)</f>
        <v>1767500</v>
      </c>
      <c r="X302" s="230">
        <f>IF(V302=0,0,LOOKUP(V302,'Tax Assumptions'!$F$9:$F$15,'Tax Assumptions'!$I$9:$I$15)+(V302-LOOKUP(V302,'Tax Assumptions'!$F$9:$F$15,'Tax Assumptions'!$F$9:$F$15))*LOOKUP(V302,'Tax Assumptions'!$F$9:$F$15,'Tax Assumptions'!$H$9:$H$15))+MIN(MAX(T302,0),'Tax Assumptions'!$B$11)*'Tax Assumptions'!$B$10+MAX(T302,0)*'Tax Assumptions'!$B$12+MAX(MAX(T302,0)-'Tax Assumptions'!$B$14,0)*'Tax Assumptions'!$B$13+MIN(T302*'Tax Assumptions'!$B$15,'Tax Assumptions'!$B$16)+MIN(T302*'Tax Assumptions'!$B$17,'Tax Assumptions'!$B$18)+IF(W302=0,0,LOOKUP(W302,'Tax Assumptions'!$K$9:$K$17,'Tax Assumptions'!$N$9:$N$17)+(W302-LOOKUP(W302,'Tax Assumptions'!$K$9:$K$17,'Tax Assumptions'!$K$9:$K$17))*LOOKUP(W302,'Tax Assumptions'!$K$9:$K$17,'Tax Assumptions'!$M$9:$M$17))+IF(W302=0,0,LOOKUP(W302,'Tax Assumptions'!$P$9:$P$12,'Tax Assumptions'!$S$9:$S$12)+(W302-LOOKUP(W302,'Tax Assumptions'!$P$9:$P$12,'Tax Assumptions'!$P$9:$P$12))*LOOKUP(W302,'Tax Assumptions'!$P$9:$P$12,'Tax Assumptions'!$R$9:$R$12))</f>
        <v>865478.63500000001</v>
      </c>
      <c r="Y302" s="230">
        <f t="shared" si="140"/>
        <v>910021.36499999999</v>
      </c>
      <c r="Z302" s="230">
        <f>IF(J302&lt;=10,INDEX('Savings Projection'!$BL$19:$BL$28,J302),LOOKUP(2,1/('Savings Projection'!$BL$19:$BL$28&lt;&gt;""),'Savings Projection'!$BL$19:$BL$28))*(1+'Model Inputs'!$B$35)^(J302-1)+IF(J302&lt;=10,INDEX('Savings Projection'!$BM$19:$BM$28,J302),LOOKUP(2,1/('Savings Projection'!$BM$19:$BM$28&lt;&gt;""),'Savings Projection'!$BM$19:$BM$28))*(1+'Model Inputs'!$B$36)^(J302-1)</f>
        <v>185348.91529000323</v>
      </c>
      <c r="AA302" s="230">
        <f t="shared" si="141"/>
        <v>724672.44970999681</v>
      </c>
      <c r="AB302" s="230">
        <f>MIN(MAX(AA302,0),'Tax Assumptions'!$B$20)</f>
        <v>7500</v>
      </c>
      <c r="AC302" s="230">
        <f t="shared" si="142"/>
        <v>717172.44970999681</v>
      </c>
      <c r="AD302" s="230">
        <f>MAX(AD301*(1+'Model Inputs'!$B$13)+AC302,0)</f>
        <v>12106407.808432069</v>
      </c>
      <c r="AE302" s="230">
        <f>MAX(AE301*(1+'Model Inputs'!$B$13)+U302+AB302,0)</f>
        <v>604228.40541103133</v>
      </c>
      <c r="AF302" s="230">
        <f t="shared" si="143"/>
        <v>12710636.2138431</v>
      </c>
      <c r="AG302" s="226" t="str">
        <f t="shared" si="165"/>
        <v/>
      </c>
      <c r="AH302" s="226" t="str">
        <f t="shared" si="166"/>
        <v/>
      </c>
      <c r="AI302" s="226" t="str">
        <f t="shared" si="167"/>
        <v/>
      </c>
      <c r="AJ302" s="226" t="str">
        <f t="shared" si="168"/>
        <v/>
      </c>
    </row>
    <row r="303" spans="1:36" ht="18" customHeight="1" x14ac:dyDescent="0.2">
      <c r="A303" s="226" t="str">
        <f t="shared" si="157"/>
        <v>4Y -&gt; PM Y7 Starter</v>
      </c>
      <c r="B303" s="226">
        <f t="shared" si="158"/>
        <v>4</v>
      </c>
      <c r="C303" s="235">
        <f t="shared" si="159"/>
        <v>3</v>
      </c>
      <c r="D303" s="226">
        <f t="shared" si="160"/>
        <v>7</v>
      </c>
      <c r="E303" s="226" t="str">
        <f t="shared" si="161"/>
        <v>Starter</v>
      </c>
      <c r="F303" s="230">
        <f t="shared" si="162"/>
        <v>10000000</v>
      </c>
      <c r="G303" s="236">
        <f t="shared" si="163"/>
        <v>0.15</v>
      </c>
      <c r="H303" s="230">
        <f t="shared" si="164"/>
        <v>300000</v>
      </c>
      <c r="I303" s="236">
        <f t="shared" si="134"/>
        <v>0</v>
      </c>
      <c r="J303" s="234">
        <v>14</v>
      </c>
      <c r="K303" s="234">
        <f t="shared" si="135"/>
        <v>2039</v>
      </c>
      <c r="L303" s="230">
        <f>IF(J303=1,'Model Inputs'!$B$25*(13-'Model Inputs'!$B$23)/12,'Model Inputs'!$B$25)</f>
        <v>300000</v>
      </c>
      <c r="M303" s="230">
        <f>IF(J303=1,'Model Inputs'!$B$27*(13-'Model Inputs'!$B$23)/12,IF(J303=2,'Model Inputs'!$B$27,IF(J303&lt;=MAX(3,'Model Inputs'!$B$30+1),'Model Inputs'!$B$27*(1+'Model Inputs'!$B$28)^(J303-3),'Model Inputs'!$B$27*(1+'Model Inputs'!$B$28)^(MAX(3,'Model Inputs'!$B$30+1)-3)*(1+'Model Inputs'!$B$29)^(J303-MAX(3,'Model Inputs'!$B$30+1)))))</f>
        <v>8215927.9778393377</v>
      </c>
      <c r="N303" s="236">
        <f>IF(J303&lt;=2,0,'Model Inputs'!$B$32*SIN(2*PI()*(J303-3+'Model Inputs'!$B$34)/MAX(1,'Model Inputs'!$B$33)))</f>
        <v>-0.10392304845413251</v>
      </c>
      <c r="O303" s="230">
        <f t="shared" si="136"/>
        <v>7362103.6965026772</v>
      </c>
      <c r="P303" s="230">
        <f t="shared" si="169"/>
        <v>6624168.4699774589</v>
      </c>
      <c r="Q303" s="230">
        <f>L303+P303+IF(J303=1,'Model Inputs'!$B$26,0)</f>
        <v>6924168.4699774589</v>
      </c>
      <c r="R303" s="230">
        <f t="shared" si="137"/>
        <v>20772505.409932375</v>
      </c>
      <c r="S303" s="230">
        <f t="shared" si="138"/>
        <v>1800000</v>
      </c>
      <c r="T303" s="230">
        <f t="shared" si="139"/>
        <v>1800000</v>
      </c>
      <c r="U303" s="230">
        <f>MIN(T303,'Tax Assumptions'!$B$19)</f>
        <v>24500</v>
      </c>
      <c r="V303" s="230">
        <f>MAX(T303-U303-'Tax Assumptions'!$B$8,0)</f>
        <v>1759400</v>
      </c>
      <c r="W303" s="230">
        <f>MAX(T303-U303-'Tax Assumptions'!$B$9,0)</f>
        <v>1767500</v>
      </c>
      <c r="X303" s="230">
        <f>IF(V303=0,0,LOOKUP(V303,'Tax Assumptions'!$F$9:$F$15,'Tax Assumptions'!$I$9:$I$15)+(V303-LOOKUP(V303,'Tax Assumptions'!$F$9:$F$15,'Tax Assumptions'!$F$9:$F$15))*LOOKUP(V303,'Tax Assumptions'!$F$9:$F$15,'Tax Assumptions'!$H$9:$H$15))+MIN(MAX(T303,0),'Tax Assumptions'!$B$11)*'Tax Assumptions'!$B$10+MAX(T303,0)*'Tax Assumptions'!$B$12+MAX(MAX(T303,0)-'Tax Assumptions'!$B$14,0)*'Tax Assumptions'!$B$13+MIN(T303*'Tax Assumptions'!$B$15,'Tax Assumptions'!$B$16)+MIN(T303*'Tax Assumptions'!$B$17,'Tax Assumptions'!$B$18)+IF(W303=0,0,LOOKUP(W303,'Tax Assumptions'!$K$9:$K$17,'Tax Assumptions'!$N$9:$N$17)+(W303-LOOKUP(W303,'Tax Assumptions'!$K$9:$K$17,'Tax Assumptions'!$K$9:$K$17))*LOOKUP(W303,'Tax Assumptions'!$K$9:$K$17,'Tax Assumptions'!$M$9:$M$17))+IF(W303=0,0,LOOKUP(W303,'Tax Assumptions'!$P$9:$P$12,'Tax Assumptions'!$S$9:$S$12)+(W303-LOOKUP(W303,'Tax Assumptions'!$P$9:$P$12,'Tax Assumptions'!$P$9:$P$12))*LOOKUP(W303,'Tax Assumptions'!$P$9:$P$12,'Tax Assumptions'!$R$9:$R$12))</f>
        <v>865478.63500000001</v>
      </c>
      <c r="Y303" s="230">
        <f t="shared" si="140"/>
        <v>910021.36499999999</v>
      </c>
      <c r="Z303" s="230">
        <f>IF(J303&lt;=10,INDEX('Savings Projection'!$BL$19:$BL$28,J303),LOOKUP(2,1/('Savings Projection'!$BL$19:$BL$28&lt;&gt;""),'Savings Projection'!$BL$19:$BL$28))*(1+'Model Inputs'!$B$35)^(J303-1)+IF(J303&lt;=10,INDEX('Savings Projection'!$BM$19:$BM$28,J303),LOOKUP(2,1/('Savings Projection'!$BM$19:$BM$28&lt;&gt;""),'Savings Projection'!$BM$19:$BM$28))*(1+'Model Inputs'!$B$36)^(J303-1)</f>
        <v>190909.3827487033</v>
      </c>
      <c r="AA303" s="230">
        <f t="shared" si="141"/>
        <v>719111.98225129675</v>
      </c>
      <c r="AB303" s="230">
        <f>MIN(MAX(AA303,0),'Tax Assumptions'!$B$20)</f>
        <v>7500</v>
      </c>
      <c r="AC303" s="230">
        <f t="shared" si="142"/>
        <v>711611.98225129675</v>
      </c>
      <c r="AD303" s="230">
        <f>MAX(AD302*(1+'Model Inputs'!$B$13)+AC303,0)</f>
        <v>13544404.259189289</v>
      </c>
      <c r="AE303" s="230">
        <f>MAX(AE302*(1+'Model Inputs'!$B$13)+U303+AB303,0)</f>
        <v>672482.1097356932</v>
      </c>
      <c r="AF303" s="230">
        <f t="shared" si="143"/>
        <v>14216886.368924983</v>
      </c>
      <c r="AG303" s="226">
        <f t="shared" si="165"/>
        <v>14</v>
      </c>
      <c r="AH303" s="226" t="str">
        <f t="shared" si="166"/>
        <v/>
      </c>
      <c r="AI303" s="226" t="str">
        <f t="shared" si="167"/>
        <v/>
      </c>
      <c r="AJ303" s="226" t="str">
        <f t="shared" si="168"/>
        <v/>
      </c>
    </row>
    <row r="304" spans="1:36" ht="18" customHeight="1" x14ac:dyDescent="0.2">
      <c r="A304" s="226" t="str">
        <f t="shared" si="157"/>
        <v>4Y -&gt; PM Y7 Starter</v>
      </c>
      <c r="B304" s="226">
        <f t="shared" si="158"/>
        <v>4</v>
      </c>
      <c r="C304" s="235">
        <f t="shared" si="159"/>
        <v>3</v>
      </c>
      <c r="D304" s="226">
        <f t="shared" si="160"/>
        <v>7</v>
      </c>
      <c r="E304" s="226" t="str">
        <f t="shared" si="161"/>
        <v>Starter</v>
      </c>
      <c r="F304" s="230">
        <f t="shared" si="162"/>
        <v>10000000</v>
      </c>
      <c r="G304" s="236">
        <f t="shared" si="163"/>
        <v>0.15</v>
      </c>
      <c r="H304" s="230">
        <f t="shared" si="164"/>
        <v>300000</v>
      </c>
      <c r="I304" s="236">
        <f t="shared" si="134"/>
        <v>0</v>
      </c>
      <c r="J304" s="234">
        <v>15</v>
      </c>
      <c r="K304" s="234">
        <f t="shared" si="135"/>
        <v>2040</v>
      </c>
      <c r="L304" s="230">
        <f>IF(J304=1,'Model Inputs'!$B$25*(13-'Model Inputs'!$B$23)/12,'Model Inputs'!$B$25)</f>
        <v>300000</v>
      </c>
      <c r="M304" s="230">
        <f>IF(J304=1,'Model Inputs'!$B$27*(13-'Model Inputs'!$B$23)/12,IF(J304=2,'Model Inputs'!$B$27,IF(J304&lt;=MAX(3,'Model Inputs'!$B$30+1),'Model Inputs'!$B$27*(1+'Model Inputs'!$B$28)^(J304-3),'Model Inputs'!$B$27*(1+'Model Inputs'!$B$28)^(MAX(3,'Model Inputs'!$B$30+1)-3)*(1+'Model Inputs'!$B$29)^(J304-MAX(3,'Model Inputs'!$B$30+1)))))</f>
        <v>10441437.475041937</v>
      </c>
      <c r="N304" s="236">
        <f>IF(J304&lt;=2,0,'Model Inputs'!$B$32*SIN(2*PI()*(J304-3+'Model Inputs'!$B$34)/MAX(1,'Model Inputs'!$B$33)))</f>
        <v>-1.1756609271814589E-16</v>
      </c>
      <c r="O304" s="230">
        <f t="shared" si="136"/>
        <v>10441437.475041935</v>
      </c>
      <c r="P304" s="230">
        <f t="shared" si="169"/>
        <v>7305729.4161605267</v>
      </c>
      <c r="Q304" s="230">
        <f>L304+P304+IF(J304=1,'Model Inputs'!$B$26,0)</f>
        <v>7605729.4161605267</v>
      </c>
      <c r="R304" s="230">
        <f t="shared" si="137"/>
        <v>22817188.248481579</v>
      </c>
      <c r="S304" s="230">
        <f t="shared" si="138"/>
        <v>1800000</v>
      </c>
      <c r="T304" s="230">
        <f t="shared" si="139"/>
        <v>1800000</v>
      </c>
      <c r="U304" s="230">
        <f>MIN(T304,'Tax Assumptions'!$B$19)</f>
        <v>24500</v>
      </c>
      <c r="V304" s="230">
        <f>MAX(T304-U304-'Tax Assumptions'!$B$8,0)</f>
        <v>1759400</v>
      </c>
      <c r="W304" s="230">
        <f>MAX(T304-U304-'Tax Assumptions'!$B$9,0)</f>
        <v>1767500</v>
      </c>
      <c r="X304" s="230">
        <f>IF(V304=0,0,LOOKUP(V304,'Tax Assumptions'!$F$9:$F$15,'Tax Assumptions'!$I$9:$I$15)+(V304-LOOKUP(V304,'Tax Assumptions'!$F$9:$F$15,'Tax Assumptions'!$F$9:$F$15))*LOOKUP(V304,'Tax Assumptions'!$F$9:$F$15,'Tax Assumptions'!$H$9:$H$15))+MIN(MAX(T304,0),'Tax Assumptions'!$B$11)*'Tax Assumptions'!$B$10+MAX(T304,0)*'Tax Assumptions'!$B$12+MAX(MAX(T304,0)-'Tax Assumptions'!$B$14,0)*'Tax Assumptions'!$B$13+MIN(T304*'Tax Assumptions'!$B$15,'Tax Assumptions'!$B$16)+MIN(T304*'Tax Assumptions'!$B$17,'Tax Assumptions'!$B$18)+IF(W304=0,0,LOOKUP(W304,'Tax Assumptions'!$K$9:$K$17,'Tax Assumptions'!$N$9:$N$17)+(W304-LOOKUP(W304,'Tax Assumptions'!$K$9:$K$17,'Tax Assumptions'!$K$9:$K$17))*LOOKUP(W304,'Tax Assumptions'!$K$9:$K$17,'Tax Assumptions'!$M$9:$M$17))+IF(W304=0,0,LOOKUP(W304,'Tax Assumptions'!$P$9:$P$12,'Tax Assumptions'!$S$9:$S$12)+(W304-LOOKUP(W304,'Tax Assumptions'!$P$9:$P$12,'Tax Assumptions'!$P$9:$P$12))*LOOKUP(W304,'Tax Assumptions'!$P$9:$P$12,'Tax Assumptions'!$R$9:$R$12))</f>
        <v>865478.63500000001</v>
      </c>
      <c r="Y304" s="230">
        <f t="shared" si="140"/>
        <v>910021.36499999999</v>
      </c>
      <c r="Z304" s="230">
        <f>IF(J304&lt;=10,INDEX('Savings Projection'!$BL$19:$BL$28,J304),LOOKUP(2,1/('Savings Projection'!$BL$19:$BL$28&lt;&gt;""),'Savings Projection'!$BL$19:$BL$28))*(1+'Model Inputs'!$B$35)^(J304-1)+IF(J304&lt;=10,INDEX('Savings Projection'!$BM$19:$BM$28,J304),LOOKUP(2,1/('Savings Projection'!$BM$19:$BM$28&lt;&gt;""),'Savings Projection'!$BM$19:$BM$28))*(1+'Model Inputs'!$B$36)^(J304-1)</f>
        <v>196636.66423116444</v>
      </c>
      <c r="AA304" s="230">
        <f t="shared" si="141"/>
        <v>713384.70076883561</v>
      </c>
      <c r="AB304" s="230">
        <f>MIN(MAX(AA304,0),'Tax Assumptions'!$B$20)</f>
        <v>7500</v>
      </c>
      <c r="AC304" s="230">
        <f t="shared" si="142"/>
        <v>705884.70076883561</v>
      </c>
      <c r="AD304" s="230">
        <f>MAX(AD303*(1+'Model Inputs'!$B$13)+AC304,0)</f>
        <v>15062953.215509484</v>
      </c>
      <c r="AE304" s="230">
        <f>MAX(AE303*(1+'Model Inputs'!$B$13)+U304+AB304,0)</f>
        <v>744831.03631983488</v>
      </c>
      <c r="AF304" s="230">
        <f t="shared" si="143"/>
        <v>15807784.251829319</v>
      </c>
      <c r="AG304" s="226" t="str">
        <f t="shared" si="165"/>
        <v/>
      </c>
      <c r="AH304" s="226" t="str">
        <f t="shared" si="166"/>
        <v/>
      </c>
      <c r="AI304" s="226" t="str">
        <f t="shared" si="167"/>
        <v/>
      </c>
      <c r="AJ304" s="226" t="str">
        <f t="shared" si="168"/>
        <v/>
      </c>
    </row>
    <row r="305" spans="1:36" ht="18" customHeight="1" x14ac:dyDescent="0.2">
      <c r="A305" s="226" t="str">
        <f t="shared" si="157"/>
        <v>4Y -&gt; PM Y7 Starter</v>
      </c>
      <c r="B305" s="226">
        <f t="shared" si="158"/>
        <v>4</v>
      </c>
      <c r="C305" s="235">
        <f t="shared" si="159"/>
        <v>3</v>
      </c>
      <c r="D305" s="226">
        <f t="shared" si="160"/>
        <v>7</v>
      </c>
      <c r="E305" s="226" t="str">
        <f t="shared" si="161"/>
        <v>Starter</v>
      </c>
      <c r="F305" s="230">
        <f t="shared" si="162"/>
        <v>10000000</v>
      </c>
      <c r="G305" s="236">
        <f t="shared" si="163"/>
        <v>0.15</v>
      </c>
      <c r="H305" s="230">
        <f t="shared" si="164"/>
        <v>300000</v>
      </c>
      <c r="I305" s="236">
        <f t="shared" si="134"/>
        <v>0</v>
      </c>
      <c r="J305" s="234">
        <v>16</v>
      </c>
      <c r="K305" s="234">
        <f t="shared" si="135"/>
        <v>2041</v>
      </c>
      <c r="L305" s="230">
        <f>IF(J305=1,'Model Inputs'!$B$25*(13-'Model Inputs'!$B$23)/12,'Model Inputs'!$B$25)</f>
        <v>300000</v>
      </c>
      <c r="M305" s="230">
        <f>IF(J305=1,'Model Inputs'!$B$27*(13-'Model Inputs'!$B$23)/12,IF(J305=2,'Model Inputs'!$B$27,IF(J305&lt;=MAX(3,'Model Inputs'!$B$30+1),'Model Inputs'!$B$27*(1+'Model Inputs'!$B$28)^(J305-3),'Model Inputs'!$B$27*(1+'Model Inputs'!$B$28)^(MAX(3,'Model Inputs'!$B$30+1)-3)*(1+'Model Inputs'!$B$29)^(J305-MAX(3,'Model Inputs'!$B$30+1)))))</f>
        <v>13269787.276528884</v>
      </c>
      <c r="N305" s="236">
        <f>IF(J305&lt;=2,0,'Model Inputs'!$B$32*SIN(2*PI()*(J305-3+'Model Inputs'!$B$34)/MAX(1,'Model Inputs'!$B$33)))</f>
        <v>0.10392304845413262</v>
      </c>
      <c r="O305" s="230">
        <f t="shared" si="136"/>
        <v>14648824.022643628</v>
      </c>
      <c r="P305" s="230">
        <f t="shared" si="169"/>
        <v>9671604.0304071214</v>
      </c>
      <c r="Q305" s="230">
        <f>L305+P305+IF(J305=1,'Model Inputs'!$B$26,0)</f>
        <v>9971604.0304071214</v>
      </c>
      <c r="R305" s="230">
        <f t="shared" si="137"/>
        <v>29914812.091221362</v>
      </c>
      <c r="S305" s="230">
        <f t="shared" si="138"/>
        <v>1800000</v>
      </c>
      <c r="T305" s="230">
        <f t="shared" si="139"/>
        <v>1800000</v>
      </c>
      <c r="U305" s="230">
        <f>MIN(T305,'Tax Assumptions'!$B$19)</f>
        <v>24500</v>
      </c>
      <c r="V305" s="230">
        <f>MAX(T305-U305-'Tax Assumptions'!$B$8,0)</f>
        <v>1759400</v>
      </c>
      <c r="W305" s="230">
        <f>MAX(T305-U305-'Tax Assumptions'!$B$9,0)</f>
        <v>1767500</v>
      </c>
      <c r="X305" s="230">
        <f>IF(V305=0,0,LOOKUP(V305,'Tax Assumptions'!$F$9:$F$15,'Tax Assumptions'!$I$9:$I$15)+(V305-LOOKUP(V305,'Tax Assumptions'!$F$9:$F$15,'Tax Assumptions'!$F$9:$F$15))*LOOKUP(V305,'Tax Assumptions'!$F$9:$F$15,'Tax Assumptions'!$H$9:$H$15))+MIN(MAX(T305,0),'Tax Assumptions'!$B$11)*'Tax Assumptions'!$B$10+MAX(T305,0)*'Tax Assumptions'!$B$12+MAX(MAX(T305,0)-'Tax Assumptions'!$B$14,0)*'Tax Assumptions'!$B$13+MIN(T305*'Tax Assumptions'!$B$15,'Tax Assumptions'!$B$16)+MIN(T305*'Tax Assumptions'!$B$17,'Tax Assumptions'!$B$18)+IF(W305=0,0,LOOKUP(W305,'Tax Assumptions'!$K$9:$K$17,'Tax Assumptions'!$N$9:$N$17)+(W305-LOOKUP(W305,'Tax Assumptions'!$K$9:$K$17,'Tax Assumptions'!$K$9:$K$17))*LOOKUP(W305,'Tax Assumptions'!$K$9:$K$17,'Tax Assumptions'!$M$9:$M$17))+IF(W305=0,0,LOOKUP(W305,'Tax Assumptions'!$P$9:$P$12,'Tax Assumptions'!$S$9:$S$12)+(W305-LOOKUP(W305,'Tax Assumptions'!$P$9:$P$12,'Tax Assumptions'!$P$9:$P$12))*LOOKUP(W305,'Tax Assumptions'!$P$9:$P$12,'Tax Assumptions'!$R$9:$R$12))</f>
        <v>865478.63500000001</v>
      </c>
      <c r="Y305" s="230">
        <f t="shared" si="140"/>
        <v>910021.36499999999</v>
      </c>
      <c r="Z305" s="230">
        <f>IF(J305&lt;=10,INDEX('Savings Projection'!$BL$19:$BL$28,J305),LOOKUP(2,1/('Savings Projection'!$BL$19:$BL$28&lt;&gt;""),'Savings Projection'!$BL$19:$BL$28))*(1+'Model Inputs'!$B$35)^(J305-1)+IF(J305&lt;=10,INDEX('Savings Projection'!$BM$19:$BM$28,J305),LOOKUP(2,1/('Savings Projection'!$BM$19:$BM$28&lt;&gt;""),'Savings Projection'!$BM$19:$BM$28))*(1+'Model Inputs'!$B$36)^(J305-1)</f>
        <v>202535.76415809937</v>
      </c>
      <c r="AA305" s="230">
        <f t="shared" si="141"/>
        <v>707485.60084190057</v>
      </c>
      <c r="AB305" s="230">
        <f>MIN(MAX(AA305,0),'Tax Assumptions'!$B$20)</f>
        <v>7500</v>
      </c>
      <c r="AC305" s="230">
        <f t="shared" si="142"/>
        <v>699985.60084190057</v>
      </c>
      <c r="AD305" s="230">
        <f>MAX(AD304*(1+'Model Inputs'!$B$13)+AC305,0)</f>
        <v>16666716.009281954</v>
      </c>
      <c r="AE305" s="230">
        <f>MAX(AE304*(1+'Model Inputs'!$B$13)+U305+AB305,0)</f>
        <v>821520.89849902503</v>
      </c>
      <c r="AF305" s="230">
        <f t="shared" si="143"/>
        <v>17488236.907780979</v>
      </c>
      <c r="AG305" s="226" t="str">
        <f t="shared" si="165"/>
        <v/>
      </c>
      <c r="AH305" s="226">
        <f t="shared" si="166"/>
        <v>16</v>
      </c>
      <c r="AI305" s="226">
        <f t="shared" si="167"/>
        <v>16</v>
      </c>
      <c r="AJ305" s="226" t="str">
        <f t="shared" si="168"/>
        <v/>
      </c>
    </row>
    <row r="306" spans="1:36" ht="18" customHeight="1" x14ac:dyDescent="0.2">
      <c r="A306" s="226" t="str">
        <f t="shared" si="157"/>
        <v>4Y -&gt; PM Y7 Starter</v>
      </c>
      <c r="B306" s="226">
        <f t="shared" si="158"/>
        <v>4</v>
      </c>
      <c r="C306" s="235">
        <f t="shared" si="159"/>
        <v>3</v>
      </c>
      <c r="D306" s="226">
        <f t="shared" si="160"/>
        <v>7</v>
      </c>
      <c r="E306" s="226" t="str">
        <f t="shared" si="161"/>
        <v>Starter</v>
      </c>
      <c r="F306" s="230">
        <f t="shared" si="162"/>
        <v>10000000</v>
      </c>
      <c r="G306" s="236">
        <f t="shared" si="163"/>
        <v>0.15</v>
      </c>
      <c r="H306" s="230">
        <f t="shared" si="164"/>
        <v>300000</v>
      </c>
      <c r="I306" s="236">
        <f t="shared" ref="I306:I369" si="170">$J$17</f>
        <v>0</v>
      </c>
      <c r="J306" s="234">
        <v>17</v>
      </c>
      <c r="K306" s="234">
        <f t="shared" ref="K306:K369" si="171">2025+J306</f>
        <v>2042</v>
      </c>
      <c r="L306" s="230">
        <f>IF(J306=1,'Model Inputs'!$B$25*(13-'Model Inputs'!$B$23)/12,'Model Inputs'!$B$25)</f>
        <v>300000</v>
      </c>
      <c r="M306" s="230">
        <f>IF(J306=1,'Model Inputs'!$B$27*(13-'Model Inputs'!$B$23)/12,IF(J306=2,'Model Inputs'!$B$27,IF(J306&lt;=MAX(3,'Model Inputs'!$B$30+1),'Model Inputs'!$B$27*(1+'Model Inputs'!$B$28)^(J306-3),'Model Inputs'!$B$27*(1+'Model Inputs'!$B$28)^(MAX(3,'Model Inputs'!$B$30+1)-3)*(1+'Model Inputs'!$B$29)^(J306-MAX(3,'Model Inputs'!$B$30+1)))))</f>
        <v>16864273.217670217</v>
      </c>
      <c r="N306" s="236">
        <f>IF(J306&lt;=2,0,'Model Inputs'!$B$32*SIN(2*PI()*(J306-3+'Model Inputs'!$B$34)/MAX(1,'Model Inputs'!$B$33)))</f>
        <v>-0.1039230484541325</v>
      </c>
      <c r="O306" s="230">
        <f t="shared" ref="O306:O369" si="172">M306*(1+N306)</f>
        <v>15111686.534926547</v>
      </c>
      <c r="P306" s="230">
        <f t="shared" si="169"/>
        <v>13596977.385743205</v>
      </c>
      <c r="Q306" s="230">
        <f>L306+P306+IF(J306=1,'Model Inputs'!$B$26,0)</f>
        <v>13896977.385743205</v>
      </c>
      <c r="R306" s="230">
        <f t="shared" ref="R306:R369" si="173">IF(J306&lt;=B306,Q306,Q306*C306)</f>
        <v>41690932.157229617</v>
      </c>
      <c r="S306" s="230">
        <f t="shared" ref="S306:S369" si="174">H306+F306*G306*(1+I306)^MAX(0,J306-D306)</f>
        <v>1800000</v>
      </c>
      <c r="T306" s="230">
        <f t="shared" ref="T306:T369" si="175">IF(J306&gt;=D306,S306,R306)</f>
        <v>1800000</v>
      </c>
      <c r="U306" s="230">
        <f>MIN(T306,'Tax Assumptions'!$B$19)</f>
        <v>24500</v>
      </c>
      <c r="V306" s="230">
        <f>MAX(T306-U306-'Tax Assumptions'!$B$8,0)</f>
        <v>1759400</v>
      </c>
      <c r="W306" s="230">
        <f>MAX(T306-U306-'Tax Assumptions'!$B$9,0)</f>
        <v>1767500</v>
      </c>
      <c r="X306" s="230">
        <f>IF(V306=0,0,LOOKUP(V306,'Tax Assumptions'!$F$9:$F$15,'Tax Assumptions'!$I$9:$I$15)+(V306-LOOKUP(V306,'Tax Assumptions'!$F$9:$F$15,'Tax Assumptions'!$F$9:$F$15))*LOOKUP(V306,'Tax Assumptions'!$F$9:$F$15,'Tax Assumptions'!$H$9:$H$15))+MIN(MAX(T306,0),'Tax Assumptions'!$B$11)*'Tax Assumptions'!$B$10+MAX(T306,0)*'Tax Assumptions'!$B$12+MAX(MAX(T306,0)-'Tax Assumptions'!$B$14,0)*'Tax Assumptions'!$B$13+MIN(T306*'Tax Assumptions'!$B$15,'Tax Assumptions'!$B$16)+MIN(T306*'Tax Assumptions'!$B$17,'Tax Assumptions'!$B$18)+IF(W306=0,0,LOOKUP(W306,'Tax Assumptions'!$K$9:$K$17,'Tax Assumptions'!$N$9:$N$17)+(W306-LOOKUP(W306,'Tax Assumptions'!$K$9:$K$17,'Tax Assumptions'!$K$9:$K$17))*LOOKUP(W306,'Tax Assumptions'!$K$9:$K$17,'Tax Assumptions'!$M$9:$M$17))+IF(W306=0,0,LOOKUP(W306,'Tax Assumptions'!$P$9:$P$12,'Tax Assumptions'!$S$9:$S$12)+(W306-LOOKUP(W306,'Tax Assumptions'!$P$9:$P$12,'Tax Assumptions'!$P$9:$P$12))*LOOKUP(W306,'Tax Assumptions'!$P$9:$P$12,'Tax Assumptions'!$R$9:$R$12))</f>
        <v>865478.63500000001</v>
      </c>
      <c r="Y306" s="230">
        <f t="shared" ref="Y306:Y369" si="176">T306-U306-X306</f>
        <v>910021.36499999999</v>
      </c>
      <c r="Z306" s="230">
        <f>IF(J306&lt;=10,INDEX('Savings Projection'!$BL$19:$BL$28,J306),LOOKUP(2,1/('Savings Projection'!$BL$19:$BL$28&lt;&gt;""),'Savings Projection'!$BL$19:$BL$28))*(1+'Model Inputs'!$B$35)^(J306-1)+IF(J306&lt;=10,INDEX('Savings Projection'!$BM$19:$BM$28,J306),LOOKUP(2,1/('Savings Projection'!$BM$19:$BM$28&lt;&gt;""),'Savings Projection'!$BM$19:$BM$28))*(1+'Model Inputs'!$B$36)^(J306-1)</f>
        <v>208611.83708284231</v>
      </c>
      <c r="AA306" s="230">
        <f t="shared" ref="AA306:AA369" si="177">Y306-Z306</f>
        <v>701409.52791715763</v>
      </c>
      <c r="AB306" s="230">
        <f>MIN(MAX(AA306,0),'Tax Assumptions'!$B$20)</f>
        <v>7500</v>
      </c>
      <c r="AC306" s="230">
        <f t="shared" ref="AC306:AC369" si="178">AA306-AB306</f>
        <v>693909.52791715763</v>
      </c>
      <c r="AD306" s="230">
        <f>MAX(AD305*(1+'Model Inputs'!$B$13)+AC306,0)</f>
        <v>18360628.49775603</v>
      </c>
      <c r="AE306" s="230">
        <f>MAX(AE305*(1+'Model Inputs'!$B$13)+U306+AB306,0)</f>
        <v>902812.15240896656</v>
      </c>
      <c r="AF306" s="230">
        <f t="shared" ref="AF306:AF369" si="179">AD306+AE306</f>
        <v>19263440.650164995</v>
      </c>
      <c r="AG306" s="226" t="str">
        <f t="shared" si="165"/>
        <v/>
      </c>
      <c r="AH306" s="226" t="str">
        <f t="shared" si="166"/>
        <v/>
      </c>
      <c r="AI306" s="226" t="str">
        <f t="shared" si="167"/>
        <v/>
      </c>
      <c r="AJ306" s="226" t="str">
        <f t="shared" si="168"/>
        <v/>
      </c>
    </row>
    <row r="307" spans="1:36" ht="18" customHeight="1" x14ac:dyDescent="0.2">
      <c r="A307" s="226" t="str">
        <f t="shared" si="157"/>
        <v>4Y -&gt; PM Y7 Starter</v>
      </c>
      <c r="B307" s="226">
        <f t="shared" si="158"/>
        <v>4</v>
      </c>
      <c r="C307" s="235">
        <f t="shared" si="159"/>
        <v>3</v>
      </c>
      <c r="D307" s="226">
        <f t="shared" si="160"/>
        <v>7</v>
      </c>
      <c r="E307" s="226" t="str">
        <f t="shared" si="161"/>
        <v>Starter</v>
      </c>
      <c r="F307" s="230">
        <f t="shared" si="162"/>
        <v>10000000</v>
      </c>
      <c r="G307" s="236">
        <f t="shared" si="163"/>
        <v>0.15</v>
      </c>
      <c r="H307" s="230">
        <f t="shared" si="164"/>
        <v>300000</v>
      </c>
      <c r="I307" s="236">
        <f t="shared" si="170"/>
        <v>0</v>
      </c>
      <c r="J307" s="234">
        <v>18</v>
      </c>
      <c r="K307" s="234">
        <f t="shared" si="171"/>
        <v>2043</v>
      </c>
      <c r="L307" s="230">
        <f>IF(J307=1,'Model Inputs'!$B$25*(13-'Model Inputs'!$B$23)/12,'Model Inputs'!$B$25)</f>
        <v>300000</v>
      </c>
      <c r="M307" s="230">
        <f>IF(J307=1,'Model Inputs'!$B$27*(13-'Model Inputs'!$B$23)/12,IF(J307=2,'Model Inputs'!$B$27,IF(J307&lt;=MAX(3,'Model Inputs'!$B$30+1),'Model Inputs'!$B$27*(1+'Model Inputs'!$B$28)^(J307-3),'Model Inputs'!$B$27*(1+'Model Inputs'!$B$28)^(MAX(3,'Model Inputs'!$B$30+1)-3)*(1+'Model Inputs'!$B$29)^(J307-MAX(3,'Model Inputs'!$B$30+1)))))</f>
        <v>21432424.290875554</v>
      </c>
      <c r="N307" s="236">
        <f>IF(J307&lt;=2,0,'Model Inputs'!$B$32*SIN(2*PI()*(J307-3+'Model Inputs'!$B$34)/MAX(1,'Model Inputs'!$B$33)))</f>
        <v>-5.7328325735374245E-16</v>
      </c>
      <c r="O307" s="230">
        <f t="shared" si="172"/>
        <v>21432424.290875543</v>
      </c>
      <c r="P307" s="230">
        <f t="shared" si="169"/>
        <v>14995970.906855816</v>
      </c>
      <c r="Q307" s="230">
        <f>L307+P307+IF(J307=1,'Model Inputs'!$B$26,0)</f>
        <v>15295970.906855816</v>
      </c>
      <c r="R307" s="230">
        <f t="shared" si="173"/>
        <v>45887912.72056745</v>
      </c>
      <c r="S307" s="230">
        <f t="shared" si="174"/>
        <v>1800000</v>
      </c>
      <c r="T307" s="230">
        <f t="shared" si="175"/>
        <v>1800000</v>
      </c>
      <c r="U307" s="230">
        <f>MIN(T307,'Tax Assumptions'!$B$19)</f>
        <v>24500</v>
      </c>
      <c r="V307" s="230">
        <f>MAX(T307-U307-'Tax Assumptions'!$B$8,0)</f>
        <v>1759400</v>
      </c>
      <c r="W307" s="230">
        <f>MAX(T307-U307-'Tax Assumptions'!$B$9,0)</f>
        <v>1767500</v>
      </c>
      <c r="X307" s="230">
        <f>IF(V307=0,0,LOOKUP(V307,'Tax Assumptions'!$F$9:$F$15,'Tax Assumptions'!$I$9:$I$15)+(V307-LOOKUP(V307,'Tax Assumptions'!$F$9:$F$15,'Tax Assumptions'!$F$9:$F$15))*LOOKUP(V307,'Tax Assumptions'!$F$9:$F$15,'Tax Assumptions'!$H$9:$H$15))+MIN(MAX(T307,0),'Tax Assumptions'!$B$11)*'Tax Assumptions'!$B$10+MAX(T307,0)*'Tax Assumptions'!$B$12+MAX(MAX(T307,0)-'Tax Assumptions'!$B$14,0)*'Tax Assumptions'!$B$13+MIN(T307*'Tax Assumptions'!$B$15,'Tax Assumptions'!$B$16)+MIN(T307*'Tax Assumptions'!$B$17,'Tax Assumptions'!$B$18)+IF(W307=0,0,LOOKUP(W307,'Tax Assumptions'!$K$9:$K$17,'Tax Assumptions'!$N$9:$N$17)+(W307-LOOKUP(W307,'Tax Assumptions'!$K$9:$K$17,'Tax Assumptions'!$K$9:$K$17))*LOOKUP(W307,'Tax Assumptions'!$K$9:$K$17,'Tax Assumptions'!$M$9:$M$17))+IF(W307=0,0,LOOKUP(W307,'Tax Assumptions'!$P$9:$P$12,'Tax Assumptions'!$S$9:$S$12)+(W307-LOOKUP(W307,'Tax Assumptions'!$P$9:$P$12,'Tax Assumptions'!$P$9:$P$12))*LOOKUP(W307,'Tax Assumptions'!$P$9:$P$12,'Tax Assumptions'!$R$9:$R$12))</f>
        <v>865478.63500000001</v>
      </c>
      <c r="Y307" s="230">
        <f t="shared" si="176"/>
        <v>910021.36499999999</v>
      </c>
      <c r="Z307" s="230">
        <f>IF(J307&lt;=10,INDEX('Savings Projection'!$BL$19:$BL$28,J307),LOOKUP(2,1/('Savings Projection'!$BL$19:$BL$28&lt;&gt;""),'Savings Projection'!$BL$19:$BL$28))*(1+'Model Inputs'!$B$35)^(J307-1)+IF(J307&lt;=10,INDEX('Savings Projection'!$BM$19:$BM$28,J307),LOOKUP(2,1/('Savings Projection'!$BM$19:$BM$28&lt;&gt;""),'Savings Projection'!$BM$19:$BM$28))*(1+'Model Inputs'!$B$36)^(J307-1)</f>
        <v>214870.1921953276</v>
      </c>
      <c r="AA307" s="230">
        <f t="shared" si="177"/>
        <v>695151.17280467239</v>
      </c>
      <c r="AB307" s="230">
        <f>MIN(MAX(AA307,0),'Tax Assumptions'!$B$20)</f>
        <v>7500</v>
      </c>
      <c r="AC307" s="230">
        <f t="shared" si="178"/>
        <v>687651.17280467239</v>
      </c>
      <c r="AD307" s="230">
        <f>MAX(AD306*(1+'Model Inputs'!$B$13)+AC307,0)</f>
        <v>20149917.380426064</v>
      </c>
      <c r="AE307" s="230">
        <f>MAX(AE306*(1+'Model Inputs'!$B$13)+U307+AB307,0)</f>
        <v>988980.88155350462</v>
      </c>
      <c r="AF307" s="230">
        <f t="shared" si="179"/>
        <v>21138898.261979569</v>
      </c>
      <c r="AG307" s="226" t="str">
        <f t="shared" si="165"/>
        <v/>
      </c>
      <c r="AH307" s="226" t="str">
        <f t="shared" si="166"/>
        <v/>
      </c>
      <c r="AI307" s="226" t="str">
        <f t="shared" si="167"/>
        <v/>
      </c>
      <c r="AJ307" s="226" t="str">
        <f t="shared" si="168"/>
        <v/>
      </c>
    </row>
    <row r="308" spans="1:36" ht="18" customHeight="1" x14ac:dyDescent="0.2">
      <c r="A308" s="226" t="str">
        <f t="shared" si="157"/>
        <v>4Y -&gt; PM Y7 Starter</v>
      </c>
      <c r="B308" s="226">
        <f t="shared" si="158"/>
        <v>4</v>
      </c>
      <c r="C308" s="235">
        <f t="shared" si="159"/>
        <v>3</v>
      </c>
      <c r="D308" s="226">
        <f t="shared" si="160"/>
        <v>7</v>
      </c>
      <c r="E308" s="226" t="str">
        <f t="shared" si="161"/>
        <v>Starter</v>
      </c>
      <c r="F308" s="230">
        <f t="shared" si="162"/>
        <v>10000000</v>
      </c>
      <c r="G308" s="236">
        <f t="shared" si="163"/>
        <v>0.15</v>
      </c>
      <c r="H308" s="230">
        <f t="shared" si="164"/>
        <v>300000</v>
      </c>
      <c r="I308" s="236">
        <f t="shared" si="170"/>
        <v>0</v>
      </c>
      <c r="J308" s="234">
        <v>19</v>
      </c>
      <c r="K308" s="234">
        <f t="shared" si="171"/>
        <v>2044</v>
      </c>
      <c r="L308" s="230">
        <f>IF(J308=1,'Model Inputs'!$B$25*(13-'Model Inputs'!$B$23)/12,'Model Inputs'!$B$25)</f>
        <v>300000</v>
      </c>
      <c r="M308" s="230">
        <f>IF(J308=1,'Model Inputs'!$B$27*(13-'Model Inputs'!$B$23)/12,IF(J308=2,'Model Inputs'!$B$27,IF(J308&lt;=MAX(3,'Model Inputs'!$B$30+1),'Model Inputs'!$B$27*(1+'Model Inputs'!$B$28)^(J308-3),'Model Inputs'!$B$27*(1+'Model Inputs'!$B$28)^(MAX(3,'Model Inputs'!$B$30+1)-3)*(1+'Model Inputs'!$B$29)^(J308-MAX(3,'Model Inputs'!$B$30+1)))))</f>
        <v>27237984.409717187</v>
      </c>
      <c r="N308" s="236">
        <f>IF(J308&lt;=2,0,'Model Inputs'!$B$32*SIN(2*PI()*(J308-3+'Model Inputs'!$B$34)/MAX(1,'Model Inputs'!$B$33)))</f>
        <v>0.10392304845413286</v>
      </c>
      <c r="O308" s="230">
        <f t="shared" si="172"/>
        <v>30068638.783321142</v>
      </c>
      <c r="P308" s="230">
        <f t="shared" si="169"/>
        <v>19852239.851888295</v>
      </c>
      <c r="Q308" s="230">
        <f>L308+P308+IF(J308=1,'Model Inputs'!$B$26,0)</f>
        <v>20152239.851888295</v>
      </c>
      <c r="R308" s="230">
        <f t="shared" si="173"/>
        <v>60456719.555664882</v>
      </c>
      <c r="S308" s="230">
        <f t="shared" si="174"/>
        <v>1800000</v>
      </c>
      <c r="T308" s="230">
        <f t="shared" si="175"/>
        <v>1800000</v>
      </c>
      <c r="U308" s="230">
        <f>MIN(T308,'Tax Assumptions'!$B$19)</f>
        <v>24500</v>
      </c>
      <c r="V308" s="230">
        <f>MAX(T308-U308-'Tax Assumptions'!$B$8,0)</f>
        <v>1759400</v>
      </c>
      <c r="W308" s="230">
        <f>MAX(T308-U308-'Tax Assumptions'!$B$9,0)</f>
        <v>1767500</v>
      </c>
      <c r="X308" s="230">
        <f>IF(V308=0,0,LOOKUP(V308,'Tax Assumptions'!$F$9:$F$15,'Tax Assumptions'!$I$9:$I$15)+(V308-LOOKUP(V308,'Tax Assumptions'!$F$9:$F$15,'Tax Assumptions'!$F$9:$F$15))*LOOKUP(V308,'Tax Assumptions'!$F$9:$F$15,'Tax Assumptions'!$H$9:$H$15))+MIN(MAX(T308,0),'Tax Assumptions'!$B$11)*'Tax Assumptions'!$B$10+MAX(T308,0)*'Tax Assumptions'!$B$12+MAX(MAX(T308,0)-'Tax Assumptions'!$B$14,0)*'Tax Assumptions'!$B$13+MIN(T308*'Tax Assumptions'!$B$15,'Tax Assumptions'!$B$16)+MIN(T308*'Tax Assumptions'!$B$17,'Tax Assumptions'!$B$18)+IF(W308=0,0,LOOKUP(W308,'Tax Assumptions'!$K$9:$K$17,'Tax Assumptions'!$N$9:$N$17)+(W308-LOOKUP(W308,'Tax Assumptions'!$K$9:$K$17,'Tax Assumptions'!$K$9:$K$17))*LOOKUP(W308,'Tax Assumptions'!$K$9:$K$17,'Tax Assumptions'!$M$9:$M$17))+IF(W308=0,0,LOOKUP(W308,'Tax Assumptions'!$P$9:$P$12,'Tax Assumptions'!$S$9:$S$12)+(W308-LOOKUP(W308,'Tax Assumptions'!$P$9:$P$12,'Tax Assumptions'!$P$9:$P$12))*LOOKUP(W308,'Tax Assumptions'!$P$9:$P$12,'Tax Assumptions'!$R$9:$R$12))</f>
        <v>865478.63500000001</v>
      </c>
      <c r="Y308" s="230">
        <f t="shared" si="176"/>
        <v>910021.36499999999</v>
      </c>
      <c r="Z308" s="230">
        <f>IF(J308&lt;=10,INDEX('Savings Projection'!$BL$19:$BL$28,J308),LOOKUP(2,1/('Savings Projection'!$BL$19:$BL$28&lt;&gt;""),'Savings Projection'!$BL$19:$BL$28))*(1+'Model Inputs'!$B$35)^(J308-1)+IF(J308&lt;=10,INDEX('Savings Projection'!$BM$19:$BM$28,J308),LOOKUP(2,1/('Savings Projection'!$BM$19:$BM$28&lt;&gt;""),'Savings Projection'!$BM$19:$BM$28))*(1+'Model Inputs'!$B$36)^(J308-1)</f>
        <v>221316.29796118743</v>
      </c>
      <c r="AA308" s="230">
        <f t="shared" si="177"/>
        <v>688705.06703881256</v>
      </c>
      <c r="AB308" s="230">
        <f>MIN(MAX(AA308,0),'Tax Assumptions'!$B$20)</f>
        <v>7500</v>
      </c>
      <c r="AC308" s="230">
        <f t="shared" si="178"/>
        <v>681205.06703881256</v>
      </c>
      <c r="AD308" s="230">
        <f>MAX(AD307*(1+'Model Inputs'!$B$13)+AC308,0)</f>
        <v>22040117.490290441</v>
      </c>
      <c r="AE308" s="230">
        <f>MAX(AE307*(1+'Model Inputs'!$B$13)+U308+AB308,0)</f>
        <v>1080319.7344467151</v>
      </c>
      <c r="AF308" s="230">
        <f t="shared" si="179"/>
        <v>23120437.224737156</v>
      </c>
      <c r="AG308" s="226" t="str">
        <f t="shared" si="165"/>
        <v/>
      </c>
      <c r="AH308" s="226" t="str">
        <f t="shared" si="166"/>
        <v/>
      </c>
      <c r="AI308" s="226" t="str">
        <f t="shared" si="167"/>
        <v/>
      </c>
      <c r="AJ308" s="226">
        <f t="shared" si="168"/>
        <v>19</v>
      </c>
    </row>
    <row r="309" spans="1:36" ht="18" customHeight="1" x14ac:dyDescent="0.2">
      <c r="A309" s="226" t="str">
        <f t="shared" si="157"/>
        <v>4Y -&gt; PM Y7 Starter</v>
      </c>
      <c r="B309" s="226">
        <f t="shared" si="158"/>
        <v>4</v>
      </c>
      <c r="C309" s="235">
        <f t="shared" si="159"/>
        <v>3</v>
      </c>
      <c r="D309" s="226">
        <f t="shared" si="160"/>
        <v>7</v>
      </c>
      <c r="E309" s="226" t="str">
        <f t="shared" si="161"/>
        <v>Starter</v>
      </c>
      <c r="F309" s="230">
        <f t="shared" si="162"/>
        <v>10000000</v>
      </c>
      <c r="G309" s="236">
        <f t="shared" si="163"/>
        <v>0.15</v>
      </c>
      <c r="H309" s="230">
        <f t="shared" si="164"/>
        <v>300000</v>
      </c>
      <c r="I309" s="236">
        <f t="shared" si="170"/>
        <v>0</v>
      </c>
      <c r="J309" s="234">
        <v>20</v>
      </c>
      <c r="K309" s="234">
        <f t="shared" si="171"/>
        <v>2045</v>
      </c>
      <c r="L309" s="230">
        <f>IF(J309=1,'Model Inputs'!$B$25*(13-'Model Inputs'!$B$23)/12,'Model Inputs'!$B$25)</f>
        <v>300000</v>
      </c>
      <c r="M309" s="230">
        <f>IF(J309=1,'Model Inputs'!$B$27*(13-'Model Inputs'!$B$23)/12,IF(J309=2,'Model Inputs'!$B$27,IF(J309&lt;=MAX(3,'Model Inputs'!$B$30+1),'Model Inputs'!$B$27*(1+'Model Inputs'!$B$28)^(J309-3),'Model Inputs'!$B$27*(1+'Model Inputs'!$B$28)^(MAX(3,'Model Inputs'!$B$30+1)-3)*(1+'Model Inputs'!$B$29)^(J309-MAX(3,'Model Inputs'!$B$30+1)))))</f>
        <v>34616139.762586243</v>
      </c>
      <c r="N309" s="236">
        <f>IF(J309&lt;=2,0,'Model Inputs'!$B$32*SIN(2*PI()*(J309-3+'Model Inputs'!$B$34)/MAX(1,'Model Inputs'!$B$33)))</f>
        <v>-0.10392304845413269</v>
      </c>
      <c r="O309" s="230">
        <f t="shared" si="172"/>
        <v>31018724.992743965</v>
      </c>
      <c r="P309" s="230">
        <f t="shared" si="169"/>
        <v>27909585.160209741</v>
      </c>
      <c r="Q309" s="230">
        <f>L309+P309+IF(J309=1,'Model Inputs'!$B$26,0)</f>
        <v>28209585.160209741</v>
      </c>
      <c r="R309" s="230">
        <f t="shared" si="173"/>
        <v>84628755.480629221</v>
      </c>
      <c r="S309" s="230">
        <f t="shared" si="174"/>
        <v>1800000</v>
      </c>
      <c r="T309" s="230">
        <f t="shared" si="175"/>
        <v>1800000</v>
      </c>
      <c r="U309" s="230">
        <f>MIN(T309,'Tax Assumptions'!$B$19)</f>
        <v>24500</v>
      </c>
      <c r="V309" s="230">
        <f>MAX(T309-U309-'Tax Assumptions'!$B$8,0)</f>
        <v>1759400</v>
      </c>
      <c r="W309" s="230">
        <f>MAX(T309-U309-'Tax Assumptions'!$B$9,0)</f>
        <v>1767500</v>
      </c>
      <c r="X309" s="230">
        <f>IF(V309=0,0,LOOKUP(V309,'Tax Assumptions'!$F$9:$F$15,'Tax Assumptions'!$I$9:$I$15)+(V309-LOOKUP(V309,'Tax Assumptions'!$F$9:$F$15,'Tax Assumptions'!$F$9:$F$15))*LOOKUP(V309,'Tax Assumptions'!$F$9:$F$15,'Tax Assumptions'!$H$9:$H$15))+MIN(MAX(T309,0),'Tax Assumptions'!$B$11)*'Tax Assumptions'!$B$10+MAX(T309,0)*'Tax Assumptions'!$B$12+MAX(MAX(T309,0)-'Tax Assumptions'!$B$14,0)*'Tax Assumptions'!$B$13+MIN(T309*'Tax Assumptions'!$B$15,'Tax Assumptions'!$B$16)+MIN(T309*'Tax Assumptions'!$B$17,'Tax Assumptions'!$B$18)+IF(W309=0,0,LOOKUP(W309,'Tax Assumptions'!$K$9:$K$17,'Tax Assumptions'!$N$9:$N$17)+(W309-LOOKUP(W309,'Tax Assumptions'!$K$9:$K$17,'Tax Assumptions'!$K$9:$K$17))*LOOKUP(W309,'Tax Assumptions'!$K$9:$K$17,'Tax Assumptions'!$M$9:$M$17))+IF(W309=0,0,LOOKUP(W309,'Tax Assumptions'!$P$9:$P$12,'Tax Assumptions'!$S$9:$S$12)+(W309-LOOKUP(W309,'Tax Assumptions'!$P$9:$P$12,'Tax Assumptions'!$P$9:$P$12))*LOOKUP(W309,'Tax Assumptions'!$P$9:$P$12,'Tax Assumptions'!$R$9:$R$12))</f>
        <v>865478.63500000001</v>
      </c>
      <c r="Y309" s="230">
        <f t="shared" si="176"/>
        <v>910021.36499999999</v>
      </c>
      <c r="Z309" s="230">
        <f>IF(J309&lt;=10,INDEX('Savings Projection'!$BL$19:$BL$28,J309),LOOKUP(2,1/('Savings Projection'!$BL$19:$BL$28&lt;&gt;""),'Savings Projection'!$BL$19:$BL$28))*(1+'Model Inputs'!$B$35)^(J309-1)+IF(J309&lt;=10,INDEX('Savings Projection'!$BM$19:$BM$28,J309),LOOKUP(2,1/('Savings Projection'!$BM$19:$BM$28&lt;&gt;""),'Savings Projection'!$BM$19:$BM$28))*(1+'Model Inputs'!$B$36)^(J309-1)</f>
        <v>227955.78690002306</v>
      </c>
      <c r="AA309" s="230">
        <f t="shared" si="177"/>
        <v>682065.57809997699</v>
      </c>
      <c r="AB309" s="230">
        <f>MIN(MAX(AA309,0),'Tax Assumptions'!$B$20)</f>
        <v>7500</v>
      </c>
      <c r="AC309" s="230">
        <f t="shared" si="178"/>
        <v>674565.57809997699</v>
      </c>
      <c r="AD309" s="230">
        <f>MAX(AD308*(1+'Model Inputs'!$B$13)+AC309,0)</f>
        <v>24037090.117807847</v>
      </c>
      <c r="AE309" s="230">
        <f>MAX(AE308*(1+'Model Inputs'!$B$13)+U309+AB309,0)</f>
        <v>1177138.9185135181</v>
      </c>
      <c r="AF309" s="230">
        <f t="shared" si="179"/>
        <v>25214229.036321364</v>
      </c>
      <c r="AG309" s="226" t="str">
        <f t="shared" si="165"/>
        <v/>
      </c>
      <c r="AH309" s="226" t="str">
        <f t="shared" si="166"/>
        <v/>
      </c>
      <c r="AI309" s="226" t="str">
        <f t="shared" si="167"/>
        <v/>
      </c>
      <c r="AJ309" s="226" t="str">
        <f t="shared" si="168"/>
        <v/>
      </c>
    </row>
    <row r="310" spans="1:36" ht="18" customHeight="1" x14ac:dyDescent="0.2">
      <c r="A310" s="226" t="str">
        <f t="shared" si="157"/>
        <v>4Y -&gt; PM Y7 Starter</v>
      </c>
      <c r="B310" s="226">
        <f t="shared" si="158"/>
        <v>4</v>
      </c>
      <c r="C310" s="235">
        <f t="shared" si="159"/>
        <v>3</v>
      </c>
      <c r="D310" s="226">
        <f t="shared" si="160"/>
        <v>7</v>
      </c>
      <c r="E310" s="226" t="str">
        <f t="shared" si="161"/>
        <v>Starter</v>
      </c>
      <c r="F310" s="230">
        <f t="shared" si="162"/>
        <v>10000000</v>
      </c>
      <c r="G310" s="236">
        <f t="shared" si="163"/>
        <v>0.15</v>
      </c>
      <c r="H310" s="230">
        <f t="shared" si="164"/>
        <v>300000</v>
      </c>
      <c r="I310" s="236">
        <f t="shared" si="170"/>
        <v>0</v>
      </c>
      <c r="J310" s="234">
        <v>21</v>
      </c>
      <c r="K310" s="234">
        <f t="shared" si="171"/>
        <v>2046</v>
      </c>
      <c r="L310" s="230">
        <f>IF(J310=1,'Model Inputs'!$B$25*(13-'Model Inputs'!$B$23)/12,'Model Inputs'!$B$25)</f>
        <v>300000</v>
      </c>
      <c r="M310" s="230">
        <f>IF(J310=1,'Model Inputs'!$B$27*(13-'Model Inputs'!$B$23)/12,IF(J310=2,'Model Inputs'!$B$27,IF(J310&lt;=MAX(3,'Model Inputs'!$B$30+1),'Model Inputs'!$B$27*(1+'Model Inputs'!$B$28)^(J310-3),'Model Inputs'!$B$27*(1+'Model Inputs'!$B$28)^(MAX(3,'Model Inputs'!$B$30+1)-3)*(1+'Model Inputs'!$B$29)^(J310-MAX(3,'Model Inputs'!$B$30+1)))))</f>
        <v>43992870.912849829</v>
      </c>
      <c r="N310" s="236">
        <f>IF(J310&lt;=2,0,'Model Inputs'!$B$32*SIN(2*PI()*(J310-3+'Model Inputs'!$B$34)/MAX(1,'Model Inputs'!$B$33)))</f>
        <v>-1.7634913907721884E-16</v>
      </c>
      <c r="O310" s="230">
        <f t="shared" si="172"/>
        <v>43992870.912849821</v>
      </c>
      <c r="P310" s="230">
        <f t="shared" si="169"/>
        <v>30781203.440388259</v>
      </c>
      <c r="Q310" s="230">
        <f>L310+P310+IF(J310=1,'Model Inputs'!$B$26,0)</f>
        <v>31081203.440388259</v>
      </c>
      <c r="R310" s="230">
        <f t="shared" si="173"/>
        <v>93243610.321164772</v>
      </c>
      <c r="S310" s="230">
        <f t="shared" si="174"/>
        <v>1800000</v>
      </c>
      <c r="T310" s="230">
        <f t="shared" si="175"/>
        <v>1800000</v>
      </c>
      <c r="U310" s="230">
        <f>MIN(T310,'Tax Assumptions'!$B$19)</f>
        <v>24500</v>
      </c>
      <c r="V310" s="230">
        <f>MAX(T310-U310-'Tax Assumptions'!$B$8,0)</f>
        <v>1759400</v>
      </c>
      <c r="W310" s="230">
        <f>MAX(T310-U310-'Tax Assumptions'!$B$9,0)</f>
        <v>1767500</v>
      </c>
      <c r="X310" s="230">
        <f>IF(V310=0,0,LOOKUP(V310,'Tax Assumptions'!$F$9:$F$15,'Tax Assumptions'!$I$9:$I$15)+(V310-LOOKUP(V310,'Tax Assumptions'!$F$9:$F$15,'Tax Assumptions'!$F$9:$F$15))*LOOKUP(V310,'Tax Assumptions'!$F$9:$F$15,'Tax Assumptions'!$H$9:$H$15))+MIN(MAX(T310,0),'Tax Assumptions'!$B$11)*'Tax Assumptions'!$B$10+MAX(T310,0)*'Tax Assumptions'!$B$12+MAX(MAX(T310,0)-'Tax Assumptions'!$B$14,0)*'Tax Assumptions'!$B$13+MIN(T310*'Tax Assumptions'!$B$15,'Tax Assumptions'!$B$16)+MIN(T310*'Tax Assumptions'!$B$17,'Tax Assumptions'!$B$18)+IF(W310=0,0,LOOKUP(W310,'Tax Assumptions'!$K$9:$K$17,'Tax Assumptions'!$N$9:$N$17)+(W310-LOOKUP(W310,'Tax Assumptions'!$K$9:$K$17,'Tax Assumptions'!$K$9:$K$17))*LOOKUP(W310,'Tax Assumptions'!$K$9:$K$17,'Tax Assumptions'!$M$9:$M$17))+IF(W310=0,0,LOOKUP(W310,'Tax Assumptions'!$P$9:$P$12,'Tax Assumptions'!$S$9:$S$12)+(W310-LOOKUP(W310,'Tax Assumptions'!$P$9:$P$12,'Tax Assumptions'!$P$9:$P$12))*LOOKUP(W310,'Tax Assumptions'!$P$9:$P$12,'Tax Assumptions'!$R$9:$R$12))</f>
        <v>865478.63500000001</v>
      </c>
      <c r="Y310" s="230">
        <f t="shared" si="176"/>
        <v>910021.36499999999</v>
      </c>
      <c r="Z310" s="230">
        <f>IF(J310&lt;=10,INDEX('Savings Projection'!$BL$19:$BL$28,J310),LOOKUP(2,1/('Savings Projection'!$BL$19:$BL$28&lt;&gt;""),'Savings Projection'!$BL$19:$BL$28))*(1+'Model Inputs'!$B$35)^(J310-1)+IF(J310&lt;=10,INDEX('Savings Projection'!$BM$19:$BM$28,J310),LOOKUP(2,1/('Savings Projection'!$BM$19:$BM$28&lt;&gt;""),'Savings Projection'!$BM$19:$BM$28))*(1+'Model Inputs'!$B$36)^(J310-1)</f>
        <v>234794.46050702373</v>
      </c>
      <c r="AA310" s="230">
        <f t="shared" si="177"/>
        <v>675226.90449297626</v>
      </c>
      <c r="AB310" s="230">
        <f>MIN(MAX(AA310,0),'Tax Assumptions'!$B$20)</f>
        <v>7500</v>
      </c>
      <c r="AC310" s="230">
        <f t="shared" si="178"/>
        <v>667726.90449297626</v>
      </c>
      <c r="AD310" s="230">
        <f>MAX(AD309*(1+'Model Inputs'!$B$13)+AC310,0)</f>
        <v>26147042.429369297</v>
      </c>
      <c r="AE310" s="230">
        <f>MAX(AE309*(1+'Model Inputs'!$B$13)+U310+AB310,0)</f>
        <v>1279767.2536243291</v>
      </c>
      <c r="AF310" s="230">
        <f t="shared" si="179"/>
        <v>27426809.682993624</v>
      </c>
      <c r="AG310" s="226" t="str">
        <f t="shared" si="165"/>
        <v/>
      </c>
      <c r="AH310" s="226" t="str">
        <f t="shared" si="166"/>
        <v/>
      </c>
      <c r="AI310" s="226" t="str">
        <f t="shared" si="167"/>
        <v/>
      </c>
      <c r="AJ310" s="226" t="str">
        <f t="shared" si="168"/>
        <v/>
      </c>
    </row>
    <row r="311" spans="1:36" ht="18" customHeight="1" x14ac:dyDescent="0.2">
      <c r="A311" s="226" t="str">
        <f t="shared" si="157"/>
        <v>4Y -&gt; PM Y7 Starter</v>
      </c>
      <c r="B311" s="226">
        <f t="shared" si="158"/>
        <v>4</v>
      </c>
      <c r="C311" s="235">
        <f t="shared" si="159"/>
        <v>3</v>
      </c>
      <c r="D311" s="226">
        <f t="shared" si="160"/>
        <v>7</v>
      </c>
      <c r="E311" s="226" t="str">
        <f t="shared" si="161"/>
        <v>Starter</v>
      </c>
      <c r="F311" s="230">
        <f t="shared" si="162"/>
        <v>10000000</v>
      </c>
      <c r="G311" s="236">
        <f t="shared" si="163"/>
        <v>0.15</v>
      </c>
      <c r="H311" s="230">
        <f t="shared" si="164"/>
        <v>300000</v>
      </c>
      <c r="I311" s="236">
        <f t="shared" si="170"/>
        <v>0</v>
      </c>
      <c r="J311" s="234">
        <v>22</v>
      </c>
      <c r="K311" s="234">
        <f t="shared" si="171"/>
        <v>2047</v>
      </c>
      <c r="L311" s="230">
        <f>IF(J311=1,'Model Inputs'!$B$25*(13-'Model Inputs'!$B$23)/12,'Model Inputs'!$B$25)</f>
        <v>300000</v>
      </c>
      <c r="M311" s="230">
        <f>IF(J311=1,'Model Inputs'!$B$27*(13-'Model Inputs'!$B$23)/12,IF(J311=2,'Model Inputs'!$B$27,IF(J311&lt;=MAX(3,'Model Inputs'!$B$30+1),'Model Inputs'!$B$27*(1+'Model Inputs'!$B$28)^(J311-3),'Model Inputs'!$B$27*(1+'Model Inputs'!$B$28)^(MAX(3,'Model Inputs'!$B$30+1)-3)*(1+'Model Inputs'!$B$29)^(J311-MAX(3,'Model Inputs'!$B$30+1)))))</f>
        <v>55909546.9462616</v>
      </c>
      <c r="N311" s="236">
        <f>IF(J311&lt;=2,0,'Model Inputs'!$B$32*SIN(2*PI()*(J311-3+'Model Inputs'!$B$34)/MAX(1,'Model Inputs'!$B$33)))</f>
        <v>0.10392304845413287</v>
      </c>
      <c r="O311" s="230">
        <f t="shared" si="172"/>
        <v>61719837.502606563</v>
      </c>
      <c r="P311" s="230">
        <f t="shared" si="169"/>
        <v>40749334.43282336</v>
      </c>
      <c r="Q311" s="230">
        <f>L311+P311+IF(J311=1,'Model Inputs'!$B$26,0)</f>
        <v>41049334.43282336</v>
      </c>
      <c r="R311" s="230">
        <f t="shared" si="173"/>
        <v>123148003.29847008</v>
      </c>
      <c r="S311" s="230">
        <f t="shared" si="174"/>
        <v>1800000</v>
      </c>
      <c r="T311" s="230">
        <f t="shared" si="175"/>
        <v>1800000</v>
      </c>
      <c r="U311" s="230">
        <f>MIN(T311,'Tax Assumptions'!$B$19)</f>
        <v>24500</v>
      </c>
      <c r="V311" s="230">
        <f>MAX(T311-U311-'Tax Assumptions'!$B$8,0)</f>
        <v>1759400</v>
      </c>
      <c r="W311" s="230">
        <f>MAX(T311-U311-'Tax Assumptions'!$B$9,0)</f>
        <v>1767500</v>
      </c>
      <c r="X311" s="230">
        <f>IF(V311=0,0,LOOKUP(V311,'Tax Assumptions'!$F$9:$F$15,'Tax Assumptions'!$I$9:$I$15)+(V311-LOOKUP(V311,'Tax Assumptions'!$F$9:$F$15,'Tax Assumptions'!$F$9:$F$15))*LOOKUP(V311,'Tax Assumptions'!$F$9:$F$15,'Tax Assumptions'!$H$9:$H$15))+MIN(MAX(T311,0),'Tax Assumptions'!$B$11)*'Tax Assumptions'!$B$10+MAX(T311,0)*'Tax Assumptions'!$B$12+MAX(MAX(T311,0)-'Tax Assumptions'!$B$14,0)*'Tax Assumptions'!$B$13+MIN(T311*'Tax Assumptions'!$B$15,'Tax Assumptions'!$B$16)+MIN(T311*'Tax Assumptions'!$B$17,'Tax Assumptions'!$B$18)+IF(W311=0,0,LOOKUP(W311,'Tax Assumptions'!$K$9:$K$17,'Tax Assumptions'!$N$9:$N$17)+(W311-LOOKUP(W311,'Tax Assumptions'!$K$9:$K$17,'Tax Assumptions'!$K$9:$K$17))*LOOKUP(W311,'Tax Assumptions'!$K$9:$K$17,'Tax Assumptions'!$M$9:$M$17))+IF(W311=0,0,LOOKUP(W311,'Tax Assumptions'!$P$9:$P$12,'Tax Assumptions'!$S$9:$S$12)+(W311-LOOKUP(W311,'Tax Assumptions'!$P$9:$P$12,'Tax Assumptions'!$P$9:$P$12))*LOOKUP(W311,'Tax Assumptions'!$P$9:$P$12,'Tax Assumptions'!$R$9:$R$12))</f>
        <v>865478.63500000001</v>
      </c>
      <c r="Y311" s="230">
        <f t="shared" si="176"/>
        <v>910021.36499999999</v>
      </c>
      <c r="Z311" s="230">
        <f>IF(J311&lt;=10,INDEX('Savings Projection'!$BL$19:$BL$28,J311),LOOKUP(2,1/('Savings Projection'!$BL$19:$BL$28&lt;&gt;""),'Savings Projection'!$BL$19:$BL$28))*(1+'Model Inputs'!$B$35)^(J311-1)+IF(J311&lt;=10,INDEX('Savings Projection'!$BM$19:$BM$28,J311),LOOKUP(2,1/('Savings Projection'!$BM$19:$BM$28&lt;&gt;""),'Savings Projection'!$BM$19:$BM$28))*(1+'Model Inputs'!$B$36)^(J311-1)</f>
        <v>241838.2943222344</v>
      </c>
      <c r="AA311" s="230">
        <f t="shared" si="177"/>
        <v>668183.07067776565</v>
      </c>
      <c r="AB311" s="230">
        <f>MIN(MAX(AA311,0),'Tax Assumptions'!$B$20)</f>
        <v>7500</v>
      </c>
      <c r="AC311" s="230">
        <f t="shared" si="178"/>
        <v>660683.07067776565</v>
      </c>
      <c r="AD311" s="230">
        <f>MAX(AD310*(1+'Model Inputs'!$B$13)+AC311,0)</f>
        <v>28376548.045809221</v>
      </c>
      <c r="AE311" s="230">
        <f>MAX(AE310*(1+'Model Inputs'!$B$13)+U311+AB311,0)</f>
        <v>1388553.2888417889</v>
      </c>
      <c r="AF311" s="230">
        <f t="shared" si="179"/>
        <v>29765101.334651008</v>
      </c>
      <c r="AG311" s="226" t="str">
        <f t="shared" si="165"/>
        <v/>
      </c>
      <c r="AH311" s="226" t="str">
        <f t="shared" si="166"/>
        <v/>
      </c>
      <c r="AI311" s="226" t="str">
        <f t="shared" si="167"/>
        <v/>
      </c>
      <c r="AJ311" s="226" t="str">
        <f t="shared" si="168"/>
        <v/>
      </c>
    </row>
    <row r="312" spans="1:36" ht="18" customHeight="1" x14ac:dyDescent="0.2">
      <c r="A312" s="226" t="str">
        <f t="shared" si="157"/>
        <v>4Y -&gt; PM Y7 Starter</v>
      </c>
      <c r="B312" s="226">
        <f t="shared" si="158"/>
        <v>4</v>
      </c>
      <c r="C312" s="235">
        <f t="shared" si="159"/>
        <v>3</v>
      </c>
      <c r="D312" s="226">
        <f t="shared" si="160"/>
        <v>7</v>
      </c>
      <c r="E312" s="226" t="str">
        <f t="shared" si="161"/>
        <v>Starter</v>
      </c>
      <c r="F312" s="230">
        <f t="shared" si="162"/>
        <v>10000000</v>
      </c>
      <c r="G312" s="236">
        <f t="shared" si="163"/>
        <v>0.15</v>
      </c>
      <c r="H312" s="230">
        <f t="shared" si="164"/>
        <v>300000</v>
      </c>
      <c r="I312" s="236">
        <f t="shared" si="170"/>
        <v>0</v>
      </c>
      <c r="J312" s="234">
        <v>23</v>
      </c>
      <c r="K312" s="234">
        <f t="shared" si="171"/>
        <v>2048</v>
      </c>
      <c r="L312" s="230">
        <f>IF(J312=1,'Model Inputs'!$B$25*(13-'Model Inputs'!$B$23)/12,'Model Inputs'!$B$25)</f>
        <v>300000</v>
      </c>
      <c r="M312" s="230">
        <f>IF(J312=1,'Model Inputs'!$B$27*(13-'Model Inputs'!$B$23)/12,IF(J312=2,'Model Inputs'!$B$27,IF(J312&lt;=MAX(3,'Model Inputs'!$B$30+1),'Model Inputs'!$B$27*(1+'Model Inputs'!$B$28)^(J312-3),'Model Inputs'!$B$27*(1+'Model Inputs'!$B$28)^(MAX(3,'Model Inputs'!$B$30+1)-3)*(1+'Model Inputs'!$B$29)^(J312-MAX(3,'Model Inputs'!$B$30+1)))))</f>
        <v>71054181.617940187</v>
      </c>
      <c r="N312" s="236">
        <f>IF(J312&lt;=2,0,'Model Inputs'!$B$32*SIN(2*PI()*(J312-3+'Model Inputs'!$B$34)/MAX(1,'Model Inputs'!$B$33)))</f>
        <v>-0.10392304845413268</v>
      </c>
      <c r="O312" s="230">
        <f t="shared" si="172"/>
        <v>63670014.458790243</v>
      </c>
      <c r="P312" s="230">
        <f t="shared" si="169"/>
        <v>57288095.855167374</v>
      </c>
      <c r="Q312" s="230">
        <f>L312+P312+IF(J312=1,'Model Inputs'!$B$26,0)</f>
        <v>57588095.855167374</v>
      </c>
      <c r="R312" s="230">
        <f t="shared" si="173"/>
        <v>172764287.56550211</v>
      </c>
      <c r="S312" s="230">
        <f t="shared" si="174"/>
        <v>1800000</v>
      </c>
      <c r="T312" s="230">
        <f t="shared" si="175"/>
        <v>1800000</v>
      </c>
      <c r="U312" s="230">
        <f>MIN(T312,'Tax Assumptions'!$B$19)</f>
        <v>24500</v>
      </c>
      <c r="V312" s="230">
        <f>MAX(T312-U312-'Tax Assumptions'!$B$8,0)</f>
        <v>1759400</v>
      </c>
      <c r="W312" s="230">
        <f>MAX(T312-U312-'Tax Assumptions'!$B$9,0)</f>
        <v>1767500</v>
      </c>
      <c r="X312" s="230">
        <f>IF(V312=0,0,LOOKUP(V312,'Tax Assumptions'!$F$9:$F$15,'Tax Assumptions'!$I$9:$I$15)+(V312-LOOKUP(V312,'Tax Assumptions'!$F$9:$F$15,'Tax Assumptions'!$F$9:$F$15))*LOOKUP(V312,'Tax Assumptions'!$F$9:$F$15,'Tax Assumptions'!$H$9:$H$15))+MIN(MAX(T312,0),'Tax Assumptions'!$B$11)*'Tax Assumptions'!$B$10+MAX(T312,0)*'Tax Assumptions'!$B$12+MAX(MAX(T312,0)-'Tax Assumptions'!$B$14,0)*'Tax Assumptions'!$B$13+MIN(T312*'Tax Assumptions'!$B$15,'Tax Assumptions'!$B$16)+MIN(T312*'Tax Assumptions'!$B$17,'Tax Assumptions'!$B$18)+IF(W312=0,0,LOOKUP(W312,'Tax Assumptions'!$K$9:$K$17,'Tax Assumptions'!$N$9:$N$17)+(W312-LOOKUP(W312,'Tax Assumptions'!$K$9:$K$17,'Tax Assumptions'!$K$9:$K$17))*LOOKUP(W312,'Tax Assumptions'!$K$9:$K$17,'Tax Assumptions'!$M$9:$M$17))+IF(W312=0,0,LOOKUP(W312,'Tax Assumptions'!$P$9:$P$12,'Tax Assumptions'!$S$9:$S$12)+(W312-LOOKUP(W312,'Tax Assumptions'!$P$9:$P$12,'Tax Assumptions'!$P$9:$P$12))*LOOKUP(W312,'Tax Assumptions'!$P$9:$P$12,'Tax Assumptions'!$R$9:$R$12))</f>
        <v>865478.63500000001</v>
      </c>
      <c r="Y312" s="230">
        <f t="shared" si="176"/>
        <v>910021.36499999999</v>
      </c>
      <c r="Z312" s="230">
        <f>IF(J312&lt;=10,INDEX('Savings Projection'!$BL$19:$BL$28,J312),LOOKUP(2,1/('Savings Projection'!$BL$19:$BL$28&lt;&gt;""),'Savings Projection'!$BL$19:$BL$28))*(1+'Model Inputs'!$B$35)^(J312-1)+IF(J312&lt;=10,INDEX('Savings Projection'!$BM$19:$BM$28,J312),LOOKUP(2,1/('Savings Projection'!$BM$19:$BM$28&lt;&gt;""),'Savings Projection'!$BM$19:$BM$28))*(1+'Model Inputs'!$B$36)^(J312-1)</f>
        <v>249093.44315190148</v>
      </c>
      <c r="AA312" s="230">
        <f t="shared" si="177"/>
        <v>660927.92184809851</v>
      </c>
      <c r="AB312" s="230">
        <f>MIN(MAX(AA312,0),'Tax Assumptions'!$B$20)</f>
        <v>7500</v>
      </c>
      <c r="AC312" s="230">
        <f t="shared" si="178"/>
        <v>653427.92184809851</v>
      </c>
      <c r="AD312" s="230">
        <f>MAX(AD311*(1+'Model Inputs'!$B$13)+AC312,0)</f>
        <v>30732568.850405876</v>
      </c>
      <c r="AE312" s="230">
        <f>MAX(AE311*(1+'Model Inputs'!$B$13)+U312+AB312,0)</f>
        <v>1503866.4861722963</v>
      </c>
      <c r="AF312" s="230">
        <f t="shared" si="179"/>
        <v>32236435.336578172</v>
      </c>
      <c r="AG312" s="226" t="str">
        <f t="shared" si="165"/>
        <v/>
      </c>
      <c r="AH312" s="226" t="str">
        <f t="shared" si="166"/>
        <v/>
      </c>
      <c r="AI312" s="226" t="str">
        <f t="shared" si="167"/>
        <v/>
      </c>
      <c r="AJ312" s="226" t="str">
        <f t="shared" si="168"/>
        <v/>
      </c>
    </row>
    <row r="313" spans="1:36" ht="18" customHeight="1" x14ac:dyDescent="0.2">
      <c r="A313" s="226" t="str">
        <f t="shared" si="157"/>
        <v>4Y -&gt; PM Y7 Starter</v>
      </c>
      <c r="B313" s="226">
        <f t="shared" si="158"/>
        <v>4</v>
      </c>
      <c r="C313" s="235">
        <f t="shared" si="159"/>
        <v>3</v>
      </c>
      <c r="D313" s="226">
        <f t="shared" si="160"/>
        <v>7</v>
      </c>
      <c r="E313" s="226" t="str">
        <f t="shared" si="161"/>
        <v>Starter</v>
      </c>
      <c r="F313" s="230">
        <f t="shared" si="162"/>
        <v>10000000</v>
      </c>
      <c r="G313" s="236">
        <f t="shared" si="163"/>
        <v>0.15</v>
      </c>
      <c r="H313" s="230">
        <f t="shared" si="164"/>
        <v>300000</v>
      </c>
      <c r="I313" s="236">
        <f t="shared" si="170"/>
        <v>0</v>
      </c>
      <c r="J313" s="234">
        <v>24</v>
      </c>
      <c r="K313" s="234">
        <f t="shared" si="171"/>
        <v>2049</v>
      </c>
      <c r="L313" s="230">
        <f>IF(J313=1,'Model Inputs'!$B$25*(13-'Model Inputs'!$B$23)/12,'Model Inputs'!$B$25)</f>
        <v>300000</v>
      </c>
      <c r="M313" s="230">
        <f>IF(J313=1,'Model Inputs'!$B$27*(13-'Model Inputs'!$B$23)/12,IF(J313=2,'Model Inputs'!$B$27,IF(J313&lt;=MAX(3,'Model Inputs'!$B$30+1),'Model Inputs'!$B$27*(1+'Model Inputs'!$B$28)^(J313-3),'Model Inputs'!$B$27*(1+'Model Inputs'!$B$28)^(MAX(3,'Model Inputs'!$B$30+1)-3)*(1+'Model Inputs'!$B$29)^(J313-MAX(3,'Model Inputs'!$B$30+1)))))</f>
        <v>90301156.084270701</v>
      </c>
      <c r="N313" s="236">
        <f>IF(J313&lt;=2,0,'Model Inputs'!$B$32*SIN(2*PI()*(J313-3+'Model Inputs'!$B$34)/MAX(1,'Model Inputs'!$B$33)))</f>
        <v>-2.0574066225675533E-16</v>
      </c>
      <c r="O313" s="230">
        <f t="shared" si="172"/>
        <v>90301156.084270686</v>
      </c>
      <c r="P313" s="230">
        <f t="shared" si="169"/>
        <v>63182470.219744325</v>
      </c>
      <c r="Q313" s="230">
        <f>L313+P313+IF(J313=1,'Model Inputs'!$B$26,0)</f>
        <v>63482470.219744325</v>
      </c>
      <c r="R313" s="230">
        <f t="shared" si="173"/>
        <v>190447410.65923297</v>
      </c>
      <c r="S313" s="230">
        <f t="shared" si="174"/>
        <v>1800000</v>
      </c>
      <c r="T313" s="230">
        <f t="shared" si="175"/>
        <v>1800000</v>
      </c>
      <c r="U313" s="230">
        <f>MIN(T313,'Tax Assumptions'!$B$19)</f>
        <v>24500</v>
      </c>
      <c r="V313" s="230">
        <f>MAX(T313-U313-'Tax Assumptions'!$B$8,0)</f>
        <v>1759400</v>
      </c>
      <c r="W313" s="230">
        <f>MAX(T313-U313-'Tax Assumptions'!$B$9,0)</f>
        <v>1767500</v>
      </c>
      <c r="X313" s="230">
        <f>IF(V313=0,0,LOOKUP(V313,'Tax Assumptions'!$F$9:$F$15,'Tax Assumptions'!$I$9:$I$15)+(V313-LOOKUP(V313,'Tax Assumptions'!$F$9:$F$15,'Tax Assumptions'!$F$9:$F$15))*LOOKUP(V313,'Tax Assumptions'!$F$9:$F$15,'Tax Assumptions'!$H$9:$H$15))+MIN(MAX(T313,0),'Tax Assumptions'!$B$11)*'Tax Assumptions'!$B$10+MAX(T313,0)*'Tax Assumptions'!$B$12+MAX(MAX(T313,0)-'Tax Assumptions'!$B$14,0)*'Tax Assumptions'!$B$13+MIN(T313*'Tax Assumptions'!$B$15,'Tax Assumptions'!$B$16)+MIN(T313*'Tax Assumptions'!$B$17,'Tax Assumptions'!$B$18)+IF(W313=0,0,LOOKUP(W313,'Tax Assumptions'!$K$9:$K$17,'Tax Assumptions'!$N$9:$N$17)+(W313-LOOKUP(W313,'Tax Assumptions'!$K$9:$K$17,'Tax Assumptions'!$K$9:$K$17))*LOOKUP(W313,'Tax Assumptions'!$K$9:$K$17,'Tax Assumptions'!$M$9:$M$17))+IF(W313=0,0,LOOKUP(W313,'Tax Assumptions'!$P$9:$P$12,'Tax Assumptions'!$S$9:$S$12)+(W313-LOOKUP(W313,'Tax Assumptions'!$P$9:$P$12,'Tax Assumptions'!$P$9:$P$12))*LOOKUP(W313,'Tax Assumptions'!$P$9:$P$12,'Tax Assumptions'!$R$9:$R$12))</f>
        <v>865478.63500000001</v>
      </c>
      <c r="Y313" s="230">
        <f t="shared" si="176"/>
        <v>910021.36499999999</v>
      </c>
      <c r="Z313" s="230">
        <f>IF(J313&lt;=10,INDEX('Savings Projection'!$BL$19:$BL$28,J313),LOOKUP(2,1/('Savings Projection'!$BL$19:$BL$28&lt;&gt;""),'Savings Projection'!$BL$19:$BL$28))*(1+'Model Inputs'!$B$35)^(J313-1)+IF(J313&lt;=10,INDEX('Savings Projection'!$BM$19:$BM$28,J313),LOOKUP(2,1/('Savings Projection'!$BM$19:$BM$28&lt;&gt;""),'Savings Projection'!$BM$19:$BM$28))*(1+'Model Inputs'!$B$36)^(J313-1)</f>
        <v>256566.24644645851</v>
      </c>
      <c r="AA313" s="230">
        <f t="shared" si="177"/>
        <v>653455.11855354148</v>
      </c>
      <c r="AB313" s="230">
        <f>MIN(MAX(AA313,0),'Tax Assumptions'!$B$20)</f>
        <v>7500</v>
      </c>
      <c r="AC313" s="230">
        <f t="shared" si="178"/>
        <v>645955.11855354148</v>
      </c>
      <c r="AD313" s="230">
        <f>MAX(AD312*(1+'Model Inputs'!$B$13)+AC313,0)</f>
        <v>33222478.09998377</v>
      </c>
      <c r="AE313" s="230">
        <f>MAX(AE312*(1+'Model Inputs'!$B$13)+U313+AB313,0)</f>
        <v>1626098.4753426341</v>
      </c>
      <c r="AF313" s="230">
        <f t="shared" si="179"/>
        <v>34848576.575326405</v>
      </c>
      <c r="AG313" s="226" t="str">
        <f t="shared" si="165"/>
        <v/>
      </c>
      <c r="AH313" s="226" t="str">
        <f t="shared" si="166"/>
        <v/>
      </c>
      <c r="AI313" s="226" t="str">
        <f t="shared" si="167"/>
        <v/>
      </c>
      <c r="AJ313" s="226" t="str">
        <f t="shared" si="168"/>
        <v/>
      </c>
    </row>
    <row r="314" spans="1:36" ht="18" customHeight="1" x14ac:dyDescent="0.2">
      <c r="A314" s="226" t="str">
        <f t="shared" si="157"/>
        <v>4Y -&gt; PM Y7 Starter</v>
      </c>
      <c r="B314" s="226">
        <f t="shared" si="158"/>
        <v>4</v>
      </c>
      <c r="C314" s="235">
        <f t="shared" si="159"/>
        <v>3</v>
      </c>
      <c r="D314" s="226">
        <f t="shared" si="160"/>
        <v>7</v>
      </c>
      <c r="E314" s="226" t="str">
        <f t="shared" si="161"/>
        <v>Starter</v>
      </c>
      <c r="F314" s="230">
        <f t="shared" si="162"/>
        <v>10000000</v>
      </c>
      <c r="G314" s="236">
        <f t="shared" si="163"/>
        <v>0.15</v>
      </c>
      <c r="H314" s="230">
        <f t="shared" si="164"/>
        <v>300000</v>
      </c>
      <c r="I314" s="236">
        <f t="shared" si="170"/>
        <v>0</v>
      </c>
      <c r="J314" s="234">
        <v>25</v>
      </c>
      <c r="K314" s="234">
        <f t="shared" si="171"/>
        <v>2050</v>
      </c>
      <c r="L314" s="230">
        <f>IF(J314=1,'Model Inputs'!$B$25*(13-'Model Inputs'!$B$23)/12,'Model Inputs'!$B$25)</f>
        <v>300000</v>
      </c>
      <c r="M314" s="230">
        <f>IF(J314=1,'Model Inputs'!$B$27*(13-'Model Inputs'!$B$23)/12,IF(J314=2,'Model Inputs'!$B$27,IF(J314&lt;=MAX(3,'Model Inputs'!$B$30+1),'Model Inputs'!$B$27*(1+'Model Inputs'!$B$28)^(J314-3),'Model Inputs'!$B$27*(1+'Model Inputs'!$B$28)^(MAX(3,'Model Inputs'!$B$30+1)-3)*(1+'Model Inputs'!$B$29)^(J314-MAX(3,'Model Inputs'!$B$30+1)))))</f>
        <v>114761701.62653697</v>
      </c>
      <c r="N314" s="236">
        <f>IF(J314&lt;=2,0,'Model Inputs'!$B$32*SIN(2*PI()*(J314-3+'Model Inputs'!$B$34)/MAX(1,'Model Inputs'!$B$33)))</f>
        <v>0.10392304845413287</v>
      </c>
      <c r="O314" s="230">
        <f t="shared" si="172"/>
        <v>126688087.50535031</v>
      </c>
      <c r="P314" s="230">
        <f t="shared" si="169"/>
        <v>83643370.677900568</v>
      </c>
      <c r="Q314" s="230">
        <f>L314+P314+IF(J314=1,'Model Inputs'!$B$26,0)</f>
        <v>83943370.677900568</v>
      </c>
      <c r="R314" s="230">
        <f t="shared" si="173"/>
        <v>251830112.03370172</v>
      </c>
      <c r="S314" s="230">
        <f t="shared" si="174"/>
        <v>1800000</v>
      </c>
      <c r="T314" s="230">
        <f t="shared" si="175"/>
        <v>1800000</v>
      </c>
      <c r="U314" s="230">
        <f>MIN(T314,'Tax Assumptions'!$B$19)</f>
        <v>24500</v>
      </c>
      <c r="V314" s="230">
        <f>MAX(T314-U314-'Tax Assumptions'!$B$8,0)</f>
        <v>1759400</v>
      </c>
      <c r="W314" s="230">
        <f>MAX(T314-U314-'Tax Assumptions'!$B$9,0)</f>
        <v>1767500</v>
      </c>
      <c r="X314" s="230">
        <f>IF(V314=0,0,LOOKUP(V314,'Tax Assumptions'!$F$9:$F$15,'Tax Assumptions'!$I$9:$I$15)+(V314-LOOKUP(V314,'Tax Assumptions'!$F$9:$F$15,'Tax Assumptions'!$F$9:$F$15))*LOOKUP(V314,'Tax Assumptions'!$F$9:$F$15,'Tax Assumptions'!$H$9:$H$15))+MIN(MAX(T314,0),'Tax Assumptions'!$B$11)*'Tax Assumptions'!$B$10+MAX(T314,0)*'Tax Assumptions'!$B$12+MAX(MAX(T314,0)-'Tax Assumptions'!$B$14,0)*'Tax Assumptions'!$B$13+MIN(T314*'Tax Assumptions'!$B$15,'Tax Assumptions'!$B$16)+MIN(T314*'Tax Assumptions'!$B$17,'Tax Assumptions'!$B$18)+IF(W314=0,0,LOOKUP(W314,'Tax Assumptions'!$K$9:$K$17,'Tax Assumptions'!$N$9:$N$17)+(W314-LOOKUP(W314,'Tax Assumptions'!$K$9:$K$17,'Tax Assumptions'!$K$9:$K$17))*LOOKUP(W314,'Tax Assumptions'!$K$9:$K$17,'Tax Assumptions'!$M$9:$M$17))+IF(W314=0,0,LOOKUP(W314,'Tax Assumptions'!$P$9:$P$12,'Tax Assumptions'!$S$9:$S$12)+(W314-LOOKUP(W314,'Tax Assumptions'!$P$9:$P$12,'Tax Assumptions'!$P$9:$P$12))*LOOKUP(W314,'Tax Assumptions'!$P$9:$P$12,'Tax Assumptions'!$R$9:$R$12))</f>
        <v>865478.63500000001</v>
      </c>
      <c r="Y314" s="230">
        <f t="shared" si="176"/>
        <v>910021.36499999999</v>
      </c>
      <c r="Z314" s="230">
        <f>IF(J314&lt;=10,INDEX('Savings Projection'!$BL$19:$BL$28,J314),LOOKUP(2,1/('Savings Projection'!$BL$19:$BL$28&lt;&gt;""),'Savings Projection'!$BL$19:$BL$28))*(1+'Model Inputs'!$B$35)^(J314-1)+IF(J314&lt;=10,INDEX('Savings Projection'!$BM$19:$BM$28,J314),LOOKUP(2,1/('Savings Projection'!$BM$19:$BM$28&lt;&gt;""),'Savings Projection'!$BM$19:$BM$28))*(1+'Model Inputs'!$B$36)^(J314-1)</f>
        <v>264263.23383985227</v>
      </c>
      <c r="AA314" s="230">
        <f t="shared" si="177"/>
        <v>645758.13116014772</v>
      </c>
      <c r="AB314" s="230">
        <f>MIN(MAX(AA314,0),'Tax Assumptions'!$B$20)</f>
        <v>7500</v>
      </c>
      <c r="AC314" s="230">
        <f t="shared" si="178"/>
        <v>638258.13116014772</v>
      </c>
      <c r="AD314" s="230">
        <f>MAX(AD313*(1+'Model Inputs'!$B$13)+AC314,0)</f>
        <v>35854084.917142943</v>
      </c>
      <c r="AE314" s="230">
        <f>MAX(AE313*(1+'Model Inputs'!$B$13)+U314+AB314,0)</f>
        <v>1755664.3838631923</v>
      </c>
      <c r="AF314" s="230">
        <f t="shared" si="179"/>
        <v>37609749.301006138</v>
      </c>
      <c r="AG314" s="226" t="str">
        <f t="shared" si="165"/>
        <v/>
      </c>
      <c r="AH314" s="226" t="str">
        <f t="shared" si="166"/>
        <v/>
      </c>
      <c r="AI314" s="226" t="str">
        <f t="shared" si="167"/>
        <v/>
      </c>
      <c r="AJ314" s="226" t="str">
        <f t="shared" si="168"/>
        <v/>
      </c>
    </row>
    <row r="315" spans="1:36" ht="18" customHeight="1" x14ac:dyDescent="0.2">
      <c r="A315" s="226" t="str">
        <f t="shared" si="157"/>
        <v>4Y -&gt; PM Y7 Starter</v>
      </c>
      <c r="B315" s="226">
        <f t="shared" si="158"/>
        <v>4</v>
      </c>
      <c r="C315" s="235">
        <f t="shared" si="159"/>
        <v>3</v>
      </c>
      <c r="D315" s="226">
        <f t="shared" si="160"/>
        <v>7</v>
      </c>
      <c r="E315" s="226" t="str">
        <f t="shared" si="161"/>
        <v>Starter</v>
      </c>
      <c r="F315" s="230">
        <f t="shared" si="162"/>
        <v>10000000</v>
      </c>
      <c r="G315" s="236">
        <f t="shared" si="163"/>
        <v>0.15</v>
      </c>
      <c r="H315" s="230">
        <f t="shared" si="164"/>
        <v>300000</v>
      </c>
      <c r="I315" s="236">
        <f t="shared" si="170"/>
        <v>0</v>
      </c>
      <c r="J315" s="234">
        <v>26</v>
      </c>
      <c r="K315" s="234">
        <f t="shared" si="171"/>
        <v>2051</v>
      </c>
      <c r="L315" s="230">
        <f>IF(J315=1,'Model Inputs'!$B$25*(13-'Model Inputs'!$B$23)/12,'Model Inputs'!$B$25)</f>
        <v>300000</v>
      </c>
      <c r="M315" s="230">
        <f>IF(J315=1,'Model Inputs'!$B$27*(13-'Model Inputs'!$B$23)/12,IF(J315=2,'Model Inputs'!$B$27,IF(J315&lt;=MAX(3,'Model Inputs'!$B$30+1),'Model Inputs'!$B$27*(1+'Model Inputs'!$B$28)^(J315-3),'Model Inputs'!$B$27*(1+'Model Inputs'!$B$28)^(MAX(3,'Model Inputs'!$B$30+1)-3)*(1+'Model Inputs'!$B$29)^(J315-MAX(3,'Model Inputs'!$B$30+1)))))</f>
        <v>145848057.00524563</v>
      </c>
      <c r="N315" s="236">
        <f>IF(J315&lt;=2,0,'Model Inputs'!$B$32*SIN(2*PI()*(J315-3+'Model Inputs'!$B$34)/MAX(1,'Model Inputs'!$B$33)))</f>
        <v>-0.10392304845413224</v>
      </c>
      <c r="O315" s="230">
        <f t="shared" si="172"/>
        <v>130691082.31014845</v>
      </c>
      <c r="P315" s="230">
        <f t="shared" si="169"/>
        <v>117591354.65008041</v>
      </c>
      <c r="Q315" s="230">
        <f>L315+P315+IF(J315=1,'Model Inputs'!$B$26,0)</f>
        <v>117891354.65008041</v>
      </c>
      <c r="R315" s="230">
        <f t="shared" si="173"/>
        <v>353674063.95024121</v>
      </c>
      <c r="S315" s="230">
        <f t="shared" si="174"/>
        <v>1800000</v>
      </c>
      <c r="T315" s="230">
        <f t="shared" si="175"/>
        <v>1800000</v>
      </c>
      <c r="U315" s="230">
        <f>MIN(T315,'Tax Assumptions'!$B$19)</f>
        <v>24500</v>
      </c>
      <c r="V315" s="230">
        <f>MAX(T315-U315-'Tax Assumptions'!$B$8,0)</f>
        <v>1759400</v>
      </c>
      <c r="W315" s="230">
        <f>MAX(T315-U315-'Tax Assumptions'!$B$9,0)</f>
        <v>1767500</v>
      </c>
      <c r="X315" s="230">
        <f>IF(V315=0,0,LOOKUP(V315,'Tax Assumptions'!$F$9:$F$15,'Tax Assumptions'!$I$9:$I$15)+(V315-LOOKUP(V315,'Tax Assumptions'!$F$9:$F$15,'Tax Assumptions'!$F$9:$F$15))*LOOKUP(V315,'Tax Assumptions'!$F$9:$F$15,'Tax Assumptions'!$H$9:$H$15))+MIN(MAX(T315,0),'Tax Assumptions'!$B$11)*'Tax Assumptions'!$B$10+MAX(T315,0)*'Tax Assumptions'!$B$12+MAX(MAX(T315,0)-'Tax Assumptions'!$B$14,0)*'Tax Assumptions'!$B$13+MIN(T315*'Tax Assumptions'!$B$15,'Tax Assumptions'!$B$16)+MIN(T315*'Tax Assumptions'!$B$17,'Tax Assumptions'!$B$18)+IF(W315=0,0,LOOKUP(W315,'Tax Assumptions'!$K$9:$K$17,'Tax Assumptions'!$N$9:$N$17)+(W315-LOOKUP(W315,'Tax Assumptions'!$K$9:$K$17,'Tax Assumptions'!$K$9:$K$17))*LOOKUP(W315,'Tax Assumptions'!$K$9:$K$17,'Tax Assumptions'!$M$9:$M$17))+IF(W315=0,0,LOOKUP(W315,'Tax Assumptions'!$P$9:$P$12,'Tax Assumptions'!$S$9:$S$12)+(W315-LOOKUP(W315,'Tax Assumptions'!$P$9:$P$12,'Tax Assumptions'!$P$9:$P$12))*LOOKUP(W315,'Tax Assumptions'!$P$9:$P$12,'Tax Assumptions'!$R$9:$R$12))</f>
        <v>865478.63500000001</v>
      </c>
      <c r="Y315" s="230">
        <f t="shared" si="176"/>
        <v>910021.36499999999</v>
      </c>
      <c r="Z315" s="230">
        <f>IF(J315&lt;=10,INDEX('Savings Projection'!$BL$19:$BL$28,J315),LOOKUP(2,1/('Savings Projection'!$BL$19:$BL$28&lt;&gt;""),'Savings Projection'!$BL$19:$BL$28))*(1+'Model Inputs'!$B$35)^(J315-1)+IF(J315&lt;=10,INDEX('Savings Projection'!$BM$19:$BM$28,J315),LOOKUP(2,1/('Savings Projection'!$BM$19:$BM$28&lt;&gt;""),'Savings Projection'!$BM$19:$BM$28))*(1+'Model Inputs'!$B$36)^(J315-1)</f>
        <v>272191.13085504784</v>
      </c>
      <c r="AA315" s="230">
        <f t="shared" si="177"/>
        <v>637830.23414495215</v>
      </c>
      <c r="AB315" s="230">
        <f>MIN(MAX(AA315,0),'Tax Assumptions'!$B$20)</f>
        <v>7500</v>
      </c>
      <c r="AC315" s="230">
        <f t="shared" si="178"/>
        <v>630330.23414495215</v>
      </c>
      <c r="AD315" s="230">
        <f>MAX(AD314*(1+'Model Inputs'!$B$13)+AC315,0)</f>
        <v>38635660.246316478</v>
      </c>
      <c r="AE315" s="230">
        <f>MAX(AE314*(1+'Model Inputs'!$B$13)+U315+AB315,0)</f>
        <v>1893004.2468949838</v>
      </c>
      <c r="AF315" s="230">
        <f t="shared" si="179"/>
        <v>40528664.493211463</v>
      </c>
      <c r="AG315" s="226" t="str">
        <f t="shared" si="165"/>
        <v/>
      </c>
      <c r="AH315" s="226" t="str">
        <f t="shared" si="166"/>
        <v/>
      </c>
      <c r="AI315" s="226" t="str">
        <f t="shared" si="167"/>
        <v/>
      </c>
      <c r="AJ315" s="226" t="str">
        <f t="shared" si="168"/>
        <v/>
      </c>
    </row>
    <row r="316" spans="1:36" ht="18" customHeight="1" x14ac:dyDescent="0.2">
      <c r="A316" s="226" t="str">
        <f t="shared" si="157"/>
        <v>4Y -&gt; PM Y7 Starter</v>
      </c>
      <c r="B316" s="226">
        <f t="shared" si="158"/>
        <v>4</v>
      </c>
      <c r="C316" s="235">
        <f t="shared" si="159"/>
        <v>3</v>
      </c>
      <c r="D316" s="226">
        <f t="shared" si="160"/>
        <v>7</v>
      </c>
      <c r="E316" s="226" t="str">
        <f t="shared" si="161"/>
        <v>Starter</v>
      </c>
      <c r="F316" s="230">
        <f t="shared" si="162"/>
        <v>10000000</v>
      </c>
      <c r="G316" s="236">
        <f t="shared" si="163"/>
        <v>0.15</v>
      </c>
      <c r="H316" s="230">
        <f t="shared" si="164"/>
        <v>300000</v>
      </c>
      <c r="I316" s="236">
        <f t="shared" si="170"/>
        <v>0</v>
      </c>
      <c r="J316" s="234">
        <v>27</v>
      </c>
      <c r="K316" s="234">
        <f t="shared" si="171"/>
        <v>2052</v>
      </c>
      <c r="L316" s="230">
        <f>IF(J316=1,'Model Inputs'!$B$25*(13-'Model Inputs'!$B$23)/12,'Model Inputs'!$B$25)</f>
        <v>300000</v>
      </c>
      <c r="M316" s="230">
        <f>IF(J316=1,'Model Inputs'!$B$27*(13-'Model Inputs'!$B$23)/12,IF(J316=2,'Model Inputs'!$B$27,IF(J316&lt;=MAX(3,'Model Inputs'!$B$30+1),'Model Inputs'!$B$27*(1+'Model Inputs'!$B$28)^(J316-3),'Model Inputs'!$B$27*(1+'Model Inputs'!$B$28)^(MAX(3,'Model Inputs'!$B$30+1)-3)*(1+'Model Inputs'!$B$29)^(J316-MAX(3,'Model Inputs'!$B$30+1)))))</f>
        <v>185355004.59402937</v>
      </c>
      <c r="N316" s="236">
        <f>IF(J316&lt;=2,0,'Model Inputs'!$B$32*SIN(2*PI()*(J316-3+'Model Inputs'!$B$34)/MAX(1,'Model Inputs'!$B$33)))</f>
        <v>-2.3513218543629179E-16</v>
      </c>
      <c r="O316" s="230">
        <f t="shared" si="172"/>
        <v>185355004.59402934</v>
      </c>
      <c r="P316" s="230">
        <f t="shared" si="169"/>
        <v>129690333.6089489</v>
      </c>
      <c r="Q316" s="230">
        <f>L316+P316+IF(J316=1,'Model Inputs'!$B$26,0)</f>
        <v>129990333.6089489</v>
      </c>
      <c r="R316" s="230">
        <f t="shared" si="173"/>
        <v>389971000.82684672</v>
      </c>
      <c r="S316" s="230">
        <f t="shared" si="174"/>
        <v>1800000</v>
      </c>
      <c r="T316" s="230">
        <f t="shared" si="175"/>
        <v>1800000</v>
      </c>
      <c r="U316" s="230">
        <f>MIN(T316,'Tax Assumptions'!$B$19)</f>
        <v>24500</v>
      </c>
      <c r="V316" s="230">
        <f>MAX(T316-U316-'Tax Assumptions'!$B$8,0)</f>
        <v>1759400</v>
      </c>
      <c r="W316" s="230">
        <f>MAX(T316-U316-'Tax Assumptions'!$B$9,0)</f>
        <v>1767500</v>
      </c>
      <c r="X316" s="230">
        <f>IF(V316=0,0,LOOKUP(V316,'Tax Assumptions'!$F$9:$F$15,'Tax Assumptions'!$I$9:$I$15)+(V316-LOOKUP(V316,'Tax Assumptions'!$F$9:$F$15,'Tax Assumptions'!$F$9:$F$15))*LOOKUP(V316,'Tax Assumptions'!$F$9:$F$15,'Tax Assumptions'!$H$9:$H$15))+MIN(MAX(T316,0),'Tax Assumptions'!$B$11)*'Tax Assumptions'!$B$10+MAX(T316,0)*'Tax Assumptions'!$B$12+MAX(MAX(T316,0)-'Tax Assumptions'!$B$14,0)*'Tax Assumptions'!$B$13+MIN(T316*'Tax Assumptions'!$B$15,'Tax Assumptions'!$B$16)+MIN(T316*'Tax Assumptions'!$B$17,'Tax Assumptions'!$B$18)+IF(W316=0,0,LOOKUP(W316,'Tax Assumptions'!$K$9:$K$17,'Tax Assumptions'!$N$9:$N$17)+(W316-LOOKUP(W316,'Tax Assumptions'!$K$9:$K$17,'Tax Assumptions'!$K$9:$K$17))*LOOKUP(W316,'Tax Assumptions'!$K$9:$K$17,'Tax Assumptions'!$M$9:$M$17))+IF(W316=0,0,LOOKUP(W316,'Tax Assumptions'!$P$9:$P$12,'Tax Assumptions'!$S$9:$S$12)+(W316-LOOKUP(W316,'Tax Assumptions'!$P$9:$P$12,'Tax Assumptions'!$P$9:$P$12))*LOOKUP(W316,'Tax Assumptions'!$P$9:$P$12,'Tax Assumptions'!$R$9:$R$12))</f>
        <v>865478.63500000001</v>
      </c>
      <c r="Y316" s="230">
        <f t="shared" si="176"/>
        <v>910021.36499999999</v>
      </c>
      <c r="Z316" s="230">
        <f>IF(J316&lt;=10,INDEX('Savings Projection'!$BL$19:$BL$28,J316),LOOKUP(2,1/('Savings Projection'!$BL$19:$BL$28&lt;&gt;""),'Savings Projection'!$BL$19:$BL$28))*(1+'Model Inputs'!$B$35)^(J316-1)+IF(J316&lt;=10,INDEX('Savings Projection'!$BM$19:$BM$28,J316),LOOKUP(2,1/('Savings Projection'!$BM$19:$BM$28&lt;&gt;""),'Savings Projection'!$BM$19:$BM$28))*(1+'Model Inputs'!$B$36)^(J316-1)</f>
        <v>280356.86478069925</v>
      </c>
      <c r="AA316" s="230">
        <f t="shared" si="177"/>
        <v>629664.50021930074</v>
      </c>
      <c r="AB316" s="230">
        <f>MIN(MAX(AA316,0),'Tax Assumptions'!$B$20)</f>
        <v>7500</v>
      </c>
      <c r="AC316" s="230">
        <f t="shared" si="178"/>
        <v>622164.50021930074</v>
      </c>
      <c r="AD316" s="230">
        <f>MAX(AD315*(1+'Model Inputs'!$B$13)+AC316,0)</f>
        <v>41575964.361314766</v>
      </c>
      <c r="AE316" s="230">
        <f>MAX(AE315*(1+'Model Inputs'!$B$13)+U316+AB316,0)</f>
        <v>2038584.5017086829</v>
      </c>
      <c r="AF316" s="230">
        <f t="shared" si="179"/>
        <v>43614548.863023452</v>
      </c>
      <c r="AG316" s="226" t="str">
        <f t="shared" si="165"/>
        <v/>
      </c>
      <c r="AH316" s="226" t="str">
        <f t="shared" si="166"/>
        <v/>
      </c>
      <c r="AI316" s="226" t="str">
        <f t="shared" si="167"/>
        <v/>
      </c>
      <c r="AJ316" s="226" t="str">
        <f t="shared" si="168"/>
        <v/>
      </c>
    </row>
    <row r="317" spans="1:36" ht="18" customHeight="1" x14ac:dyDescent="0.2">
      <c r="A317" s="226" t="str">
        <f t="shared" si="157"/>
        <v>4Y -&gt; PM Y7 Starter</v>
      </c>
      <c r="B317" s="226">
        <f t="shared" si="158"/>
        <v>4</v>
      </c>
      <c r="C317" s="235">
        <f t="shared" si="159"/>
        <v>3</v>
      </c>
      <c r="D317" s="226">
        <f t="shared" si="160"/>
        <v>7</v>
      </c>
      <c r="E317" s="226" t="str">
        <f t="shared" si="161"/>
        <v>Starter</v>
      </c>
      <c r="F317" s="230">
        <f t="shared" si="162"/>
        <v>10000000</v>
      </c>
      <c r="G317" s="236">
        <f t="shared" si="163"/>
        <v>0.15</v>
      </c>
      <c r="H317" s="230">
        <f t="shared" si="164"/>
        <v>300000</v>
      </c>
      <c r="I317" s="236">
        <f t="shared" si="170"/>
        <v>0</v>
      </c>
      <c r="J317" s="234">
        <v>28</v>
      </c>
      <c r="K317" s="234">
        <f t="shared" si="171"/>
        <v>2053</v>
      </c>
      <c r="L317" s="230">
        <f>IF(J317=1,'Model Inputs'!$B$25*(13-'Model Inputs'!$B$23)/12,'Model Inputs'!$B$25)</f>
        <v>300000</v>
      </c>
      <c r="M317" s="230">
        <f>IF(J317=1,'Model Inputs'!$B$27*(13-'Model Inputs'!$B$23)/12,IF(J317=2,'Model Inputs'!$B$27,IF(J317&lt;=MAX(3,'Model Inputs'!$B$30+1),'Model Inputs'!$B$27*(1+'Model Inputs'!$B$28)^(J317-3),'Model Inputs'!$B$27*(1+'Model Inputs'!$B$28)^(MAX(3,'Model Inputs'!$B$30+1)-3)*(1+'Model Inputs'!$B$29)^(J317-MAX(3,'Model Inputs'!$B$30+1)))))</f>
        <v>235563492.81236541</v>
      </c>
      <c r="N317" s="236">
        <f>IF(J317&lt;=2,0,'Model Inputs'!$B$32*SIN(2*PI()*(J317-3+'Model Inputs'!$B$34)/MAX(1,'Model Inputs'!$B$33)))</f>
        <v>0.10392304845413247</v>
      </c>
      <c r="O317" s="230">
        <f t="shared" si="172"/>
        <v>260043969.08992955</v>
      </c>
      <c r="P317" s="230">
        <f t="shared" si="169"/>
        <v>171689024.02305913</v>
      </c>
      <c r="Q317" s="230">
        <f>L317+P317+IF(J317=1,'Model Inputs'!$B$26,0)</f>
        <v>171989024.02305913</v>
      </c>
      <c r="R317" s="230">
        <f t="shared" si="173"/>
        <v>515967072.06917739</v>
      </c>
      <c r="S317" s="230">
        <f t="shared" si="174"/>
        <v>1800000</v>
      </c>
      <c r="T317" s="230">
        <f t="shared" si="175"/>
        <v>1800000</v>
      </c>
      <c r="U317" s="230">
        <f>MIN(T317,'Tax Assumptions'!$B$19)</f>
        <v>24500</v>
      </c>
      <c r="V317" s="230">
        <f>MAX(T317-U317-'Tax Assumptions'!$B$8,0)</f>
        <v>1759400</v>
      </c>
      <c r="W317" s="230">
        <f>MAX(T317-U317-'Tax Assumptions'!$B$9,0)</f>
        <v>1767500</v>
      </c>
      <c r="X317" s="230">
        <f>IF(V317=0,0,LOOKUP(V317,'Tax Assumptions'!$F$9:$F$15,'Tax Assumptions'!$I$9:$I$15)+(V317-LOOKUP(V317,'Tax Assumptions'!$F$9:$F$15,'Tax Assumptions'!$F$9:$F$15))*LOOKUP(V317,'Tax Assumptions'!$F$9:$F$15,'Tax Assumptions'!$H$9:$H$15))+MIN(MAX(T317,0),'Tax Assumptions'!$B$11)*'Tax Assumptions'!$B$10+MAX(T317,0)*'Tax Assumptions'!$B$12+MAX(MAX(T317,0)-'Tax Assumptions'!$B$14,0)*'Tax Assumptions'!$B$13+MIN(T317*'Tax Assumptions'!$B$15,'Tax Assumptions'!$B$16)+MIN(T317*'Tax Assumptions'!$B$17,'Tax Assumptions'!$B$18)+IF(W317=0,0,LOOKUP(W317,'Tax Assumptions'!$K$9:$K$17,'Tax Assumptions'!$N$9:$N$17)+(W317-LOOKUP(W317,'Tax Assumptions'!$K$9:$K$17,'Tax Assumptions'!$K$9:$K$17))*LOOKUP(W317,'Tax Assumptions'!$K$9:$K$17,'Tax Assumptions'!$M$9:$M$17))+IF(W317=0,0,LOOKUP(W317,'Tax Assumptions'!$P$9:$P$12,'Tax Assumptions'!$S$9:$S$12)+(W317-LOOKUP(W317,'Tax Assumptions'!$P$9:$P$12,'Tax Assumptions'!$P$9:$P$12))*LOOKUP(W317,'Tax Assumptions'!$P$9:$P$12,'Tax Assumptions'!$R$9:$R$12))</f>
        <v>865478.63500000001</v>
      </c>
      <c r="Y317" s="230">
        <f t="shared" si="176"/>
        <v>910021.36499999999</v>
      </c>
      <c r="Z317" s="230">
        <f>IF(J317&lt;=10,INDEX('Savings Projection'!$BL$19:$BL$28,J317),LOOKUP(2,1/('Savings Projection'!$BL$19:$BL$28&lt;&gt;""),'Savings Projection'!$BL$19:$BL$28))*(1+'Model Inputs'!$B$35)^(J317-1)+IF(J317&lt;=10,INDEX('Savings Projection'!$BM$19:$BM$28,J317),LOOKUP(2,1/('Savings Projection'!$BM$19:$BM$28&lt;&gt;""),'Savings Projection'!$BM$19:$BM$28))*(1+'Model Inputs'!$B$36)^(J317-1)</f>
        <v>288767.57072412025</v>
      </c>
      <c r="AA317" s="230">
        <f t="shared" si="177"/>
        <v>621253.79427587974</v>
      </c>
      <c r="AB317" s="230">
        <f>MIN(MAX(AA317,0),'Tax Assumptions'!$B$20)</f>
        <v>7500</v>
      </c>
      <c r="AC317" s="230">
        <f t="shared" si="178"/>
        <v>613753.79427587974</v>
      </c>
      <c r="AD317" s="230">
        <f>MAX(AD316*(1+'Model Inputs'!$B$13)+AC317,0)</f>
        <v>44684276.017269537</v>
      </c>
      <c r="AE317" s="230">
        <f>MAX(AE316*(1+'Model Inputs'!$B$13)+U317+AB317,0)</f>
        <v>2192899.5718112038</v>
      </c>
      <c r="AF317" s="230">
        <f t="shared" si="179"/>
        <v>46877175.589080743</v>
      </c>
      <c r="AG317" s="226" t="str">
        <f t="shared" si="165"/>
        <v/>
      </c>
      <c r="AH317" s="226" t="str">
        <f t="shared" si="166"/>
        <v/>
      </c>
      <c r="AI317" s="226" t="str">
        <f t="shared" si="167"/>
        <v/>
      </c>
      <c r="AJ317" s="226" t="str">
        <f t="shared" si="168"/>
        <v/>
      </c>
    </row>
    <row r="318" spans="1:36" ht="18" customHeight="1" x14ac:dyDescent="0.2">
      <c r="A318" s="226" t="str">
        <f t="shared" si="157"/>
        <v>4Y -&gt; PM Y7 Starter</v>
      </c>
      <c r="B318" s="226">
        <f t="shared" si="158"/>
        <v>4</v>
      </c>
      <c r="C318" s="235">
        <f t="shared" si="159"/>
        <v>3</v>
      </c>
      <c r="D318" s="226">
        <f t="shared" si="160"/>
        <v>7</v>
      </c>
      <c r="E318" s="226" t="str">
        <f t="shared" si="161"/>
        <v>Starter</v>
      </c>
      <c r="F318" s="230">
        <f t="shared" si="162"/>
        <v>10000000</v>
      </c>
      <c r="G318" s="236">
        <f t="shared" si="163"/>
        <v>0.15</v>
      </c>
      <c r="H318" s="230">
        <f t="shared" si="164"/>
        <v>300000</v>
      </c>
      <c r="I318" s="236">
        <f t="shared" si="170"/>
        <v>0</v>
      </c>
      <c r="J318" s="234">
        <v>29</v>
      </c>
      <c r="K318" s="234">
        <f t="shared" si="171"/>
        <v>2054</v>
      </c>
      <c r="L318" s="230">
        <f>IF(J318=1,'Model Inputs'!$B$25*(13-'Model Inputs'!$B$23)/12,'Model Inputs'!$B$25)</f>
        <v>300000</v>
      </c>
      <c r="M318" s="230">
        <f>IF(J318=1,'Model Inputs'!$B$27*(13-'Model Inputs'!$B$23)/12,IF(J318=2,'Model Inputs'!$B$27,IF(J318&lt;=MAX(3,'Model Inputs'!$B$30+1),'Model Inputs'!$B$27*(1+'Model Inputs'!$B$28)^(J318-3),'Model Inputs'!$B$27*(1+'Model Inputs'!$B$28)^(MAX(3,'Model Inputs'!$B$30+1)-3)*(1+'Model Inputs'!$B$29)^(J318-MAX(3,'Model Inputs'!$B$30+1)))))</f>
        <v>299372327.53708321</v>
      </c>
      <c r="N318" s="236">
        <f>IF(J318&lt;=2,0,'Model Inputs'!$B$32*SIN(2*PI()*(J318-3+'Model Inputs'!$B$34)/MAX(1,'Model Inputs'!$B$33)))</f>
        <v>-0.10392304845413265</v>
      </c>
      <c r="O318" s="230">
        <f t="shared" si="172"/>
        <v>268260642.63662043</v>
      </c>
      <c r="P318" s="230">
        <f t="shared" si="169"/>
        <v>241371727.96595448</v>
      </c>
      <c r="Q318" s="230">
        <f>L318+P318+IF(J318=1,'Model Inputs'!$B$26,0)</f>
        <v>241671727.96595448</v>
      </c>
      <c r="R318" s="230">
        <f t="shared" si="173"/>
        <v>725015183.89786339</v>
      </c>
      <c r="S318" s="230">
        <f t="shared" si="174"/>
        <v>1800000</v>
      </c>
      <c r="T318" s="230">
        <f t="shared" si="175"/>
        <v>1800000</v>
      </c>
      <c r="U318" s="230">
        <f>MIN(T318,'Tax Assumptions'!$B$19)</f>
        <v>24500</v>
      </c>
      <c r="V318" s="230">
        <f>MAX(T318-U318-'Tax Assumptions'!$B$8,0)</f>
        <v>1759400</v>
      </c>
      <c r="W318" s="230">
        <f>MAX(T318-U318-'Tax Assumptions'!$B$9,0)</f>
        <v>1767500</v>
      </c>
      <c r="X318" s="230">
        <f>IF(V318=0,0,LOOKUP(V318,'Tax Assumptions'!$F$9:$F$15,'Tax Assumptions'!$I$9:$I$15)+(V318-LOOKUP(V318,'Tax Assumptions'!$F$9:$F$15,'Tax Assumptions'!$F$9:$F$15))*LOOKUP(V318,'Tax Assumptions'!$F$9:$F$15,'Tax Assumptions'!$H$9:$H$15))+MIN(MAX(T318,0),'Tax Assumptions'!$B$11)*'Tax Assumptions'!$B$10+MAX(T318,0)*'Tax Assumptions'!$B$12+MAX(MAX(T318,0)-'Tax Assumptions'!$B$14,0)*'Tax Assumptions'!$B$13+MIN(T318*'Tax Assumptions'!$B$15,'Tax Assumptions'!$B$16)+MIN(T318*'Tax Assumptions'!$B$17,'Tax Assumptions'!$B$18)+IF(W318=0,0,LOOKUP(W318,'Tax Assumptions'!$K$9:$K$17,'Tax Assumptions'!$N$9:$N$17)+(W318-LOOKUP(W318,'Tax Assumptions'!$K$9:$K$17,'Tax Assumptions'!$K$9:$K$17))*LOOKUP(W318,'Tax Assumptions'!$K$9:$K$17,'Tax Assumptions'!$M$9:$M$17))+IF(W318=0,0,LOOKUP(W318,'Tax Assumptions'!$P$9:$P$12,'Tax Assumptions'!$S$9:$S$12)+(W318-LOOKUP(W318,'Tax Assumptions'!$P$9:$P$12,'Tax Assumptions'!$P$9:$P$12))*LOOKUP(W318,'Tax Assumptions'!$P$9:$P$12,'Tax Assumptions'!$R$9:$R$12))</f>
        <v>865478.63500000001</v>
      </c>
      <c r="Y318" s="230">
        <f t="shared" si="176"/>
        <v>910021.36499999999</v>
      </c>
      <c r="Z318" s="230">
        <f>IF(J318&lt;=10,INDEX('Savings Projection'!$BL$19:$BL$28,J318),LOOKUP(2,1/('Savings Projection'!$BL$19:$BL$28&lt;&gt;""),'Savings Projection'!$BL$19:$BL$28))*(1+'Model Inputs'!$B$35)^(J318-1)+IF(J318&lt;=10,INDEX('Savings Projection'!$BM$19:$BM$28,J318),LOOKUP(2,1/('Savings Projection'!$BM$19:$BM$28&lt;&gt;""),'Savings Projection'!$BM$19:$BM$28))*(1+'Model Inputs'!$B$36)^(J318-1)</f>
        <v>297430.59784584382</v>
      </c>
      <c r="AA318" s="230">
        <f t="shared" si="177"/>
        <v>612590.76715415623</v>
      </c>
      <c r="AB318" s="230">
        <f>MIN(MAX(AA318,0),'Tax Assumptions'!$B$20)</f>
        <v>7500</v>
      </c>
      <c r="AC318" s="230">
        <f t="shared" si="178"/>
        <v>605090.76715415623</v>
      </c>
      <c r="AD318" s="230">
        <f>MAX(AD317*(1+'Model Inputs'!$B$13)+AC318,0)</f>
        <v>47970423.345459871</v>
      </c>
      <c r="AE318" s="230">
        <f>MAX(AE317*(1+'Model Inputs'!$B$13)+U318+AB318,0)</f>
        <v>2356473.5461198762</v>
      </c>
      <c r="AF318" s="230">
        <f t="shared" si="179"/>
        <v>50326896.891579747</v>
      </c>
      <c r="AG318" s="226" t="str">
        <f t="shared" si="165"/>
        <v/>
      </c>
      <c r="AH318" s="226" t="str">
        <f t="shared" si="166"/>
        <v/>
      </c>
      <c r="AI318" s="226" t="str">
        <f t="shared" si="167"/>
        <v/>
      </c>
      <c r="AJ318" s="226" t="str">
        <f t="shared" si="168"/>
        <v/>
      </c>
    </row>
    <row r="319" spans="1:36" ht="18" customHeight="1" x14ac:dyDescent="0.2">
      <c r="A319" s="226" t="str">
        <f t="shared" si="157"/>
        <v>4Y -&gt; PM Y7 Starter</v>
      </c>
      <c r="B319" s="226">
        <f t="shared" si="158"/>
        <v>4</v>
      </c>
      <c r="C319" s="235">
        <f t="shared" si="159"/>
        <v>3</v>
      </c>
      <c r="D319" s="226">
        <f t="shared" si="160"/>
        <v>7</v>
      </c>
      <c r="E319" s="226" t="str">
        <f t="shared" si="161"/>
        <v>Starter</v>
      </c>
      <c r="F319" s="230">
        <f t="shared" si="162"/>
        <v>10000000</v>
      </c>
      <c r="G319" s="236">
        <f t="shared" si="163"/>
        <v>0.15</v>
      </c>
      <c r="H319" s="230">
        <f t="shared" si="164"/>
        <v>300000</v>
      </c>
      <c r="I319" s="236">
        <f t="shared" si="170"/>
        <v>0</v>
      </c>
      <c r="J319" s="234">
        <v>30</v>
      </c>
      <c r="K319" s="234">
        <f t="shared" si="171"/>
        <v>2055</v>
      </c>
      <c r="L319" s="230">
        <f>IF(J319=1,'Model Inputs'!$B$25*(13-'Model Inputs'!$B$23)/12,'Model Inputs'!$B$25)</f>
        <v>300000</v>
      </c>
      <c r="M319" s="230">
        <f>IF(J319=1,'Model Inputs'!$B$27*(13-'Model Inputs'!$B$23)/12,IF(J319=2,'Model Inputs'!$B$27,IF(J319&lt;=MAX(3,'Model Inputs'!$B$30+1),'Model Inputs'!$B$27*(1+'Model Inputs'!$B$28)^(J319-3),'Model Inputs'!$B$27*(1+'Model Inputs'!$B$28)^(MAX(3,'Model Inputs'!$B$30+1)-3)*(1+'Model Inputs'!$B$29)^(J319-MAX(3,'Model Inputs'!$B$30+1)))))</f>
        <v>380465535.74563926</v>
      </c>
      <c r="N319" s="236">
        <f>IF(J319&lt;=2,0,'Model Inputs'!$B$32*SIN(2*PI()*(J319-3+'Model Inputs'!$B$34)/MAX(1,'Model Inputs'!$B$33)))</f>
        <v>-2.645237086158283E-16</v>
      </c>
      <c r="O319" s="230">
        <f t="shared" si="172"/>
        <v>380465535.7456392</v>
      </c>
      <c r="P319" s="230">
        <f t="shared" si="169"/>
        <v>266206474.24994773</v>
      </c>
      <c r="Q319" s="230">
        <f>L319+P319+IF(J319=1,'Model Inputs'!$B$26,0)</f>
        <v>266506474.24994773</v>
      </c>
      <c r="R319" s="230">
        <f t="shared" si="173"/>
        <v>799519422.74984312</v>
      </c>
      <c r="S319" s="230">
        <f t="shared" si="174"/>
        <v>1800000</v>
      </c>
      <c r="T319" s="230">
        <f t="shared" si="175"/>
        <v>1800000</v>
      </c>
      <c r="U319" s="230">
        <f>MIN(T319,'Tax Assumptions'!$B$19)</f>
        <v>24500</v>
      </c>
      <c r="V319" s="230">
        <f>MAX(T319-U319-'Tax Assumptions'!$B$8,0)</f>
        <v>1759400</v>
      </c>
      <c r="W319" s="230">
        <f>MAX(T319-U319-'Tax Assumptions'!$B$9,0)</f>
        <v>1767500</v>
      </c>
      <c r="X319" s="230">
        <f>IF(V319=0,0,LOOKUP(V319,'Tax Assumptions'!$F$9:$F$15,'Tax Assumptions'!$I$9:$I$15)+(V319-LOOKUP(V319,'Tax Assumptions'!$F$9:$F$15,'Tax Assumptions'!$F$9:$F$15))*LOOKUP(V319,'Tax Assumptions'!$F$9:$F$15,'Tax Assumptions'!$H$9:$H$15))+MIN(MAX(T319,0),'Tax Assumptions'!$B$11)*'Tax Assumptions'!$B$10+MAX(T319,0)*'Tax Assumptions'!$B$12+MAX(MAX(T319,0)-'Tax Assumptions'!$B$14,0)*'Tax Assumptions'!$B$13+MIN(T319*'Tax Assumptions'!$B$15,'Tax Assumptions'!$B$16)+MIN(T319*'Tax Assumptions'!$B$17,'Tax Assumptions'!$B$18)+IF(W319=0,0,LOOKUP(W319,'Tax Assumptions'!$K$9:$K$17,'Tax Assumptions'!$N$9:$N$17)+(W319-LOOKUP(W319,'Tax Assumptions'!$K$9:$K$17,'Tax Assumptions'!$K$9:$K$17))*LOOKUP(W319,'Tax Assumptions'!$K$9:$K$17,'Tax Assumptions'!$M$9:$M$17))+IF(W319=0,0,LOOKUP(W319,'Tax Assumptions'!$P$9:$P$12,'Tax Assumptions'!$S$9:$S$12)+(W319-LOOKUP(W319,'Tax Assumptions'!$P$9:$P$12,'Tax Assumptions'!$P$9:$P$12))*LOOKUP(W319,'Tax Assumptions'!$P$9:$P$12,'Tax Assumptions'!$R$9:$R$12))</f>
        <v>865478.63500000001</v>
      </c>
      <c r="Y319" s="230">
        <f t="shared" si="176"/>
        <v>910021.36499999999</v>
      </c>
      <c r="Z319" s="230">
        <f>IF(J319&lt;=10,INDEX('Savings Projection'!$BL$19:$BL$28,J319),LOOKUP(2,1/('Savings Projection'!$BL$19:$BL$28&lt;&gt;""),'Savings Projection'!$BL$19:$BL$28))*(1+'Model Inputs'!$B$35)^(J319-1)+IF(J319&lt;=10,INDEX('Savings Projection'!$BM$19:$BM$28,J319),LOOKUP(2,1/('Savings Projection'!$BM$19:$BM$28&lt;&gt;""),'Savings Projection'!$BM$19:$BM$28))*(1+'Model Inputs'!$B$36)^(J319-1)</f>
        <v>306353.51578121912</v>
      </c>
      <c r="AA319" s="230">
        <f t="shared" si="177"/>
        <v>603667.84921878087</v>
      </c>
      <c r="AB319" s="230">
        <f>MIN(MAX(AA319,0),'Tax Assumptions'!$B$20)</f>
        <v>7500</v>
      </c>
      <c r="AC319" s="230">
        <f t="shared" si="178"/>
        <v>596167.84921878087</v>
      </c>
      <c r="AD319" s="230">
        <f>MAX(AD318*(1+'Model Inputs'!$B$13)+AC319,0)</f>
        <v>51444816.595406242</v>
      </c>
      <c r="AE319" s="230">
        <f>MAX(AE318*(1+'Model Inputs'!$B$13)+U319+AB319,0)</f>
        <v>2529861.958887069</v>
      </c>
      <c r="AF319" s="230">
        <f t="shared" si="179"/>
        <v>53974678.554293312</v>
      </c>
      <c r="AG319" s="226" t="str">
        <f t="shared" si="165"/>
        <v/>
      </c>
      <c r="AH319" s="226" t="str">
        <f t="shared" si="166"/>
        <v/>
      </c>
      <c r="AI319" s="226" t="str">
        <f t="shared" si="167"/>
        <v/>
      </c>
      <c r="AJ319" s="226" t="str">
        <f t="shared" si="168"/>
        <v/>
      </c>
    </row>
    <row r="320" spans="1:36" ht="18" customHeight="1" x14ac:dyDescent="0.2">
      <c r="A320" s="226" t="str">
        <f t="shared" ref="A320:A349" si="180">$A$31</f>
        <v>4Y -&gt; PM Y7 Base</v>
      </c>
      <c r="B320" s="226">
        <f t="shared" ref="B320:B349" si="181">$B$31</f>
        <v>4</v>
      </c>
      <c r="C320" s="235">
        <f t="shared" ref="C320:C349" si="182">$C$31</f>
        <v>3</v>
      </c>
      <c r="D320" s="226">
        <f t="shared" ref="D320:D349" si="183">$D$31</f>
        <v>7</v>
      </c>
      <c r="E320" s="226" t="str">
        <f t="shared" ref="E320:E349" si="184">$E$31</f>
        <v>Base</v>
      </c>
      <c r="F320" s="230">
        <f t="shared" ref="F320:F349" si="185">$F$31</f>
        <v>25000000</v>
      </c>
      <c r="G320" s="236">
        <f t="shared" ref="G320:G349" si="186">$G$31</f>
        <v>0.15</v>
      </c>
      <c r="H320" s="230">
        <f t="shared" ref="H320:H349" si="187">$H$31</f>
        <v>300000</v>
      </c>
      <c r="I320" s="236">
        <f t="shared" si="170"/>
        <v>0</v>
      </c>
      <c r="J320" s="234">
        <v>1</v>
      </c>
      <c r="K320" s="234">
        <f t="shared" si="171"/>
        <v>2026</v>
      </c>
      <c r="L320" s="230">
        <f>IF(J320=1,'Model Inputs'!$B$25*(13-'Model Inputs'!$B$23)/12,'Model Inputs'!$B$25)</f>
        <v>100000</v>
      </c>
      <c r="M320" s="230">
        <f>IF(J320=1,'Model Inputs'!$B$27*(13-'Model Inputs'!$B$23)/12,IF(J320=2,'Model Inputs'!$B$27,IF(J320&lt;=MAX(3,'Model Inputs'!$B$30+1),'Model Inputs'!$B$27*(1+'Model Inputs'!$B$28)^(J320-3),'Model Inputs'!$B$27*(1+'Model Inputs'!$B$28)^(MAX(3,'Model Inputs'!$B$30+1)-3)*(1+'Model Inputs'!$B$29)^(J320-MAX(3,'Model Inputs'!$B$30+1)))))</f>
        <v>150000</v>
      </c>
      <c r="N320" s="236">
        <f>IF(J320&lt;=2,0,'Model Inputs'!$B$32*SIN(2*PI()*(J320-3+'Model Inputs'!$B$34)/MAX(1,'Model Inputs'!$B$33)))</f>
        <v>0</v>
      </c>
      <c r="O320" s="230">
        <f t="shared" si="172"/>
        <v>150000</v>
      </c>
      <c r="P320" s="230">
        <f>0</f>
        <v>0</v>
      </c>
      <c r="Q320" s="230">
        <f>L320+P320+IF(J320=1,'Model Inputs'!$B$26,0)</f>
        <v>550000</v>
      </c>
      <c r="R320" s="230">
        <f t="shared" si="173"/>
        <v>550000</v>
      </c>
      <c r="S320" s="230">
        <f t="shared" si="174"/>
        <v>4050000</v>
      </c>
      <c r="T320" s="230">
        <f t="shared" si="175"/>
        <v>550000</v>
      </c>
      <c r="U320" s="230">
        <f>MIN(T320,'Tax Assumptions'!$B$19)</f>
        <v>24500</v>
      </c>
      <c r="V320" s="230">
        <f>MAX(T320-U320-'Tax Assumptions'!$B$8,0)</f>
        <v>509400</v>
      </c>
      <c r="W320" s="230">
        <f>MAX(T320-U320-'Tax Assumptions'!$B$9,0)</f>
        <v>517500</v>
      </c>
      <c r="X320" s="230">
        <f>IF(V320=0,0,LOOKUP(V320,'Tax Assumptions'!$F$9:$F$15,'Tax Assumptions'!$I$9:$I$15)+(V320-LOOKUP(V320,'Tax Assumptions'!$F$9:$F$15,'Tax Assumptions'!$F$9:$F$15))*LOOKUP(V320,'Tax Assumptions'!$F$9:$F$15,'Tax Assumptions'!$H$9:$H$15))+MIN(MAX(T320,0),'Tax Assumptions'!$B$11)*'Tax Assumptions'!$B$10+MAX(T320,0)*'Tax Assumptions'!$B$12+MAX(MAX(T320,0)-'Tax Assumptions'!$B$14,0)*'Tax Assumptions'!$B$13+MIN(T320*'Tax Assumptions'!$B$15,'Tax Assumptions'!$B$16)+MIN(T320*'Tax Assumptions'!$B$17,'Tax Assumptions'!$B$18)+IF(W320=0,0,LOOKUP(W320,'Tax Assumptions'!$K$9:$K$17,'Tax Assumptions'!$N$9:$N$17)+(W320-LOOKUP(W320,'Tax Assumptions'!$K$9:$K$17,'Tax Assumptions'!$K$9:$K$17))*LOOKUP(W320,'Tax Assumptions'!$K$9:$K$17,'Tax Assumptions'!$M$9:$M$17))+IF(W320=0,0,LOOKUP(W320,'Tax Assumptions'!$P$9:$P$12,'Tax Assumptions'!$S$9:$S$12)+(W320-LOOKUP(W320,'Tax Assumptions'!$P$9:$P$12,'Tax Assumptions'!$P$9:$P$12))*LOOKUP(W320,'Tax Assumptions'!$P$9:$P$12,'Tax Assumptions'!$R$9:$R$12))</f>
        <v>222834.53000000003</v>
      </c>
      <c r="Y320" s="230">
        <f t="shared" si="176"/>
        <v>302665.46999999997</v>
      </c>
      <c r="Z320" s="230">
        <f>IF(J320&lt;=10,INDEX('Savings Projection'!$BL$19:$BL$28,J320),LOOKUP(2,1/('Savings Projection'!$BL$19:$BL$28&lt;&gt;""),'Savings Projection'!$BL$19:$BL$28))*(1+'Model Inputs'!$B$35)^(J320-1)+IF(J320&lt;=10,INDEX('Savings Projection'!$BM$19:$BM$28,J320),LOOKUP(2,1/('Savings Projection'!$BM$19:$BM$28&lt;&gt;""),'Savings Projection'!$BM$19:$BM$28))*(1+'Model Inputs'!$B$36)^(J320-1)</f>
        <v>118000</v>
      </c>
      <c r="AA320" s="230">
        <f t="shared" si="177"/>
        <v>184665.46999999997</v>
      </c>
      <c r="AB320" s="230">
        <f>MIN(MAX(AA320,0),'Tax Assumptions'!$B$20)</f>
        <v>7500</v>
      </c>
      <c r="AC320" s="230">
        <f t="shared" si="178"/>
        <v>177165.46999999997</v>
      </c>
      <c r="AD320" s="230">
        <f>MAX('Model Inputs'!$B$7*(1+'Model Inputs'!$B$13)+AC320,0)</f>
        <v>336165.47</v>
      </c>
      <c r="AE320" s="230">
        <f>MAX(('Model Inputs'!$B$8+'Model Inputs'!$B$9+'Model Inputs'!$B$10)*(1+'Model Inputs'!$B$13)+U320+AB320,0)</f>
        <v>32000</v>
      </c>
      <c r="AF320" s="230">
        <f t="shared" si="179"/>
        <v>368165.47</v>
      </c>
      <c r="AG320" s="226" t="str">
        <f>IF(AND(AF320&gt;=$F$14,0&lt;$F$14),J320,"")</f>
        <v/>
      </c>
      <c r="AH320" s="226" t="str">
        <f>IF(AND(AF320&gt;=$F$15,0&lt;$F$15),J320,"")</f>
        <v/>
      </c>
      <c r="AI320" s="226" t="str">
        <f>IF(AND(AF320&gt;=$F$16,0&lt;$F$16),J320,"")</f>
        <v/>
      </c>
      <c r="AJ320" s="226" t="str">
        <f>IF(AND(AF320&gt;=$F$17,0&lt;$F$17),J320,"")</f>
        <v/>
      </c>
    </row>
    <row r="321" spans="1:36" ht="18" customHeight="1" x14ac:dyDescent="0.2">
      <c r="A321" s="226" t="str">
        <f t="shared" si="180"/>
        <v>4Y -&gt; PM Y7 Base</v>
      </c>
      <c r="B321" s="226">
        <f t="shared" si="181"/>
        <v>4</v>
      </c>
      <c r="C321" s="235">
        <f t="shared" si="182"/>
        <v>3</v>
      </c>
      <c r="D321" s="226">
        <f t="shared" si="183"/>
        <v>7</v>
      </c>
      <c r="E321" s="226" t="str">
        <f t="shared" si="184"/>
        <v>Base</v>
      </c>
      <c r="F321" s="230">
        <f t="shared" si="185"/>
        <v>25000000</v>
      </c>
      <c r="G321" s="236">
        <f t="shared" si="186"/>
        <v>0.15</v>
      </c>
      <c r="H321" s="230">
        <f t="shared" si="187"/>
        <v>300000</v>
      </c>
      <c r="I321" s="236">
        <f t="shared" si="170"/>
        <v>0</v>
      </c>
      <c r="J321" s="234">
        <v>2</v>
      </c>
      <c r="K321" s="234">
        <f t="shared" si="171"/>
        <v>2027</v>
      </c>
      <c r="L321" s="230">
        <f>IF(J321=1,'Model Inputs'!$B$25*(13-'Model Inputs'!$B$23)/12,'Model Inputs'!$B$25)</f>
        <v>300000</v>
      </c>
      <c r="M321" s="230">
        <f>IF(J321=1,'Model Inputs'!$B$27*(13-'Model Inputs'!$B$23)/12,IF(J321=2,'Model Inputs'!$B$27,IF(J321&lt;=MAX(3,'Model Inputs'!$B$30+1),'Model Inputs'!$B$27*(1+'Model Inputs'!$B$28)^(J321-3),'Model Inputs'!$B$27*(1+'Model Inputs'!$B$28)^(MAX(3,'Model Inputs'!$B$30+1)-3)*(1+'Model Inputs'!$B$29)^(J321-MAX(3,'Model Inputs'!$B$30+1)))))</f>
        <v>450000</v>
      </c>
      <c r="N321" s="236">
        <f>IF(J321&lt;=2,0,'Model Inputs'!$B$32*SIN(2*PI()*(J321-3+'Model Inputs'!$B$34)/MAX(1,'Model Inputs'!$B$33)))</f>
        <v>0</v>
      </c>
      <c r="O321" s="230">
        <f t="shared" si="172"/>
        <v>450000</v>
      </c>
      <c r="P321" s="230">
        <f>0.75*O320</f>
        <v>112500</v>
      </c>
      <c r="Q321" s="230">
        <f>L321+P321+IF(J321=1,'Model Inputs'!$B$26,0)</f>
        <v>412500</v>
      </c>
      <c r="R321" s="230">
        <f t="shared" si="173"/>
        <v>412500</v>
      </c>
      <c r="S321" s="230">
        <f t="shared" si="174"/>
        <v>4050000</v>
      </c>
      <c r="T321" s="230">
        <f t="shared" si="175"/>
        <v>412500</v>
      </c>
      <c r="U321" s="230">
        <f>MIN(T321,'Tax Assumptions'!$B$19)</f>
        <v>24500</v>
      </c>
      <c r="V321" s="230">
        <f>MAX(T321-U321-'Tax Assumptions'!$B$8,0)</f>
        <v>371900</v>
      </c>
      <c r="W321" s="230">
        <f>MAX(T321-U321-'Tax Assumptions'!$B$9,0)</f>
        <v>380000</v>
      </c>
      <c r="X321" s="230">
        <f>IF(V321=0,0,LOOKUP(V321,'Tax Assumptions'!$F$9:$F$15,'Tax Assumptions'!$I$9:$I$15)+(V321-LOOKUP(V321,'Tax Assumptions'!$F$9:$F$15,'Tax Assumptions'!$F$9:$F$15))*LOOKUP(V321,'Tax Assumptions'!$F$9:$F$15,'Tax Assumptions'!$H$9:$H$15))+MIN(MAX(T321,0),'Tax Assumptions'!$B$11)*'Tax Assumptions'!$B$10+MAX(T321,0)*'Tax Assumptions'!$B$12+MAX(MAX(T321,0)-'Tax Assumptions'!$B$14,0)*'Tax Assumptions'!$B$13+MIN(T321*'Tax Assumptions'!$B$15,'Tax Assumptions'!$B$16)+MIN(T321*'Tax Assumptions'!$B$17,'Tax Assumptions'!$B$18)+IF(W321=0,0,LOOKUP(W321,'Tax Assumptions'!$K$9:$K$17,'Tax Assumptions'!$N$9:$N$17)+(W321-LOOKUP(W321,'Tax Assumptions'!$K$9:$K$17,'Tax Assumptions'!$K$9:$K$17))*LOOKUP(W321,'Tax Assumptions'!$K$9:$K$17,'Tax Assumptions'!$M$9:$M$17))+IF(W321=0,0,LOOKUP(W321,'Tax Assumptions'!$P$9:$P$12,'Tax Assumptions'!$S$9:$S$12)+(W321-LOOKUP(W321,'Tax Assumptions'!$P$9:$P$12,'Tax Assumptions'!$P$9:$P$12))*LOOKUP(W321,'Tax Assumptions'!$P$9:$P$12,'Tax Assumptions'!$R$9:$R$12))</f>
        <v>156730.03</v>
      </c>
      <c r="Y321" s="230">
        <f t="shared" si="176"/>
        <v>231269.97</v>
      </c>
      <c r="Z321" s="230">
        <f>IF(J321&lt;=10,INDEX('Savings Projection'!$BL$19:$BL$28,J321),LOOKUP(2,1/('Savings Projection'!$BL$19:$BL$28&lt;&gt;""),'Savings Projection'!$BL$19:$BL$28))*(1+'Model Inputs'!$B$35)^(J321-1)+IF(J321&lt;=10,INDEX('Savings Projection'!$BM$19:$BM$28,J321),LOOKUP(2,1/('Savings Projection'!$BM$19:$BM$28&lt;&gt;""),'Savings Projection'!$BM$19:$BM$28))*(1+'Model Inputs'!$B$36)^(J321-1)</f>
        <v>121540</v>
      </c>
      <c r="AA321" s="230">
        <f t="shared" si="177"/>
        <v>109729.97</v>
      </c>
      <c r="AB321" s="230">
        <f>MIN(MAX(AA321,0),'Tax Assumptions'!$B$20)</f>
        <v>7500</v>
      </c>
      <c r="AC321" s="230">
        <f t="shared" si="178"/>
        <v>102229.97</v>
      </c>
      <c r="AD321" s="230">
        <f>MAX(AD320*(1+'Model Inputs'!$B$13)+AC321,0)</f>
        <v>458565.36820000003</v>
      </c>
      <c r="AE321" s="230">
        <f>MAX(AE320*(1+'Model Inputs'!$B$13)+U321+AB321,0)</f>
        <v>65920</v>
      </c>
      <c r="AF321" s="230">
        <f t="shared" si="179"/>
        <v>524485.36820000003</v>
      </c>
      <c r="AG321" s="226" t="str">
        <f t="shared" ref="AG321:AG349" si="188">IF(AND(AF321&gt;=$F$14,AF320&lt;$F$14),J321,"")</f>
        <v/>
      </c>
      <c r="AH321" s="226" t="str">
        <f t="shared" ref="AH321:AH349" si="189">IF(AND(AF321&gt;=$F$15,AF320&lt;$F$15),J321,"")</f>
        <v/>
      </c>
      <c r="AI321" s="226" t="str">
        <f t="shared" ref="AI321:AI349" si="190">IF(AND(AF321&gt;=$F$16,AF320&lt;$F$16),J321,"")</f>
        <v/>
      </c>
      <c r="AJ321" s="226" t="str">
        <f t="shared" ref="AJ321:AJ349" si="191">IF(AND(AF321&gt;=$F$17,AF320&lt;$F$17),J321,"")</f>
        <v/>
      </c>
    </row>
    <row r="322" spans="1:36" ht="18" customHeight="1" x14ac:dyDescent="0.2">
      <c r="A322" s="226" t="str">
        <f t="shared" si="180"/>
        <v>4Y -&gt; PM Y7 Base</v>
      </c>
      <c r="B322" s="226">
        <f t="shared" si="181"/>
        <v>4</v>
      </c>
      <c r="C322" s="235">
        <f t="shared" si="182"/>
        <v>3</v>
      </c>
      <c r="D322" s="226">
        <f t="shared" si="183"/>
        <v>7</v>
      </c>
      <c r="E322" s="226" t="str">
        <f t="shared" si="184"/>
        <v>Base</v>
      </c>
      <c r="F322" s="230">
        <f t="shared" si="185"/>
        <v>25000000</v>
      </c>
      <c r="G322" s="236">
        <f t="shared" si="186"/>
        <v>0.15</v>
      </c>
      <c r="H322" s="230">
        <f t="shared" si="187"/>
        <v>300000</v>
      </c>
      <c r="I322" s="236">
        <f t="shared" si="170"/>
        <v>0</v>
      </c>
      <c r="J322" s="234">
        <v>3</v>
      </c>
      <c r="K322" s="234">
        <f t="shared" si="171"/>
        <v>2028</v>
      </c>
      <c r="L322" s="230">
        <f>IF(J322=1,'Model Inputs'!$B$25*(13-'Model Inputs'!$B$23)/12,'Model Inputs'!$B$25)</f>
        <v>300000</v>
      </c>
      <c r="M322" s="230">
        <f>IF(J322=1,'Model Inputs'!$B$27*(13-'Model Inputs'!$B$23)/12,IF(J322=2,'Model Inputs'!$B$27,IF(J322&lt;=MAX(3,'Model Inputs'!$B$30+1),'Model Inputs'!$B$27*(1+'Model Inputs'!$B$28)^(J322-3),'Model Inputs'!$B$27*(1+'Model Inputs'!$B$28)^(MAX(3,'Model Inputs'!$B$30+1)-3)*(1+'Model Inputs'!$B$29)^(J322-MAX(3,'Model Inputs'!$B$30+1)))))</f>
        <v>450000</v>
      </c>
      <c r="N322" s="236">
        <f>IF(J322&lt;=2,0,'Model Inputs'!$B$32*SIN(2*PI()*(J322-3+'Model Inputs'!$B$34)/MAX(1,'Model Inputs'!$B$33)))</f>
        <v>0</v>
      </c>
      <c r="O322" s="230">
        <f t="shared" si="172"/>
        <v>450000</v>
      </c>
      <c r="P322" s="230">
        <f t="shared" ref="P322:P349" si="192">0.75*O321+0.25*O320</f>
        <v>375000</v>
      </c>
      <c r="Q322" s="230">
        <f>L322+P322+IF(J322=1,'Model Inputs'!$B$26,0)</f>
        <v>675000</v>
      </c>
      <c r="R322" s="230">
        <f t="shared" si="173"/>
        <v>675000</v>
      </c>
      <c r="S322" s="230">
        <f t="shared" si="174"/>
        <v>4050000</v>
      </c>
      <c r="T322" s="230">
        <f t="shared" si="175"/>
        <v>675000</v>
      </c>
      <c r="U322" s="230">
        <f>MIN(T322,'Tax Assumptions'!$B$19)</f>
        <v>24500</v>
      </c>
      <c r="V322" s="230">
        <f>MAX(T322-U322-'Tax Assumptions'!$B$8,0)</f>
        <v>634400</v>
      </c>
      <c r="W322" s="230">
        <f>MAX(T322-U322-'Tax Assumptions'!$B$9,0)</f>
        <v>642500</v>
      </c>
      <c r="X322" s="230">
        <f>IF(V322=0,0,LOOKUP(V322,'Tax Assumptions'!$F$9:$F$15,'Tax Assumptions'!$I$9:$I$15)+(V322-LOOKUP(V322,'Tax Assumptions'!$F$9:$F$15,'Tax Assumptions'!$F$9:$F$15))*LOOKUP(V322,'Tax Assumptions'!$F$9:$F$15,'Tax Assumptions'!$H$9:$H$15))+MIN(MAX(T322,0),'Tax Assumptions'!$B$11)*'Tax Assumptions'!$B$10+MAX(T322,0)*'Tax Assumptions'!$B$12+MAX(MAX(T322,0)-'Tax Assumptions'!$B$14,0)*'Tax Assumptions'!$B$13+MIN(T322*'Tax Assumptions'!$B$15,'Tax Assumptions'!$B$16)+MIN(T322*'Tax Assumptions'!$B$17,'Tax Assumptions'!$B$18)+IF(W322=0,0,LOOKUP(W322,'Tax Assumptions'!$K$9:$K$17,'Tax Assumptions'!$N$9:$N$17)+(W322-LOOKUP(W322,'Tax Assumptions'!$K$9:$K$17,'Tax Assumptions'!$K$9:$K$17))*LOOKUP(W322,'Tax Assumptions'!$K$9:$K$17,'Tax Assumptions'!$M$9:$M$17))+IF(W322=0,0,LOOKUP(W322,'Tax Assumptions'!$P$9:$P$12,'Tax Assumptions'!$S$9:$S$12)+(W322-LOOKUP(W322,'Tax Assumptions'!$P$9:$P$12,'Tax Assumptions'!$P$9:$P$12))*LOOKUP(W322,'Tax Assumptions'!$P$9:$P$12,'Tax Assumptions'!$R$9:$R$12))</f>
        <v>282929.53000000003</v>
      </c>
      <c r="Y322" s="230">
        <f t="shared" si="176"/>
        <v>367570.47</v>
      </c>
      <c r="Z322" s="230">
        <f>IF(J322&lt;=10,INDEX('Savings Projection'!$BL$19:$BL$28,J322),LOOKUP(2,1/('Savings Projection'!$BL$19:$BL$28&lt;&gt;""),'Savings Projection'!$BL$19:$BL$28))*(1+'Model Inputs'!$B$35)^(J322-1)+IF(J322&lt;=10,INDEX('Savings Projection'!$BM$19:$BM$28,J322),LOOKUP(2,1/('Savings Projection'!$BM$19:$BM$28&lt;&gt;""),'Savings Projection'!$BM$19:$BM$28))*(1+'Model Inputs'!$B$36)^(J322-1)</f>
        <v>135795.20000000001</v>
      </c>
      <c r="AA322" s="230">
        <f t="shared" si="177"/>
        <v>231775.26999999996</v>
      </c>
      <c r="AB322" s="230">
        <f>MIN(MAX(AA322,0),'Tax Assumptions'!$B$20)</f>
        <v>7500</v>
      </c>
      <c r="AC322" s="230">
        <f t="shared" si="178"/>
        <v>224275.26999999996</v>
      </c>
      <c r="AD322" s="230">
        <f>MAX(AD321*(1+'Model Inputs'!$B$13)+AC322,0)</f>
        <v>710354.56029199995</v>
      </c>
      <c r="AE322" s="230">
        <f>MAX(AE321*(1+'Model Inputs'!$B$13)+U322+AB322,0)</f>
        <v>101875.2</v>
      </c>
      <c r="AF322" s="230">
        <f t="shared" si="179"/>
        <v>812229.7602919999</v>
      </c>
      <c r="AG322" s="226" t="str">
        <f t="shared" si="188"/>
        <v/>
      </c>
      <c r="AH322" s="226" t="str">
        <f t="shared" si="189"/>
        <v/>
      </c>
      <c r="AI322" s="226" t="str">
        <f t="shared" si="190"/>
        <v/>
      </c>
      <c r="AJ322" s="226" t="str">
        <f t="shared" si="191"/>
        <v/>
      </c>
    </row>
    <row r="323" spans="1:36" ht="18" customHeight="1" x14ac:dyDescent="0.2">
      <c r="A323" s="226" t="str">
        <f t="shared" si="180"/>
        <v>4Y -&gt; PM Y7 Base</v>
      </c>
      <c r="B323" s="226">
        <f t="shared" si="181"/>
        <v>4</v>
      </c>
      <c r="C323" s="235">
        <f t="shared" si="182"/>
        <v>3</v>
      </c>
      <c r="D323" s="226">
        <f t="shared" si="183"/>
        <v>7</v>
      </c>
      <c r="E323" s="226" t="str">
        <f t="shared" si="184"/>
        <v>Base</v>
      </c>
      <c r="F323" s="230">
        <f t="shared" si="185"/>
        <v>25000000</v>
      </c>
      <c r="G323" s="236">
        <f t="shared" si="186"/>
        <v>0.15</v>
      </c>
      <c r="H323" s="230">
        <f t="shared" si="187"/>
        <v>300000</v>
      </c>
      <c r="I323" s="236">
        <f t="shared" si="170"/>
        <v>0</v>
      </c>
      <c r="J323" s="234">
        <v>4</v>
      </c>
      <c r="K323" s="234">
        <f t="shared" si="171"/>
        <v>2029</v>
      </c>
      <c r="L323" s="230">
        <f>IF(J323=1,'Model Inputs'!$B$25*(13-'Model Inputs'!$B$23)/12,'Model Inputs'!$B$25)</f>
        <v>300000</v>
      </c>
      <c r="M323" s="230">
        <f>IF(J323=1,'Model Inputs'!$B$27*(13-'Model Inputs'!$B$23)/12,IF(J323=2,'Model Inputs'!$B$27,IF(J323&lt;=MAX(3,'Model Inputs'!$B$30+1),'Model Inputs'!$B$27*(1+'Model Inputs'!$B$28)^(J323-3),'Model Inputs'!$B$27*(1+'Model Inputs'!$B$28)^(MAX(3,'Model Inputs'!$B$30+1)-3)*(1+'Model Inputs'!$B$29)^(J323-MAX(3,'Model Inputs'!$B$30+1)))))</f>
        <v>653834.84153110103</v>
      </c>
      <c r="N323" s="236">
        <f>IF(J323&lt;=2,0,'Model Inputs'!$B$32*SIN(2*PI()*(J323-3+'Model Inputs'!$B$34)/MAX(1,'Model Inputs'!$B$33)))</f>
        <v>0.10392304845413264</v>
      </c>
      <c r="O323" s="230">
        <f t="shared" si="172"/>
        <v>721783.35144853778</v>
      </c>
      <c r="P323" s="230">
        <f t="shared" si="192"/>
        <v>450000</v>
      </c>
      <c r="Q323" s="230">
        <f>L323+P323+IF(J323=1,'Model Inputs'!$B$26,0)</f>
        <v>750000</v>
      </c>
      <c r="R323" s="230">
        <f t="shared" si="173"/>
        <v>750000</v>
      </c>
      <c r="S323" s="230">
        <f t="shared" si="174"/>
        <v>4050000</v>
      </c>
      <c r="T323" s="230">
        <f t="shared" si="175"/>
        <v>750000</v>
      </c>
      <c r="U323" s="230">
        <f>MIN(T323,'Tax Assumptions'!$B$19)</f>
        <v>24500</v>
      </c>
      <c r="V323" s="230">
        <f>MAX(T323-U323-'Tax Assumptions'!$B$8,0)</f>
        <v>709400</v>
      </c>
      <c r="W323" s="230">
        <f>MAX(T323-U323-'Tax Assumptions'!$B$9,0)</f>
        <v>717500</v>
      </c>
      <c r="X323" s="230">
        <f>IF(V323=0,0,LOOKUP(V323,'Tax Assumptions'!$F$9:$F$15,'Tax Assumptions'!$I$9:$I$15)+(V323-LOOKUP(V323,'Tax Assumptions'!$F$9:$F$15,'Tax Assumptions'!$F$9:$F$15))*LOOKUP(V323,'Tax Assumptions'!$F$9:$F$15,'Tax Assumptions'!$H$9:$H$15))+MIN(MAX(T323,0),'Tax Assumptions'!$B$11)*'Tax Assumptions'!$B$10+MAX(T323,0)*'Tax Assumptions'!$B$12+MAX(MAX(T323,0)-'Tax Assumptions'!$B$14,0)*'Tax Assumptions'!$B$13+MIN(T323*'Tax Assumptions'!$B$15,'Tax Assumptions'!$B$16)+MIN(T323*'Tax Assumptions'!$B$17,'Tax Assumptions'!$B$18)+IF(W323=0,0,LOOKUP(W323,'Tax Assumptions'!$K$9:$K$17,'Tax Assumptions'!$N$9:$N$17)+(W323-LOOKUP(W323,'Tax Assumptions'!$K$9:$K$17,'Tax Assumptions'!$K$9:$K$17))*LOOKUP(W323,'Tax Assumptions'!$K$9:$K$17,'Tax Assumptions'!$M$9:$M$17))+IF(W323=0,0,LOOKUP(W323,'Tax Assumptions'!$P$9:$P$12,'Tax Assumptions'!$S$9:$S$12)+(W323-LOOKUP(W323,'Tax Assumptions'!$P$9:$P$12,'Tax Assumptions'!$P$9:$P$12))*LOOKUP(W323,'Tax Assumptions'!$P$9:$P$12,'Tax Assumptions'!$R$9:$R$12))</f>
        <v>320362.53000000003</v>
      </c>
      <c r="Y323" s="230">
        <f t="shared" si="176"/>
        <v>405137.47</v>
      </c>
      <c r="Z323" s="230">
        <f>IF(J323&lt;=10,INDEX('Savings Projection'!$BL$19:$BL$28,J323),LOOKUP(2,1/('Savings Projection'!$BL$19:$BL$28&lt;&gt;""),'Savings Projection'!$BL$19:$BL$28))*(1+'Model Inputs'!$B$35)^(J323-1)+IF(J323&lt;=10,INDEX('Savings Projection'!$BM$19:$BM$28,J323),LOOKUP(2,1/('Savings Projection'!$BM$19:$BM$28&lt;&gt;""),'Savings Projection'!$BM$19:$BM$28))*(1+'Model Inputs'!$B$36)^(J323-1)</f>
        <v>139869.05600000001</v>
      </c>
      <c r="AA323" s="230">
        <f t="shared" si="177"/>
        <v>265268.41399999999</v>
      </c>
      <c r="AB323" s="230">
        <f>MIN(MAX(AA323,0),'Tax Assumptions'!$B$20)</f>
        <v>7500</v>
      </c>
      <c r="AC323" s="230">
        <f t="shared" si="178"/>
        <v>257768.41399999999</v>
      </c>
      <c r="AD323" s="230">
        <f>MAX(AD322*(1+'Model Inputs'!$B$13)+AC323,0)</f>
        <v>1010744.2479095199</v>
      </c>
      <c r="AE323" s="230">
        <f>MAX(AE322*(1+'Model Inputs'!$B$13)+U323+AB323,0)</f>
        <v>139987.712</v>
      </c>
      <c r="AF323" s="230">
        <f t="shared" si="179"/>
        <v>1150731.9599095199</v>
      </c>
      <c r="AG323" s="226" t="str">
        <f t="shared" si="188"/>
        <v/>
      </c>
      <c r="AH323" s="226" t="str">
        <f t="shared" si="189"/>
        <v/>
      </c>
      <c r="AI323" s="226" t="str">
        <f t="shared" si="190"/>
        <v/>
      </c>
      <c r="AJ323" s="226" t="str">
        <f t="shared" si="191"/>
        <v/>
      </c>
    </row>
    <row r="324" spans="1:36" ht="18" customHeight="1" x14ac:dyDescent="0.2">
      <c r="A324" s="226" t="str">
        <f t="shared" si="180"/>
        <v>4Y -&gt; PM Y7 Base</v>
      </c>
      <c r="B324" s="226">
        <f t="shared" si="181"/>
        <v>4</v>
      </c>
      <c r="C324" s="235">
        <f t="shared" si="182"/>
        <v>3</v>
      </c>
      <c r="D324" s="226">
        <f t="shared" si="183"/>
        <v>7</v>
      </c>
      <c r="E324" s="226" t="str">
        <f t="shared" si="184"/>
        <v>Base</v>
      </c>
      <c r="F324" s="230">
        <f t="shared" si="185"/>
        <v>25000000</v>
      </c>
      <c r="G324" s="236">
        <f t="shared" si="186"/>
        <v>0.15</v>
      </c>
      <c r="H324" s="230">
        <f t="shared" si="187"/>
        <v>300000</v>
      </c>
      <c r="I324" s="236">
        <f t="shared" si="170"/>
        <v>0</v>
      </c>
      <c r="J324" s="234">
        <v>5</v>
      </c>
      <c r="K324" s="234">
        <f t="shared" si="171"/>
        <v>2030</v>
      </c>
      <c r="L324" s="230">
        <f>IF(J324=1,'Model Inputs'!$B$25*(13-'Model Inputs'!$B$23)/12,'Model Inputs'!$B$25)</f>
        <v>300000</v>
      </c>
      <c r="M324" s="230">
        <f>IF(J324=1,'Model Inputs'!$B$27*(13-'Model Inputs'!$B$23)/12,IF(J324=2,'Model Inputs'!$B$27,IF(J324&lt;=MAX(3,'Model Inputs'!$B$30+1),'Model Inputs'!$B$27*(1+'Model Inputs'!$B$28)^(J324-3),'Model Inputs'!$B$27*(1+'Model Inputs'!$B$28)^(MAX(3,'Model Inputs'!$B$30+1)-3)*(1+'Model Inputs'!$B$29)^(J324-MAX(3,'Model Inputs'!$B$30+1)))))</f>
        <v>950000</v>
      </c>
      <c r="N324" s="236">
        <f>IF(J324&lt;=2,0,'Model Inputs'!$B$32*SIN(2*PI()*(J324-3+'Model Inputs'!$B$34)/MAX(1,'Model Inputs'!$B$33)))</f>
        <v>-0.1039230484541326</v>
      </c>
      <c r="O324" s="230">
        <f t="shared" si="172"/>
        <v>851273.10396857408</v>
      </c>
      <c r="P324" s="230">
        <f t="shared" si="192"/>
        <v>653837.51358640334</v>
      </c>
      <c r="Q324" s="230">
        <f>L324+P324+IF(J324=1,'Model Inputs'!$B$26,0)</f>
        <v>953837.51358640334</v>
      </c>
      <c r="R324" s="230">
        <f t="shared" si="173"/>
        <v>2861512.54075921</v>
      </c>
      <c r="S324" s="230">
        <f t="shared" si="174"/>
        <v>4050000</v>
      </c>
      <c r="T324" s="230">
        <f t="shared" si="175"/>
        <v>2861512.54075921</v>
      </c>
      <c r="U324" s="230">
        <f>MIN(T324,'Tax Assumptions'!$B$19)</f>
        <v>24500</v>
      </c>
      <c r="V324" s="230">
        <f>MAX(T324-U324-'Tax Assumptions'!$B$8,0)</f>
        <v>2820912.54075921</v>
      </c>
      <c r="W324" s="230">
        <f>MAX(T324-U324-'Tax Assumptions'!$B$9,0)</f>
        <v>2829012.54075921</v>
      </c>
      <c r="X324" s="230">
        <f>IF(V324=0,0,LOOKUP(V324,'Tax Assumptions'!$F$9:$F$15,'Tax Assumptions'!$I$9:$I$15)+(V324-LOOKUP(V324,'Tax Assumptions'!$F$9:$F$15,'Tax Assumptions'!$F$9:$F$15))*LOOKUP(V324,'Tax Assumptions'!$F$9:$F$15,'Tax Assumptions'!$H$9:$H$15))+MIN(MAX(T324,0),'Tax Assumptions'!$B$11)*'Tax Assumptions'!$B$10+MAX(T324,0)*'Tax Assumptions'!$B$12+MAX(MAX(T324,0)-'Tax Assumptions'!$B$14,0)*'Tax Assumptions'!$B$13+MIN(T324*'Tax Assumptions'!$B$15,'Tax Assumptions'!$B$16)+MIN(T324*'Tax Assumptions'!$B$17,'Tax Assumptions'!$B$18)+IF(W324=0,0,LOOKUP(W324,'Tax Assumptions'!$K$9:$K$17,'Tax Assumptions'!$N$9:$N$17)+(W324-LOOKUP(W324,'Tax Assumptions'!$K$9:$K$17,'Tax Assumptions'!$K$9:$K$17))*LOOKUP(W324,'Tax Assumptions'!$K$9:$K$17,'Tax Assumptions'!$M$9:$M$17))+IF(W324=0,0,LOOKUP(W324,'Tax Assumptions'!$P$9:$P$12,'Tax Assumptions'!$S$9:$S$12)+(W324-LOOKUP(W324,'Tax Assumptions'!$P$9:$P$12,'Tax Assumptions'!$P$9:$P$12))*LOOKUP(W324,'Tax Assumptions'!$P$9:$P$12,'Tax Assumptions'!$R$9:$R$12))</f>
        <v>1426764.0060518396</v>
      </c>
      <c r="Y324" s="230">
        <f t="shared" si="176"/>
        <v>1410248.5347073704</v>
      </c>
      <c r="Z324" s="230">
        <f>IF(J324&lt;=10,INDEX('Savings Projection'!$BL$19:$BL$28,J324),LOOKUP(2,1/('Savings Projection'!$BL$19:$BL$28&lt;&gt;""),'Savings Projection'!$BL$19:$BL$28))*(1+'Model Inputs'!$B$35)^(J324-1)+IF(J324&lt;=10,INDEX('Savings Projection'!$BM$19:$BM$28,J324),LOOKUP(2,1/('Savings Projection'!$BM$19:$BM$28&lt;&gt;""),'Savings Projection'!$BM$19:$BM$28))*(1+'Model Inputs'!$B$36)^(J324-1)</f>
        <v>144065.12767999998</v>
      </c>
      <c r="AA324" s="230">
        <f t="shared" si="177"/>
        <v>1266183.4070273705</v>
      </c>
      <c r="AB324" s="230">
        <f>MIN(MAX(AA324,0),'Tax Assumptions'!$B$20)</f>
        <v>7500</v>
      </c>
      <c r="AC324" s="230">
        <f t="shared" si="178"/>
        <v>1258683.4070273705</v>
      </c>
      <c r="AD324" s="230">
        <f>MAX(AD323*(1+'Model Inputs'!$B$13)+AC324,0)</f>
        <v>2330072.3098114617</v>
      </c>
      <c r="AE324" s="230">
        <f>MAX(AE323*(1+'Model Inputs'!$B$13)+U324+AB324,0)</f>
        <v>180386.97472</v>
      </c>
      <c r="AF324" s="230">
        <f t="shared" si="179"/>
        <v>2510459.2845314615</v>
      </c>
      <c r="AG324" s="226" t="str">
        <f t="shared" si="188"/>
        <v/>
      </c>
      <c r="AH324" s="226" t="str">
        <f t="shared" si="189"/>
        <v/>
      </c>
      <c r="AI324" s="226" t="str">
        <f t="shared" si="190"/>
        <v/>
      </c>
      <c r="AJ324" s="226" t="str">
        <f t="shared" si="191"/>
        <v/>
      </c>
    </row>
    <row r="325" spans="1:36" ht="18" customHeight="1" x14ac:dyDescent="0.2">
      <c r="A325" s="226" t="str">
        <f t="shared" si="180"/>
        <v>4Y -&gt; PM Y7 Base</v>
      </c>
      <c r="B325" s="226">
        <f t="shared" si="181"/>
        <v>4</v>
      </c>
      <c r="C325" s="235">
        <f t="shared" si="182"/>
        <v>3</v>
      </c>
      <c r="D325" s="226">
        <f t="shared" si="183"/>
        <v>7</v>
      </c>
      <c r="E325" s="226" t="str">
        <f t="shared" si="184"/>
        <v>Base</v>
      </c>
      <c r="F325" s="230">
        <f t="shared" si="185"/>
        <v>25000000</v>
      </c>
      <c r="G325" s="236">
        <f t="shared" si="186"/>
        <v>0.15</v>
      </c>
      <c r="H325" s="230">
        <f t="shared" si="187"/>
        <v>300000</v>
      </c>
      <c r="I325" s="236">
        <f t="shared" si="170"/>
        <v>0</v>
      </c>
      <c r="J325" s="234">
        <v>6</v>
      </c>
      <c r="K325" s="234">
        <f t="shared" si="171"/>
        <v>2031</v>
      </c>
      <c r="L325" s="230">
        <f>IF(J325=1,'Model Inputs'!$B$25*(13-'Model Inputs'!$B$23)/12,'Model Inputs'!$B$25)</f>
        <v>300000</v>
      </c>
      <c r="M325" s="230">
        <f>IF(J325=1,'Model Inputs'!$B$27*(13-'Model Inputs'!$B$23)/12,IF(J325=2,'Model Inputs'!$B$27,IF(J325&lt;=MAX(3,'Model Inputs'!$B$30+1),'Model Inputs'!$B$27*(1+'Model Inputs'!$B$28)^(J325-3),'Model Inputs'!$B$27*(1+'Model Inputs'!$B$28)^(MAX(3,'Model Inputs'!$B$30+1)-3)*(1+'Model Inputs'!$B$29)^(J325-MAX(3,'Model Inputs'!$B$30+1)))))</f>
        <v>1207333.5632986501</v>
      </c>
      <c r="N325" s="236">
        <f>IF(J325&lt;=2,0,'Model Inputs'!$B$32*SIN(2*PI()*(J325-3+'Model Inputs'!$B$34)/MAX(1,'Model Inputs'!$B$33)))</f>
        <v>-2.9391523179536474E-17</v>
      </c>
      <c r="O325" s="230">
        <f t="shared" si="172"/>
        <v>1207333.5632986501</v>
      </c>
      <c r="P325" s="230">
        <f t="shared" si="192"/>
        <v>818900.66583856498</v>
      </c>
      <c r="Q325" s="230">
        <f>L325+P325+IF(J325=1,'Model Inputs'!$B$26,0)</f>
        <v>1118900.665838565</v>
      </c>
      <c r="R325" s="230">
        <f t="shared" si="173"/>
        <v>3356701.9975156952</v>
      </c>
      <c r="S325" s="230">
        <f t="shared" si="174"/>
        <v>4050000</v>
      </c>
      <c r="T325" s="230">
        <f t="shared" si="175"/>
        <v>3356701.9975156952</v>
      </c>
      <c r="U325" s="230">
        <f>MIN(T325,'Tax Assumptions'!$B$19)</f>
        <v>24500</v>
      </c>
      <c r="V325" s="230">
        <f>MAX(T325-U325-'Tax Assumptions'!$B$8,0)</f>
        <v>3316101.9975156952</v>
      </c>
      <c r="W325" s="230">
        <f>MAX(T325-U325-'Tax Assumptions'!$B$9,0)</f>
        <v>3324201.9975156952</v>
      </c>
      <c r="X325" s="230">
        <f>IF(V325=0,0,LOOKUP(V325,'Tax Assumptions'!$F$9:$F$15,'Tax Assumptions'!$I$9:$I$15)+(V325-LOOKUP(V325,'Tax Assumptions'!$F$9:$F$15,'Tax Assumptions'!$F$9:$F$15))*LOOKUP(V325,'Tax Assumptions'!$F$9:$F$15,'Tax Assumptions'!$H$9:$H$15))+MIN(MAX(T325,0),'Tax Assumptions'!$B$11)*'Tax Assumptions'!$B$10+MAX(T325,0)*'Tax Assumptions'!$B$12+MAX(MAX(T325,0)-'Tax Assumptions'!$B$14,0)*'Tax Assumptions'!$B$13+MIN(T325*'Tax Assumptions'!$B$15,'Tax Assumptions'!$B$16)+MIN(T325*'Tax Assumptions'!$B$17,'Tax Assumptions'!$B$18)+IF(W325=0,0,LOOKUP(W325,'Tax Assumptions'!$K$9:$K$17,'Tax Assumptions'!$N$9:$N$17)+(W325-LOOKUP(W325,'Tax Assumptions'!$K$9:$K$17,'Tax Assumptions'!$K$9:$K$17))*LOOKUP(W325,'Tax Assumptions'!$K$9:$K$17,'Tax Assumptions'!$M$9:$M$17))+IF(W325=0,0,LOOKUP(W325,'Tax Assumptions'!$P$9:$P$12,'Tax Assumptions'!$S$9:$S$12)+(W325-LOOKUP(W325,'Tax Assumptions'!$P$9:$P$12,'Tax Assumptions'!$P$9:$P$12))*LOOKUP(W325,'Tax Assumptions'!$P$9:$P$12,'Tax Assumptions'!$R$9:$R$12))</f>
        <v>1688600.3832063989</v>
      </c>
      <c r="Y325" s="230">
        <f t="shared" si="176"/>
        <v>1643601.6143092962</v>
      </c>
      <c r="Z325" s="230">
        <f>IF(J325&lt;=10,INDEX('Savings Projection'!$BL$19:$BL$28,J325),LOOKUP(2,1/('Savings Projection'!$BL$19:$BL$28&lt;&gt;""),'Savings Projection'!$BL$19:$BL$28))*(1+'Model Inputs'!$B$35)^(J325-1)+IF(J325&lt;=10,INDEX('Savings Projection'!$BM$19:$BM$28,J325),LOOKUP(2,1/('Savings Projection'!$BM$19:$BM$28&lt;&gt;""),'Savings Projection'!$BM$19:$BM$28))*(1+'Model Inputs'!$B$36)^(J325-1)</f>
        <v>150705.62965899997</v>
      </c>
      <c r="AA325" s="230">
        <f t="shared" si="177"/>
        <v>1492895.9846502962</v>
      </c>
      <c r="AB325" s="230">
        <f>MIN(MAX(AA325,0),'Tax Assumptions'!$B$20)</f>
        <v>7500</v>
      </c>
      <c r="AC325" s="230">
        <f t="shared" si="178"/>
        <v>1485395.9846502962</v>
      </c>
      <c r="AD325" s="230">
        <f>MAX(AD324*(1+'Model Inputs'!$B$13)+AC325,0)</f>
        <v>3955272.6330504459</v>
      </c>
      <c r="AE325" s="230">
        <f>MAX(AE324*(1+'Model Inputs'!$B$13)+U325+AB325,0)</f>
        <v>223210.1932032</v>
      </c>
      <c r="AF325" s="230">
        <f t="shared" si="179"/>
        <v>4178482.8262536461</v>
      </c>
      <c r="AG325" s="226" t="str">
        <f t="shared" si="188"/>
        <v/>
      </c>
      <c r="AH325" s="226" t="str">
        <f t="shared" si="189"/>
        <v/>
      </c>
      <c r="AI325" s="226" t="str">
        <f t="shared" si="190"/>
        <v/>
      </c>
      <c r="AJ325" s="226" t="str">
        <f t="shared" si="191"/>
        <v/>
      </c>
    </row>
    <row r="326" spans="1:36" ht="18" customHeight="1" x14ac:dyDescent="0.2">
      <c r="A326" s="226" t="str">
        <f t="shared" si="180"/>
        <v>4Y -&gt; PM Y7 Base</v>
      </c>
      <c r="B326" s="226">
        <f t="shared" si="181"/>
        <v>4</v>
      </c>
      <c r="C326" s="235">
        <f t="shared" si="182"/>
        <v>3</v>
      </c>
      <c r="D326" s="226">
        <f t="shared" si="183"/>
        <v>7</v>
      </c>
      <c r="E326" s="226" t="str">
        <f t="shared" si="184"/>
        <v>Base</v>
      </c>
      <c r="F326" s="230">
        <f t="shared" si="185"/>
        <v>25000000</v>
      </c>
      <c r="G326" s="236">
        <f t="shared" si="186"/>
        <v>0.15</v>
      </c>
      <c r="H326" s="230">
        <f t="shared" si="187"/>
        <v>300000</v>
      </c>
      <c r="I326" s="236">
        <f t="shared" si="170"/>
        <v>0</v>
      </c>
      <c r="J326" s="234">
        <v>7</v>
      </c>
      <c r="K326" s="234">
        <f t="shared" si="171"/>
        <v>2032</v>
      </c>
      <c r="L326" s="230">
        <f>IF(J326=1,'Model Inputs'!$B$25*(13-'Model Inputs'!$B$23)/12,'Model Inputs'!$B$25)</f>
        <v>300000</v>
      </c>
      <c r="M326" s="230">
        <f>IF(J326=1,'Model Inputs'!$B$27*(13-'Model Inputs'!$B$23)/12,IF(J326=2,'Model Inputs'!$B$27,IF(J326&lt;=MAX(3,'Model Inputs'!$B$30+1),'Model Inputs'!$B$27*(1+'Model Inputs'!$B$28)^(J326-3),'Model Inputs'!$B$27*(1+'Model Inputs'!$B$28)^(MAX(3,'Model Inputs'!$B$30+1)-3)*(1+'Model Inputs'!$B$29)^(J326-MAX(3,'Model Inputs'!$B$30+1)))))</f>
        <v>1534372.9821762268</v>
      </c>
      <c r="N326" s="236">
        <f>IF(J326&lt;=2,0,'Model Inputs'!$B$32*SIN(2*PI()*(J326-3+'Model Inputs'!$B$34)/MAX(1,'Model Inputs'!$B$33)))</f>
        <v>0.10392304845413269</v>
      </c>
      <c r="O326" s="230">
        <f t="shared" si="172"/>
        <v>1693829.6999496389</v>
      </c>
      <c r="P326" s="230">
        <f t="shared" si="192"/>
        <v>1118318.448466131</v>
      </c>
      <c r="Q326" s="230">
        <f>L326+P326+IF(J326=1,'Model Inputs'!$B$26,0)</f>
        <v>1418318.448466131</v>
      </c>
      <c r="R326" s="230">
        <f t="shared" si="173"/>
        <v>4254955.3453983925</v>
      </c>
      <c r="S326" s="230">
        <f t="shared" si="174"/>
        <v>4050000</v>
      </c>
      <c r="T326" s="230">
        <f t="shared" si="175"/>
        <v>4050000</v>
      </c>
      <c r="U326" s="230">
        <f>MIN(T326,'Tax Assumptions'!$B$19)</f>
        <v>24500</v>
      </c>
      <c r="V326" s="230">
        <f>MAX(T326-U326-'Tax Assumptions'!$B$8,0)</f>
        <v>4009400</v>
      </c>
      <c r="W326" s="230">
        <f>MAX(T326-U326-'Tax Assumptions'!$B$9,0)</f>
        <v>4017500</v>
      </c>
      <c r="X326" s="230">
        <f>IF(V326=0,0,LOOKUP(V326,'Tax Assumptions'!$F$9:$F$15,'Tax Assumptions'!$I$9:$I$15)+(V326-LOOKUP(V326,'Tax Assumptions'!$F$9:$F$15,'Tax Assumptions'!$F$9:$F$15))*LOOKUP(V326,'Tax Assumptions'!$F$9:$F$15,'Tax Assumptions'!$H$9:$H$15))+MIN(MAX(T326,0),'Tax Assumptions'!$B$11)*'Tax Assumptions'!$B$10+MAX(T326,0)*'Tax Assumptions'!$B$12+MAX(MAX(T326,0)-'Tax Assumptions'!$B$14,0)*'Tax Assumptions'!$B$13+MIN(T326*'Tax Assumptions'!$B$15,'Tax Assumptions'!$B$16)+MIN(T326*'Tax Assumptions'!$B$17,'Tax Assumptions'!$B$18)+IF(W326=0,0,LOOKUP(W326,'Tax Assumptions'!$K$9:$K$17,'Tax Assumptions'!$N$9:$N$17)+(W326-LOOKUP(W326,'Tax Assumptions'!$K$9:$K$17,'Tax Assumptions'!$K$9:$K$17))*LOOKUP(W326,'Tax Assumptions'!$K$9:$K$17,'Tax Assumptions'!$M$9:$M$17))+IF(W326=0,0,LOOKUP(W326,'Tax Assumptions'!$P$9:$P$12,'Tax Assumptions'!$S$9:$S$12)+(W326-LOOKUP(W326,'Tax Assumptions'!$P$9:$P$12,'Tax Assumptions'!$P$9:$P$12))*LOOKUP(W326,'Tax Assumptions'!$P$9:$P$12,'Tax Assumptions'!$R$9:$R$12))</f>
        <v>2055188.6349999998</v>
      </c>
      <c r="Y326" s="230">
        <f t="shared" si="176"/>
        <v>1970311.3650000002</v>
      </c>
      <c r="Z326" s="230">
        <f>IF(J326&lt;=10,INDEX('Savings Projection'!$BL$19:$BL$28,J326),LOOKUP(2,1/('Savings Projection'!$BL$19:$BL$28&lt;&gt;""),'Savings Projection'!$BL$19:$BL$28))*(1+'Model Inputs'!$B$35)^(J326-1)+IF(J326&lt;=10,INDEX('Savings Projection'!$BM$19:$BM$28,J326),LOOKUP(2,1/('Savings Projection'!$BM$19:$BM$28&lt;&gt;""),'Savings Projection'!$BM$19:$BM$28))*(1+'Model Inputs'!$B$36)^(J326-1)</f>
        <v>155226.79854876999</v>
      </c>
      <c r="AA326" s="230">
        <f t="shared" si="177"/>
        <v>1815084.5664512303</v>
      </c>
      <c r="AB326" s="230">
        <f>MIN(MAX(AA326,0),'Tax Assumptions'!$B$20)</f>
        <v>7500</v>
      </c>
      <c r="AC326" s="230">
        <f t="shared" si="178"/>
        <v>1807584.5664512303</v>
      </c>
      <c r="AD326" s="230">
        <f>MAX(AD325*(1+'Model Inputs'!$B$13)+AC326,0)</f>
        <v>6000173.5574847031</v>
      </c>
      <c r="AE326" s="230">
        <f>MAX(AE325*(1+'Model Inputs'!$B$13)+U326+AB326,0)</f>
        <v>268602.80479539197</v>
      </c>
      <c r="AF326" s="230">
        <f t="shared" si="179"/>
        <v>6268776.362280095</v>
      </c>
      <c r="AG326" s="226" t="str">
        <f t="shared" si="188"/>
        <v/>
      </c>
      <c r="AH326" s="226" t="str">
        <f t="shared" si="189"/>
        <v/>
      </c>
      <c r="AI326" s="226" t="str">
        <f t="shared" si="190"/>
        <v/>
      </c>
      <c r="AJ326" s="226" t="str">
        <f t="shared" si="191"/>
        <v/>
      </c>
    </row>
    <row r="327" spans="1:36" ht="18" customHeight="1" x14ac:dyDescent="0.2">
      <c r="A327" s="226" t="str">
        <f t="shared" si="180"/>
        <v>4Y -&gt; PM Y7 Base</v>
      </c>
      <c r="B327" s="226">
        <f t="shared" si="181"/>
        <v>4</v>
      </c>
      <c r="C327" s="235">
        <f t="shared" si="182"/>
        <v>3</v>
      </c>
      <c r="D327" s="226">
        <f t="shared" si="183"/>
        <v>7</v>
      </c>
      <c r="E327" s="226" t="str">
        <f t="shared" si="184"/>
        <v>Base</v>
      </c>
      <c r="F327" s="230">
        <f t="shared" si="185"/>
        <v>25000000</v>
      </c>
      <c r="G327" s="236">
        <f t="shared" si="186"/>
        <v>0.15</v>
      </c>
      <c r="H327" s="230">
        <f t="shared" si="187"/>
        <v>300000</v>
      </c>
      <c r="I327" s="236">
        <f t="shared" si="170"/>
        <v>0</v>
      </c>
      <c r="J327" s="234">
        <v>8</v>
      </c>
      <c r="K327" s="234">
        <f t="shared" si="171"/>
        <v>2033</v>
      </c>
      <c r="L327" s="230">
        <f>IF(J327=1,'Model Inputs'!$B$25*(13-'Model Inputs'!$B$23)/12,'Model Inputs'!$B$25)</f>
        <v>300000</v>
      </c>
      <c r="M327" s="230">
        <f>IF(J327=1,'Model Inputs'!$B$27*(13-'Model Inputs'!$B$23)/12,IF(J327=2,'Model Inputs'!$B$27,IF(J327&lt;=MAX(3,'Model Inputs'!$B$30+1),'Model Inputs'!$B$27*(1+'Model Inputs'!$B$28)^(J327-3),'Model Inputs'!$B$27*(1+'Model Inputs'!$B$28)^(MAX(3,'Model Inputs'!$B$30+1)-3)*(1+'Model Inputs'!$B$29)^(J327-MAX(3,'Model Inputs'!$B$30+1)))))</f>
        <v>1950000.0000000002</v>
      </c>
      <c r="N327" s="236">
        <f>IF(J327&lt;=2,0,'Model Inputs'!$B$32*SIN(2*PI()*(J327-3+'Model Inputs'!$B$34)/MAX(1,'Model Inputs'!$B$33)))</f>
        <v>-0.10392304845413264</v>
      </c>
      <c r="O327" s="230">
        <f t="shared" si="172"/>
        <v>1747350.0555144416</v>
      </c>
      <c r="P327" s="230">
        <f t="shared" si="192"/>
        <v>1572205.6657868917</v>
      </c>
      <c r="Q327" s="230">
        <f>L327+P327+IF(J327=1,'Model Inputs'!$B$26,0)</f>
        <v>1872205.6657868917</v>
      </c>
      <c r="R327" s="230">
        <f t="shared" si="173"/>
        <v>5616616.9973606747</v>
      </c>
      <c r="S327" s="230">
        <f t="shared" si="174"/>
        <v>4050000</v>
      </c>
      <c r="T327" s="230">
        <f t="shared" si="175"/>
        <v>4050000</v>
      </c>
      <c r="U327" s="230">
        <f>MIN(T327,'Tax Assumptions'!$B$19)</f>
        <v>24500</v>
      </c>
      <c r="V327" s="230">
        <f>MAX(T327-U327-'Tax Assumptions'!$B$8,0)</f>
        <v>4009400</v>
      </c>
      <c r="W327" s="230">
        <f>MAX(T327-U327-'Tax Assumptions'!$B$9,0)</f>
        <v>4017500</v>
      </c>
      <c r="X327" s="230">
        <f>IF(V327=0,0,LOOKUP(V327,'Tax Assumptions'!$F$9:$F$15,'Tax Assumptions'!$I$9:$I$15)+(V327-LOOKUP(V327,'Tax Assumptions'!$F$9:$F$15,'Tax Assumptions'!$F$9:$F$15))*LOOKUP(V327,'Tax Assumptions'!$F$9:$F$15,'Tax Assumptions'!$H$9:$H$15))+MIN(MAX(T327,0),'Tax Assumptions'!$B$11)*'Tax Assumptions'!$B$10+MAX(T327,0)*'Tax Assumptions'!$B$12+MAX(MAX(T327,0)-'Tax Assumptions'!$B$14,0)*'Tax Assumptions'!$B$13+MIN(T327*'Tax Assumptions'!$B$15,'Tax Assumptions'!$B$16)+MIN(T327*'Tax Assumptions'!$B$17,'Tax Assumptions'!$B$18)+IF(W327=0,0,LOOKUP(W327,'Tax Assumptions'!$K$9:$K$17,'Tax Assumptions'!$N$9:$N$17)+(W327-LOOKUP(W327,'Tax Assumptions'!$K$9:$K$17,'Tax Assumptions'!$K$9:$K$17))*LOOKUP(W327,'Tax Assumptions'!$K$9:$K$17,'Tax Assumptions'!$M$9:$M$17))+IF(W327=0,0,LOOKUP(W327,'Tax Assumptions'!$P$9:$P$12,'Tax Assumptions'!$S$9:$S$12)+(W327-LOOKUP(W327,'Tax Assumptions'!$P$9:$P$12,'Tax Assumptions'!$P$9:$P$12))*LOOKUP(W327,'Tax Assumptions'!$P$9:$P$12,'Tax Assumptions'!$R$9:$R$12))</f>
        <v>2055188.6349999998</v>
      </c>
      <c r="Y327" s="230">
        <f t="shared" si="176"/>
        <v>1970311.3650000002</v>
      </c>
      <c r="Z327" s="230">
        <f>IF(J327&lt;=10,INDEX('Savings Projection'!$BL$19:$BL$28,J327),LOOKUP(2,1/('Savings Projection'!$BL$19:$BL$28&lt;&gt;""),'Savings Projection'!$BL$19:$BL$28))*(1+'Model Inputs'!$B$35)^(J327-1)+IF(J327&lt;=10,INDEX('Savings Projection'!$BM$19:$BM$28,J327),LOOKUP(2,1/('Savings Projection'!$BM$19:$BM$28&lt;&gt;""),'Savings Projection'!$BM$19:$BM$28))*(1+'Model Inputs'!$B$36)^(J327-1)</f>
        <v>159883.60250523311</v>
      </c>
      <c r="AA327" s="230">
        <f t="shared" si="177"/>
        <v>1810427.7624947671</v>
      </c>
      <c r="AB327" s="230">
        <f>MIN(MAX(AA327,0),'Tax Assumptions'!$B$20)</f>
        <v>7500</v>
      </c>
      <c r="AC327" s="230">
        <f t="shared" si="178"/>
        <v>1802927.7624947671</v>
      </c>
      <c r="AD327" s="230">
        <f>MAX(AD326*(1+'Model Inputs'!$B$13)+AC327,0)</f>
        <v>8163111.7334285527</v>
      </c>
      <c r="AE327" s="230">
        <f>MAX(AE326*(1+'Model Inputs'!$B$13)+U327+AB327,0)</f>
        <v>316718.97308311553</v>
      </c>
      <c r="AF327" s="230">
        <f t="shared" si="179"/>
        <v>8479830.7065116689</v>
      </c>
      <c r="AG327" s="226" t="str">
        <f t="shared" si="188"/>
        <v/>
      </c>
      <c r="AH327" s="226" t="str">
        <f t="shared" si="189"/>
        <v/>
      </c>
      <c r="AI327" s="226" t="str">
        <f t="shared" si="190"/>
        <v/>
      </c>
      <c r="AJ327" s="226" t="str">
        <f t="shared" si="191"/>
        <v/>
      </c>
    </row>
    <row r="328" spans="1:36" ht="18" customHeight="1" x14ac:dyDescent="0.2">
      <c r="A328" s="226" t="str">
        <f t="shared" si="180"/>
        <v>4Y -&gt; PM Y7 Base</v>
      </c>
      <c r="B328" s="226">
        <f t="shared" si="181"/>
        <v>4</v>
      </c>
      <c r="C328" s="235">
        <f t="shared" si="182"/>
        <v>3</v>
      </c>
      <c r="D328" s="226">
        <f t="shared" si="183"/>
        <v>7</v>
      </c>
      <c r="E328" s="226" t="str">
        <f t="shared" si="184"/>
        <v>Base</v>
      </c>
      <c r="F328" s="230">
        <f t="shared" si="185"/>
        <v>25000000</v>
      </c>
      <c r="G328" s="236">
        <f t="shared" si="186"/>
        <v>0.15</v>
      </c>
      <c r="H328" s="230">
        <f t="shared" si="187"/>
        <v>300000</v>
      </c>
      <c r="I328" s="236">
        <f t="shared" si="170"/>
        <v>0</v>
      </c>
      <c r="J328" s="234">
        <v>9</v>
      </c>
      <c r="K328" s="234">
        <f t="shared" si="171"/>
        <v>2034</v>
      </c>
      <c r="L328" s="230">
        <f>IF(J328=1,'Model Inputs'!$B$25*(13-'Model Inputs'!$B$23)/12,'Model Inputs'!$B$25)</f>
        <v>300000</v>
      </c>
      <c r="M328" s="230">
        <f>IF(J328=1,'Model Inputs'!$B$27*(13-'Model Inputs'!$B$23)/12,IF(J328=2,'Model Inputs'!$B$27,IF(J328&lt;=MAX(3,'Model Inputs'!$B$30+1),'Model Inputs'!$B$27*(1+'Model Inputs'!$B$28)^(J328-3),'Model Inputs'!$B$27*(1+'Model Inputs'!$B$28)^(MAX(3,'Model Inputs'!$B$30+1)-3)*(1+'Model Inputs'!$B$29)^(J328-MAX(3,'Model Inputs'!$B$30+1)))))</f>
        <v>2478210.9983498608</v>
      </c>
      <c r="N328" s="236">
        <f>IF(J328&lt;=2,0,'Model Inputs'!$B$32*SIN(2*PI()*(J328-3+'Model Inputs'!$B$34)/MAX(1,'Model Inputs'!$B$33)))</f>
        <v>-5.8783046359072947E-17</v>
      </c>
      <c r="O328" s="230">
        <f t="shared" si="172"/>
        <v>2478210.9983498603</v>
      </c>
      <c r="P328" s="230">
        <f t="shared" si="192"/>
        <v>1733969.9666232408</v>
      </c>
      <c r="Q328" s="230">
        <f>L328+P328+IF(J328=1,'Model Inputs'!$B$26,0)</f>
        <v>2033969.9666232408</v>
      </c>
      <c r="R328" s="230">
        <f t="shared" si="173"/>
        <v>6101909.8998697223</v>
      </c>
      <c r="S328" s="230">
        <f t="shared" si="174"/>
        <v>4050000</v>
      </c>
      <c r="T328" s="230">
        <f t="shared" si="175"/>
        <v>4050000</v>
      </c>
      <c r="U328" s="230">
        <f>MIN(T328,'Tax Assumptions'!$B$19)</f>
        <v>24500</v>
      </c>
      <c r="V328" s="230">
        <f>MAX(T328-U328-'Tax Assumptions'!$B$8,0)</f>
        <v>4009400</v>
      </c>
      <c r="W328" s="230">
        <f>MAX(T328-U328-'Tax Assumptions'!$B$9,0)</f>
        <v>4017500</v>
      </c>
      <c r="X328" s="230">
        <f>IF(V328=0,0,LOOKUP(V328,'Tax Assumptions'!$F$9:$F$15,'Tax Assumptions'!$I$9:$I$15)+(V328-LOOKUP(V328,'Tax Assumptions'!$F$9:$F$15,'Tax Assumptions'!$F$9:$F$15))*LOOKUP(V328,'Tax Assumptions'!$F$9:$F$15,'Tax Assumptions'!$H$9:$H$15))+MIN(MAX(T328,0),'Tax Assumptions'!$B$11)*'Tax Assumptions'!$B$10+MAX(T328,0)*'Tax Assumptions'!$B$12+MAX(MAX(T328,0)-'Tax Assumptions'!$B$14,0)*'Tax Assumptions'!$B$13+MIN(T328*'Tax Assumptions'!$B$15,'Tax Assumptions'!$B$16)+MIN(T328*'Tax Assumptions'!$B$17,'Tax Assumptions'!$B$18)+IF(W328=0,0,LOOKUP(W328,'Tax Assumptions'!$K$9:$K$17,'Tax Assumptions'!$N$9:$N$17)+(W328-LOOKUP(W328,'Tax Assumptions'!$K$9:$K$17,'Tax Assumptions'!$K$9:$K$17))*LOOKUP(W328,'Tax Assumptions'!$K$9:$K$17,'Tax Assumptions'!$M$9:$M$17))+IF(W328=0,0,LOOKUP(W328,'Tax Assumptions'!$P$9:$P$12,'Tax Assumptions'!$S$9:$S$12)+(W328-LOOKUP(W328,'Tax Assumptions'!$P$9:$P$12,'Tax Assumptions'!$P$9:$P$12))*LOOKUP(W328,'Tax Assumptions'!$P$9:$P$12,'Tax Assumptions'!$R$9:$R$12))</f>
        <v>2055188.6349999998</v>
      </c>
      <c r="Y328" s="230">
        <f t="shared" si="176"/>
        <v>1970311.3650000002</v>
      </c>
      <c r="Z328" s="230">
        <f>IF(J328&lt;=10,INDEX('Savings Projection'!$BL$19:$BL$28,J328),LOOKUP(2,1/('Savings Projection'!$BL$19:$BL$28&lt;&gt;""),'Savings Projection'!$BL$19:$BL$28))*(1+'Model Inputs'!$B$35)^(J328-1)+IF(J328&lt;=10,INDEX('Savings Projection'!$BM$19:$BM$28,J328),LOOKUP(2,1/('Savings Projection'!$BM$19:$BM$28&lt;&gt;""),'Savings Projection'!$BM$19:$BM$28))*(1+'Model Inputs'!$B$36)^(J328-1)</f>
        <v>164680.11058039009</v>
      </c>
      <c r="AA328" s="230">
        <f t="shared" si="177"/>
        <v>1805631.2544196101</v>
      </c>
      <c r="AB328" s="230">
        <f>MIN(MAX(AA328,0),'Tax Assumptions'!$B$20)</f>
        <v>7500</v>
      </c>
      <c r="AC328" s="230">
        <f t="shared" si="178"/>
        <v>1798131.2544196101</v>
      </c>
      <c r="AD328" s="230">
        <f>MAX(AD327*(1+'Model Inputs'!$B$13)+AC328,0)</f>
        <v>10451029.691853877</v>
      </c>
      <c r="AE328" s="230">
        <f>MAX(AE327*(1+'Model Inputs'!$B$13)+U328+AB328,0)</f>
        <v>367722.11146810249</v>
      </c>
      <c r="AF328" s="230">
        <f t="shared" si="179"/>
        <v>10818751.80332198</v>
      </c>
      <c r="AG328" s="226" t="str">
        <f t="shared" si="188"/>
        <v/>
      </c>
      <c r="AH328" s="226" t="str">
        <f t="shared" si="189"/>
        <v/>
      </c>
      <c r="AI328" s="226" t="str">
        <f t="shared" si="190"/>
        <v/>
      </c>
      <c r="AJ328" s="226" t="str">
        <f t="shared" si="191"/>
        <v/>
      </c>
    </row>
    <row r="329" spans="1:36" ht="18" customHeight="1" x14ac:dyDescent="0.2">
      <c r="A329" s="226" t="str">
        <f t="shared" si="180"/>
        <v>4Y -&gt; PM Y7 Base</v>
      </c>
      <c r="B329" s="226">
        <f t="shared" si="181"/>
        <v>4</v>
      </c>
      <c r="C329" s="235">
        <f t="shared" si="182"/>
        <v>3</v>
      </c>
      <c r="D329" s="226">
        <f t="shared" si="183"/>
        <v>7</v>
      </c>
      <c r="E329" s="226" t="str">
        <f t="shared" si="184"/>
        <v>Base</v>
      </c>
      <c r="F329" s="230">
        <f t="shared" si="185"/>
        <v>25000000</v>
      </c>
      <c r="G329" s="236">
        <f t="shared" si="186"/>
        <v>0.15</v>
      </c>
      <c r="H329" s="230">
        <f t="shared" si="187"/>
        <v>300000</v>
      </c>
      <c r="I329" s="236">
        <f t="shared" si="170"/>
        <v>0</v>
      </c>
      <c r="J329" s="234">
        <v>10</v>
      </c>
      <c r="K329" s="234">
        <f t="shared" si="171"/>
        <v>2035</v>
      </c>
      <c r="L329" s="230">
        <f>IF(J329=1,'Model Inputs'!$B$25*(13-'Model Inputs'!$B$23)/12,'Model Inputs'!$B$25)</f>
        <v>300000</v>
      </c>
      <c r="M329" s="230">
        <f>IF(J329=1,'Model Inputs'!$B$27*(13-'Model Inputs'!$B$23)/12,IF(J329=2,'Model Inputs'!$B$27,IF(J329&lt;=MAX(3,'Model Inputs'!$B$30+1),'Model Inputs'!$B$27*(1+'Model Inputs'!$B$28)^(J329-3),'Model Inputs'!$B$27*(1+'Model Inputs'!$B$28)^(MAX(3,'Model Inputs'!$B$30+1)-3)*(1+'Model Inputs'!$B$29)^(J329-MAX(3,'Model Inputs'!$B$30+1)))))</f>
        <v>3149502.4370985711</v>
      </c>
      <c r="N329" s="236">
        <f>IF(J329&lt;=2,0,'Model Inputs'!$B$32*SIN(2*PI()*(J329-3+'Model Inputs'!$B$34)/MAX(1,'Model Inputs'!$B$33)))</f>
        <v>0.10392304845413271</v>
      </c>
      <c r="O329" s="230">
        <f t="shared" si="172"/>
        <v>3476808.331475575</v>
      </c>
      <c r="P329" s="230">
        <f t="shared" si="192"/>
        <v>2295495.7626410057</v>
      </c>
      <c r="Q329" s="230">
        <f>L329+P329+IF(J329=1,'Model Inputs'!$B$26,0)</f>
        <v>2595495.7626410057</v>
      </c>
      <c r="R329" s="230">
        <f t="shared" si="173"/>
        <v>7786487.2879230175</v>
      </c>
      <c r="S329" s="230">
        <f t="shared" si="174"/>
        <v>4050000</v>
      </c>
      <c r="T329" s="230">
        <f t="shared" si="175"/>
        <v>4050000</v>
      </c>
      <c r="U329" s="230">
        <f>MIN(T329,'Tax Assumptions'!$B$19)</f>
        <v>24500</v>
      </c>
      <c r="V329" s="230">
        <f>MAX(T329-U329-'Tax Assumptions'!$B$8,0)</f>
        <v>4009400</v>
      </c>
      <c r="W329" s="230">
        <f>MAX(T329-U329-'Tax Assumptions'!$B$9,0)</f>
        <v>4017500</v>
      </c>
      <c r="X329" s="230">
        <f>IF(V329=0,0,LOOKUP(V329,'Tax Assumptions'!$F$9:$F$15,'Tax Assumptions'!$I$9:$I$15)+(V329-LOOKUP(V329,'Tax Assumptions'!$F$9:$F$15,'Tax Assumptions'!$F$9:$F$15))*LOOKUP(V329,'Tax Assumptions'!$F$9:$F$15,'Tax Assumptions'!$H$9:$H$15))+MIN(MAX(T329,0),'Tax Assumptions'!$B$11)*'Tax Assumptions'!$B$10+MAX(T329,0)*'Tax Assumptions'!$B$12+MAX(MAX(T329,0)-'Tax Assumptions'!$B$14,0)*'Tax Assumptions'!$B$13+MIN(T329*'Tax Assumptions'!$B$15,'Tax Assumptions'!$B$16)+MIN(T329*'Tax Assumptions'!$B$17,'Tax Assumptions'!$B$18)+IF(W329=0,0,LOOKUP(W329,'Tax Assumptions'!$K$9:$K$17,'Tax Assumptions'!$N$9:$N$17)+(W329-LOOKUP(W329,'Tax Assumptions'!$K$9:$K$17,'Tax Assumptions'!$K$9:$K$17))*LOOKUP(W329,'Tax Assumptions'!$K$9:$K$17,'Tax Assumptions'!$M$9:$M$17))+IF(W329=0,0,LOOKUP(W329,'Tax Assumptions'!$P$9:$P$12,'Tax Assumptions'!$S$9:$S$12)+(W329-LOOKUP(W329,'Tax Assumptions'!$P$9:$P$12,'Tax Assumptions'!$P$9:$P$12))*LOOKUP(W329,'Tax Assumptions'!$P$9:$P$12,'Tax Assumptions'!$R$9:$R$12))</f>
        <v>2055188.6349999998</v>
      </c>
      <c r="Y329" s="230">
        <f t="shared" si="176"/>
        <v>1970311.3650000002</v>
      </c>
      <c r="Z329" s="230">
        <f>IF(J329&lt;=10,INDEX('Savings Projection'!$BL$19:$BL$28,J329),LOOKUP(2,1/('Savings Projection'!$BL$19:$BL$28&lt;&gt;""),'Savings Projection'!$BL$19:$BL$28))*(1+'Model Inputs'!$B$35)^(J329-1)+IF(J329&lt;=10,INDEX('Savings Projection'!$BM$19:$BM$28,J329),LOOKUP(2,1/('Savings Projection'!$BM$19:$BM$28&lt;&gt;""),'Savings Projection'!$BM$19:$BM$28))*(1+'Model Inputs'!$B$36)^(J329-1)</f>
        <v>169620.51389780178</v>
      </c>
      <c r="AA329" s="230">
        <f t="shared" si="177"/>
        <v>1800690.8511021985</v>
      </c>
      <c r="AB329" s="230">
        <f>MIN(MAX(AA329,0),'Tax Assumptions'!$B$20)</f>
        <v>7500</v>
      </c>
      <c r="AC329" s="230">
        <f t="shared" si="178"/>
        <v>1793190.8511021985</v>
      </c>
      <c r="AD329" s="230">
        <f>MAX(AD328*(1+'Model Inputs'!$B$13)+AC329,0)</f>
        <v>12871282.324467309</v>
      </c>
      <c r="AE329" s="230">
        <f>MAX(AE328*(1+'Model Inputs'!$B$13)+U329+AB329,0)</f>
        <v>421785.43815618864</v>
      </c>
      <c r="AF329" s="230">
        <f t="shared" si="179"/>
        <v>13293067.762623498</v>
      </c>
      <c r="AG329" s="226" t="str">
        <f t="shared" si="188"/>
        <v/>
      </c>
      <c r="AH329" s="226" t="str">
        <f t="shared" si="189"/>
        <v/>
      </c>
      <c r="AI329" s="226" t="str">
        <f t="shared" si="190"/>
        <v/>
      </c>
      <c r="AJ329" s="226" t="str">
        <f t="shared" si="191"/>
        <v/>
      </c>
    </row>
    <row r="330" spans="1:36" ht="18" customHeight="1" x14ac:dyDescent="0.2">
      <c r="A330" s="226" t="str">
        <f t="shared" si="180"/>
        <v>4Y -&gt; PM Y7 Base</v>
      </c>
      <c r="B330" s="226">
        <f t="shared" si="181"/>
        <v>4</v>
      </c>
      <c r="C330" s="235">
        <f t="shared" si="182"/>
        <v>3</v>
      </c>
      <c r="D330" s="226">
        <f t="shared" si="183"/>
        <v>7</v>
      </c>
      <c r="E330" s="226" t="str">
        <f t="shared" si="184"/>
        <v>Base</v>
      </c>
      <c r="F330" s="230">
        <f t="shared" si="185"/>
        <v>25000000</v>
      </c>
      <c r="G330" s="236">
        <f t="shared" si="186"/>
        <v>0.15</v>
      </c>
      <c r="H330" s="230">
        <f t="shared" si="187"/>
        <v>300000</v>
      </c>
      <c r="I330" s="236">
        <f t="shared" si="170"/>
        <v>0</v>
      </c>
      <c r="J330" s="234">
        <v>11</v>
      </c>
      <c r="K330" s="234">
        <f t="shared" si="171"/>
        <v>2036</v>
      </c>
      <c r="L330" s="230">
        <f>IF(J330=1,'Model Inputs'!$B$25*(13-'Model Inputs'!$B$23)/12,'Model Inputs'!$B$25)</f>
        <v>300000</v>
      </c>
      <c r="M330" s="230">
        <f>IF(J330=1,'Model Inputs'!$B$27*(13-'Model Inputs'!$B$23)/12,IF(J330=2,'Model Inputs'!$B$27,IF(J330&lt;=MAX(3,'Model Inputs'!$B$30+1),'Model Inputs'!$B$27*(1+'Model Inputs'!$B$28)^(J330-3),'Model Inputs'!$B$27*(1+'Model Inputs'!$B$28)^(MAX(3,'Model Inputs'!$B$30+1)-3)*(1+'Model Inputs'!$B$29)^(J330-MAX(3,'Model Inputs'!$B$30+1)))))</f>
        <v>4002631.578947369</v>
      </c>
      <c r="N330" s="236">
        <f>IF(J330&lt;=2,0,'Model Inputs'!$B$32*SIN(2*PI()*(J330-3+'Model Inputs'!$B$34)/MAX(1,'Model Inputs'!$B$33)))</f>
        <v>-0.10392304845413253</v>
      </c>
      <c r="O330" s="230">
        <f t="shared" si="172"/>
        <v>3586665.9034243808</v>
      </c>
      <c r="P330" s="230">
        <f t="shared" si="192"/>
        <v>3227158.9981941464</v>
      </c>
      <c r="Q330" s="230">
        <f>L330+P330+IF(J330=1,'Model Inputs'!$B$26,0)</f>
        <v>3527158.9981941464</v>
      </c>
      <c r="R330" s="230">
        <f t="shared" si="173"/>
        <v>10581476.994582439</v>
      </c>
      <c r="S330" s="230">
        <f t="shared" si="174"/>
        <v>4050000</v>
      </c>
      <c r="T330" s="230">
        <f t="shared" si="175"/>
        <v>4050000</v>
      </c>
      <c r="U330" s="230">
        <f>MIN(T330,'Tax Assumptions'!$B$19)</f>
        <v>24500</v>
      </c>
      <c r="V330" s="230">
        <f>MAX(T330-U330-'Tax Assumptions'!$B$8,0)</f>
        <v>4009400</v>
      </c>
      <c r="W330" s="230">
        <f>MAX(T330-U330-'Tax Assumptions'!$B$9,0)</f>
        <v>4017500</v>
      </c>
      <c r="X330" s="230">
        <f>IF(V330=0,0,LOOKUP(V330,'Tax Assumptions'!$F$9:$F$15,'Tax Assumptions'!$I$9:$I$15)+(V330-LOOKUP(V330,'Tax Assumptions'!$F$9:$F$15,'Tax Assumptions'!$F$9:$F$15))*LOOKUP(V330,'Tax Assumptions'!$F$9:$F$15,'Tax Assumptions'!$H$9:$H$15))+MIN(MAX(T330,0),'Tax Assumptions'!$B$11)*'Tax Assumptions'!$B$10+MAX(T330,0)*'Tax Assumptions'!$B$12+MAX(MAX(T330,0)-'Tax Assumptions'!$B$14,0)*'Tax Assumptions'!$B$13+MIN(T330*'Tax Assumptions'!$B$15,'Tax Assumptions'!$B$16)+MIN(T330*'Tax Assumptions'!$B$17,'Tax Assumptions'!$B$18)+IF(W330=0,0,LOOKUP(W330,'Tax Assumptions'!$K$9:$K$17,'Tax Assumptions'!$N$9:$N$17)+(W330-LOOKUP(W330,'Tax Assumptions'!$K$9:$K$17,'Tax Assumptions'!$K$9:$K$17))*LOOKUP(W330,'Tax Assumptions'!$K$9:$K$17,'Tax Assumptions'!$M$9:$M$17))+IF(W330=0,0,LOOKUP(W330,'Tax Assumptions'!$P$9:$P$12,'Tax Assumptions'!$S$9:$S$12)+(W330-LOOKUP(W330,'Tax Assumptions'!$P$9:$P$12,'Tax Assumptions'!$P$9:$P$12))*LOOKUP(W330,'Tax Assumptions'!$P$9:$P$12,'Tax Assumptions'!$R$9:$R$12))</f>
        <v>2055188.6349999998</v>
      </c>
      <c r="Y330" s="230">
        <f t="shared" si="176"/>
        <v>1970311.3650000002</v>
      </c>
      <c r="Z330" s="230">
        <f>IF(J330&lt;=10,INDEX('Savings Projection'!$BL$19:$BL$28,J330),LOOKUP(2,1/('Savings Projection'!$BL$19:$BL$28&lt;&gt;""),'Savings Projection'!$BL$19:$BL$28))*(1+'Model Inputs'!$B$35)^(J330-1)+IF(J330&lt;=10,INDEX('Savings Projection'!$BM$19:$BM$28,J330),LOOKUP(2,1/('Savings Projection'!$BM$19:$BM$28&lt;&gt;""),'Savings Projection'!$BM$19:$BM$28))*(1+'Model Inputs'!$B$36)^(J330-1)</f>
        <v>174709.12931473582</v>
      </c>
      <c r="AA330" s="230">
        <f t="shared" si="177"/>
        <v>1795602.2356852645</v>
      </c>
      <c r="AB330" s="230">
        <f>MIN(MAX(AA330,0),'Tax Assumptions'!$B$20)</f>
        <v>7500</v>
      </c>
      <c r="AC330" s="230">
        <f t="shared" si="178"/>
        <v>1788102.2356852645</v>
      </c>
      <c r="AD330" s="230">
        <f>MAX(AD329*(1+'Model Inputs'!$B$13)+AC330,0)</f>
        <v>15431661.499620613</v>
      </c>
      <c r="AE330" s="230">
        <f>MAX(AE329*(1+'Model Inputs'!$B$13)+U330+AB330,0)</f>
        <v>479092.56444555998</v>
      </c>
      <c r="AF330" s="230">
        <f t="shared" si="179"/>
        <v>15910754.064066174</v>
      </c>
      <c r="AG330" s="226">
        <f t="shared" si="188"/>
        <v>11</v>
      </c>
      <c r="AH330" s="226" t="str">
        <f t="shared" si="189"/>
        <v/>
      </c>
      <c r="AI330" s="226" t="str">
        <f t="shared" si="190"/>
        <v/>
      </c>
      <c r="AJ330" s="226" t="str">
        <f t="shared" si="191"/>
        <v/>
      </c>
    </row>
    <row r="331" spans="1:36" ht="18" customHeight="1" x14ac:dyDescent="0.2">
      <c r="A331" s="226" t="str">
        <f t="shared" si="180"/>
        <v>4Y -&gt; PM Y7 Base</v>
      </c>
      <c r="B331" s="226">
        <f t="shared" si="181"/>
        <v>4</v>
      </c>
      <c r="C331" s="235">
        <f t="shared" si="182"/>
        <v>3</v>
      </c>
      <c r="D331" s="226">
        <f t="shared" si="183"/>
        <v>7</v>
      </c>
      <c r="E331" s="226" t="str">
        <f t="shared" si="184"/>
        <v>Base</v>
      </c>
      <c r="F331" s="230">
        <f t="shared" si="185"/>
        <v>25000000</v>
      </c>
      <c r="G331" s="236">
        <f t="shared" si="186"/>
        <v>0.15</v>
      </c>
      <c r="H331" s="230">
        <f t="shared" si="187"/>
        <v>300000</v>
      </c>
      <c r="I331" s="236">
        <f t="shared" si="170"/>
        <v>0</v>
      </c>
      <c r="J331" s="234">
        <v>12</v>
      </c>
      <c r="K331" s="234">
        <f t="shared" si="171"/>
        <v>2037</v>
      </c>
      <c r="L331" s="230">
        <f>IF(J331=1,'Model Inputs'!$B$25*(13-'Model Inputs'!$B$23)/12,'Model Inputs'!$B$25)</f>
        <v>300000</v>
      </c>
      <c r="M331" s="230">
        <f>IF(J331=1,'Model Inputs'!$B$27*(13-'Model Inputs'!$B$23)/12,IF(J331=2,'Model Inputs'!$B$27,IF(J331&lt;=MAX(3,'Model Inputs'!$B$30+1),'Model Inputs'!$B$27*(1+'Model Inputs'!$B$28)^(J331-3),'Model Inputs'!$B$27*(1+'Model Inputs'!$B$28)^(MAX(3,'Model Inputs'!$B$30+1)-3)*(1+'Model Inputs'!$B$29)^(J331-MAX(3,'Model Inputs'!$B$30+1)))))</f>
        <v>5086854.15450761</v>
      </c>
      <c r="N331" s="236">
        <f>IF(J331&lt;=2,0,'Model Inputs'!$B$32*SIN(2*PI()*(J331-3+'Model Inputs'!$B$34)/MAX(1,'Model Inputs'!$B$33)))</f>
        <v>-8.8174569538609421E-17</v>
      </c>
      <c r="O331" s="230">
        <f t="shared" si="172"/>
        <v>5086854.1545076091</v>
      </c>
      <c r="P331" s="230">
        <f t="shared" si="192"/>
        <v>3559201.5104371794</v>
      </c>
      <c r="Q331" s="230">
        <f>L331+P331+IF(J331=1,'Model Inputs'!$B$26,0)</f>
        <v>3859201.5104371794</v>
      </c>
      <c r="R331" s="230">
        <f t="shared" si="173"/>
        <v>11577604.531311538</v>
      </c>
      <c r="S331" s="230">
        <f t="shared" si="174"/>
        <v>4050000</v>
      </c>
      <c r="T331" s="230">
        <f t="shared" si="175"/>
        <v>4050000</v>
      </c>
      <c r="U331" s="230">
        <f>MIN(T331,'Tax Assumptions'!$B$19)</f>
        <v>24500</v>
      </c>
      <c r="V331" s="230">
        <f>MAX(T331-U331-'Tax Assumptions'!$B$8,0)</f>
        <v>4009400</v>
      </c>
      <c r="W331" s="230">
        <f>MAX(T331-U331-'Tax Assumptions'!$B$9,0)</f>
        <v>4017500</v>
      </c>
      <c r="X331" s="230">
        <f>IF(V331=0,0,LOOKUP(V331,'Tax Assumptions'!$F$9:$F$15,'Tax Assumptions'!$I$9:$I$15)+(V331-LOOKUP(V331,'Tax Assumptions'!$F$9:$F$15,'Tax Assumptions'!$F$9:$F$15))*LOOKUP(V331,'Tax Assumptions'!$F$9:$F$15,'Tax Assumptions'!$H$9:$H$15))+MIN(MAX(T331,0),'Tax Assumptions'!$B$11)*'Tax Assumptions'!$B$10+MAX(T331,0)*'Tax Assumptions'!$B$12+MAX(MAX(T331,0)-'Tax Assumptions'!$B$14,0)*'Tax Assumptions'!$B$13+MIN(T331*'Tax Assumptions'!$B$15,'Tax Assumptions'!$B$16)+MIN(T331*'Tax Assumptions'!$B$17,'Tax Assumptions'!$B$18)+IF(W331=0,0,LOOKUP(W331,'Tax Assumptions'!$K$9:$K$17,'Tax Assumptions'!$N$9:$N$17)+(W331-LOOKUP(W331,'Tax Assumptions'!$K$9:$K$17,'Tax Assumptions'!$K$9:$K$17))*LOOKUP(W331,'Tax Assumptions'!$K$9:$K$17,'Tax Assumptions'!$M$9:$M$17))+IF(W331=0,0,LOOKUP(W331,'Tax Assumptions'!$P$9:$P$12,'Tax Assumptions'!$S$9:$S$12)+(W331-LOOKUP(W331,'Tax Assumptions'!$P$9:$P$12,'Tax Assumptions'!$P$9:$P$12))*LOOKUP(W331,'Tax Assumptions'!$P$9:$P$12,'Tax Assumptions'!$R$9:$R$12))</f>
        <v>2055188.6349999998</v>
      </c>
      <c r="Y331" s="230">
        <f t="shared" si="176"/>
        <v>1970311.3650000002</v>
      </c>
      <c r="Z331" s="230">
        <f>IF(J331&lt;=10,INDEX('Savings Projection'!$BL$19:$BL$28,J331),LOOKUP(2,1/('Savings Projection'!$BL$19:$BL$28&lt;&gt;""),'Savings Projection'!$BL$19:$BL$28))*(1+'Model Inputs'!$B$35)^(J331-1)+IF(J331&lt;=10,INDEX('Savings Projection'!$BM$19:$BM$28,J331),LOOKUP(2,1/('Savings Projection'!$BM$19:$BM$28&lt;&gt;""),'Savings Projection'!$BM$19:$BM$28))*(1+'Model Inputs'!$B$36)^(J331-1)</f>
        <v>179950.4031941779</v>
      </c>
      <c r="AA331" s="230">
        <f t="shared" si="177"/>
        <v>1790360.9618058223</v>
      </c>
      <c r="AB331" s="230">
        <f>MIN(MAX(AA331,0),'Tax Assumptions'!$B$20)</f>
        <v>7500</v>
      </c>
      <c r="AC331" s="230">
        <f t="shared" si="178"/>
        <v>1782860.9618058223</v>
      </c>
      <c r="AD331" s="230">
        <f>MAX(AD330*(1+'Model Inputs'!$B$13)+AC331,0)</f>
        <v>18140422.151403673</v>
      </c>
      <c r="AE331" s="230">
        <f>MAX(AE330*(1+'Model Inputs'!$B$13)+U331+AB331,0)</f>
        <v>539838.11831229366</v>
      </c>
      <c r="AF331" s="230">
        <f t="shared" si="179"/>
        <v>18680260.269715965</v>
      </c>
      <c r="AG331" s="226" t="str">
        <f t="shared" si="188"/>
        <v/>
      </c>
      <c r="AH331" s="226">
        <f t="shared" si="189"/>
        <v>12</v>
      </c>
      <c r="AI331" s="226">
        <f t="shared" si="190"/>
        <v>12</v>
      </c>
      <c r="AJ331" s="226" t="str">
        <f t="shared" si="191"/>
        <v/>
      </c>
    </row>
    <row r="332" spans="1:36" ht="18" customHeight="1" x14ac:dyDescent="0.2">
      <c r="A332" s="226" t="str">
        <f t="shared" si="180"/>
        <v>4Y -&gt; PM Y7 Base</v>
      </c>
      <c r="B332" s="226">
        <f t="shared" si="181"/>
        <v>4</v>
      </c>
      <c r="C332" s="235">
        <f t="shared" si="182"/>
        <v>3</v>
      </c>
      <c r="D332" s="226">
        <f t="shared" si="183"/>
        <v>7</v>
      </c>
      <c r="E332" s="226" t="str">
        <f t="shared" si="184"/>
        <v>Base</v>
      </c>
      <c r="F332" s="230">
        <f t="shared" si="185"/>
        <v>25000000</v>
      </c>
      <c r="G332" s="236">
        <f t="shared" si="186"/>
        <v>0.15</v>
      </c>
      <c r="H332" s="230">
        <f t="shared" si="187"/>
        <v>300000</v>
      </c>
      <c r="I332" s="236">
        <f t="shared" si="170"/>
        <v>0</v>
      </c>
      <c r="J332" s="234">
        <v>13</v>
      </c>
      <c r="K332" s="234">
        <f t="shared" si="171"/>
        <v>2038</v>
      </c>
      <c r="L332" s="230">
        <f>IF(J332=1,'Model Inputs'!$B$25*(13-'Model Inputs'!$B$23)/12,'Model Inputs'!$B$25)</f>
        <v>300000</v>
      </c>
      <c r="M332" s="230">
        <f>IF(J332=1,'Model Inputs'!$B$27*(13-'Model Inputs'!$B$23)/12,IF(J332=2,'Model Inputs'!$B$27,IF(J332&lt;=MAX(3,'Model Inputs'!$B$30+1),'Model Inputs'!$B$27*(1+'Model Inputs'!$B$28)^(J332-3),'Model Inputs'!$B$27*(1+'Model Inputs'!$B$28)^(MAX(3,'Model Inputs'!$B$30+1)-3)*(1+'Model Inputs'!$B$29)^(J332-MAX(3,'Model Inputs'!$B$30+1)))))</f>
        <v>6464768.1603602255</v>
      </c>
      <c r="N332" s="236">
        <f>IF(J332&lt;=2,0,'Model Inputs'!$B$32*SIN(2*PI()*(J332-3+'Model Inputs'!$B$34)/MAX(1,'Model Inputs'!$B$33)))</f>
        <v>0.10392304845413261</v>
      </c>
      <c r="O332" s="230">
        <f t="shared" si="172"/>
        <v>7136606.5751340752</v>
      </c>
      <c r="P332" s="230">
        <f t="shared" si="192"/>
        <v>4711807.0917368019</v>
      </c>
      <c r="Q332" s="230">
        <f>L332+P332+IF(J332=1,'Model Inputs'!$B$26,0)</f>
        <v>5011807.0917368019</v>
      </c>
      <c r="R332" s="230">
        <f t="shared" si="173"/>
        <v>15035421.275210407</v>
      </c>
      <c r="S332" s="230">
        <f t="shared" si="174"/>
        <v>4050000</v>
      </c>
      <c r="T332" s="230">
        <f t="shared" si="175"/>
        <v>4050000</v>
      </c>
      <c r="U332" s="230">
        <f>MIN(T332,'Tax Assumptions'!$B$19)</f>
        <v>24500</v>
      </c>
      <c r="V332" s="230">
        <f>MAX(T332-U332-'Tax Assumptions'!$B$8,0)</f>
        <v>4009400</v>
      </c>
      <c r="W332" s="230">
        <f>MAX(T332-U332-'Tax Assumptions'!$B$9,0)</f>
        <v>4017500</v>
      </c>
      <c r="X332" s="230">
        <f>IF(V332=0,0,LOOKUP(V332,'Tax Assumptions'!$F$9:$F$15,'Tax Assumptions'!$I$9:$I$15)+(V332-LOOKUP(V332,'Tax Assumptions'!$F$9:$F$15,'Tax Assumptions'!$F$9:$F$15))*LOOKUP(V332,'Tax Assumptions'!$F$9:$F$15,'Tax Assumptions'!$H$9:$H$15))+MIN(MAX(T332,0),'Tax Assumptions'!$B$11)*'Tax Assumptions'!$B$10+MAX(T332,0)*'Tax Assumptions'!$B$12+MAX(MAX(T332,0)-'Tax Assumptions'!$B$14,0)*'Tax Assumptions'!$B$13+MIN(T332*'Tax Assumptions'!$B$15,'Tax Assumptions'!$B$16)+MIN(T332*'Tax Assumptions'!$B$17,'Tax Assumptions'!$B$18)+IF(W332=0,0,LOOKUP(W332,'Tax Assumptions'!$K$9:$K$17,'Tax Assumptions'!$N$9:$N$17)+(W332-LOOKUP(W332,'Tax Assumptions'!$K$9:$K$17,'Tax Assumptions'!$K$9:$K$17))*LOOKUP(W332,'Tax Assumptions'!$K$9:$K$17,'Tax Assumptions'!$M$9:$M$17))+IF(W332=0,0,LOOKUP(W332,'Tax Assumptions'!$P$9:$P$12,'Tax Assumptions'!$S$9:$S$12)+(W332-LOOKUP(W332,'Tax Assumptions'!$P$9:$P$12,'Tax Assumptions'!$P$9:$P$12))*LOOKUP(W332,'Tax Assumptions'!$P$9:$P$12,'Tax Assumptions'!$R$9:$R$12))</f>
        <v>2055188.6349999998</v>
      </c>
      <c r="Y332" s="230">
        <f t="shared" si="176"/>
        <v>1970311.3650000002</v>
      </c>
      <c r="Z332" s="230">
        <f>IF(J332&lt;=10,INDEX('Savings Projection'!$BL$19:$BL$28,J332),LOOKUP(2,1/('Savings Projection'!$BL$19:$BL$28&lt;&gt;""),'Savings Projection'!$BL$19:$BL$28))*(1+'Model Inputs'!$B$35)^(J332-1)+IF(J332&lt;=10,INDEX('Savings Projection'!$BM$19:$BM$28,J332),LOOKUP(2,1/('Savings Projection'!$BM$19:$BM$28&lt;&gt;""),'Savings Projection'!$BM$19:$BM$28))*(1+'Model Inputs'!$B$36)^(J332-1)</f>
        <v>185348.91529000323</v>
      </c>
      <c r="AA332" s="230">
        <f t="shared" si="177"/>
        <v>1784962.449709997</v>
      </c>
      <c r="AB332" s="230">
        <f>MIN(MAX(AA332,0),'Tax Assumptions'!$B$20)</f>
        <v>7500</v>
      </c>
      <c r="AC332" s="230">
        <f t="shared" si="178"/>
        <v>1777462.449709997</v>
      </c>
      <c r="AD332" s="230">
        <f>MAX(AD331*(1+'Model Inputs'!$B$13)+AC332,0)</f>
        <v>21006309.930197891</v>
      </c>
      <c r="AE332" s="230">
        <f>MAX(AE331*(1+'Model Inputs'!$B$13)+U332+AB332,0)</f>
        <v>604228.40541103133</v>
      </c>
      <c r="AF332" s="230">
        <f t="shared" si="179"/>
        <v>21610538.335608922</v>
      </c>
      <c r="AG332" s="226" t="str">
        <f t="shared" si="188"/>
        <v/>
      </c>
      <c r="AH332" s="226" t="str">
        <f t="shared" si="189"/>
        <v/>
      </c>
      <c r="AI332" s="226" t="str">
        <f t="shared" si="190"/>
        <v/>
      </c>
      <c r="AJ332" s="226">
        <f t="shared" si="191"/>
        <v>13</v>
      </c>
    </row>
    <row r="333" spans="1:36" ht="18" customHeight="1" x14ac:dyDescent="0.2">
      <c r="A333" s="226" t="str">
        <f t="shared" si="180"/>
        <v>4Y -&gt; PM Y7 Base</v>
      </c>
      <c r="B333" s="226">
        <f t="shared" si="181"/>
        <v>4</v>
      </c>
      <c r="C333" s="235">
        <f t="shared" si="182"/>
        <v>3</v>
      </c>
      <c r="D333" s="226">
        <f t="shared" si="183"/>
        <v>7</v>
      </c>
      <c r="E333" s="226" t="str">
        <f t="shared" si="184"/>
        <v>Base</v>
      </c>
      <c r="F333" s="230">
        <f t="shared" si="185"/>
        <v>25000000</v>
      </c>
      <c r="G333" s="236">
        <f t="shared" si="186"/>
        <v>0.15</v>
      </c>
      <c r="H333" s="230">
        <f t="shared" si="187"/>
        <v>300000</v>
      </c>
      <c r="I333" s="236">
        <f t="shared" si="170"/>
        <v>0</v>
      </c>
      <c r="J333" s="234">
        <v>14</v>
      </c>
      <c r="K333" s="234">
        <f t="shared" si="171"/>
        <v>2039</v>
      </c>
      <c r="L333" s="230">
        <f>IF(J333=1,'Model Inputs'!$B$25*(13-'Model Inputs'!$B$23)/12,'Model Inputs'!$B$25)</f>
        <v>300000</v>
      </c>
      <c r="M333" s="230">
        <f>IF(J333=1,'Model Inputs'!$B$27*(13-'Model Inputs'!$B$23)/12,IF(J333=2,'Model Inputs'!$B$27,IF(J333&lt;=MAX(3,'Model Inputs'!$B$30+1),'Model Inputs'!$B$27*(1+'Model Inputs'!$B$28)^(J333-3),'Model Inputs'!$B$27*(1+'Model Inputs'!$B$28)^(MAX(3,'Model Inputs'!$B$30+1)-3)*(1+'Model Inputs'!$B$29)^(J333-MAX(3,'Model Inputs'!$B$30+1)))))</f>
        <v>8215927.9778393377</v>
      </c>
      <c r="N333" s="236">
        <f>IF(J333&lt;=2,0,'Model Inputs'!$B$32*SIN(2*PI()*(J333-3+'Model Inputs'!$B$34)/MAX(1,'Model Inputs'!$B$33)))</f>
        <v>-0.10392304845413251</v>
      </c>
      <c r="O333" s="230">
        <f t="shared" si="172"/>
        <v>7362103.6965026772</v>
      </c>
      <c r="P333" s="230">
        <f t="shared" si="192"/>
        <v>6624168.4699774589</v>
      </c>
      <c r="Q333" s="230">
        <f>L333+P333+IF(J333=1,'Model Inputs'!$B$26,0)</f>
        <v>6924168.4699774589</v>
      </c>
      <c r="R333" s="230">
        <f t="shared" si="173"/>
        <v>20772505.409932375</v>
      </c>
      <c r="S333" s="230">
        <f t="shared" si="174"/>
        <v>4050000</v>
      </c>
      <c r="T333" s="230">
        <f t="shared" si="175"/>
        <v>4050000</v>
      </c>
      <c r="U333" s="230">
        <f>MIN(T333,'Tax Assumptions'!$B$19)</f>
        <v>24500</v>
      </c>
      <c r="V333" s="230">
        <f>MAX(T333-U333-'Tax Assumptions'!$B$8,0)</f>
        <v>4009400</v>
      </c>
      <c r="W333" s="230">
        <f>MAX(T333-U333-'Tax Assumptions'!$B$9,0)</f>
        <v>4017500</v>
      </c>
      <c r="X333" s="230">
        <f>IF(V333=0,0,LOOKUP(V333,'Tax Assumptions'!$F$9:$F$15,'Tax Assumptions'!$I$9:$I$15)+(V333-LOOKUP(V333,'Tax Assumptions'!$F$9:$F$15,'Tax Assumptions'!$F$9:$F$15))*LOOKUP(V333,'Tax Assumptions'!$F$9:$F$15,'Tax Assumptions'!$H$9:$H$15))+MIN(MAX(T333,0),'Tax Assumptions'!$B$11)*'Tax Assumptions'!$B$10+MAX(T333,0)*'Tax Assumptions'!$B$12+MAX(MAX(T333,0)-'Tax Assumptions'!$B$14,0)*'Tax Assumptions'!$B$13+MIN(T333*'Tax Assumptions'!$B$15,'Tax Assumptions'!$B$16)+MIN(T333*'Tax Assumptions'!$B$17,'Tax Assumptions'!$B$18)+IF(W333=0,0,LOOKUP(W333,'Tax Assumptions'!$K$9:$K$17,'Tax Assumptions'!$N$9:$N$17)+(W333-LOOKUP(W333,'Tax Assumptions'!$K$9:$K$17,'Tax Assumptions'!$K$9:$K$17))*LOOKUP(W333,'Tax Assumptions'!$K$9:$K$17,'Tax Assumptions'!$M$9:$M$17))+IF(W333=0,0,LOOKUP(W333,'Tax Assumptions'!$P$9:$P$12,'Tax Assumptions'!$S$9:$S$12)+(W333-LOOKUP(W333,'Tax Assumptions'!$P$9:$P$12,'Tax Assumptions'!$P$9:$P$12))*LOOKUP(W333,'Tax Assumptions'!$P$9:$P$12,'Tax Assumptions'!$R$9:$R$12))</f>
        <v>2055188.6349999998</v>
      </c>
      <c r="Y333" s="230">
        <f t="shared" si="176"/>
        <v>1970311.3650000002</v>
      </c>
      <c r="Z333" s="230">
        <f>IF(J333&lt;=10,INDEX('Savings Projection'!$BL$19:$BL$28,J333),LOOKUP(2,1/('Savings Projection'!$BL$19:$BL$28&lt;&gt;""),'Savings Projection'!$BL$19:$BL$28))*(1+'Model Inputs'!$B$35)^(J333-1)+IF(J333&lt;=10,INDEX('Savings Projection'!$BM$19:$BM$28,J333),LOOKUP(2,1/('Savings Projection'!$BM$19:$BM$28&lt;&gt;""),'Savings Projection'!$BM$19:$BM$28))*(1+'Model Inputs'!$B$36)^(J333-1)</f>
        <v>190909.3827487033</v>
      </c>
      <c r="AA333" s="230">
        <f t="shared" si="177"/>
        <v>1779401.982251297</v>
      </c>
      <c r="AB333" s="230">
        <f>MIN(MAX(AA333,0),'Tax Assumptions'!$B$20)</f>
        <v>7500</v>
      </c>
      <c r="AC333" s="230">
        <f t="shared" si="178"/>
        <v>1771901.982251297</v>
      </c>
      <c r="AD333" s="230">
        <f>MAX(AD332*(1+'Model Inputs'!$B$13)+AC333,0)</f>
        <v>24038590.508261062</v>
      </c>
      <c r="AE333" s="230">
        <f>MAX(AE332*(1+'Model Inputs'!$B$13)+U333+AB333,0)</f>
        <v>672482.1097356932</v>
      </c>
      <c r="AF333" s="230">
        <f t="shared" si="179"/>
        <v>24711072.617996756</v>
      </c>
      <c r="AG333" s="226" t="str">
        <f t="shared" si="188"/>
        <v/>
      </c>
      <c r="AH333" s="226" t="str">
        <f t="shared" si="189"/>
        <v/>
      </c>
      <c r="AI333" s="226" t="str">
        <f t="shared" si="190"/>
        <v/>
      </c>
      <c r="AJ333" s="226" t="str">
        <f t="shared" si="191"/>
        <v/>
      </c>
    </row>
    <row r="334" spans="1:36" ht="18" customHeight="1" x14ac:dyDescent="0.2">
      <c r="A334" s="226" t="str">
        <f t="shared" si="180"/>
        <v>4Y -&gt; PM Y7 Base</v>
      </c>
      <c r="B334" s="226">
        <f t="shared" si="181"/>
        <v>4</v>
      </c>
      <c r="C334" s="235">
        <f t="shared" si="182"/>
        <v>3</v>
      </c>
      <c r="D334" s="226">
        <f t="shared" si="183"/>
        <v>7</v>
      </c>
      <c r="E334" s="226" t="str">
        <f t="shared" si="184"/>
        <v>Base</v>
      </c>
      <c r="F334" s="230">
        <f t="shared" si="185"/>
        <v>25000000</v>
      </c>
      <c r="G334" s="236">
        <f t="shared" si="186"/>
        <v>0.15</v>
      </c>
      <c r="H334" s="230">
        <f t="shared" si="187"/>
        <v>300000</v>
      </c>
      <c r="I334" s="236">
        <f t="shared" si="170"/>
        <v>0</v>
      </c>
      <c r="J334" s="234">
        <v>15</v>
      </c>
      <c r="K334" s="234">
        <f t="shared" si="171"/>
        <v>2040</v>
      </c>
      <c r="L334" s="230">
        <f>IF(J334=1,'Model Inputs'!$B$25*(13-'Model Inputs'!$B$23)/12,'Model Inputs'!$B$25)</f>
        <v>300000</v>
      </c>
      <c r="M334" s="230">
        <f>IF(J334=1,'Model Inputs'!$B$27*(13-'Model Inputs'!$B$23)/12,IF(J334=2,'Model Inputs'!$B$27,IF(J334&lt;=MAX(3,'Model Inputs'!$B$30+1),'Model Inputs'!$B$27*(1+'Model Inputs'!$B$28)^(J334-3),'Model Inputs'!$B$27*(1+'Model Inputs'!$B$28)^(MAX(3,'Model Inputs'!$B$30+1)-3)*(1+'Model Inputs'!$B$29)^(J334-MAX(3,'Model Inputs'!$B$30+1)))))</f>
        <v>10441437.475041937</v>
      </c>
      <c r="N334" s="236">
        <f>IF(J334&lt;=2,0,'Model Inputs'!$B$32*SIN(2*PI()*(J334-3+'Model Inputs'!$B$34)/MAX(1,'Model Inputs'!$B$33)))</f>
        <v>-1.1756609271814589E-16</v>
      </c>
      <c r="O334" s="230">
        <f t="shared" si="172"/>
        <v>10441437.475041935</v>
      </c>
      <c r="P334" s="230">
        <f t="shared" si="192"/>
        <v>7305729.4161605267</v>
      </c>
      <c r="Q334" s="230">
        <f>L334+P334+IF(J334=1,'Model Inputs'!$B$26,0)</f>
        <v>7605729.4161605267</v>
      </c>
      <c r="R334" s="230">
        <f t="shared" si="173"/>
        <v>22817188.248481579</v>
      </c>
      <c r="S334" s="230">
        <f t="shared" si="174"/>
        <v>4050000</v>
      </c>
      <c r="T334" s="230">
        <f t="shared" si="175"/>
        <v>4050000</v>
      </c>
      <c r="U334" s="230">
        <f>MIN(T334,'Tax Assumptions'!$B$19)</f>
        <v>24500</v>
      </c>
      <c r="V334" s="230">
        <f>MAX(T334-U334-'Tax Assumptions'!$B$8,0)</f>
        <v>4009400</v>
      </c>
      <c r="W334" s="230">
        <f>MAX(T334-U334-'Tax Assumptions'!$B$9,0)</f>
        <v>4017500</v>
      </c>
      <c r="X334" s="230">
        <f>IF(V334=0,0,LOOKUP(V334,'Tax Assumptions'!$F$9:$F$15,'Tax Assumptions'!$I$9:$I$15)+(V334-LOOKUP(V334,'Tax Assumptions'!$F$9:$F$15,'Tax Assumptions'!$F$9:$F$15))*LOOKUP(V334,'Tax Assumptions'!$F$9:$F$15,'Tax Assumptions'!$H$9:$H$15))+MIN(MAX(T334,0),'Tax Assumptions'!$B$11)*'Tax Assumptions'!$B$10+MAX(T334,0)*'Tax Assumptions'!$B$12+MAX(MAX(T334,0)-'Tax Assumptions'!$B$14,0)*'Tax Assumptions'!$B$13+MIN(T334*'Tax Assumptions'!$B$15,'Tax Assumptions'!$B$16)+MIN(T334*'Tax Assumptions'!$B$17,'Tax Assumptions'!$B$18)+IF(W334=0,0,LOOKUP(W334,'Tax Assumptions'!$K$9:$K$17,'Tax Assumptions'!$N$9:$N$17)+(W334-LOOKUP(W334,'Tax Assumptions'!$K$9:$K$17,'Tax Assumptions'!$K$9:$K$17))*LOOKUP(W334,'Tax Assumptions'!$K$9:$K$17,'Tax Assumptions'!$M$9:$M$17))+IF(W334=0,0,LOOKUP(W334,'Tax Assumptions'!$P$9:$P$12,'Tax Assumptions'!$S$9:$S$12)+(W334-LOOKUP(W334,'Tax Assumptions'!$P$9:$P$12,'Tax Assumptions'!$P$9:$P$12))*LOOKUP(W334,'Tax Assumptions'!$P$9:$P$12,'Tax Assumptions'!$R$9:$R$12))</f>
        <v>2055188.6349999998</v>
      </c>
      <c r="Y334" s="230">
        <f t="shared" si="176"/>
        <v>1970311.3650000002</v>
      </c>
      <c r="Z334" s="230">
        <f>IF(J334&lt;=10,INDEX('Savings Projection'!$BL$19:$BL$28,J334),LOOKUP(2,1/('Savings Projection'!$BL$19:$BL$28&lt;&gt;""),'Savings Projection'!$BL$19:$BL$28))*(1+'Model Inputs'!$B$35)^(J334-1)+IF(J334&lt;=10,INDEX('Savings Projection'!$BM$19:$BM$28,J334),LOOKUP(2,1/('Savings Projection'!$BM$19:$BM$28&lt;&gt;""),'Savings Projection'!$BM$19:$BM$28))*(1+'Model Inputs'!$B$36)^(J334-1)</f>
        <v>196636.66423116444</v>
      </c>
      <c r="AA334" s="230">
        <f t="shared" si="177"/>
        <v>1773674.7007688358</v>
      </c>
      <c r="AB334" s="230">
        <f>MIN(MAX(AA334,0),'Tax Assumptions'!$B$20)</f>
        <v>7500</v>
      </c>
      <c r="AC334" s="230">
        <f t="shared" si="178"/>
        <v>1766174.7007688358</v>
      </c>
      <c r="AD334" s="230">
        <f>MAX(AD333*(1+'Model Inputs'!$B$13)+AC334,0)</f>
        <v>27247080.639525563</v>
      </c>
      <c r="AE334" s="230">
        <f>MAX(AE333*(1+'Model Inputs'!$B$13)+U334+AB334,0)</f>
        <v>744831.03631983488</v>
      </c>
      <c r="AF334" s="230">
        <f t="shared" si="179"/>
        <v>27991911.675845396</v>
      </c>
      <c r="AG334" s="226" t="str">
        <f t="shared" si="188"/>
        <v/>
      </c>
      <c r="AH334" s="226" t="str">
        <f t="shared" si="189"/>
        <v/>
      </c>
      <c r="AI334" s="226" t="str">
        <f t="shared" si="190"/>
        <v/>
      </c>
      <c r="AJ334" s="226" t="str">
        <f t="shared" si="191"/>
        <v/>
      </c>
    </row>
    <row r="335" spans="1:36" ht="18" customHeight="1" x14ac:dyDescent="0.2">
      <c r="A335" s="226" t="str">
        <f t="shared" si="180"/>
        <v>4Y -&gt; PM Y7 Base</v>
      </c>
      <c r="B335" s="226">
        <f t="shared" si="181"/>
        <v>4</v>
      </c>
      <c r="C335" s="235">
        <f t="shared" si="182"/>
        <v>3</v>
      </c>
      <c r="D335" s="226">
        <f t="shared" si="183"/>
        <v>7</v>
      </c>
      <c r="E335" s="226" t="str">
        <f t="shared" si="184"/>
        <v>Base</v>
      </c>
      <c r="F335" s="230">
        <f t="shared" si="185"/>
        <v>25000000</v>
      </c>
      <c r="G335" s="236">
        <f t="shared" si="186"/>
        <v>0.15</v>
      </c>
      <c r="H335" s="230">
        <f t="shared" si="187"/>
        <v>300000</v>
      </c>
      <c r="I335" s="236">
        <f t="shared" si="170"/>
        <v>0</v>
      </c>
      <c r="J335" s="234">
        <v>16</v>
      </c>
      <c r="K335" s="234">
        <f t="shared" si="171"/>
        <v>2041</v>
      </c>
      <c r="L335" s="230">
        <f>IF(J335=1,'Model Inputs'!$B$25*(13-'Model Inputs'!$B$23)/12,'Model Inputs'!$B$25)</f>
        <v>300000</v>
      </c>
      <c r="M335" s="230">
        <f>IF(J335=1,'Model Inputs'!$B$27*(13-'Model Inputs'!$B$23)/12,IF(J335=2,'Model Inputs'!$B$27,IF(J335&lt;=MAX(3,'Model Inputs'!$B$30+1),'Model Inputs'!$B$27*(1+'Model Inputs'!$B$28)^(J335-3),'Model Inputs'!$B$27*(1+'Model Inputs'!$B$28)^(MAX(3,'Model Inputs'!$B$30+1)-3)*(1+'Model Inputs'!$B$29)^(J335-MAX(3,'Model Inputs'!$B$30+1)))))</f>
        <v>13269787.276528884</v>
      </c>
      <c r="N335" s="236">
        <f>IF(J335&lt;=2,0,'Model Inputs'!$B$32*SIN(2*PI()*(J335-3+'Model Inputs'!$B$34)/MAX(1,'Model Inputs'!$B$33)))</f>
        <v>0.10392304845413262</v>
      </c>
      <c r="O335" s="230">
        <f t="shared" si="172"/>
        <v>14648824.022643628</v>
      </c>
      <c r="P335" s="230">
        <f t="shared" si="192"/>
        <v>9671604.0304071214</v>
      </c>
      <c r="Q335" s="230">
        <f>L335+P335+IF(J335=1,'Model Inputs'!$B$26,0)</f>
        <v>9971604.0304071214</v>
      </c>
      <c r="R335" s="230">
        <f t="shared" si="173"/>
        <v>29914812.091221362</v>
      </c>
      <c r="S335" s="230">
        <f t="shared" si="174"/>
        <v>4050000</v>
      </c>
      <c r="T335" s="230">
        <f t="shared" si="175"/>
        <v>4050000</v>
      </c>
      <c r="U335" s="230">
        <f>MIN(T335,'Tax Assumptions'!$B$19)</f>
        <v>24500</v>
      </c>
      <c r="V335" s="230">
        <f>MAX(T335-U335-'Tax Assumptions'!$B$8,0)</f>
        <v>4009400</v>
      </c>
      <c r="W335" s="230">
        <f>MAX(T335-U335-'Tax Assumptions'!$B$9,0)</f>
        <v>4017500</v>
      </c>
      <c r="X335" s="230">
        <f>IF(V335=0,0,LOOKUP(V335,'Tax Assumptions'!$F$9:$F$15,'Tax Assumptions'!$I$9:$I$15)+(V335-LOOKUP(V335,'Tax Assumptions'!$F$9:$F$15,'Tax Assumptions'!$F$9:$F$15))*LOOKUP(V335,'Tax Assumptions'!$F$9:$F$15,'Tax Assumptions'!$H$9:$H$15))+MIN(MAX(T335,0),'Tax Assumptions'!$B$11)*'Tax Assumptions'!$B$10+MAX(T335,0)*'Tax Assumptions'!$B$12+MAX(MAX(T335,0)-'Tax Assumptions'!$B$14,0)*'Tax Assumptions'!$B$13+MIN(T335*'Tax Assumptions'!$B$15,'Tax Assumptions'!$B$16)+MIN(T335*'Tax Assumptions'!$B$17,'Tax Assumptions'!$B$18)+IF(W335=0,0,LOOKUP(W335,'Tax Assumptions'!$K$9:$K$17,'Tax Assumptions'!$N$9:$N$17)+(W335-LOOKUP(W335,'Tax Assumptions'!$K$9:$K$17,'Tax Assumptions'!$K$9:$K$17))*LOOKUP(W335,'Tax Assumptions'!$K$9:$K$17,'Tax Assumptions'!$M$9:$M$17))+IF(W335=0,0,LOOKUP(W335,'Tax Assumptions'!$P$9:$P$12,'Tax Assumptions'!$S$9:$S$12)+(W335-LOOKUP(W335,'Tax Assumptions'!$P$9:$P$12,'Tax Assumptions'!$P$9:$P$12))*LOOKUP(W335,'Tax Assumptions'!$P$9:$P$12,'Tax Assumptions'!$R$9:$R$12))</f>
        <v>2055188.6349999998</v>
      </c>
      <c r="Y335" s="230">
        <f t="shared" si="176"/>
        <v>1970311.3650000002</v>
      </c>
      <c r="Z335" s="230">
        <f>IF(J335&lt;=10,INDEX('Savings Projection'!$BL$19:$BL$28,J335),LOOKUP(2,1/('Savings Projection'!$BL$19:$BL$28&lt;&gt;""),'Savings Projection'!$BL$19:$BL$28))*(1+'Model Inputs'!$B$35)^(J335-1)+IF(J335&lt;=10,INDEX('Savings Projection'!$BM$19:$BM$28,J335),LOOKUP(2,1/('Savings Projection'!$BM$19:$BM$28&lt;&gt;""),'Savings Projection'!$BM$19:$BM$28))*(1+'Model Inputs'!$B$36)^(J335-1)</f>
        <v>202535.76415809937</v>
      </c>
      <c r="AA335" s="230">
        <f t="shared" si="177"/>
        <v>1767775.6008419008</v>
      </c>
      <c r="AB335" s="230">
        <f>MIN(MAX(AA335,0),'Tax Assumptions'!$B$20)</f>
        <v>7500</v>
      </c>
      <c r="AC335" s="230">
        <f t="shared" si="178"/>
        <v>1760275.6008419008</v>
      </c>
      <c r="AD335" s="230">
        <f>MAX(AD334*(1+'Model Inputs'!$B$13)+AC335,0)</f>
        <v>30642181.078738999</v>
      </c>
      <c r="AE335" s="230">
        <f>MAX(AE334*(1+'Model Inputs'!$B$13)+U335+AB335,0)</f>
        <v>821520.89849902503</v>
      </c>
      <c r="AF335" s="230">
        <f t="shared" si="179"/>
        <v>31463701.977238022</v>
      </c>
      <c r="AG335" s="226" t="str">
        <f t="shared" si="188"/>
        <v/>
      </c>
      <c r="AH335" s="226" t="str">
        <f t="shared" si="189"/>
        <v/>
      </c>
      <c r="AI335" s="226" t="str">
        <f t="shared" si="190"/>
        <v/>
      </c>
      <c r="AJ335" s="226" t="str">
        <f t="shared" si="191"/>
        <v/>
      </c>
    </row>
    <row r="336" spans="1:36" ht="18" customHeight="1" x14ac:dyDescent="0.2">
      <c r="A336" s="226" t="str">
        <f t="shared" si="180"/>
        <v>4Y -&gt; PM Y7 Base</v>
      </c>
      <c r="B336" s="226">
        <f t="shared" si="181"/>
        <v>4</v>
      </c>
      <c r="C336" s="235">
        <f t="shared" si="182"/>
        <v>3</v>
      </c>
      <c r="D336" s="226">
        <f t="shared" si="183"/>
        <v>7</v>
      </c>
      <c r="E336" s="226" t="str">
        <f t="shared" si="184"/>
        <v>Base</v>
      </c>
      <c r="F336" s="230">
        <f t="shared" si="185"/>
        <v>25000000</v>
      </c>
      <c r="G336" s="236">
        <f t="shared" si="186"/>
        <v>0.15</v>
      </c>
      <c r="H336" s="230">
        <f t="shared" si="187"/>
        <v>300000</v>
      </c>
      <c r="I336" s="236">
        <f t="shared" si="170"/>
        <v>0</v>
      </c>
      <c r="J336" s="234">
        <v>17</v>
      </c>
      <c r="K336" s="234">
        <f t="shared" si="171"/>
        <v>2042</v>
      </c>
      <c r="L336" s="230">
        <f>IF(J336=1,'Model Inputs'!$B$25*(13-'Model Inputs'!$B$23)/12,'Model Inputs'!$B$25)</f>
        <v>300000</v>
      </c>
      <c r="M336" s="230">
        <f>IF(J336=1,'Model Inputs'!$B$27*(13-'Model Inputs'!$B$23)/12,IF(J336=2,'Model Inputs'!$B$27,IF(J336&lt;=MAX(3,'Model Inputs'!$B$30+1),'Model Inputs'!$B$27*(1+'Model Inputs'!$B$28)^(J336-3),'Model Inputs'!$B$27*(1+'Model Inputs'!$B$28)^(MAX(3,'Model Inputs'!$B$30+1)-3)*(1+'Model Inputs'!$B$29)^(J336-MAX(3,'Model Inputs'!$B$30+1)))))</f>
        <v>16864273.217670217</v>
      </c>
      <c r="N336" s="236">
        <f>IF(J336&lt;=2,0,'Model Inputs'!$B$32*SIN(2*PI()*(J336-3+'Model Inputs'!$B$34)/MAX(1,'Model Inputs'!$B$33)))</f>
        <v>-0.1039230484541325</v>
      </c>
      <c r="O336" s="230">
        <f t="shared" si="172"/>
        <v>15111686.534926547</v>
      </c>
      <c r="P336" s="230">
        <f t="shared" si="192"/>
        <v>13596977.385743205</v>
      </c>
      <c r="Q336" s="230">
        <f>L336+P336+IF(J336=1,'Model Inputs'!$B$26,0)</f>
        <v>13896977.385743205</v>
      </c>
      <c r="R336" s="230">
        <f t="shared" si="173"/>
        <v>41690932.157229617</v>
      </c>
      <c r="S336" s="230">
        <f t="shared" si="174"/>
        <v>4050000</v>
      </c>
      <c r="T336" s="230">
        <f t="shared" si="175"/>
        <v>4050000</v>
      </c>
      <c r="U336" s="230">
        <f>MIN(T336,'Tax Assumptions'!$B$19)</f>
        <v>24500</v>
      </c>
      <c r="V336" s="230">
        <f>MAX(T336-U336-'Tax Assumptions'!$B$8,0)</f>
        <v>4009400</v>
      </c>
      <c r="W336" s="230">
        <f>MAX(T336-U336-'Tax Assumptions'!$B$9,0)</f>
        <v>4017500</v>
      </c>
      <c r="X336" s="230">
        <f>IF(V336=0,0,LOOKUP(V336,'Tax Assumptions'!$F$9:$F$15,'Tax Assumptions'!$I$9:$I$15)+(V336-LOOKUP(V336,'Tax Assumptions'!$F$9:$F$15,'Tax Assumptions'!$F$9:$F$15))*LOOKUP(V336,'Tax Assumptions'!$F$9:$F$15,'Tax Assumptions'!$H$9:$H$15))+MIN(MAX(T336,0),'Tax Assumptions'!$B$11)*'Tax Assumptions'!$B$10+MAX(T336,0)*'Tax Assumptions'!$B$12+MAX(MAX(T336,0)-'Tax Assumptions'!$B$14,0)*'Tax Assumptions'!$B$13+MIN(T336*'Tax Assumptions'!$B$15,'Tax Assumptions'!$B$16)+MIN(T336*'Tax Assumptions'!$B$17,'Tax Assumptions'!$B$18)+IF(W336=0,0,LOOKUP(W336,'Tax Assumptions'!$K$9:$K$17,'Tax Assumptions'!$N$9:$N$17)+(W336-LOOKUP(W336,'Tax Assumptions'!$K$9:$K$17,'Tax Assumptions'!$K$9:$K$17))*LOOKUP(W336,'Tax Assumptions'!$K$9:$K$17,'Tax Assumptions'!$M$9:$M$17))+IF(W336=0,0,LOOKUP(W336,'Tax Assumptions'!$P$9:$P$12,'Tax Assumptions'!$S$9:$S$12)+(W336-LOOKUP(W336,'Tax Assumptions'!$P$9:$P$12,'Tax Assumptions'!$P$9:$P$12))*LOOKUP(W336,'Tax Assumptions'!$P$9:$P$12,'Tax Assumptions'!$R$9:$R$12))</f>
        <v>2055188.6349999998</v>
      </c>
      <c r="Y336" s="230">
        <f t="shared" si="176"/>
        <v>1970311.3650000002</v>
      </c>
      <c r="Z336" s="230">
        <f>IF(J336&lt;=10,INDEX('Savings Projection'!$BL$19:$BL$28,J336),LOOKUP(2,1/('Savings Projection'!$BL$19:$BL$28&lt;&gt;""),'Savings Projection'!$BL$19:$BL$28))*(1+'Model Inputs'!$B$35)^(J336-1)+IF(J336&lt;=10,INDEX('Savings Projection'!$BM$19:$BM$28,J336),LOOKUP(2,1/('Savings Projection'!$BM$19:$BM$28&lt;&gt;""),'Savings Projection'!$BM$19:$BM$28))*(1+'Model Inputs'!$B$36)^(J336-1)</f>
        <v>208611.83708284231</v>
      </c>
      <c r="AA336" s="230">
        <f t="shared" si="177"/>
        <v>1761699.5279171579</v>
      </c>
      <c r="AB336" s="230">
        <f>MIN(MAX(AA336,0),'Tax Assumptions'!$B$20)</f>
        <v>7500</v>
      </c>
      <c r="AC336" s="230">
        <f t="shared" si="178"/>
        <v>1754199.5279171579</v>
      </c>
      <c r="AD336" s="230">
        <f>MAX(AD335*(1+'Model Inputs'!$B$13)+AC336,0)</f>
        <v>34234911.471380502</v>
      </c>
      <c r="AE336" s="230">
        <f>MAX(AE335*(1+'Model Inputs'!$B$13)+U336+AB336,0)</f>
        <v>902812.15240896656</v>
      </c>
      <c r="AF336" s="230">
        <f t="shared" si="179"/>
        <v>35137723.623789467</v>
      </c>
      <c r="AG336" s="226" t="str">
        <f t="shared" si="188"/>
        <v/>
      </c>
      <c r="AH336" s="226" t="str">
        <f t="shared" si="189"/>
        <v/>
      </c>
      <c r="AI336" s="226" t="str">
        <f t="shared" si="190"/>
        <v/>
      </c>
      <c r="AJ336" s="226" t="str">
        <f t="shared" si="191"/>
        <v/>
      </c>
    </row>
    <row r="337" spans="1:36" ht="18" customHeight="1" x14ac:dyDescent="0.2">
      <c r="A337" s="226" t="str">
        <f t="shared" si="180"/>
        <v>4Y -&gt; PM Y7 Base</v>
      </c>
      <c r="B337" s="226">
        <f t="shared" si="181"/>
        <v>4</v>
      </c>
      <c r="C337" s="235">
        <f t="shared" si="182"/>
        <v>3</v>
      </c>
      <c r="D337" s="226">
        <f t="shared" si="183"/>
        <v>7</v>
      </c>
      <c r="E337" s="226" t="str">
        <f t="shared" si="184"/>
        <v>Base</v>
      </c>
      <c r="F337" s="230">
        <f t="shared" si="185"/>
        <v>25000000</v>
      </c>
      <c r="G337" s="236">
        <f t="shared" si="186"/>
        <v>0.15</v>
      </c>
      <c r="H337" s="230">
        <f t="shared" si="187"/>
        <v>300000</v>
      </c>
      <c r="I337" s="236">
        <f t="shared" si="170"/>
        <v>0</v>
      </c>
      <c r="J337" s="234">
        <v>18</v>
      </c>
      <c r="K337" s="234">
        <f t="shared" si="171"/>
        <v>2043</v>
      </c>
      <c r="L337" s="230">
        <f>IF(J337=1,'Model Inputs'!$B$25*(13-'Model Inputs'!$B$23)/12,'Model Inputs'!$B$25)</f>
        <v>300000</v>
      </c>
      <c r="M337" s="230">
        <f>IF(J337=1,'Model Inputs'!$B$27*(13-'Model Inputs'!$B$23)/12,IF(J337=2,'Model Inputs'!$B$27,IF(J337&lt;=MAX(3,'Model Inputs'!$B$30+1),'Model Inputs'!$B$27*(1+'Model Inputs'!$B$28)^(J337-3),'Model Inputs'!$B$27*(1+'Model Inputs'!$B$28)^(MAX(3,'Model Inputs'!$B$30+1)-3)*(1+'Model Inputs'!$B$29)^(J337-MAX(3,'Model Inputs'!$B$30+1)))))</f>
        <v>21432424.290875554</v>
      </c>
      <c r="N337" s="236">
        <f>IF(J337&lt;=2,0,'Model Inputs'!$B$32*SIN(2*PI()*(J337-3+'Model Inputs'!$B$34)/MAX(1,'Model Inputs'!$B$33)))</f>
        <v>-5.7328325735374245E-16</v>
      </c>
      <c r="O337" s="230">
        <f t="shared" si="172"/>
        <v>21432424.290875543</v>
      </c>
      <c r="P337" s="230">
        <f t="shared" si="192"/>
        <v>14995970.906855816</v>
      </c>
      <c r="Q337" s="230">
        <f>L337+P337+IF(J337=1,'Model Inputs'!$B$26,0)</f>
        <v>15295970.906855816</v>
      </c>
      <c r="R337" s="230">
        <f t="shared" si="173"/>
        <v>45887912.72056745</v>
      </c>
      <c r="S337" s="230">
        <f t="shared" si="174"/>
        <v>4050000</v>
      </c>
      <c r="T337" s="230">
        <f t="shared" si="175"/>
        <v>4050000</v>
      </c>
      <c r="U337" s="230">
        <f>MIN(T337,'Tax Assumptions'!$B$19)</f>
        <v>24500</v>
      </c>
      <c r="V337" s="230">
        <f>MAX(T337-U337-'Tax Assumptions'!$B$8,0)</f>
        <v>4009400</v>
      </c>
      <c r="W337" s="230">
        <f>MAX(T337-U337-'Tax Assumptions'!$B$9,0)</f>
        <v>4017500</v>
      </c>
      <c r="X337" s="230">
        <f>IF(V337=0,0,LOOKUP(V337,'Tax Assumptions'!$F$9:$F$15,'Tax Assumptions'!$I$9:$I$15)+(V337-LOOKUP(V337,'Tax Assumptions'!$F$9:$F$15,'Tax Assumptions'!$F$9:$F$15))*LOOKUP(V337,'Tax Assumptions'!$F$9:$F$15,'Tax Assumptions'!$H$9:$H$15))+MIN(MAX(T337,0),'Tax Assumptions'!$B$11)*'Tax Assumptions'!$B$10+MAX(T337,0)*'Tax Assumptions'!$B$12+MAX(MAX(T337,0)-'Tax Assumptions'!$B$14,0)*'Tax Assumptions'!$B$13+MIN(T337*'Tax Assumptions'!$B$15,'Tax Assumptions'!$B$16)+MIN(T337*'Tax Assumptions'!$B$17,'Tax Assumptions'!$B$18)+IF(W337=0,0,LOOKUP(W337,'Tax Assumptions'!$K$9:$K$17,'Tax Assumptions'!$N$9:$N$17)+(W337-LOOKUP(W337,'Tax Assumptions'!$K$9:$K$17,'Tax Assumptions'!$K$9:$K$17))*LOOKUP(W337,'Tax Assumptions'!$K$9:$K$17,'Tax Assumptions'!$M$9:$M$17))+IF(W337=0,0,LOOKUP(W337,'Tax Assumptions'!$P$9:$P$12,'Tax Assumptions'!$S$9:$S$12)+(W337-LOOKUP(W337,'Tax Assumptions'!$P$9:$P$12,'Tax Assumptions'!$P$9:$P$12))*LOOKUP(W337,'Tax Assumptions'!$P$9:$P$12,'Tax Assumptions'!$R$9:$R$12))</f>
        <v>2055188.6349999998</v>
      </c>
      <c r="Y337" s="230">
        <f t="shared" si="176"/>
        <v>1970311.3650000002</v>
      </c>
      <c r="Z337" s="230">
        <f>IF(J337&lt;=10,INDEX('Savings Projection'!$BL$19:$BL$28,J337),LOOKUP(2,1/('Savings Projection'!$BL$19:$BL$28&lt;&gt;""),'Savings Projection'!$BL$19:$BL$28))*(1+'Model Inputs'!$B$35)^(J337-1)+IF(J337&lt;=10,INDEX('Savings Projection'!$BM$19:$BM$28,J337),LOOKUP(2,1/('Savings Projection'!$BM$19:$BM$28&lt;&gt;""),'Savings Projection'!$BM$19:$BM$28))*(1+'Model Inputs'!$B$36)^(J337-1)</f>
        <v>214870.1921953276</v>
      </c>
      <c r="AA337" s="230">
        <f t="shared" si="177"/>
        <v>1755441.1728046727</v>
      </c>
      <c r="AB337" s="230">
        <f>MIN(MAX(AA337,0),'Tax Assumptions'!$B$20)</f>
        <v>7500</v>
      </c>
      <c r="AC337" s="230">
        <f t="shared" si="178"/>
        <v>1747941.1728046727</v>
      </c>
      <c r="AD337" s="230">
        <f>MAX(AD336*(1+'Model Inputs'!$B$13)+AC337,0)</f>
        <v>38036947.33246801</v>
      </c>
      <c r="AE337" s="230">
        <f>MAX(AE336*(1+'Model Inputs'!$B$13)+U337+AB337,0)</f>
        <v>988980.88155350462</v>
      </c>
      <c r="AF337" s="230">
        <f t="shared" si="179"/>
        <v>39025928.214021519</v>
      </c>
      <c r="AG337" s="226" t="str">
        <f t="shared" si="188"/>
        <v/>
      </c>
      <c r="AH337" s="226" t="str">
        <f t="shared" si="189"/>
        <v/>
      </c>
      <c r="AI337" s="226" t="str">
        <f t="shared" si="190"/>
        <v/>
      </c>
      <c r="AJ337" s="226" t="str">
        <f t="shared" si="191"/>
        <v/>
      </c>
    </row>
    <row r="338" spans="1:36" ht="18" customHeight="1" x14ac:dyDescent="0.2">
      <c r="A338" s="226" t="str">
        <f t="shared" si="180"/>
        <v>4Y -&gt; PM Y7 Base</v>
      </c>
      <c r="B338" s="226">
        <f t="shared" si="181"/>
        <v>4</v>
      </c>
      <c r="C338" s="235">
        <f t="shared" si="182"/>
        <v>3</v>
      </c>
      <c r="D338" s="226">
        <f t="shared" si="183"/>
        <v>7</v>
      </c>
      <c r="E338" s="226" t="str">
        <f t="shared" si="184"/>
        <v>Base</v>
      </c>
      <c r="F338" s="230">
        <f t="shared" si="185"/>
        <v>25000000</v>
      </c>
      <c r="G338" s="236">
        <f t="shared" si="186"/>
        <v>0.15</v>
      </c>
      <c r="H338" s="230">
        <f t="shared" si="187"/>
        <v>300000</v>
      </c>
      <c r="I338" s="236">
        <f t="shared" si="170"/>
        <v>0</v>
      </c>
      <c r="J338" s="234">
        <v>19</v>
      </c>
      <c r="K338" s="234">
        <f t="shared" si="171"/>
        <v>2044</v>
      </c>
      <c r="L338" s="230">
        <f>IF(J338=1,'Model Inputs'!$B$25*(13-'Model Inputs'!$B$23)/12,'Model Inputs'!$B$25)</f>
        <v>300000</v>
      </c>
      <c r="M338" s="230">
        <f>IF(J338=1,'Model Inputs'!$B$27*(13-'Model Inputs'!$B$23)/12,IF(J338=2,'Model Inputs'!$B$27,IF(J338&lt;=MAX(3,'Model Inputs'!$B$30+1),'Model Inputs'!$B$27*(1+'Model Inputs'!$B$28)^(J338-3),'Model Inputs'!$B$27*(1+'Model Inputs'!$B$28)^(MAX(3,'Model Inputs'!$B$30+1)-3)*(1+'Model Inputs'!$B$29)^(J338-MAX(3,'Model Inputs'!$B$30+1)))))</f>
        <v>27237984.409717187</v>
      </c>
      <c r="N338" s="236">
        <f>IF(J338&lt;=2,0,'Model Inputs'!$B$32*SIN(2*PI()*(J338-3+'Model Inputs'!$B$34)/MAX(1,'Model Inputs'!$B$33)))</f>
        <v>0.10392304845413286</v>
      </c>
      <c r="O338" s="230">
        <f t="shared" si="172"/>
        <v>30068638.783321142</v>
      </c>
      <c r="P338" s="230">
        <f t="shared" si="192"/>
        <v>19852239.851888295</v>
      </c>
      <c r="Q338" s="230">
        <f>L338+P338+IF(J338=1,'Model Inputs'!$B$26,0)</f>
        <v>20152239.851888295</v>
      </c>
      <c r="R338" s="230">
        <f t="shared" si="173"/>
        <v>60456719.555664882</v>
      </c>
      <c r="S338" s="230">
        <f t="shared" si="174"/>
        <v>4050000</v>
      </c>
      <c r="T338" s="230">
        <f t="shared" si="175"/>
        <v>4050000</v>
      </c>
      <c r="U338" s="230">
        <f>MIN(T338,'Tax Assumptions'!$B$19)</f>
        <v>24500</v>
      </c>
      <c r="V338" s="230">
        <f>MAX(T338-U338-'Tax Assumptions'!$B$8,0)</f>
        <v>4009400</v>
      </c>
      <c r="W338" s="230">
        <f>MAX(T338-U338-'Tax Assumptions'!$B$9,0)</f>
        <v>4017500</v>
      </c>
      <c r="X338" s="230">
        <f>IF(V338=0,0,LOOKUP(V338,'Tax Assumptions'!$F$9:$F$15,'Tax Assumptions'!$I$9:$I$15)+(V338-LOOKUP(V338,'Tax Assumptions'!$F$9:$F$15,'Tax Assumptions'!$F$9:$F$15))*LOOKUP(V338,'Tax Assumptions'!$F$9:$F$15,'Tax Assumptions'!$H$9:$H$15))+MIN(MAX(T338,0),'Tax Assumptions'!$B$11)*'Tax Assumptions'!$B$10+MAX(T338,0)*'Tax Assumptions'!$B$12+MAX(MAX(T338,0)-'Tax Assumptions'!$B$14,0)*'Tax Assumptions'!$B$13+MIN(T338*'Tax Assumptions'!$B$15,'Tax Assumptions'!$B$16)+MIN(T338*'Tax Assumptions'!$B$17,'Tax Assumptions'!$B$18)+IF(W338=0,0,LOOKUP(W338,'Tax Assumptions'!$K$9:$K$17,'Tax Assumptions'!$N$9:$N$17)+(W338-LOOKUP(W338,'Tax Assumptions'!$K$9:$K$17,'Tax Assumptions'!$K$9:$K$17))*LOOKUP(W338,'Tax Assumptions'!$K$9:$K$17,'Tax Assumptions'!$M$9:$M$17))+IF(W338=0,0,LOOKUP(W338,'Tax Assumptions'!$P$9:$P$12,'Tax Assumptions'!$S$9:$S$12)+(W338-LOOKUP(W338,'Tax Assumptions'!$P$9:$P$12,'Tax Assumptions'!$P$9:$P$12))*LOOKUP(W338,'Tax Assumptions'!$P$9:$P$12,'Tax Assumptions'!$R$9:$R$12))</f>
        <v>2055188.6349999998</v>
      </c>
      <c r="Y338" s="230">
        <f t="shared" si="176"/>
        <v>1970311.3650000002</v>
      </c>
      <c r="Z338" s="230">
        <f>IF(J338&lt;=10,INDEX('Savings Projection'!$BL$19:$BL$28,J338),LOOKUP(2,1/('Savings Projection'!$BL$19:$BL$28&lt;&gt;""),'Savings Projection'!$BL$19:$BL$28))*(1+'Model Inputs'!$B$35)^(J338-1)+IF(J338&lt;=10,INDEX('Savings Projection'!$BM$19:$BM$28,J338),LOOKUP(2,1/('Savings Projection'!$BM$19:$BM$28&lt;&gt;""),'Savings Projection'!$BM$19:$BM$28))*(1+'Model Inputs'!$B$36)^(J338-1)</f>
        <v>221316.29796118743</v>
      </c>
      <c r="AA338" s="230">
        <f t="shared" si="177"/>
        <v>1748995.0670388127</v>
      </c>
      <c r="AB338" s="230">
        <f>MIN(MAX(AA338,0),'Tax Assumptions'!$B$20)</f>
        <v>7500</v>
      </c>
      <c r="AC338" s="230">
        <f t="shared" si="178"/>
        <v>1741495.0670388127</v>
      </c>
      <c r="AD338" s="230">
        <f>MAX(AD337*(1+'Model Inputs'!$B$13)+AC338,0)</f>
        <v>42060659.239454903</v>
      </c>
      <c r="AE338" s="230">
        <f>MAX(AE337*(1+'Model Inputs'!$B$13)+U338+AB338,0)</f>
        <v>1080319.7344467151</v>
      </c>
      <c r="AF338" s="230">
        <f t="shared" si="179"/>
        <v>43140978.973901615</v>
      </c>
      <c r="AG338" s="226" t="str">
        <f t="shared" si="188"/>
        <v/>
      </c>
      <c r="AH338" s="226" t="str">
        <f t="shared" si="189"/>
        <v/>
      </c>
      <c r="AI338" s="226" t="str">
        <f t="shared" si="190"/>
        <v/>
      </c>
      <c r="AJ338" s="226" t="str">
        <f t="shared" si="191"/>
        <v/>
      </c>
    </row>
    <row r="339" spans="1:36" ht="18" customHeight="1" x14ac:dyDescent="0.2">
      <c r="A339" s="226" t="str">
        <f t="shared" si="180"/>
        <v>4Y -&gt; PM Y7 Base</v>
      </c>
      <c r="B339" s="226">
        <f t="shared" si="181"/>
        <v>4</v>
      </c>
      <c r="C339" s="235">
        <f t="shared" si="182"/>
        <v>3</v>
      </c>
      <c r="D339" s="226">
        <f t="shared" si="183"/>
        <v>7</v>
      </c>
      <c r="E339" s="226" t="str">
        <f t="shared" si="184"/>
        <v>Base</v>
      </c>
      <c r="F339" s="230">
        <f t="shared" si="185"/>
        <v>25000000</v>
      </c>
      <c r="G339" s="236">
        <f t="shared" si="186"/>
        <v>0.15</v>
      </c>
      <c r="H339" s="230">
        <f t="shared" si="187"/>
        <v>300000</v>
      </c>
      <c r="I339" s="236">
        <f t="shared" si="170"/>
        <v>0</v>
      </c>
      <c r="J339" s="234">
        <v>20</v>
      </c>
      <c r="K339" s="234">
        <f t="shared" si="171"/>
        <v>2045</v>
      </c>
      <c r="L339" s="230">
        <f>IF(J339=1,'Model Inputs'!$B$25*(13-'Model Inputs'!$B$23)/12,'Model Inputs'!$B$25)</f>
        <v>300000</v>
      </c>
      <c r="M339" s="230">
        <f>IF(J339=1,'Model Inputs'!$B$27*(13-'Model Inputs'!$B$23)/12,IF(J339=2,'Model Inputs'!$B$27,IF(J339&lt;=MAX(3,'Model Inputs'!$B$30+1),'Model Inputs'!$B$27*(1+'Model Inputs'!$B$28)^(J339-3),'Model Inputs'!$B$27*(1+'Model Inputs'!$B$28)^(MAX(3,'Model Inputs'!$B$30+1)-3)*(1+'Model Inputs'!$B$29)^(J339-MAX(3,'Model Inputs'!$B$30+1)))))</f>
        <v>34616139.762586243</v>
      </c>
      <c r="N339" s="236">
        <f>IF(J339&lt;=2,0,'Model Inputs'!$B$32*SIN(2*PI()*(J339-3+'Model Inputs'!$B$34)/MAX(1,'Model Inputs'!$B$33)))</f>
        <v>-0.10392304845413269</v>
      </c>
      <c r="O339" s="230">
        <f t="shared" si="172"/>
        <v>31018724.992743965</v>
      </c>
      <c r="P339" s="230">
        <f t="shared" si="192"/>
        <v>27909585.160209741</v>
      </c>
      <c r="Q339" s="230">
        <f>L339+P339+IF(J339=1,'Model Inputs'!$B$26,0)</f>
        <v>28209585.160209741</v>
      </c>
      <c r="R339" s="230">
        <f t="shared" si="173"/>
        <v>84628755.480629221</v>
      </c>
      <c r="S339" s="230">
        <f t="shared" si="174"/>
        <v>4050000</v>
      </c>
      <c r="T339" s="230">
        <f t="shared" si="175"/>
        <v>4050000</v>
      </c>
      <c r="U339" s="230">
        <f>MIN(T339,'Tax Assumptions'!$B$19)</f>
        <v>24500</v>
      </c>
      <c r="V339" s="230">
        <f>MAX(T339-U339-'Tax Assumptions'!$B$8,0)</f>
        <v>4009400</v>
      </c>
      <c r="W339" s="230">
        <f>MAX(T339-U339-'Tax Assumptions'!$B$9,0)</f>
        <v>4017500</v>
      </c>
      <c r="X339" s="230">
        <f>IF(V339=0,0,LOOKUP(V339,'Tax Assumptions'!$F$9:$F$15,'Tax Assumptions'!$I$9:$I$15)+(V339-LOOKUP(V339,'Tax Assumptions'!$F$9:$F$15,'Tax Assumptions'!$F$9:$F$15))*LOOKUP(V339,'Tax Assumptions'!$F$9:$F$15,'Tax Assumptions'!$H$9:$H$15))+MIN(MAX(T339,0),'Tax Assumptions'!$B$11)*'Tax Assumptions'!$B$10+MAX(T339,0)*'Tax Assumptions'!$B$12+MAX(MAX(T339,0)-'Tax Assumptions'!$B$14,0)*'Tax Assumptions'!$B$13+MIN(T339*'Tax Assumptions'!$B$15,'Tax Assumptions'!$B$16)+MIN(T339*'Tax Assumptions'!$B$17,'Tax Assumptions'!$B$18)+IF(W339=0,0,LOOKUP(W339,'Tax Assumptions'!$K$9:$K$17,'Tax Assumptions'!$N$9:$N$17)+(W339-LOOKUP(W339,'Tax Assumptions'!$K$9:$K$17,'Tax Assumptions'!$K$9:$K$17))*LOOKUP(W339,'Tax Assumptions'!$K$9:$K$17,'Tax Assumptions'!$M$9:$M$17))+IF(W339=0,0,LOOKUP(W339,'Tax Assumptions'!$P$9:$P$12,'Tax Assumptions'!$S$9:$S$12)+(W339-LOOKUP(W339,'Tax Assumptions'!$P$9:$P$12,'Tax Assumptions'!$P$9:$P$12))*LOOKUP(W339,'Tax Assumptions'!$P$9:$P$12,'Tax Assumptions'!$R$9:$R$12))</f>
        <v>2055188.6349999998</v>
      </c>
      <c r="Y339" s="230">
        <f t="shared" si="176"/>
        <v>1970311.3650000002</v>
      </c>
      <c r="Z339" s="230">
        <f>IF(J339&lt;=10,INDEX('Savings Projection'!$BL$19:$BL$28,J339),LOOKUP(2,1/('Savings Projection'!$BL$19:$BL$28&lt;&gt;""),'Savings Projection'!$BL$19:$BL$28))*(1+'Model Inputs'!$B$35)^(J339-1)+IF(J339&lt;=10,INDEX('Savings Projection'!$BM$19:$BM$28,J339),LOOKUP(2,1/('Savings Projection'!$BM$19:$BM$28&lt;&gt;""),'Savings Projection'!$BM$19:$BM$28))*(1+'Model Inputs'!$B$36)^(J339-1)</f>
        <v>227955.78690002306</v>
      </c>
      <c r="AA339" s="230">
        <f t="shared" si="177"/>
        <v>1742355.5780999772</v>
      </c>
      <c r="AB339" s="230">
        <f>MIN(MAX(AA339,0),'Tax Assumptions'!$B$20)</f>
        <v>7500</v>
      </c>
      <c r="AC339" s="230">
        <f t="shared" si="178"/>
        <v>1734855.5780999772</v>
      </c>
      <c r="AD339" s="230">
        <f>MAX(AD338*(1+'Model Inputs'!$B$13)+AC339,0)</f>
        <v>46319154.37192218</v>
      </c>
      <c r="AE339" s="230">
        <f>MAX(AE338*(1+'Model Inputs'!$B$13)+U339+AB339,0)</f>
        <v>1177138.9185135181</v>
      </c>
      <c r="AF339" s="230">
        <f t="shared" si="179"/>
        <v>47496293.290435702</v>
      </c>
      <c r="AG339" s="226" t="str">
        <f t="shared" si="188"/>
        <v/>
      </c>
      <c r="AH339" s="226" t="str">
        <f t="shared" si="189"/>
        <v/>
      </c>
      <c r="AI339" s="226" t="str">
        <f t="shared" si="190"/>
        <v/>
      </c>
      <c r="AJ339" s="226" t="str">
        <f t="shared" si="191"/>
        <v/>
      </c>
    </row>
    <row r="340" spans="1:36" ht="18" customHeight="1" x14ac:dyDescent="0.2">
      <c r="A340" s="226" t="str">
        <f t="shared" si="180"/>
        <v>4Y -&gt; PM Y7 Base</v>
      </c>
      <c r="B340" s="226">
        <f t="shared" si="181"/>
        <v>4</v>
      </c>
      <c r="C340" s="235">
        <f t="shared" si="182"/>
        <v>3</v>
      </c>
      <c r="D340" s="226">
        <f t="shared" si="183"/>
        <v>7</v>
      </c>
      <c r="E340" s="226" t="str">
        <f t="shared" si="184"/>
        <v>Base</v>
      </c>
      <c r="F340" s="230">
        <f t="shared" si="185"/>
        <v>25000000</v>
      </c>
      <c r="G340" s="236">
        <f t="shared" si="186"/>
        <v>0.15</v>
      </c>
      <c r="H340" s="230">
        <f t="shared" si="187"/>
        <v>300000</v>
      </c>
      <c r="I340" s="236">
        <f t="shared" si="170"/>
        <v>0</v>
      </c>
      <c r="J340" s="234">
        <v>21</v>
      </c>
      <c r="K340" s="234">
        <f t="shared" si="171"/>
        <v>2046</v>
      </c>
      <c r="L340" s="230">
        <f>IF(J340=1,'Model Inputs'!$B$25*(13-'Model Inputs'!$B$23)/12,'Model Inputs'!$B$25)</f>
        <v>300000</v>
      </c>
      <c r="M340" s="230">
        <f>IF(J340=1,'Model Inputs'!$B$27*(13-'Model Inputs'!$B$23)/12,IF(J340=2,'Model Inputs'!$B$27,IF(J340&lt;=MAX(3,'Model Inputs'!$B$30+1),'Model Inputs'!$B$27*(1+'Model Inputs'!$B$28)^(J340-3),'Model Inputs'!$B$27*(1+'Model Inputs'!$B$28)^(MAX(3,'Model Inputs'!$B$30+1)-3)*(1+'Model Inputs'!$B$29)^(J340-MAX(3,'Model Inputs'!$B$30+1)))))</f>
        <v>43992870.912849829</v>
      </c>
      <c r="N340" s="236">
        <f>IF(J340&lt;=2,0,'Model Inputs'!$B$32*SIN(2*PI()*(J340-3+'Model Inputs'!$B$34)/MAX(1,'Model Inputs'!$B$33)))</f>
        <v>-1.7634913907721884E-16</v>
      </c>
      <c r="O340" s="230">
        <f t="shared" si="172"/>
        <v>43992870.912849821</v>
      </c>
      <c r="P340" s="230">
        <f t="shared" si="192"/>
        <v>30781203.440388259</v>
      </c>
      <c r="Q340" s="230">
        <f>L340+P340+IF(J340=1,'Model Inputs'!$B$26,0)</f>
        <v>31081203.440388259</v>
      </c>
      <c r="R340" s="230">
        <f t="shared" si="173"/>
        <v>93243610.321164772</v>
      </c>
      <c r="S340" s="230">
        <f t="shared" si="174"/>
        <v>4050000</v>
      </c>
      <c r="T340" s="230">
        <f t="shared" si="175"/>
        <v>4050000</v>
      </c>
      <c r="U340" s="230">
        <f>MIN(T340,'Tax Assumptions'!$B$19)</f>
        <v>24500</v>
      </c>
      <c r="V340" s="230">
        <f>MAX(T340-U340-'Tax Assumptions'!$B$8,0)</f>
        <v>4009400</v>
      </c>
      <c r="W340" s="230">
        <f>MAX(T340-U340-'Tax Assumptions'!$B$9,0)</f>
        <v>4017500</v>
      </c>
      <c r="X340" s="230">
        <f>IF(V340=0,0,LOOKUP(V340,'Tax Assumptions'!$F$9:$F$15,'Tax Assumptions'!$I$9:$I$15)+(V340-LOOKUP(V340,'Tax Assumptions'!$F$9:$F$15,'Tax Assumptions'!$F$9:$F$15))*LOOKUP(V340,'Tax Assumptions'!$F$9:$F$15,'Tax Assumptions'!$H$9:$H$15))+MIN(MAX(T340,0),'Tax Assumptions'!$B$11)*'Tax Assumptions'!$B$10+MAX(T340,0)*'Tax Assumptions'!$B$12+MAX(MAX(T340,0)-'Tax Assumptions'!$B$14,0)*'Tax Assumptions'!$B$13+MIN(T340*'Tax Assumptions'!$B$15,'Tax Assumptions'!$B$16)+MIN(T340*'Tax Assumptions'!$B$17,'Tax Assumptions'!$B$18)+IF(W340=0,0,LOOKUP(W340,'Tax Assumptions'!$K$9:$K$17,'Tax Assumptions'!$N$9:$N$17)+(W340-LOOKUP(W340,'Tax Assumptions'!$K$9:$K$17,'Tax Assumptions'!$K$9:$K$17))*LOOKUP(W340,'Tax Assumptions'!$K$9:$K$17,'Tax Assumptions'!$M$9:$M$17))+IF(W340=0,0,LOOKUP(W340,'Tax Assumptions'!$P$9:$P$12,'Tax Assumptions'!$S$9:$S$12)+(W340-LOOKUP(W340,'Tax Assumptions'!$P$9:$P$12,'Tax Assumptions'!$P$9:$P$12))*LOOKUP(W340,'Tax Assumptions'!$P$9:$P$12,'Tax Assumptions'!$R$9:$R$12))</f>
        <v>2055188.6349999998</v>
      </c>
      <c r="Y340" s="230">
        <f t="shared" si="176"/>
        <v>1970311.3650000002</v>
      </c>
      <c r="Z340" s="230">
        <f>IF(J340&lt;=10,INDEX('Savings Projection'!$BL$19:$BL$28,J340),LOOKUP(2,1/('Savings Projection'!$BL$19:$BL$28&lt;&gt;""),'Savings Projection'!$BL$19:$BL$28))*(1+'Model Inputs'!$B$35)^(J340-1)+IF(J340&lt;=10,INDEX('Savings Projection'!$BM$19:$BM$28,J340),LOOKUP(2,1/('Savings Projection'!$BM$19:$BM$28&lt;&gt;""),'Savings Projection'!$BM$19:$BM$28))*(1+'Model Inputs'!$B$36)^(J340-1)</f>
        <v>234794.46050702373</v>
      </c>
      <c r="AA340" s="230">
        <f t="shared" si="177"/>
        <v>1735516.9044929766</v>
      </c>
      <c r="AB340" s="230">
        <f>MIN(MAX(AA340,0),'Tax Assumptions'!$B$20)</f>
        <v>7500</v>
      </c>
      <c r="AC340" s="230">
        <f t="shared" si="178"/>
        <v>1728016.9044929766</v>
      </c>
      <c r="AD340" s="230">
        <f>MAX(AD339*(1+'Model Inputs'!$B$13)+AC340,0)</f>
        <v>50826320.538730487</v>
      </c>
      <c r="AE340" s="230">
        <f>MAX(AE339*(1+'Model Inputs'!$B$13)+U340+AB340,0)</f>
        <v>1279767.2536243291</v>
      </c>
      <c r="AF340" s="230">
        <f t="shared" si="179"/>
        <v>52106087.792354815</v>
      </c>
      <c r="AG340" s="226" t="str">
        <f t="shared" si="188"/>
        <v/>
      </c>
      <c r="AH340" s="226" t="str">
        <f t="shared" si="189"/>
        <v/>
      </c>
      <c r="AI340" s="226" t="str">
        <f t="shared" si="190"/>
        <v/>
      </c>
      <c r="AJ340" s="226" t="str">
        <f t="shared" si="191"/>
        <v/>
      </c>
    </row>
    <row r="341" spans="1:36" ht="18" customHeight="1" x14ac:dyDescent="0.2">
      <c r="A341" s="226" t="str">
        <f t="shared" si="180"/>
        <v>4Y -&gt; PM Y7 Base</v>
      </c>
      <c r="B341" s="226">
        <f t="shared" si="181"/>
        <v>4</v>
      </c>
      <c r="C341" s="235">
        <f t="shared" si="182"/>
        <v>3</v>
      </c>
      <c r="D341" s="226">
        <f t="shared" si="183"/>
        <v>7</v>
      </c>
      <c r="E341" s="226" t="str">
        <f t="shared" si="184"/>
        <v>Base</v>
      </c>
      <c r="F341" s="230">
        <f t="shared" si="185"/>
        <v>25000000</v>
      </c>
      <c r="G341" s="236">
        <f t="shared" si="186"/>
        <v>0.15</v>
      </c>
      <c r="H341" s="230">
        <f t="shared" si="187"/>
        <v>300000</v>
      </c>
      <c r="I341" s="236">
        <f t="shared" si="170"/>
        <v>0</v>
      </c>
      <c r="J341" s="234">
        <v>22</v>
      </c>
      <c r="K341" s="234">
        <f t="shared" si="171"/>
        <v>2047</v>
      </c>
      <c r="L341" s="230">
        <f>IF(J341=1,'Model Inputs'!$B$25*(13-'Model Inputs'!$B$23)/12,'Model Inputs'!$B$25)</f>
        <v>300000</v>
      </c>
      <c r="M341" s="230">
        <f>IF(J341=1,'Model Inputs'!$B$27*(13-'Model Inputs'!$B$23)/12,IF(J341=2,'Model Inputs'!$B$27,IF(J341&lt;=MAX(3,'Model Inputs'!$B$30+1),'Model Inputs'!$B$27*(1+'Model Inputs'!$B$28)^(J341-3),'Model Inputs'!$B$27*(1+'Model Inputs'!$B$28)^(MAX(3,'Model Inputs'!$B$30+1)-3)*(1+'Model Inputs'!$B$29)^(J341-MAX(3,'Model Inputs'!$B$30+1)))))</f>
        <v>55909546.9462616</v>
      </c>
      <c r="N341" s="236">
        <f>IF(J341&lt;=2,0,'Model Inputs'!$B$32*SIN(2*PI()*(J341-3+'Model Inputs'!$B$34)/MAX(1,'Model Inputs'!$B$33)))</f>
        <v>0.10392304845413287</v>
      </c>
      <c r="O341" s="230">
        <f t="shared" si="172"/>
        <v>61719837.502606563</v>
      </c>
      <c r="P341" s="230">
        <f t="shared" si="192"/>
        <v>40749334.43282336</v>
      </c>
      <c r="Q341" s="230">
        <f>L341+P341+IF(J341=1,'Model Inputs'!$B$26,0)</f>
        <v>41049334.43282336</v>
      </c>
      <c r="R341" s="230">
        <f t="shared" si="173"/>
        <v>123148003.29847008</v>
      </c>
      <c r="S341" s="230">
        <f t="shared" si="174"/>
        <v>4050000</v>
      </c>
      <c r="T341" s="230">
        <f t="shared" si="175"/>
        <v>4050000</v>
      </c>
      <c r="U341" s="230">
        <f>MIN(T341,'Tax Assumptions'!$B$19)</f>
        <v>24500</v>
      </c>
      <c r="V341" s="230">
        <f>MAX(T341-U341-'Tax Assumptions'!$B$8,0)</f>
        <v>4009400</v>
      </c>
      <c r="W341" s="230">
        <f>MAX(T341-U341-'Tax Assumptions'!$B$9,0)</f>
        <v>4017500</v>
      </c>
      <c r="X341" s="230">
        <f>IF(V341=0,0,LOOKUP(V341,'Tax Assumptions'!$F$9:$F$15,'Tax Assumptions'!$I$9:$I$15)+(V341-LOOKUP(V341,'Tax Assumptions'!$F$9:$F$15,'Tax Assumptions'!$F$9:$F$15))*LOOKUP(V341,'Tax Assumptions'!$F$9:$F$15,'Tax Assumptions'!$H$9:$H$15))+MIN(MAX(T341,0),'Tax Assumptions'!$B$11)*'Tax Assumptions'!$B$10+MAX(T341,0)*'Tax Assumptions'!$B$12+MAX(MAX(T341,0)-'Tax Assumptions'!$B$14,0)*'Tax Assumptions'!$B$13+MIN(T341*'Tax Assumptions'!$B$15,'Tax Assumptions'!$B$16)+MIN(T341*'Tax Assumptions'!$B$17,'Tax Assumptions'!$B$18)+IF(W341=0,0,LOOKUP(W341,'Tax Assumptions'!$K$9:$K$17,'Tax Assumptions'!$N$9:$N$17)+(W341-LOOKUP(W341,'Tax Assumptions'!$K$9:$K$17,'Tax Assumptions'!$K$9:$K$17))*LOOKUP(W341,'Tax Assumptions'!$K$9:$K$17,'Tax Assumptions'!$M$9:$M$17))+IF(W341=0,0,LOOKUP(W341,'Tax Assumptions'!$P$9:$P$12,'Tax Assumptions'!$S$9:$S$12)+(W341-LOOKUP(W341,'Tax Assumptions'!$P$9:$P$12,'Tax Assumptions'!$P$9:$P$12))*LOOKUP(W341,'Tax Assumptions'!$P$9:$P$12,'Tax Assumptions'!$R$9:$R$12))</f>
        <v>2055188.6349999998</v>
      </c>
      <c r="Y341" s="230">
        <f t="shared" si="176"/>
        <v>1970311.3650000002</v>
      </c>
      <c r="Z341" s="230">
        <f>IF(J341&lt;=10,INDEX('Savings Projection'!$BL$19:$BL$28,J341),LOOKUP(2,1/('Savings Projection'!$BL$19:$BL$28&lt;&gt;""),'Savings Projection'!$BL$19:$BL$28))*(1+'Model Inputs'!$B$35)^(J341-1)+IF(J341&lt;=10,INDEX('Savings Projection'!$BM$19:$BM$28,J341),LOOKUP(2,1/('Savings Projection'!$BM$19:$BM$28&lt;&gt;""),'Savings Projection'!$BM$19:$BM$28))*(1+'Model Inputs'!$B$36)^(J341-1)</f>
        <v>241838.2943222344</v>
      </c>
      <c r="AA341" s="230">
        <f t="shared" si="177"/>
        <v>1728473.0706777659</v>
      </c>
      <c r="AB341" s="230">
        <f>MIN(MAX(AA341,0),'Tax Assumptions'!$B$20)</f>
        <v>7500</v>
      </c>
      <c r="AC341" s="230">
        <f t="shared" si="178"/>
        <v>1720973.0706777659</v>
      </c>
      <c r="AD341" s="230">
        <f>MAX(AD340*(1+'Model Inputs'!$B$13)+AC341,0)</f>
        <v>55596872.841732085</v>
      </c>
      <c r="AE341" s="230">
        <f>MAX(AE340*(1+'Model Inputs'!$B$13)+U341+AB341,0)</f>
        <v>1388553.2888417889</v>
      </c>
      <c r="AF341" s="230">
        <f t="shared" si="179"/>
        <v>56985426.130573876</v>
      </c>
      <c r="AG341" s="226" t="str">
        <f t="shared" si="188"/>
        <v/>
      </c>
      <c r="AH341" s="226" t="str">
        <f t="shared" si="189"/>
        <v/>
      </c>
      <c r="AI341" s="226" t="str">
        <f t="shared" si="190"/>
        <v/>
      </c>
      <c r="AJ341" s="226" t="str">
        <f t="shared" si="191"/>
        <v/>
      </c>
    </row>
    <row r="342" spans="1:36" ht="18" customHeight="1" x14ac:dyDescent="0.2">
      <c r="A342" s="226" t="str">
        <f t="shared" si="180"/>
        <v>4Y -&gt; PM Y7 Base</v>
      </c>
      <c r="B342" s="226">
        <f t="shared" si="181"/>
        <v>4</v>
      </c>
      <c r="C342" s="235">
        <f t="shared" si="182"/>
        <v>3</v>
      </c>
      <c r="D342" s="226">
        <f t="shared" si="183"/>
        <v>7</v>
      </c>
      <c r="E342" s="226" t="str">
        <f t="shared" si="184"/>
        <v>Base</v>
      </c>
      <c r="F342" s="230">
        <f t="shared" si="185"/>
        <v>25000000</v>
      </c>
      <c r="G342" s="236">
        <f t="shared" si="186"/>
        <v>0.15</v>
      </c>
      <c r="H342" s="230">
        <f t="shared" si="187"/>
        <v>300000</v>
      </c>
      <c r="I342" s="236">
        <f t="shared" si="170"/>
        <v>0</v>
      </c>
      <c r="J342" s="234">
        <v>23</v>
      </c>
      <c r="K342" s="234">
        <f t="shared" si="171"/>
        <v>2048</v>
      </c>
      <c r="L342" s="230">
        <f>IF(J342=1,'Model Inputs'!$B$25*(13-'Model Inputs'!$B$23)/12,'Model Inputs'!$B$25)</f>
        <v>300000</v>
      </c>
      <c r="M342" s="230">
        <f>IF(J342=1,'Model Inputs'!$B$27*(13-'Model Inputs'!$B$23)/12,IF(J342=2,'Model Inputs'!$B$27,IF(J342&lt;=MAX(3,'Model Inputs'!$B$30+1),'Model Inputs'!$B$27*(1+'Model Inputs'!$B$28)^(J342-3),'Model Inputs'!$B$27*(1+'Model Inputs'!$B$28)^(MAX(3,'Model Inputs'!$B$30+1)-3)*(1+'Model Inputs'!$B$29)^(J342-MAX(3,'Model Inputs'!$B$30+1)))))</f>
        <v>71054181.617940187</v>
      </c>
      <c r="N342" s="236">
        <f>IF(J342&lt;=2,0,'Model Inputs'!$B$32*SIN(2*PI()*(J342-3+'Model Inputs'!$B$34)/MAX(1,'Model Inputs'!$B$33)))</f>
        <v>-0.10392304845413268</v>
      </c>
      <c r="O342" s="230">
        <f t="shared" si="172"/>
        <v>63670014.458790243</v>
      </c>
      <c r="P342" s="230">
        <f t="shared" si="192"/>
        <v>57288095.855167374</v>
      </c>
      <c r="Q342" s="230">
        <f>L342+P342+IF(J342=1,'Model Inputs'!$B$26,0)</f>
        <v>57588095.855167374</v>
      </c>
      <c r="R342" s="230">
        <f t="shared" si="173"/>
        <v>172764287.56550211</v>
      </c>
      <c r="S342" s="230">
        <f t="shared" si="174"/>
        <v>4050000</v>
      </c>
      <c r="T342" s="230">
        <f t="shared" si="175"/>
        <v>4050000</v>
      </c>
      <c r="U342" s="230">
        <f>MIN(T342,'Tax Assumptions'!$B$19)</f>
        <v>24500</v>
      </c>
      <c r="V342" s="230">
        <f>MAX(T342-U342-'Tax Assumptions'!$B$8,0)</f>
        <v>4009400</v>
      </c>
      <c r="W342" s="230">
        <f>MAX(T342-U342-'Tax Assumptions'!$B$9,0)</f>
        <v>4017500</v>
      </c>
      <c r="X342" s="230">
        <f>IF(V342=0,0,LOOKUP(V342,'Tax Assumptions'!$F$9:$F$15,'Tax Assumptions'!$I$9:$I$15)+(V342-LOOKUP(V342,'Tax Assumptions'!$F$9:$F$15,'Tax Assumptions'!$F$9:$F$15))*LOOKUP(V342,'Tax Assumptions'!$F$9:$F$15,'Tax Assumptions'!$H$9:$H$15))+MIN(MAX(T342,0),'Tax Assumptions'!$B$11)*'Tax Assumptions'!$B$10+MAX(T342,0)*'Tax Assumptions'!$B$12+MAX(MAX(T342,0)-'Tax Assumptions'!$B$14,0)*'Tax Assumptions'!$B$13+MIN(T342*'Tax Assumptions'!$B$15,'Tax Assumptions'!$B$16)+MIN(T342*'Tax Assumptions'!$B$17,'Tax Assumptions'!$B$18)+IF(W342=0,0,LOOKUP(W342,'Tax Assumptions'!$K$9:$K$17,'Tax Assumptions'!$N$9:$N$17)+(W342-LOOKUP(W342,'Tax Assumptions'!$K$9:$K$17,'Tax Assumptions'!$K$9:$K$17))*LOOKUP(W342,'Tax Assumptions'!$K$9:$K$17,'Tax Assumptions'!$M$9:$M$17))+IF(W342=0,0,LOOKUP(W342,'Tax Assumptions'!$P$9:$P$12,'Tax Assumptions'!$S$9:$S$12)+(W342-LOOKUP(W342,'Tax Assumptions'!$P$9:$P$12,'Tax Assumptions'!$P$9:$P$12))*LOOKUP(W342,'Tax Assumptions'!$P$9:$P$12,'Tax Assumptions'!$R$9:$R$12))</f>
        <v>2055188.6349999998</v>
      </c>
      <c r="Y342" s="230">
        <f t="shared" si="176"/>
        <v>1970311.3650000002</v>
      </c>
      <c r="Z342" s="230">
        <f>IF(J342&lt;=10,INDEX('Savings Projection'!$BL$19:$BL$28,J342),LOOKUP(2,1/('Savings Projection'!$BL$19:$BL$28&lt;&gt;""),'Savings Projection'!$BL$19:$BL$28))*(1+'Model Inputs'!$B$35)^(J342-1)+IF(J342&lt;=10,INDEX('Savings Projection'!$BM$19:$BM$28,J342),LOOKUP(2,1/('Savings Projection'!$BM$19:$BM$28&lt;&gt;""),'Savings Projection'!$BM$19:$BM$28))*(1+'Model Inputs'!$B$36)^(J342-1)</f>
        <v>249093.44315190148</v>
      </c>
      <c r="AA342" s="230">
        <f t="shared" si="177"/>
        <v>1721217.9218480987</v>
      </c>
      <c r="AB342" s="230">
        <f>MIN(MAX(AA342,0),'Tax Assumptions'!$B$20)</f>
        <v>7500</v>
      </c>
      <c r="AC342" s="230">
        <f t="shared" si="178"/>
        <v>1713717.9218480987</v>
      </c>
      <c r="AD342" s="230">
        <f>MAX(AD341*(1+'Model Inputs'!$B$13)+AC342,0)</f>
        <v>60646403.134084105</v>
      </c>
      <c r="AE342" s="230">
        <f>MAX(AE341*(1+'Model Inputs'!$B$13)+U342+AB342,0)</f>
        <v>1503866.4861722963</v>
      </c>
      <c r="AF342" s="230">
        <f t="shared" si="179"/>
        <v>62150269.620256402</v>
      </c>
      <c r="AG342" s="226" t="str">
        <f t="shared" si="188"/>
        <v/>
      </c>
      <c r="AH342" s="226" t="str">
        <f t="shared" si="189"/>
        <v/>
      </c>
      <c r="AI342" s="226" t="str">
        <f t="shared" si="190"/>
        <v/>
      </c>
      <c r="AJ342" s="226" t="str">
        <f t="shared" si="191"/>
        <v/>
      </c>
    </row>
    <row r="343" spans="1:36" ht="18" customHeight="1" x14ac:dyDescent="0.2">
      <c r="A343" s="226" t="str">
        <f t="shared" si="180"/>
        <v>4Y -&gt; PM Y7 Base</v>
      </c>
      <c r="B343" s="226">
        <f t="shared" si="181"/>
        <v>4</v>
      </c>
      <c r="C343" s="235">
        <f t="shared" si="182"/>
        <v>3</v>
      </c>
      <c r="D343" s="226">
        <f t="shared" si="183"/>
        <v>7</v>
      </c>
      <c r="E343" s="226" t="str">
        <f t="shared" si="184"/>
        <v>Base</v>
      </c>
      <c r="F343" s="230">
        <f t="shared" si="185"/>
        <v>25000000</v>
      </c>
      <c r="G343" s="236">
        <f t="shared" si="186"/>
        <v>0.15</v>
      </c>
      <c r="H343" s="230">
        <f t="shared" si="187"/>
        <v>300000</v>
      </c>
      <c r="I343" s="236">
        <f t="shared" si="170"/>
        <v>0</v>
      </c>
      <c r="J343" s="234">
        <v>24</v>
      </c>
      <c r="K343" s="234">
        <f t="shared" si="171"/>
        <v>2049</v>
      </c>
      <c r="L343" s="230">
        <f>IF(J343=1,'Model Inputs'!$B$25*(13-'Model Inputs'!$B$23)/12,'Model Inputs'!$B$25)</f>
        <v>300000</v>
      </c>
      <c r="M343" s="230">
        <f>IF(J343=1,'Model Inputs'!$B$27*(13-'Model Inputs'!$B$23)/12,IF(J343=2,'Model Inputs'!$B$27,IF(J343&lt;=MAX(3,'Model Inputs'!$B$30+1),'Model Inputs'!$B$27*(1+'Model Inputs'!$B$28)^(J343-3),'Model Inputs'!$B$27*(1+'Model Inputs'!$B$28)^(MAX(3,'Model Inputs'!$B$30+1)-3)*(1+'Model Inputs'!$B$29)^(J343-MAX(3,'Model Inputs'!$B$30+1)))))</f>
        <v>90301156.084270701</v>
      </c>
      <c r="N343" s="236">
        <f>IF(J343&lt;=2,0,'Model Inputs'!$B$32*SIN(2*PI()*(J343-3+'Model Inputs'!$B$34)/MAX(1,'Model Inputs'!$B$33)))</f>
        <v>-2.0574066225675533E-16</v>
      </c>
      <c r="O343" s="230">
        <f t="shared" si="172"/>
        <v>90301156.084270686</v>
      </c>
      <c r="P343" s="230">
        <f t="shared" si="192"/>
        <v>63182470.219744325</v>
      </c>
      <c r="Q343" s="230">
        <f>L343+P343+IF(J343=1,'Model Inputs'!$B$26,0)</f>
        <v>63482470.219744325</v>
      </c>
      <c r="R343" s="230">
        <f t="shared" si="173"/>
        <v>190447410.65923297</v>
      </c>
      <c r="S343" s="230">
        <f t="shared" si="174"/>
        <v>4050000</v>
      </c>
      <c r="T343" s="230">
        <f t="shared" si="175"/>
        <v>4050000</v>
      </c>
      <c r="U343" s="230">
        <f>MIN(T343,'Tax Assumptions'!$B$19)</f>
        <v>24500</v>
      </c>
      <c r="V343" s="230">
        <f>MAX(T343-U343-'Tax Assumptions'!$B$8,0)</f>
        <v>4009400</v>
      </c>
      <c r="W343" s="230">
        <f>MAX(T343-U343-'Tax Assumptions'!$B$9,0)</f>
        <v>4017500</v>
      </c>
      <c r="X343" s="230">
        <f>IF(V343=0,0,LOOKUP(V343,'Tax Assumptions'!$F$9:$F$15,'Tax Assumptions'!$I$9:$I$15)+(V343-LOOKUP(V343,'Tax Assumptions'!$F$9:$F$15,'Tax Assumptions'!$F$9:$F$15))*LOOKUP(V343,'Tax Assumptions'!$F$9:$F$15,'Tax Assumptions'!$H$9:$H$15))+MIN(MAX(T343,0),'Tax Assumptions'!$B$11)*'Tax Assumptions'!$B$10+MAX(T343,0)*'Tax Assumptions'!$B$12+MAX(MAX(T343,0)-'Tax Assumptions'!$B$14,0)*'Tax Assumptions'!$B$13+MIN(T343*'Tax Assumptions'!$B$15,'Tax Assumptions'!$B$16)+MIN(T343*'Tax Assumptions'!$B$17,'Tax Assumptions'!$B$18)+IF(W343=0,0,LOOKUP(W343,'Tax Assumptions'!$K$9:$K$17,'Tax Assumptions'!$N$9:$N$17)+(W343-LOOKUP(W343,'Tax Assumptions'!$K$9:$K$17,'Tax Assumptions'!$K$9:$K$17))*LOOKUP(W343,'Tax Assumptions'!$K$9:$K$17,'Tax Assumptions'!$M$9:$M$17))+IF(W343=0,0,LOOKUP(W343,'Tax Assumptions'!$P$9:$P$12,'Tax Assumptions'!$S$9:$S$12)+(W343-LOOKUP(W343,'Tax Assumptions'!$P$9:$P$12,'Tax Assumptions'!$P$9:$P$12))*LOOKUP(W343,'Tax Assumptions'!$P$9:$P$12,'Tax Assumptions'!$R$9:$R$12))</f>
        <v>2055188.6349999998</v>
      </c>
      <c r="Y343" s="230">
        <f t="shared" si="176"/>
        <v>1970311.3650000002</v>
      </c>
      <c r="Z343" s="230">
        <f>IF(J343&lt;=10,INDEX('Savings Projection'!$BL$19:$BL$28,J343),LOOKUP(2,1/('Savings Projection'!$BL$19:$BL$28&lt;&gt;""),'Savings Projection'!$BL$19:$BL$28))*(1+'Model Inputs'!$B$35)^(J343-1)+IF(J343&lt;=10,INDEX('Savings Projection'!$BM$19:$BM$28,J343),LOOKUP(2,1/('Savings Projection'!$BM$19:$BM$28&lt;&gt;""),'Savings Projection'!$BM$19:$BM$28))*(1+'Model Inputs'!$B$36)^(J343-1)</f>
        <v>256566.24644645851</v>
      </c>
      <c r="AA343" s="230">
        <f t="shared" si="177"/>
        <v>1713745.1185535416</v>
      </c>
      <c r="AB343" s="230">
        <f>MIN(MAX(AA343,0),'Tax Assumptions'!$B$20)</f>
        <v>7500</v>
      </c>
      <c r="AC343" s="230">
        <f t="shared" si="178"/>
        <v>1706245.1185535416</v>
      </c>
      <c r="AD343" s="230">
        <f>MAX(AD342*(1+'Model Inputs'!$B$13)+AC343,0)</f>
        <v>65991432.440682694</v>
      </c>
      <c r="AE343" s="230">
        <f>MAX(AE342*(1+'Model Inputs'!$B$13)+U343+AB343,0)</f>
        <v>1626098.4753426341</v>
      </c>
      <c r="AF343" s="230">
        <f t="shared" si="179"/>
        <v>67617530.916025326</v>
      </c>
      <c r="AG343" s="226" t="str">
        <f t="shared" si="188"/>
        <v/>
      </c>
      <c r="AH343" s="226" t="str">
        <f t="shared" si="189"/>
        <v/>
      </c>
      <c r="AI343" s="226" t="str">
        <f t="shared" si="190"/>
        <v/>
      </c>
      <c r="AJ343" s="226" t="str">
        <f t="shared" si="191"/>
        <v/>
      </c>
    </row>
    <row r="344" spans="1:36" ht="18" customHeight="1" x14ac:dyDescent="0.2">
      <c r="A344" s="226" t="str">
        <f t="shared" si="180"/>
        <v>4Y -&gt; PM Y7 Base</v>
      </c>
      <c r="B344" s="226">
        <f t="shared" si="181"/>
        <v>4</v>
      </c>
      <c r="C344" s="235">
        <f t="shared" si="182"/>
        <v>3</v>
      </c>
      <c r="D344" s="226">
        <f t="shared" si="183"/>
        <v>7</v>
      </c>
      <c r="E344" s="226" t="str">
        <f t="shared" si="184"/>
        <v>Base</v>
      </c>
      <c r="F344" s="230">
        <f t="shared" si="185"/>
        <v>25000000</v>
      </c>
      <c r="G344" s="236">
        <f t="shared" si="186"/>
        <v>0.15</v>
      </c>
      <c r="H344" s="230">
        <f t="shared" si="187"/>
        <v>300000</v>
      </c>
      <c r="I344" s="236">
        <f t="shared" si="170"/>
        <v>0</v>
      </c>
      <c r="J344" s="234">
        <v>25</v>
      </c>
      <c r="K344" s="234">
        <f t="shared" si="171"/>
        <v>2050</v>
      </c>
      <c r="L344" s="230">
        <f>IF(J344=1,'Model Inputs'!$B$25*(13-'Model Inputs'!$B$23)/12,'Model Inputs'!$B$25)</f>
        <v>300000</v>
      </c>
      <c r="M344" s="230">
        <f>IF(J344=1,'Model Inputs'!$B$27*(13-'Model Inputs'!$B$23)/12,IF(J344=2,'Model Inputs'!$B$27,IF(J344&lt;=MAX(3,'Model Inputs'!$B$30+1),'Model Inputs'!$B$27*(1+'Model Inputs'!$B$28)^(J344-3),'Model Inputs'!$B$27*(1+'Model Inputs'!$B$28)^(MAX(3,'Model Inputs'!$B$30+1)-3)*(1+'Model Inputs'!$B$29)^(J344-MAX(3,'Model Inputs'!$B$30+1)))))</f>
        <v>114761701.62653697</v>
      </c>
      <c r="N344" s="236">
        <f>IF(J344&lt;=2,0,'Model Inputs'!$B$32*SIN(2*PI()*(J344-3+'Model Inputs'!$B$34)/MAX(1,'Model Inputs'!$B$33)))</f>
        <v>0.10392304845413287</v>
      </c>
      <c r="O344" s="230">
        <f t="shared" si="172"/>
        <v>126688087.50535031</v>
      </c>
      <c r="P344" s="230">
        <f t="shared" si="192"/>
        <v>83643370.677900568</v>
      </c>
      <c r="Q344" s="230">
        <f>L344+P344+IF(J344=1,'Model Inputs'!$B$26,0)</f>
        <v>83943370.677900568</v>
      </c>
      <c r="R344" s="230">
        <f t="shared" si="173"/>
        <v>251830112.03370172</v>
      </c>
      <c r="S344" s="230">
        <f t="shared" si="174"/>
        <v>4050000</v>
      </c>
      <c r="T344" s="230">
        <f t="shared" si="175"/>
        <v>4050000</v>
      </c>
      <c r="U344" s="230">
        <f>MIN(T344,'Tax Assumptions'!$B$19)</f>
        <v>24500</v>
      </c>
      <c r="V344" s="230">
        <f>MAX(T344-U344-'Tax Assumptions'!$B$8,0)</f>
        <v>4009400</v>
      </c>
      <c r="W344" s="230">
        <f>MAX(T344-U344-'Tax Assumptions'!$B$9,0)</f>
        <v>4017500</v>
      </c>
      <c r="X344" s="230">
        <f>IF(V344=0,0,LOOKUP(V344,'Tax Assumptions'!$F$9:$F$15,'Tax Assumptions'!$I$9:$I$15)+(V344-LOOKUP(V344,'Tax Assumptions'!$F$9:$F$15,'Tax Assumptions'!$F$9:$F$15))*LOOKUP(V344,'Tax Assumptions'!$F$9:$F$15,'Tax Assumptions'!$H$9:$H$15))+MIN(MAX(T344,0),'Tax Assumptions'!$B$11)*'Tax Assumptions'!$B$10+MAX(T344,0)*'Tax Assumptions'!$B$12+MAX(MAX(T344,0)-'Tax Assumptions'!$B$14,0)*'Tax Assumptions'!$B$13+MIN(T344*'Tax Assumptions'!$B$15,'Tax Assumptions'!$B$16)+MIN(T344*'Tax Assumptions'!$B$17,'Tax Assumptions'!$B$18)+IF(W344=0,0,LOOKUP(W344,'Tax Assumptions'!$K$9:$K$17,'Tax Assumptions'!$N$9:$N$17)+(W344-LOOKUP(W344,'Tax Assumptions'!$K$9:$K$17,'Tax Assumptions'!$K$9:$K$17))*LOOKUP(W344,'Tax Assumptions'!$K$9:$K$17,'Tax Assumptions'!$M$9:$M$17))+IF(W344=0,0,LOOKUP(W344,'Tax Assumptions'!$P$9:$P$12,'Tax Assumptions'!$S$9:$S$12)+(W344-LOOKUP(W344,'Tax Assumptions'!$P$9:$P$12,'Tax Assumptions'!$P$9:$P$12))*LOOKUP(W344,'Tax Assumptions'!$P$9:$P$12,'Tax Assumptions'!$R$9:$R$12))</f>
        <v>2055188.6349999998</v>
      </c>
      <c r="Y344" s="230">
        <f t="shared" si="176"/>
        <v>1970311.3650000002</v>
      </c>
      <c r="Z344" s="230">
        <f>IF(J344&lt;=10,INDEX('Savings Projection'!$BL$19:$BL$28,J344),LOOKUP(2,1/('Savings Projection'!$BL$19:$BL$28&lt;&gt;""),'Savings Projection'!$BL$19:$BL$28))*(1+'Model Inputs'!$B$35)^(J344-1)+IF(J344&lt;=10,INDEX('Savings Projection'!$BM$19:$BM$28,J344),LOOKUP(2,1/('Savings Projection'!$BM$19:$BM$28&lt;&gt;""),'Savings Projection'!$BM$19:$BM$28))*(1+'Model Inputs'!$B$36)^(J344-1)</f>
        <v>264263.23383985227</v>
      </c>
      <c r="AA344" s="230">
        <f t="shared" si="177"/>
        <v>1706048.131160148</v>
      </c>
      <c r="AB344" s="230">
        <f>MIN(MAX(AA344,0),'Tax Assumptions'!$B$20)</f>
        <v>7500</v>
      </c>
      <c r="AC344" s="230">
        <f t="shared" si="178"/>
        <v>1698548.131160148</v>
      </c>
      <c r="AD344" s="230">
        <f>MAX(AD343*(1+'Model Inputs'!$B$13)+AC344,0)</f>
        <v>71649466.518283814</v>
      </c>
      <c r="AE344" s="230">
        <f>MAX(AE343*(1+'Model Inputs'!$B$13)+U344+AB344,0)</f>
        <v>1755664.3838631923</v>
      </c>
      <c r="AF344" s="230">
        <f t="shared" si="179"/>
        <v>73405130.90214701</v>
      </c>
      <c r="AG344" s="226" t="str">
        <f t="shared" si="188"/>
        <v/>
      </c>
      <c r="AH344" s="226" t="str">
        <f t="shared" si="189"/>
        <v/>
      </c>
      <c r="AI344" s="226" t="str">
        <f t="shared" si="190"/>
        <v/>
      </c>
      <c r="AJ344" s="226" t="str">
        <f t="shared" si="191"/>
        <v/>
      </c>
    </row>
    <row r="345" spans="1:36" ht="18" customHeight="1" x14ac:dyDescent="0.2">
      <c r="A345" s="226" t="str">
        <f t="shared" si="180"/>
        <v>4Y -&gt; PM Y7 Base</v>
      </c>
      <c r="B345" s="226">
        <f t="shared" si="181"/>
        <v>4</v>
      </c>
      <c r="C345" s="235">
        <f t="shared" si="182"/>
        <v>3</v>
      </c>
      <c r="D345" s="226">
        <f t="shared" si="183"/>
        <v>7</v>
      </c>
      <c r="E345" s="226" t="str">
        <f t="shared" si="184"/>
        <v>Base</v>
      </c>
      <c r="F345" s="230">
        <f t="shared" si="185"/>
        <v>25000000</v>
      </c>
      <c r="G345" s="236">
        <f t="shared" si="186"/>
        <v>0.15</v>
      </c>
      <c r="H345" s="230">
        <f t="shared" si="187"/>
        <v>300000</v>
      </c>
      <c r="I345" s="236">
        <f t="shared" si="170"/>
        <v>0</v>
      </c>
      <c r="J345" s="234">
        <v>26</v>
      </c>
      <c r="K345" s="234">
        <f t="shared" si="171"/>
        <v>2051</v>
      </c>
      <c r="L345" s="230">
        <f>IF(J345=1,'Model Inputs'!$B$25*(13-'Model Inputs'!$B$23)/12,'Model Inputs'!$B$25)</f>
        <v>300000</v>
      </c>
      <c r="M345" s="230">
        <f>IF(J345=1,'Model Inputs'!$B$27*(13-'Model Inputs'!$B$23)/12,IF(J345=2,'Model Inputs'!$B$27,IF(J345&lt;=MAX(3,'Model Inputs'!$B$30+1),'Model Inputs'!$B$27*(1+'Model Inputs'!$B$28)^(J345-3),'Model Inputs'!$B$27*(1+'Model Inputs'!$B$28)^(MAX(3,'Model Inputs'!$B$30+1)-3)*(1+'Model Inputs'!$B$29)^(J345-MAX(3,'Model Inputs'!$B$30+1)))))</f>
        <v>145848057.00524563</v>
      </c>
      <c r="N345" s="236">
        <f>IF(J345&lt;=2,0,'Model Inputs'!$B$32*SIN(2*PI()*(J345-3+'Model Inputs'!$B$34)/MAX(1,'Model Inputs'!$B$33)))</f>
        <v>-0.10392304845413224</v>
      </c>
      <c r="O345" s="230">
        <f t="shared" si="172"/>
        <v>130691082.31014845</v>
      </c>
      <c r="P345" s="230">
        <f t="shared" si="192"/>
        <v>117591354.65008041</v>
      </c>
      <c r="Q345" s="230">
        <f>L345+P345+IF(J345=1,'Model Inputs'!$B$26,0)</f>
        <v>117891354.65008041</v>
      </c>
      <c r="R345" s="230">
        <f t="shared" si="173"/>
        <v>353674063.95024121</v>
      </c>
      <c r="S345" s="230">
        <f t="shared" si="174"/>
        <v>4050000</v>
      </c>
      <c r="T345" s="230">
        <f t="shared" si="175"/>
        <v>4050000</v>
      </c>
      <c r="U345" s="230">
        <f>MIN(T345,'Tax Assumptions'!$B$19)</f>
        <v>24500</v>
      </c>
      <c r="V345" s="230">
        <f>MAX(T345-U345-'Tax Assumptions'!$B$8,0)</f>
        <v>4009400</v>
      </c>
      <c r="W345" s="230">
        <f>MAX(T345-U345-'Tax Assumptions'!$B$9,0)</f>
        <v>4017500</v>
      </c>
      <c r="X345" s="230">
        <f>IF(V345=0,0,LOOKUP(V345,'Tax Assumptions'!$F$9:$F$15,'Tax Assumptions'!$I$9:$I$15)+(V345-LOOKUP(V345,'Tax Assumptions'!$F$9:$F$15,'Tax Assumptions'!$F$9:$F$15))*LOOKUP(V345,'Tax Assumptions'!$F$9:$F$15,'Tax Assumptions'!$H$9:$H$15))+MIN(MAX(T345,0),'Tax Assumptions'!$B$11)*'Tax Assumptions'!$B$10+MAX(T345,0)*'Tax Assumptions'!$B$12+MAX(MAX(T345,0)-'Tax Assumptions'!$B$14,0)*'Tax Assumptions'!$B$13+MIN(T345*'Tax Assumptions'!$B$15,'Tax Assumptions'!$B$16)+MIN(T345*'Tax Assumptions'!$B$17,'Tax Assumptions'!$B$18)+IF(W345=0,0,LOOKUP(W345,'Tax Assumptions'!$K$9:$K$17,'Tax Assumptions'!$N$9:$N$17)+(W345-LOOKUP(W345,'Tax Assumptions'!$K$9:$K$17,'Tax Assumptions'!$K$9:$K$17))*LOOKUP(W345,'Tax Assumptions'!$K$9:$K$17,'Tax Assumptions'!$M$9:$M$17))+IF(W345=0,0,LOOKUP(W345,'Tax Assumptions'!$P$9:$P$12,'Tax Assumptions'!$S$9:$S$12)+(W345-LOOKUP(W345,'Tax Assumptions'!$P$9:$P$12,'Tax Assumptions'!$P$9:$P$12))*LOOKUP(W345,'Tax Assumptions'!$P$9:$P$12,'Tax Assumptions'!$R$9:$R$12))</f>
        <v>2055188.6349999998</v>
      </c>
      <c r="Y345" s="230">
        <f t="shared" si="176"/>
        <v>1970311.3650000002</v>
      </c>
      <c r="Z345" s="230">
        <f>IF(J345&lt;=10,INDEX('Savings Projection'!$BL$19:$BL$28,J345),LOOKUP(2,1/('Savings Projection'!$BL$19:$BL$28&lt;&gt;""),'Savings Projection'!$BL$19:$BL$28))*(1+'Model Inputs'!$B$35)^(J345-1)+IF(J345&lt;=10,INDEX('Savings Projection'!$BM$19:$BM$28,J345),LOOKUP(2,1/('Savings Projection'!$BM$19:$BM$28&lt;&gt;""),'Savings Projection'!$BM$19:$BM$28))*(1+'Model Inputs'!$B$36)^(J345-1)</f>
        <v>272191.13085504784</v>
      </c>
      <c r="AA345" s="230">
        <f t="shared" si="177"/>
        <v>1698120.2341449524</v>
      </c>
      <c r="AB345" s="230">
        <f>MIN(MAX(AA345,0),'Tax Assumptions'!$B$20)</f>
        <v>7500</v>
      </c>
      <c r="AC345" s="230">
        <f t="shared" si="178"/>
        <v>1690620.2341449524</v>
      </c>
      <c r="AD345" s="230">
        <f>MAX(AD344*(1+'Model Inputs'!$B$13)+AC345,0)</f>
        <v>77639054.743525803</v>
      </c>
      <c r="AE345" s="230">
        <f>MAX(AE344*(1+'Model Inputs'!$B$13)+U345+AB345,0)</f>
        <v>1893004.2468949838</v>
      </c>
      <c r="AF345" s="230">
        <f t="shared" si="179"/>
        <v>79532058.990420789</v>
      </c>
      <c r="AG345" s="226" t="str">
        <f t="shared" si="188"/>
        <v/>
      </c>
      <c r="AH345" s="226" t="str">
        <f t="shared" si="189"/>
        <v/>
      </c>
      <c r="AI345" s="226" t="str">
        <f t="shared" si="190"/>
        <v/>
      </c>
      <c r="AJ345" s="226" t="str">
        <f t="shared" si="191"/>
        <v/>
      </c>
    </row>
    <row r="346" spans="1:36" ht="18" customHeight="1" x14ac:dyDescent="0.2">
      <c r="A346" s="226" t="str">
        <f t="shared" si="180"/>
        <v>4Y -&gt; PM Y7 Base</v>
      </c>
      <c r="B346" s="226">
        <f t="shared" si="181"/>
        <v>4</v>
      </c>
      <c r="C346" s="235">
        <f t="shared" si="182"/>
        <v>3</v>
      </c>
      <c r="D346" s="226">
        <f t="shared" si="183"/>
        <v>7</v>
      </c>
      <c r="E346" s="226" t="str">
        <f t="shared" si="184"/>
        <v>Base</v>
      </c>
      <c r="F346" s="230">
        <f t="shared" si="185"/>
        <v>25000000</v>
      </c>
      <c r="G346" s="236">
        <f t="shared" si="186"/>
        <v>0.15</v>
      </c>
      <c r="H346" s="230">
        <f t="shared" si="187"/>
        <v>300000</v>
      </c>
      <c r="I346" s="236">
        <f t="shared" si="170"/>
        <v>0</v>
      </c>
      <c r="J346" s="234">
        <v>27</v>
      </c>
      <c r="K346" s="234">
        <f t="shared" si="171"/>
        <v>2052</v>
      </c>
      <c r="L346" s="230">
        <f>IF(J346=1,'Model Inputs'!$B$25*(13-'Model Inputs'!$B$23)/12,'Model Inputs'!$B$25)</f>
        <v>300000</v>
      </c>
      <c r="M346" s="230">
        <f>IF(J346=1,'Model Inputs'!$B$27*(13-'Model Inputs'!$B$23)/12,IF(J346=2,'Model Inputs'!$B$27,IF(J346&lt;=MAX(3,'Model Inputs'!$B$30+1),'Model Inputs'!$B$27*(1+'Model Inputs'!$B$28)^(J346-3),'Model Inputs'!$B$27*(1+'Model Inputs'!$B$28)^(MAX(3,'Model Inputs'!$B$30+1)-3)*(1+'Model Inputs'!$B$29)^(J346-MAX(3,'Model Inputs'!$B$30+1)))))</f>
        <v>185355004.59402937</v>
      </c>
      <c r="N346" s="236">
        <f>IF(J346&lt;=2,0,'Model Inputs'!$B$32*SIN(2*PI()*(J346-3+'Model Inputs'!$B$34)/MAX(1,'Model Inputs'!$B$33)))</f>
        <v>-2.3513218543629179E-16</v>
      </c>
      <c r="O346" s="230">
        <f t="shared" si="172"/>
        <v>185355004.59402934</v>
      </c>
      <c r="P346" s="230">
        <f t="shared" si="192"/>
        <v>129690333.6089489</v>
      </c>
      <c r="Q346" s="230">
        <f>L346+P346+IF(J346=1,'Model Inputs'!$B$26,0)</f>
        <v>129990333.6089489</v>
      </c>
      <c r="R346" s="230">
        <f t="shared" si="173"/>
        <v>389971000.82684672</v>
      </c>
      <c r="S346" s="230">
        <f t="shared" si="174"/>
        <v>4050000</v>
      </c>
      <c r="T346" s="230">
        <f t="shared" si="175"/>
        <v>4050000</v>
      </c>
      <c r="U346" s="230">
        <f>MIN(T346,'Tax Assumptions'!$B$19)</f>
        <v>24500</v>
      </c>
      <c r="V346" s="230">
        <f>MAX(T346-U346-'Tax Assumptions'!$B$8,0)</f>
        <v>4009400</v>
      </c>
      <c r="W346" s="230">
        <f>MAX(T346-U346-'Tax Assumptions'!$B$9,0)</f>
        <v>4017500</v>
      </c>
      <c r="X346" s="230">
        <f>IF(V346=0,0,LOOKUP(V346,'Tax Assumptions'!$F$9:$F$15,'Tax Assumptions'!$I$9:$I$15)+(V346-LOOKUP(V346,'Tax Assumptions'!$F$9:$F$15,'Tax Assumptions'!$F$9:$F$15))*LOOKUP(V346,'Tax Assumptions'!$F$9:$F$15,'Tax Assumptions'!$H$9:$H$15))+MIN(MAX(T346,0),'Tax Assumptions'!$B$11)*'Tax Assumptions'!$B$10+MAX(T346,0)*'Tax Assumptions'!$B$12+MAX(MAX(T346,0)-'Tax Assumptions'!$B$14,0)*'Tax Assumptions'!$B$13+MIN(T346*'Tax Assumptions'!$B$15,'Tax Assumptions'!$B$16)+MIN(T346*'Tax Assumptions'!$B$17,'Tax Assumptions'!$B$18)+IF(W346=0,0,LOOKUP(W346,'Tax Assumptions'!$K$9:$K$17,'Tax Assumptions'!$N$9:$N$17)+(W346-LOOKUP(W346,'Tax Assumptions'!$K$9:$K$17,'Tax Assumptions'!$K$9:$K$17))*LOOKUP(W346,'Tax Assumptions'!$K$9:$K$17,'Tax Assumptions'!$M$9:$M$17))+IF(W346=0,0,LOOKUP(W346,'Tax Assumptions'!$P$9:$P$12,'Tax Assumptions'!$S$9:$S$12)+(W346-LOOKUP(W346,'Tax Assumptions'!$P$9:$P$12,'Tax Assumptions'!$P$9:$P$12))*LOOKUP(W346,'Tax Assumptions'!$P$9:$P$12,'Tax Assumptions'!$R$9:$R$12))</f>
        <v>2055188.6349999998</v>
      </c>
      <c r="Y346" s="230">
        <f t="shared" si="176"/>
        <v>1970311.3650000002</v>
      </c>
      <c r="Z346" s="230">
        <f>IF(J346&lt;=10,INDEX('Savings Projection'!$BL$19:$BL$28,J346),LOOKUP(2,1/('Savings Projection'!$BL$19:$BL$28&lt;&gt;""),'Savings Projection'!$BL$19:$BL$28))*(1+'Model Inputs'!$B$35)^(J346-1)+IF(J346&lt;=10,INDEX('Savings Projection'!$BM$19:$BM$28,J346),LOOKUP(2,1/('Savings Projection'!$BM$19:$BM$28&lt;&gt;""),'Savings Projection'!$BM$19:$BM$28))*(1+'Model Inputs'!$B$36)^(J346-1)</f>
        <v>280356.86478069925</v>
      </c>
      <c r="AA346" s="230">
        <f t="shared" si="177"/>
        <v>1689954.5002193009</v>
      </c>
      <c r="AB346" s="230">
        <f>MIN(MAX(AA346,0),'Tax Assumptions'!$B$20)</f>
        <v>7500</v>
      </c>
      <c r="AC346" s="230">
        <f t="shared" si="178"/>
        <v>1682454.5002193009</v>
      </c>
      <c r="AD346" s="230">
        <f>MAX(AD345*(1+'Model Inputs'!$B$13)+AC346,0)</f>
        <v>83979852.528356656</v>
      </c>
      <c r="AE346" s="230">
        <f>MAX(AE345*(1+'Model Inputs'!$B$13)+U346+AB346,0)</f>
        <v>2038584.5017086829</v>
      </c>
      <c r="AF346" s="230">
        <f t="shared" si="179"/>
        <v>86018437.030065343</v>
      </c>
      <c r="AG346" s="226" t="str">
        <f t="shared" si="188"/>
        <v/>
      </c>
      <c r="AH346" s="226" t="str">
        <f t="shared" si="189"/>
        <v/>
      </c>
      <c r="AI346" s="226" t="str">
        <f t="shared" si="190"/>
        <v/>
      </c>
      <c r="AJ346" s="226" t="str">
        <f t="shared" si="191"/>
        <v/>
      </c>
    </row>
    <row r="347" spans="1:36" ht="18" customHeight="1" x14ac:dyDescent="0.2">
      <c r="A347" s="226" t="str">
        <f t="shared" si="180"/>
        <v>4Y -&gt; PM Y7 Base</v>
      </c>
      <c r="B347" s="226">
        <f t="shared" si="181"/>
        <v>4</v>
      </c>
      <c r="C347" s="235">
        <f t="shared" si="182"/>
        <v>3</v>
      </c>
      <c r="D347" s="226">
        <f t="shared" si="183"/>
        <v>7</v>
      </c>
      <c r="E347" s="226" t="str">
        <f t="shared" si="184"/>
        <v>Base</v>
      </c>
      <c r="F347" s="230">
        <f t="shared" si="185"/>
        <v>25000000</v>
      </c>
      <c r="G347" s="236">
        <f t="shared" si="186"/>
        <v>0.15</v>
      </c>
      <c r="H347" s="230">
        <f t="shared" si="187"/>
        <v>300000</v>
      </c>
      <c r="I347" s="236">
        <f t="shared" si="170"/>
        <v>0</v>
      </c>
      <c r="J347" s="234">
        <v>28</v>
      </c>
      <c r="K347" s="234">
        <f t="shared" si="171"/>
        <v>2053</v>
      </c>
      <c r="L347" s="230">
        <f>IF(J347=1,'Model Inputs'!$B$25*(13-'Model Inputs'!$B$23)/12,'Model Inputs'!$B$25)</f>
        <v>300000</v>
      </c>
      <c r="M347" s="230">
        <f>IF(J347=1,'Model Inputs'!$B$27*(13-'Model Inputs'!$B$23)/12,IF(J347=2,'Model Inputs'!$B$27,IF(J347&lt;=MAX(3,'Model Inputs'!$B$30+1),'Model Inputs'!$B$27*(1+'Model Inputs'!$B$28)^(J347-3),'Model Inputs'!$B$27*(1+'Model Inputs'!$B$28)^(MAX(3,'Model Inputs'!$B$30+1)-3)*(1+'Model Inputs'!$B$29)^(J347-MAX(3,'Model Inputs'!$B$30+1)))))</f>
        <v>235563492.81236541</v>
      </c>
      <c r="N347" s="236">
        <f>IF(J347&lt;=2,0,'Model Inputs'!$B$32*SIN(2*PI()*(J347-3+'Model Inputs'!$B$34)/MAX(1,'Model Inputs'!$B$33)))</f>
        <v>0.10392304845413247</v>
      </c>
      <c r="O347" s="230">
        <f t="shared" si="172"/>
        <v>260043969.08992955</v>
      </c>
      <c r="P347" s="230">
        <f t="shared" si="192"/>
        <v>171689024.02305913</v>
      </c>
      <c r="Q347" s="230">
        <f>L347+P347+IF(J347=1,'Model Inputs'!$B$26,0)</f>
        <v>171989024.02305913</v>
      </c>
      <c r="R347" s="230">
        <f t="shared" si="173"/>
        <v>515967072.06917739</v>
      </c>
      <c r="S347" s="230">
        <f t="shared" si="174"/>
        <v>4050000</v>
      </c>
      <c r="T347" s="230">
        <f t="shared" si="175"/>
        <v>4050000</v>
      </c>
      <c r="U347" s="230">
        <f>MIN(T347,'Tax Assumptions'!$B$19)</f>
        <v>24500</v>
      </c>
      <c r="V347" s="230">
        <f>MAX(T347-U347-'Tax Assumptions'!$B$8,0)</f>
        <v>4009400</v>
      </c>
      <c r="W347" s="230">
        <f>MAX(T347-U347-'Tax Assumptions'!$B$9,0)</f>
        <v>4017500</v>
      </c>
      <c r="X347" s="230">
        <f>IF(V347=0,0,LOOKUP(V347,'Tax Assumptions'!$F$9:$F$15,'Tax Assumptions'!$I$9:$I$15)+(V347-LOOKUP(V347,'Tax Assumptions'!$F$9:$F$15,'Tax Assumptions'!$F$9:$F$15))*LOOKUP(V347,'Tax Assumptions'!$F$9:$F$15,'Tax Assumptions'!$H$9:$H$15))+MIN(MAX(T347,0),'Tax Assumptions'!$B$11)*'Tax Assumptions'!$B$10+MAX(T347,0)*'Tax Assumptions'!$B$12+MAX(MAX(T347,0)-'Tax Assumptions'!$B$14,0)*'Tax Assumptions'!$B$13+MIN(T347*'Tax Assumptions'!$B$15,'Tax Assumptions'!$B$16)+MIN(T347*'Tax Assumptions'!$B$17,'Tax Assumptions'!$B$18)+IF(W347=0,0,LOOKUP(W347,'Tax Assumptions'!$K$9:$K$17,'Tax Assumptions'!$N$9:$N$17)+(W347-LOOKUP(W347,'Tax Assumptions'!$K$9:$K$17,'Tax Assumptions'!$K$9:$K$17))*LOOKUP(W347,'Tax Assumptions'!$K$9:$K$17,'Tax Assumptions'!$M$9:$M$17))+IF(W347=0,0,LOOKUP(W347,'Tax Assumptions'!$P$9:$P$12,'Tax Assumptions'!$S$9:$S$12)+(W347-LOOKUP(W347,'Tax Assumptions'!$P$9:$P$12,'Tax Assumptions'!$P$9:$P$12))*LOOKUP(W347,'Tax Assumptions'!$P$9:$P$12,'Tax Assumptions'!$R$9:$R$12))</f>
        <v>2055188.6349999998</v>
      </c>
      <c r="Y347" s="230">
        <f t="shared" si="176"/>
        <v>1970311.3650000002</v>
      </c>
      <c r="Z347" s="230">
        <f>IF(J347&lt;=10,INDEX('Savings Projection'!$BL$19:$BL$28,J347),LOOKUP(2,1/('Savings Projection'!$BL$19:$BL$28&lt;&gt;""),'Savings Projection'!$BL$19:$BL$28))*(1+'Model Inputs'!$B$35)^(J347-1)+IF(J347&lt;=10,INDEX('Savings Projection'!$BM$19:$BM$28,J347),LOOKUP(2,1/('Savings Projection'!$BM$19:$BM$28&lt;&gt;""),'Savings Projection'!$BM$19:$BM$28))*(1+'Model Inputs'!$B$36)^(J347-1)</f>
        <v>288767.57072412025</v>
      </c>
      <c r="AA347" s="230">
        <f t="shared" si="177"/>
        <v>1681543.7942758799</v>
      </c>
      <c r="AB347" s="230">
        <f>MIN(MAX(AA347,0),'Tax Assumptions'!$B$20)</f>
        <v>7500</v>
      </c>
      <c r="AC347" s="230">
        <f t="shared" si="178"/>
        <v>1674043.7942758799</v>
      </c>
      <c r="AD347" s="230">
        <f>MAX(AD346*(1+'Model Inputs'!$B$13)+AC347,0)</f>
        <v>90692687.474333942</v>
      </c>
      <c r="AE347" s="230">
        <f>MAX(AE346*(1+'Model Inputs'!$B$13)+U347+AB347,0)</f>
        <v>2192899.5718112038</v>
      </c>
      <c r="AF347" s="230">
        <f t="shared" si="179"/>
        <v>92885587.046145141</v>
      </c>
      <c r="AG347" s="226" t="str">
        <f t="shared" si="188"/>
        <v/>
      </c>
      <c r="AH347" s="226" t="str">
        <f t="shared" si="189"/>
        <v/>
      </c>
      <c r="AI347" s="226" t="str">
        <f t="shared" si="190"/>
        <v/>
      </c>
      <c r="AJ347" s="226" t="str">
        <f t="shared" si="191"/>
        <v/>
      </c>
    </row>
    <row r="348" spans="1:36" ht="18" customHeight="1" x14ac:dyDescent="0.2">
      <c r="A348" s="226" t="str">
        <f t="shared" si="180"/>
        <v>4Y -&gt; PM Y7 Base</v>
      </c>
      <c r="B348" s="226">
        <f t="shared" si="181"/>
        <v>4</v>
      </c>
      <c r="C348" s="235">
        <f t="shared" si="182"/>
        <v>3</v>
      </c>
      <c r="D348" s="226">
        <f t="shared" si="183"/>
        <v>7</v>
      </c>
      <c r="E348" s="226" t="str">
        <f t="shared" si="184"/>
        <v>Base</v>
      </c>
      <c r="F348" s="230">
        <f t="shared" si="185"/>
        <v>25000000</v>
      </c>
      <c r="G348" s="236">
        <f t="shared" si="186"/>
        <v>0.15</v>
      </c>
      <c r="H348" s="230">
        <f t="shared" si="187"/>
        <v>300000</v>
      </c>
      <c r="I348" s="236">
        <f t="shared" si="170"/>
        <v>0</v>
      </c>
      <c r="J348" s="234">
        <v>29</v>
      </c>
      <c r="K348" s="234">
        <f t="shared" si="171"/>
        <v>2054</v>
      </c>
      <c r="L348" s="230">
        <f>IF(J348=1,'Model Inputs'!$B$25*(13-'Model Inputs'!$B$23)/12,'Model Inputs'!$B$25)</f>
        <v>300000</v>
      </c>
      <c r="M348" s="230">
        <f>IF(J348=1,'Model Inputs'!$B$27*(13-'Model Inputs'!$B$23)/12,IF(J348=2,'Model Inputs'!$B$27,IF(J348&lt;=MAX(3,'Model Inputs'!$B$30+1),'Model Inputs'!$B$27*(1+'Model Inputs'!$B$28)^(J348-3),'Model Inputs'!$B$27*(1+'Model Inputs'!$B$28)^(MAX(3,'Model Inputs'!$B$30+1)-3)*(1+'Model Inputs'!$B$29)^(J348-MAX(3,'Model Inputs'!$B$30+1)))))</f>
        <v>299372327.53708321</v>
      </c>
      <c r="N348" s="236">
        <f>IF(J348&lt;=2,0,'Model Inputs'!$B$32*SIN(2*PI()*(J348-3+'Model Inputs'!$B$34)/MAX(1,'Model Inputs'!$B$33)))</f>
        <v>-0.10392304845413265</v>
      </c>
      <c r="O348" s="230">
        <f t="shared" si="172"/>
        <v>268260642.63662043</v>
      </c>
      <c r="P348" s="230">
        <f t="shared" si="192"/>
        <v>241371727.96595448</v>
      </c>
      <c r="Q348" s="230">
        <f>L348+P348+IF(J348=1,'Model Inputs'!$B$26,0)</f>
        <v>241671727.96595448</v>
      </c>
      <c r="R348" s="230">
        <f t="shared" si="173"/>
        <v>725015183.89786339</v>
      </c>
      <c r="S348" s="230">
        <f t="shared" si="174"/>
        <v>4050000</v>
      </c>
      <c r="T348" s="230">
        <f t="shared" si="175"/>
        <v>4050000</v>
      </c>
      <c r="U348" s="230">
        <f>MIN(T348,'Tax Assumptions'!$B$19)</f>
        <v>24500</v>
      </c>
      <c r="V348" s="230">
        <f>MAX(T348-U348-'Tax Assumptions'!$B$8,0)</f>
        <v>4009400</v>
      </c>
      <c r="W348" s="230">
        <f>MAX(T348-U348-'Tax Assumptions'!$B$9,0)</f>
        <v>4017500</v>
      </c>
      <c r="X348" s="230">
        <f>IF(V348=0,0,LOOKUP(V348,'Tax Assumptions'!$F$9:$F$15,'Tax Assumptions'!$I$9:$I$15)+(V348-LOOKUP(V348,'Tax Assumptions'!$F$9:$F$15,'Tax Assumptions'!$F$9:$F$15))*LOOKUP(V348,'Tax Assumptions'!$F$9:$F$15,'Tax Assumptions'!$H$9:$H$15))+MIN(MAX(T348,0),'Tax Assumptions'!$B$11)*'Tax Assumptions'!$B$10+MAX(T348,0)*'Tax Assumptions'!$B$12+MAX(MAX(T348,0)-'Tax Assumptions'!$B$14,0)*'Tax Assumptions'!$B$13+MIN(T348*'Tax Assumptions'!$B$15,'Tax Assumptions'!$B$16)+MIN(T348*'Tax Assumptions'!$B$17,'Tax Assumptions'!$B$18)+IF(W348=0,0,LOOKUP(W348,'Tax Assumptions'!$K$9:$K$17,'Tax Assumptions'!$N$9:$N$17)+(W348-LOOKUP(W348,'Tax Assumptions'!$K$9:$K$17,'Tax Assumptions'!$K$9:$K$17))*LOOKUP(W348,'Tax Assumptions'!$K$9:$K$17,'Tax Assumptions'!$M$9:$M$17))+IF(W348=0,0,LOOKUP(W348,'Tax Assumptions'!$P$9:$P$12,'Tax Assumptions'!$S$9:$S$12)+(W348-LOOKUP(W348,'Tax Assumptions'!$P$9:$P$12,'Tax Assumptions'!$P$9:$P$12))*LOOKUP(W348,'Tax Assumptions'!$P$9:$P$12,'Tax Assumptions'!$R$9:$R$12))</f>
        <v>2055188.6349999998</v>
      </c>
      <c r="Y348" s="230">
        <f t="shared" si="176"/>
        <v>1970311.3650000002</v>
      </c>
      <c r="Z348" s="230">
        <f>IF(J348&lt;=10,INDEX('Savings Projection'!$BL$19:$BL$28,J348),LOOKUP(2,1/('Savings Projection'!$BL$19:$BL$28&lt;&gt;""),'Savings Projection'!$BL$19:$BL$28))*(1+'Model Inputs'!$B$35)^(J348-1)+IF(J348&lt;=10,INDEX('Savings Projection'!$BM$19:$BM$28,J348),LOOKUP(2,1/('Savings Projection'!$BM$19:$BM$28&lt;&gt;""),'Savings Projection'!$BM$19:$BM$28))*(1+'Model Inputs'!$B$36)^(J348-1)</f>
        <v>297430.59784584382</v>
      </c>
      <c r="AA348" s="230">
        <f t="shared" si="177"/>
        <v>1672880.7671541565</v>
      </c>
      <c r="AB348" s="230">
        <f>MIN(MAX(AA348,0),'Tax Assumptions'!$B$20)</f>
        <v>7500</v>
      </c>
      <c r="AC348" s="230">
        <f t="shared" si="178"/>
        <v>1665380.7671541565</v>
      </c>
      <c r="AD348" s="230">
        <f>MAX(AD347*(1+'Model Inputs'!$B$13)+AC348,0)</f>
        <v>97799629.489948139</v>
      </c>
      <c r="AE348" s="230">
        <f>MAX(AE347*(1+'Model Inputs'!$B$13)+U348+AB348,0)</f>
        <v>2356473.5461198762</v>
      </c>
      <c r="AF348" s="230">
        <f t="shared" si="179"/>
        <v>100156103.03606802</v>
      </c>
      <c r="AG348" s="226" t="str">
        <f t="shared" si="188"/>
        <v/>
      </c>
      <c r="AH348" s="226" t="str">
        <f t="shared" si="189"/>
        <v/>
      </c>
      <c r="AI348" s="226" t="str">
        <f t="shared" si="190"/>
        <v/>
      </c>
      <c r="AJ348" s="226" t="str">
        <f t="shared" si="191"/>
        <v/>
      </c>
    </row>
    <row r="349" spans="1:36" ht="18" customHeight="1" x14ac:dyDescent="0.2">
      <c r="A349" s="226" t="str">
        <f t="shared" si="180"/>
        <v>4Y -&gt; PM Y7 Base</v>
      </c>
      <c r="B349" s="226">
        <f t="shared" si="181"/>
        <v>4</v>
      </c>
      <c r="C349" s="235">
        <f t="shared" si="182"/>
        <v>3</v>
      </c>
      <c r="D349" s="226">
        <f t="shared" si="183"/>
        <v>7</v>
      </c>
      <c r="E349" s="226" t="str">
        <f t="shared" si="184"/>
        <v>Base</v>
      </c>
      <c r="F349" s="230">
        <f t="shared" si="185"/>
        <v>25000000</v>
      </c>
      <c r="G349" s="236">
        <f t="shared" si="186"/>
        <v>0.15</v>
      </c>
      <c r="H349" s="230">
        <f t="shared" si="187"/>
        <v>300000</v>
      </c>
      <c r="I349" s="236">
        <f t="shared" si="170"/>
        <v>0</v>
      </c>
      <c r="J349" s="234">
        <v>30</v>
      </c>
      <c r="K349" s="234">
        <f t="shared" si="171"/>
        <v>2055</v>
      </c>
      <c r="L349" s="230">
        <f>IF(J349=1,'Model Inputs'!$B$25*(13-'Model Inputs'!$B$23)/12,'Model Inputs'!$B$25)</f>
        <v>300000</v>
      </c>
      <c r="M349" s="230">
        <f>IF(J349=1,'Model Inputs'!$B$27*(13-'Model Inputs'!$B$23)/12,IF(J349=2,'Model Inputs'!$B$27,IF(J349&lt;=MAX(3,'Model Inputs'!$B$30+1),'Model Inputs'!$B$27*(1+'Model Inputs'!$B$28)^(J349-3),'Model Inputs'!$B$27*(1+'Model Inputs'!$B$28)^(MAX(3,'Model Inputs'!$B$30+1)-3)*(1+'Model Inputs'!$B$29)^(J349-MAX(3,'Model Inputs'!$B$30+1)))))</f>
        <v>380465535.74563926</v>
      </c>
      <c r="N349" s="236">
        <f>IF(J349&lt;=2,0,'Model Inputs'!$B$32*SIN(2*PI()*(J349-3+'Model Inputs'!$B$34)/MAX(1,'Model Inputs'!$B$33)))</f>
        <v>-2.645237086158283E-16</v>
      </c>
      <c r="O349" s="230">
        <f t="shared" si="172"/>
        <v>380465535.7456392</v>
      </c>
      <c r="P349" s="230">
        <f t="shared" si="192"/>
        <v>266206474.24994773</v>
      </c>
      <c r="Q349" s="230">
        <f>L349+P349+IF(J349=1,'Model Inputs'!$B$26,0)</f>
        <v>266506474.24994773</v>
      </c>
      <c r="R349" s="230">
        <f t="shared" si="173"/>
        <v>799519422.74984312</v>
      </c>
      <c r="S349" s="230">
        <f t="shared" si="174"/>
        <v>4050000</v>
      </c>
      <c r="T349" s="230">
        <f t="shared" si="175"/>
        <v>4050000</v>
      </c>
      <c r="U349" s="230">
        <f>MIN(T349,'Tax Assumptions'!$B$19)</f>
        <v>24500</v>
      </c>
      <c r="V349" s="230">
        <f>MAX(T349-U349-'Tax Assumptions'!$B$8,0)</f>
        <v>4009400</v>
      </c>
      <c r="W349" s="230">
        <f>MAX(T349-U349-'Tax Assumptions'!$B$9,0)</f>
        <v>4017500</v>
      </c>
      <c r="X349" s="230">
        <f>IF(V349=0,0,LOOKUP(V349,'Tax Assumptions'!$F$9:$F$15,'Tax Assumptions'!$I$9:$I$15)+(V349-LOOKUP(V349,'Tax Assumptions'!$F$9:$F$15,'Tax Assumptions'!$F$9:$F$15))*LOOKUP(V349,'Tax Assumptions'!$F$9:$F$15,'Tax Assumptions'!$H$9:$H$15))+MIN(MAX(T349,0),'Tax Assumptions'!$B$11)*'Tax Assumptions'!$B$10+MAX(T349,0)*'Tax Assumptions'!$B$12+MAX(MAX(T349,0)-'Tax Assumptions'!$B$14,0)*'Tax Assumptions'!$B$13+MIN(T349*'Tax Assumptions'!$B$15,'Tax Assumptions'!$B$16)+MIN(T349*'Tax Assumptions'!$B$17,'Tax Assumptions'!$B$18)+IF(W349=0,0,LOOKUP(W349,'Tax Assumptions'!$K$9:$K$17,'Tax Assumptions'!$N$9:$N$17)+(W349-LOOKUP(W349,'Tax Assumptions'!$K$9:$K$17,'Tax Assumptions'!$K$9:$K$17))*LOOKUP(W349,'Tax Assumptions'!$K$9:$K$17,'Tax Assumptions'!$M$9:$M$17))+IF(W349=0,0,LOOKUP(W349,'Tax Assumptions'!$P$9:$P$12,'Tax Assumptions'!$S$9:$S$12)+(W349-LOOKUP(W349,'Tax Assumptions'!$P$9:$P$12,'Tax Assumptions'!$P$9:$P$12))*LOOKUP(W349,'Tax Assumptions'!$P$9:$P$12,'Tax Assumptions'!$R$9:$R$12))</f>
        <v>2055188.6349999998</v>
      </c>
      <c r="Y349" s="230">
        <f t="shared" si="176"/>
        <v>1970311.3650000002</v>
      </c>
      <c r="Z349" s="230">
        <f>IF(J349&lt;=10,INDEX('Savings Projection'!$BL$19:$BL$28,J349),LOOKUP(2,1/('Savings Projection'!$BL$19:$BL$28&lt;&gt;""),'Savings Projection'!$BL$19:$BL$28))*(1+'Model Inputs'!$B$35)^(J349-1)+IF(J349&lt;=10,INDEX('Savings Projection'!$BM$19:$BM$28,J349),LOOKUP(2,1/('Savings Projection'!$BM$19:$BM$28&lt;&gt;""),'Savings Projection'!$BM$19:$BM$28))*(1+'Model Inputs'!$B$36)^(J349-1)</f>
        <v>306353.51578121912</v>
      </c>
      <c r="AA349" s="230">
        <f t="shared" si="177"/>
        <v>1663957.8492187811</v>
      </c>
      <c r="AB349" s="230">
        <f>MIN(MAX(AA349,0),'Tax Assumptions'!$B$20)</f>
        <v>7500</v>
      </c>
      <c r="AC349" s="230">
        <f t="shared" si="178"/>
        <v>1656457.8492187811</v>
      </c>
      <c r="AD349" s="230">
        <f>MAX(AD348*(1+'Model Inputs'!$B$13)+AC349,0)</f>
        <v>105324065.10856381</v>
      </c>
      <c r="AE349" s="230">
        <f>MAX(AE348*(1+'Model Inputs'!$B$13)+U349+AB349,0)</f>
        <v>2529861.958887069</v>
      </c>
      <c r="AF349" s="230">
        <f t="shared" si="179"/>
        <v>107853927.06745088</v>
      </c>
      <c r="AG349" s="226" t="str">
        <f t="shared" si="188"/>
        <v/>
      </c>
      <c r="AH349" s="226" t="str">
        <f t="shared" si="189"/>
        <v/>
      </c>
      <c r="AI349" s="226" t="str">
        <f t="shared" si="190"/>
        <v/>
      </c>
      <c r="AJ349" s="226" t="str">
        <f t="shared" si="191"/>
        <v/>
      </c>
    </row>
    <row r="350" spans="1:36" ht="18" customHeight="1" x14ac:dyDescent="0.2">
      <c r="A350" s="226" t="str">
        <f t="shared" ref="A350:A379" si="193">$A$32</f>
        <v>4Y -&gt; PM Y7 Upside</v>
      </c>
      <c r="B350" s="226">
        <f t="shared" ref="B350:B379" si="194">$B$32</f>
        <v>4</v>
      </c>
      <c r="C350" s="235">
        <f t="shared" ref="C350:C379" si="195">$C$32</f>
        <v>3</v>
      </c>
      <c r="D350" s="226">
        <f t="shared" ref="D350:D379" si="196">$D$32</f>
        <v>7</v>
      </c>
      <c r="E350" s="226" t="str">
        <f t="shared" ref="E350:E379" si="197">$E$32</f>
        <v>Upside</v>
      </c>
      <c r="F350" s="230">
        <f t="shared" ref="F350:F379" si="198">$F$32</f>
        <v>50000000</v>
      </c>
      <c r="G350" s="236">
        <f t="shared" ref="G350:G379" si="199">$G$32</f>
        <v>0.2</v>
      </c>
      <c r="H350" s="230">
        <f t="shared" ref="H350:H379" si="200">$H$32</f>
        <v>300000</v>
      </c>
      <c r="I350" s="236">
        <f t="shared" si="170"/>
        <v>0</v>
      </c>
      <c r="J350" s="234">
        <v>1</v>
      </c>
      <c r="K350" s="234">
        <f t="shared" si="171"/>
        <v>2026</v>
      </c>
      <c r="L350" s="230">
        <f>IF(J350=1,'Model Inputs'!$B$25*(13-'Model Inputs'!$B$23)/12,'Model Inputs'!$B$25)</f>
        <v>100000</v>
      </c>
      <c r="M350" s="230">
        <f>IF(J350=1,'Model Inputs'!$B$27*(13-'Model Inputs'!$B$23)/12,IF(J350=2,'Model Inputs'!$B$27,IF(J350&lt;=MAX(3,'Model Inputs'!$B$30+1),'Model Inputs'!$B$27*(1+'Model Inputs'!$B$28)^(J350-3),'Model Inputs'!$B$27*(1+'Model Inputs'!$B$28)^(MAX(3,'Model Inputs'!$B$30+1)-3)*(1+'Model Inputs'!$B$29)^(J350-MAX(3,'Model Inputs'!$B$30+1)))))</f>
        <v>150000</v>
      </c>
      <c r="N350" s="236">
        <f>IF(J350&lt;=2,0,'Model Inputs'!$B$32*SIN(2*PI()*(J350-3+'Model Inputs'!$B$34)/MAX(1,'Model Inputs'!$B$33)))</f>
        <v>0</v>
      </c>
      <c r="O350" s="230">
        <f t="shared" si="172"/>
        <v>150000</v>
      </c>
      <c r="P350" s="230">
        <f>0</f>
        <v>0</v>
      </c>
      <c r="Q350" s="230">
        <f>L350+P350+IF(J350=1,'Model Inputs'!$B$26,0)</f>
        <v>550000</v>
      </c>
      <c r="R350" s="230">
        <f t="shared" si="173"/>
        <v>550000</v>
      </c>
      <c r="S350" s="230">
        <f t="shared" si="174"/>
        <v>10300000</v>
      </c>
      <c r="T350" s="230">
        <f t="shared" si="175"/>
        <v>550000</v>
      </c>
      <c r="U350" s="230">
        <f>MIN(T350,'Tax Assumptions'!$B$19)</f>
        <v>24500</v>
      </c>
      <c r="V350" s="230">
        <f>MAX(T350-U350-'Tax Assumptions'!$B$8,0)</f>
        <v>509400</v>
      </c>
      <c r="W350" s="230">
        <f>MAX(T350-U350-'Tax Assumptions'!$B$9,0)</f>
        <v>517500</v>
      </c>
      <c r="X350" s="230">
        <f>IF(V350=0,0,LOOKUP(V350,'Tax Assumptions'!$F$9:$F$15,'Tax Assumptions'!$I$9:$I$15)+(V350-LOOKUP(V350,'Tax Assumptions'!$F$9:$F$15,'Tax Assumptions'!$F$9:$F$15))*LOOKUP(V350,'Tax Assumptions'!$F$9:$F$15,'Tax Assumptions'!$H$9:$H$15))+MIN(MAX(T350,0),'Tax Assumptions'!$B$11)*'Tax Assumptions'!$B$10+MAX(T350,0)*'Tax Assumptions'!$B$12+MAX(MAX(T350,0)-'Tax Assumptions'!$B$14,0)*'Tax Assumptions'!$B$13+MIN(T350*'Tax Assumptions'!$B$15,'Tax Assumptions'!$B$16)+MIN(T350*'Tax Assumptions'!$B$17,'Tax Assumptions'!$B$18)+IF(W350=0,0,LOOKUP(W350,'Tax Assumptions'!$K$9:$K$17,'Tax Assumptions'!$N$9:$N$17)+(W350-LOOKUP(W350,'Tax Assumptions'!$K$9:$K$17,'Tax Assumptions'!$K$9:$K$17))*LOOKUP(W350,'Tax Assumptions'!$K$9:$K$17,'Tax Assumptions'!$M$9:$M$17))+IF(W350=0,0,LOOKUP(W350,'Tax Assumptions'!$P$9:$P$12,'Tax Assumptions'!$S$9:$S$12)+(W350-LOOKUP(W350,'Tax Assumptions'!$P$9:$P$12,'Tax Assumptions'!$P$9:$P$12))*LOOKUP(W350,'Tax Assumptions'!$P$9:$P$12,'Tax Assumptions'!$R$9:$R$12))</f>
        <v>222834.53000000003</v>
      </c>
      <c r="Y350" s="230">
        <f t="shared" si="176"/>
        <v>302665.46999999997</v>
      </c>
      <c r="Z350" s="230">
        <f>IF(J350&lt;=10,INDEX('Savings Projection'!$BL$19:$BL$28,J350),LOOKUP(2,1/('Savings Projection'!$BL$19:$BL$28&lt;&gt;""),'Savings Projection'!$BL$19:$BL$28))*(1+'Model Inputs'!$B$35)^(J350-1)+IF(J350&lt;=10,INDEX('Savings Projection'!$BM$19:$BM$28,J350),LOOKUP(2,1/('Savings Projection'!$BM$19:$BM$28&lt;&gt;""),'Savings Projection'!$BM$19:$BM$28))*(1+'Model Inputs'!$B$36)^(J350-1)</f>
        <v>118000</v>
      </c>
      <c r="AA350" s="230">
        <f t="shared" si="177"/>
        <v>184665.46999999997</v>
      </c>
      <c r="AB350" s="230">
        <f>MIN(MAX(AA350,0),'Tax Assumptions'!$B$20)</f>
        <v>7500</v>
      </c>
      <c r="AC350" s="230">
        <f t="shared" si="178"/>
        <v>177165.46999999997</v>
      </c>
      <c r="AD350" s="230">
        <f>MAX('Model Inputs'!$B$7*(1+'Model Inputs'!$B$13)+AC350,0)</f>
        <v>336165.47</v>
      </c>
      <c r="AE350" s="230">
        <f>MAX(('Model Inputs'!$B$8+'Model Inputs'!$B$9+'Model Inputs'!$B$10)*(1+'Model Inputs'!$B$13)+U350+AB350,0)</f>
        <v>32000</v>
      </c>
      <c r="AF350" s="230">
        <f t="shared" si="179"/>
        <v>368165.47</v>
      </c>
      <c r="AG350" s="226" t="str">
        <f>IF(AND(AF350&gt;=$F$14,0&lt;$F$14),J350,"")</f>
        <v/>
      </c>
      <c r="AH350" s="226" t="str">
        <f>IF(AND(AF350&gt;=$F$15,0&lt;$F$15),J350,"")</f>
        <v/>
      </c>
      <c r="AI350" s="226" t="str">
        <f>IF(AND(AF350&gt;=$F$16,0&lt;$F$16),J350,"")</f>
        <v/>
      </c>
      <c r="AJ350" s="226" t="str">
        <f>IF(AND(AF350&gt;=$F$17,0&lt;$F$17),J350,"")</f>
        <v/>
      </c>
    </row>
    <row r="351" spans="1:36" ht="18" customHeight="1" x14ac:dyDescent="0.2">
      <c r="A351" s="226" t="str">
        <f t="shared" si="193"/>
        <v>4Y -&gt; PM Y7 Upside</v>
      </c>
      <c r="B351" s="226">
        <f t="shared" si="194"/>
        <v>4</v>
      </c>
      <c r="C351" s="235">
        <f t="shared" si="195"/>
        <v>3</v>
      </c>
      <c r="D351" s="226">
        <f t="shared" si="196"/>
        <v>7</v>
      </c>
      <c r="E351" s="226" t="str">
        <f t="shared" si="197"/>
        <v>Upside</v>
      </c>
      <c r="F351" s="230">
        <f t="shared" si="198"/>
        <v>50000000</v>
      </c>
      <c r="G351" s="236">
        <f t="shared" si="199"/>
        <v>0.2</v>
      </c>
      <c r="H351" s="230">
        <f t="shared" si="200"/>
        <v>300000</v>
      </c>
      <c r="I351" s="236">
        <f t="shared" si="170"/>
        <v>0</v>
      </c>
      <c r="J351" s="234">
        <v>2</v>
      </c>
      <c r="K351" s="234">
        <f t="shared" si="171"/>
        <v>2027</v>
      </c>
      <c r="L351" s="230">
        <f>IF(J351=1,'Model Inputs'!$B$25*(13-'Model Inputs'!$B$23)/12,'Model Inputs'!$B$25)</f>
        <v>300000</v>
      </c>
      <c r="M351" s="230">
        <f>IF(J351=1,'Model Inputs'!$B$27*(13-'Model Inputs'!$B$23)/12,IF(J351=2,'Model Inputs'!$B$27,IF(J351&lt;=MAX(3,'Model Inputs'!$B$30+1),'Model Inputs'!$B$27*(1+'Model Inputs'!$B$28)^(J351-3),'Model Inputs'!$B$27*(1+'Model Inputs'!$B$28)^(MAX(3,'Model Inputs'!$B$30+1)-3)*(1+'Model Inputs'!$B$29)^(J351-MAX(3,'Model Inputs'!$B$30+1)))))</f>
        <v>450000</v>
      </c>
      <c r="N351" s="236">
        <f>IF(J351&lt;=2,0,'Model Inputs'!$B$32*SIN(2*PI()*(J351-3+'Model Inputs'!$B$34)/MAX(1,'Model Inputs'!$B$33)))</f>
        <v>0</v>
      </c>
      <c r="O351" s="230">
        <f t="shared" si="172"/>
        <v>450000</v>
      </c>
      <c r="P351" s="230">
        <f>0.75*O350</f>
        <v>112500</v>
      </c>
      <c r="Q351" s="230">
        <f>L351+P351+IF(J351=1,'Model Inputs'!$B$26,0)</f>
        <v>412500</v>
      </c>
      <c r="R351" s="230">
        <f t="shared" si="173"/>
        <v>412500</v>
      </c>
      <c r="S351" s="230">
        <f t="shared" si="174"/>
        <v>10300000</v>
      </c>
      <c r="T351" s="230">
        <f t="shared" si="175"/>
        <v>412500</v>
      </c>
      <c r="U351" s="230">
        <f>MIN(T351,'Tax Assumptions'!$B$19)</f>
        <v>24500</v>
      </c>
      <c r="V351" s="230">
        <f>MAX(T351-U351-'Tax Assumptions'!$B$8,0)</f>
        <v>371900</v>
      </c>
      <c r="W351" s="230">
        <f>MAX(T351-U351-'Tax Assumptions'!$B$9,0)</f>
        <v>380000</v>
      </c>
      <c r="X351" s="230">
        <f>IF(V351=0,0,LOOKUP(V351,'Tax Assumptions'!$F$9:$F$15,'Tax Assumptions'!$I$9:$I$15)+(V351-LOOKUP(V351,'Tax Assumptions'!$F$9:$F$15,'Tax Assumptions'!$F$9:$F$15))*LOOKUP(V351,'Tax Assumptions'!$F$9:$F$15,'Tax Assumptions'!$H$9:$H$15))+MIN(MAX(T351,0),'Tax Assumptions'!$B$11)*'Tax Assumptions'!$B$10+MAX(T351,0)*'Tax Assumptions'!$B$12+MAX(MAX(T351,0)-'Tax Assumptions'!$B$14,0)*'Tax Assumptions'!$B$13+MIN(T351*'Tax Assumptions'!$B$15,'Tax Assumptions'!$B$16)+MIN(T351*'Tax Assumptions'!$B$17,'Tax Assumptions'!$B$18)+IF(W351=0,0,LOOKUP(W351,'Tax Assumptions'!$K$9:$K$17,'Tax Assumptions'!$N$9:$N$17)+(W351-LOOKUP(W351,'Tax Assumptions'!$K$9:$K$17,'Tax Assumptions'!$K$9:$K$17))*LOOKUP(W351,'Tax Assumptions'!$K$9:$K$17,'Tax Assumptions'!$M$9:$M$17))+IF(W351=0,0,LOOKUP(W351,'Tax Assumptions'!$P$9:$P$12,'Tax Assumptions'!$S$9:$S$12)+(W351-LOOKUP(W351,'Tax Assumptions'!$P$9:$P$12,'Tax Assumptions'!$P$9:$P$12))*LOOKUP(W351,'Tax Assumptions'!$P$9:$P$12,'Tax Assumptions'!$R$9:$R$12))</f>
        <v>156730.03</v>
      </c>
      <c r="Y351" s="230">
        <f t="shared" si="176"/>
        <v>231269.97</v>
      </c>
      <c r="Z351" s="230">
        <f>IF(J351&lt;=10,INDEX('Savings Projection'!$BL$19:$BL$28,J351),LOOKUP(2,1/('Savings Projection'!$BL$19:$BL$28&lt;&gt;""),'Savings Projection'!$BL$19:$BL$28))*(1+'Model Inputs'!$B$35)^(J351-1)+IF(J351&lt;=10,INDEX('Savings Projection'!$BM$19:$BM$28,J351),LOOKUP(2,1/('Savings Projection'!$BM$19:$BM$28&lt;&gt;""),'Savings Projection'!$BM$19:$BM$28))*(1+'Model Inputs'!$B$36)^(J351-1)</f>
        <v>121540</v>
      </c>
      <c r="AA351" s="230">
        <f t="shared" si="177"/>
        <v>109729.97</v>
      </c>
      <c r="AB351" s="230">
        <f>MIN(MAX(AA351,0),'Tax Assumptions'!$B$20)</f>
        <v>7500</v>
      </c>
      <c r="AC351" s="230">
        <f t="shared" si="178"/>
        <v>102229.97</v>
      </c>
      <c r="AD351" s="230">
        <f>MAX(AD350*(1+'Model Inputs'!$B$13)+AC351,0)</f>
        <v>458565.36820000003</v>
      </c>
      <c r="AE351" s="230">
        <f>MAX(AE350*(1+'Model Inputs'!$B$13)+U351+AB351,0)</f>
        <v>65920</v>
      </c>
      <c r="AF351" s="230">
        <f t="shared" si="179"/>
        <v>524485.36820000003</v>
      </c>
      <c r="AG351" s="226" t="str">
        <f t="shared" ref="AG351:AG379" si="201">IF(AND(AF351&gt;=$F$14,AF350&lt;$F$14),J351,"")</f>
        <v/>
      </c>
      <c r="AH351" s="226" t="str">
        <f t="shared" ref="AH351:AH379" si="202">IF(AND(AF351&gt;=$F$15,AF350&lt;$F$15),J351,"")</f>
        <v/>
      </c>
      <c r="AI351" s="226" t="str">
        <f t="shared" ref="AI351:AI379" si="203">IF(AND(AF351&gt;=$F$16,AF350&lt;$F$16),J351,"")</f>
        <v/>
      </c>
      <c r="AJ351" s="226" t="str">
        <f t="shared" ref="AJ351:AJ379" si="204">IF(AND(AF351&gt;=$F$17,AF350&lt;$F$17),J351,"")</f>
        <v/>
      </c>
    </row>
    <row r="352" spans="1:36" ht="18" customHeight="1" x14ac:dyDescent="0.2">
      <c r="A352" s="226" t="str">
        <f t="shared" si="193"/>
        <v>4Y -&gt; PM Y7 Upside</v>
      </c>
      <c r="B352" s="226">
        <f t="shared" si="194"/>
        <v>4</v>
      </c>
      <c r="C352" s="235">
        <f t="shared" si="195"/>
        <v>3</v>
      </c>
      <c r="D352" s="226">
        <f t="shared" si="196"/>
        <v>7</v>
      </c>
      <c r="E352" s="226" t="str">
        <f t="shared" si="197"/>
        <v>Upside</v>
      </c>
      <c r="F352" s="230">
        <f t="shared" si="198"/>
        <v>50000000</v>
      </c>
      <c r="G352" s="236">
        <f t="shared" si="199"/>
        <v>0.2</v>
      </c>
      <c r="H352" s="230">
        <f t="shared" si="200"/>
        <v>300000</v>
      </c>
      <c r="I352" s="236">
        <f t="shared" si="170"/>
        <v>0</v>
      </c>
      <c r="J352" s="234">
        <v>3</v>
      </c>
      <c r="K352" s="234">
        <f t="shared" si="171"/>
        <v>2028</v>
      </c>
      <c r="L352" s="230">
        <f>IF(J352=1,'Model Inputs'!$B$25*(13-'Model Inputs'!$B$23)/12,'Model Inputs'!$B$25)</f>
        <v>300000</v>
      </c>
      <c r="M352" s="230">
        <f>IF(J352=1,'Model Inputs'!$B$27*(13-'Model Inputs'!$B$23)/12,IF(J352=2,'Model Inputs'!$B$27,IF(J352&lt;=MAX(3,'Model Inputs'!$B$30+1),'Model Inputs'!$B$27*(1+'Model Inputs'!$B$28)^(J352-3),'Model Inputs'!$B$27*(1+'Model Inputs'!$B$28)^(MAX(3,'Model Inputs'!$B$30+1)-3)*(1+'Model Inputs'!$B$29)^(J352-MAX(3,'Model Inputs'!$B$30+1)))))</f>
        <v>450000</v>
      </c>
      <c r="N352" s="236">
        <f>IF(J352&lt;=2,0,'Model Inputs'!$B$32*SIN(2*PI()*(J352-3+'Model Inputs'!$B$34)/MAX(1,'Model Inputs'!$B$33)))</f>
        <v>0</v>
      </c>
      <c r="O352" s="230">
        <f t="shared" si="172"/>
        <v>450000</v>
      </c>
      <c r="P352" s="230">
        <f t="shared" ref="P352:P379" si="205">0.75*O351+0.25*O350</f>
        <v>375000</v>
      </c>
      <c r="Q352" s="230">
        <f>L352+P352+IF(J352=1,'Model Inputs'!$B$26,0)</f>
        <v>675000</v>
      </c>
      <c r="R352" s="230">
        <f t="shared" si="173"/>
        <v>675000</v>
      </c>
      <c r="S352" s="230">
        <f t="shared" si="174"/>
        <v>10300000</v>
      </c>
      <c r="T352" s="230">
        <f t="shared" si="175"/>
        <v>675000</v>
      </c>
      <c r="U352" s="230">
        <f>MIN(T352,'Tax Assumptions'!$B$19)</f>
        <v>24500</v>
      </c>
      <c r="V352" s="230">
        <f>MAX(T352-U352-'Tax Assumptions'!$B$8,0)</f>
        <v>634400</v>
      </c>
      <c r="W352" s="230">
        <f>MAX(T352-U352-'Tax Assumptions'!$B$9,0)</f>
        <v>642500</v>
      </c>
      <c r="X352" s="230">
        <f>IF(V352=0,0,LOOKUP(V352,'Tax Assumptions'!$F$9:$F$15,'Tax Assumptions'!$I$9:$I$15)+(V352-LOOKUP(V352,'Tax Assumptions'!$F$9:$F$15,'Tax Assumptions'!$F$9:$F$15))*LOOKUP(V352,'Tax Assumptions'!$F$9:$F$15,'Tax Assumptions'!$H$9:$H$15))+MIN(MAX(T352,0),'Tax Assumptions'!$B$11)*'Tax Assumptions'!$B$10+MAX(T352,0)*'Tax Assumptions'!$B$12+MAX(MAX(T352,0)-'Tax Assumptions'!$B$14,0)*'Tax Assumptions'!$B$13+MIN(T352*'Tax Assumptions'!$B$15,'Tax Assumptions'!$B$16)+MIN(T352*'Tax Assumptions'!$B$17,'Tax Assumptions'!$B$18)+IF(W352=0,0,LOOKUP(W352,'Tax Assumptions'!$K$9:$K$17,'Tax Assumptions'!$N$9:$N$17)+(W352-LOOKUP(W352,'Tax Assumptions'!$K$9:$K$17,'Tax Assumptions'!$K$9:$K$17))*LOOKUP(W352,'Tax Assumptions'!$K$9:$K$17,'Tax Assumptions'!$M$9:$M$17))+IF(W352=0,0,LOOKUP(W352,'Tax Assumptions'!$P$9:$P$12,'Tax Assumptions'!$S$9:$S$12)+(W352-LOOKUP(W352,'Tax Assumptions'!$P$9:$P$12,'Tax Assumptions'!$P$9:$P$12))*LOOKUP(W352,'Tax Assumptions'!$P$9:$P$12,'Tax Assumptions'!$R$9:$R$12))</f>
        <v>282929.53000000003</v>
      </c>
      <c r="Y352" s="230">
        <f t="shared" si="176"/>
        <v>367570.47</v>
      </c>
      <c r="Z352" s="230">
        <f>IF(J352&lt;=10,INDEX('Savings Projection'!$BL$19:$BL$28,J352),LOOKUP(2,1/('Savings Projection'!$BL$19:$BL$28&lt;&gt;""),'Savings Projection'!$BL$19:$BL$28))*(1+'Model Inputs'!$B$35)^(J352-1)+IF(J352&lt;=10,INDEX('Savings Projection'!$BM$19:$BM$28,J352),LOOKUP(2,1/('Savings Projection'!$BM$19:$BM$28&lt;&gt;""),'Savings Projection'!$BM$19:$BM$28))*(1+'Model Inputs'!$B$36)^(J352-1)</f>
        <v>135795.20000000001</v>
      </c>
      <c r="AA352" s="230">
        <f t="shared" si="177"/>
        <v>231775.26999999996</v>
      </c>
      <c r="AB352" s="230">
        <f>MIN(MAX(AA352,0),'Tax Assumptions'!$B$20)</f>
        <v>7500</v>
      </c>
      <c r="AC352" s="230">
        <f t="shared" si="178"/>
        <v>224275.26999999996</v>
      </c>
      <c r="AD352" s="230">
        <f>MAX(AD351*(1+'Model Inputs'!$B$13)+AC352,0)</f>
        <v>710354.56029199995</v>
      </c>
      <c r="AE352" s="230">
        <f>MAX(AE351*(1+'Model Inputs'!$B$13)+U352+AB352,0)</f>
        <v>101875.2</v>
      </c>
      <c r="AF352" s="230">
        <f t="shared" si="179"/>
        <v>812229.7602919999</v>
      </c>
      <c r="AG352" s="226" t="str">
        <f t="shared" si="201"/>
        <v/>
      </c>
      <c r="AH352" s="226" t="str">
        <f t="shared" si="202"/>
        <v/>
      </c>
      <c r="AI352" s="226" t="str">
        <f t="shared" si="203"/>
        <v/>
      </c>
      <c r="AJ352" s="226" t="str">
        <f t="shared" si="204"/>
        <v/>
      </c>
    </row>
    <row r="353" spans="1:36" ht="18" customHeight="1" x14ac:dyDescent="0.2">
      <c r="A353" s="226" t="str">
        <f t="shared" si="193"/>
        <v>4Y -&gt; PM Y7 Upside</v>
      </c>
      <c r="B353" s="226">
        <f t="shared" si="194"/>
        <v>4</v>
      </c>
      <c r="C353" s="235">
        <f t="shared" si="195"/>
        <v>3</v>
      </c>
      <c r="D353" s="226">
        <f t="shared" si="196"/>
        <v>7</v>
      </c>
      <c r="E353" s="226" t="str">
        <f t="shared" si="197"/>
        <v>Upside</v>
      </c>
      <c r="F353" s="230">
        <f t="shared" si="198"/>
        <v>50000000</v>
      </c>
      <c r="G353" s="236">
        <f t="shared" si="199"/>
        <v>0.2</v>
      </c>
      <c r="H353" s="230">
        <f t="shared" si="200"/>
        <v>300000</v>
      </c>
      <c r="I353" s="236">
        <f t="shared" si="170"/>
        <v>0</v>
      </c>
      <c r="J353" s="234">
        <v>4</v>
      </c>
      <c r="K353" s="234">
        <f t="shared" si="171"/>
        <v>2029</v>
      </c>
      <c r="L353" s="230">
        <f>IF(J353=1,'Model Inputs'!$B$25*(13-'Model Inputs'!$B$23)/12,'Model Inputs'!$B$25)</f>
        <v>300000</v>
      </c>
      <c r="M353" s="230">
        <f>IF(J353=1,'Model Inputs'!$B$27*(13-'Model Inputs'!$B$23)/12,IF(J353=2,'Model Inputs'!$B$27,IF(J353&lt;=MAX(3,'Model Inputs'!$B$30+1),'Model Inputs'!$B$27*(1+'Model Inputs'!$B$28)^(J353-3),'Model Inputs'!$B$27*(1+'Model Inputs'!$B$28)^(MAX(3,'Model Inputs'!$B$30+1)-3)*(1+'Model Inputs'!$B$29)^(J353-MAX(3,'Model Inputs'!$B$30+1)))))</f>
        <v>653834.84153110103</v>
      </c>
      <c r="N353" s="236">
        <f>IF(J353&lt;=2,0,'Model Inputs'!$B$32*SIN(2*PI()*(J353-3+'Model Inputs'!$B$34)/MAX(1,'Model Inputs'!$B$33)))</f>
        <v>0.10392304845413264</v>
      </c>
      <c r="O353" s="230">
        <f t="shared" si="172"/>
        <v>721783.35144853778</v>
      </c>
      <c r="P353" s="230">
        <f t="shared" si="205"/>
        <v>450000</v>
      </c>
      <c r="Q353" s="230">
        <f>L353+P353+IF(J353=1,'Model Inputs'!$B$26,0)</f>
        <v>750000</v>
      </c>
      <c r="R353" s="230">
        <f t="shared" si="173"/>
        <v>750000</v>
      </c>
      <c r="S353" s="230">
        <f t="shared" si="174"/>
        <v>10300000</v>
      </c>
      <c r="T353" s="230">
        <f t="shared" si="175"/>
        <v>750000</v>
      </c>
      <c r="U353" s="230">
        <f>MIN(T353,'Tax Assumptions'!$B$19)</f>
        <v>24500</v>
      </c>
      <c r="V353" s="230">
        <f>MAX(T353-U353-'Tax Assumptions'!$B$8,0)</f>
        <v>709400</v>
      </c>
      <c r="W353" s="230">
        <f>MAX(T353-U353-'Tax Assumptions'!$B$9,0)</f>
        <v>717500</v>
      </c>
      <c r="X353" s="230">
        <f>IF(V353=0,0,LOOKUP(V353,'Tax Assumptions'!$F$9:$F$15,'Tax Assumptions'!$I$9:$I$15)+(V353-LOOKUP(V353,'Tax Assumptions'!$F$9:$F$15,'Tax Assumptions'!$F$9:$F$15))*LOOKUP(V353,'Tax Assumptions'!$F$9:$F$15,'Tax Assumptions'!$H$9:$H$15))+MIN(MAX(T353,0),'Tax Assumptions'!$B$11)*'Tax Assumptions'!$B$10+MAX(T353,0)*'Tax Assumptions'!$B$12+MAX(MAX(T353,0)-'Tax Assumptions'!$B$14,0)*'Tax Assumptions'!$B$13+MIN(T353*'Tax Assumptions'!$B$15,'Tax Assumptions'!$B$16)+MIN(T353*'Tax Assumptions'!$B$17,'Tax Assumptions'!$B$18)+IF(W353=0,0,LOOKUP(W353,'Tax Assumptions'!$K$9:$K$17,'Tax Assumptions'!$N$9:$N$17)+(W353-LOOKUP(W353,'Tax Assumptions'!$K$9:$K$17,'Tax Assumptions'!$K$9:$K$17))*LOOKUP(W353,'Tax Assumptions'!$K$9:$K$17,'Tax Assumptions'!$M$9:$M$17))+IF(W353=0,0,LOOKUP(W353,'Tax Assumptions'!$P$9:$P$12,'Tax Assumptions'!$S$9:$S$12)+(W353-LOOKUP(W353,'Tax Assumptions'!$P$9:$P$12,'Tax Assumptions'!$P$9:$P$12))*LOOKUP(W353,'Tax Assumptions'!$P$9:$P$12,'Tax Assumptions'!$R$9:$R$12))</f>
        <v>320362.53000000003</v>
      </c>
      <c r="Y353" s="230">
        <f t="shared" si="176"/>
        <v>405137.47</v>
      </c>
      <c r="Z353" s="230">
        <f>IF(J353&lt;=10,INDEX('Savings Projection'!$BL$19:$BL$28,J353),LOOKUP(2,1/('Savings Projection'!$BL$19:$BL$28&lt;&gt;""),'Savings Projection'!$BL$19:$BL$28))*(1+'Model Inputs'!$B$35)^(J353-1)+IF(J353&lt;=10,INDEX('Savings Projection'!$BM$19:$BM$28,J353),LOOKUP(2,1/('Savings Projection'!$BM$19:$BM$28&lt;&gt;""),'Savings Projection'!$BM$19:$BM$28))*(1+'Model Inputs'!$B$36)^(J353-1)</f>
        <v>139869.05600000001</v>
      </c>
      <c r="AA353" s="230">
        <f t="shared" si="177"/>
        <v>265268.41399999999</v>
      </c>
      <c r="AB353" s="230">
        <f>MIN(MAX(AA353,0),'Tax Assumptions'!$B$20)</f>
        <v>7500</v>
      </c>
      <c r="AC353" s="230">
        <f t="shared" si="178"/>
        <v>257768.41399999999</v>
      </c>
      <c r="AD353" s="230">
        <f>MAX(AD352*(1+'Model Inputs'!$B$13)+AC353,0)</f>
        <v>1010744.2479095199</v>
      </c>
      <c r="AE353" s="230">
        <f>MAX(AE352*(1+'Model Inputs'!$B$13)+U353+AB353,0)</f>
        <v>139987.712</v>
      </c>
      <c r="AF353" s="230">
        <f t="shared" si="179"/>
        <v>1150731.9599095199</v>
      </c>
      <c r="AG353" s="226" t="str">
        <f t="shared" si="201"/>
        <v/>
      </c>
      <c r="AH353" s="226" t="str">
        <f t="shared" si="202"/>
        <v/>
      </c>
      <c r="AI353" s="226" t="str">
        <f t="shared" si="203"/>
        <v/>
      </c>
      <c r="AJ353" s="226" t="str">
        <f t="shared" si="204"/>
        <v/>
      </c>
    </row>
    <row r="354" spans="1:36" ht="18" customHeight="1" x14ac:dyDescent="0.2">
      <c r="A354" s="226" t="str">
        <f t="shared" si="193"/>
        <v>4Y -&gt; PM Y7 Upside</v>
      </c>
      <c r="B354" s="226">
        <f t="shared" si="194"/>
        <v>4</v>
      </c>
      <c r="C354" s="235">
        <f t="shared" si="195"/>
        <v>3</v>
      </c>
      <c r="D354" s="226">
        <f t="shared" si="196"/>
        <v>7</v>
      </c>
      <c r="E354" s="226" t="str">
        <f t="shared" si="197"/>
        <v>Upside</v>
      </c>
      <c r="F354" s="230">
        <f t="shared" si="198"/>
        <v>50000000</v>
      </c>
      <c r="G354" s="236">
        <f t="shared" si="199"/>
        <v>0.2</v>
      </c>
      <c r="H354" s="230">
        <f t="shared" si="200"/>
        <v>300000</v>
      </c>
      <c r="I354" s="236">
        <f t="shared" si="170"/>
        <v>0</v>
      </c>
      <c r="J354" s="234">
        <v>5</v>
      </c>
      <c r="K354" s="234">
        <f t="shared" si="171"/>
        <v>2030</v>
      </c>
      <c r="L354" s="230">
        <f>IF(J354=1,'Model Inputs'!$B$25*(13-'Model Inputs'!$B$23)/12,'Model Inputs'!$B$25)</f>
        <v>300000</v>
      </c>
      <c r="M354" s="230">
        <f>IF(J354=1,'Model Inputs'!$B$27*(13-'Model Inputs'!$B$23)/12,IF(J354=2,'Model Inputs'!$B$27,IF(J354&lt;=MAX(3,'Model Inputs'!$B$30+1),'Model Inputs'!$B$27*(1+'Model Inputs'!$B$28)^(J354-3),'Model Inputs'!$B$27*(1+'Model Inputs'!$B$28)^(MAX(3,'Model Inputs'!$B$30+1)-3)*(1+'Model Inputs'!$B$29)^(J354-MAX(3,'Model Inputs'!$B$30+1)))))</f>
        <v>950000</v>
      </c>
      <c r="N354" s="236">
        <f>IF(J354&lt;=2,0,'Model Inputs'!$B$32*SIN(2*PI()*(J354-3+'Model Inputs'!$B$34)/MAX(1,'Model Inputs'!$B$33)))</f>
        <v>-0.1039230484541326</v>
      </c>
      <c r="O354" s="230">
        <f t="shared" si="172"/>
        <v>851273.10396857408</v>
      </c>
      <c r="P354" s="230">
        <f t="shared" si="205"/>
        <v>653837.51358640334</v>
      </c>
      <c r="Q354" s="230">
        <f>L354+P354+IF(J354=1,'Model Inputs'!$B$26,0)</f>
        <v>953837.51358640334</v>
      </c>
      <c r="R354" s="230">
        <f t="shared" si="173"/>
        <v>2861512.54075921</v>
      </c>
      <c r="S354" s="230">
        <f t="shared" si="174"/>
        <v>10300000</v>
      </c>
      <c r="T354" s="230">
        <f t="shared" si="175"/>
        <v>2861512.54075921</v>
      </c>
      <c r="U354" s="230">
        <f>MIN(T354,'Tax Assumptions'!$B$19)</f>
        <v>24500</v>
      </c>
      <c r="V354" s="230">
        <f>MAX(T354-U354-'Tax Assumptions'!$B$8,0)</f>
        <v>2820912.54075921</v>
      </c>
      <c r="W354" s="230">
        <f>MAX(T354-U354-'Tax Assumptions'!$B$9,0)</f>
        <v>2829012.54075921</v>
      </c>
      <c r="X354" s="230">
        <f>IF(V354=0,0,LOOKUP(V354,'Tax Assumptions'!$F$9:$F$15,'Tax Assumptions'!$I$9:$I$15)+(V354-LOOKUP(V354,'Tax Assumptions'!$F$9:$F$15,'Tax Assumptions'!$F$9:$F$15))*LOOKUP(V354,'Tax Assumptions'!$F$9:$F$15,'Tax Assumptions'!$H$9:$H$15))+MIN(MAX(T354,0),'Tax Assumptions'!$B$11)*'Tax Assumptions'!$B$10+MAX(T354,0)*'Tax Assumptions'!$B$12+MAX(MAX(T354,0)-'Tax Assumptions'!$B$14,0)*'Tax Assumptions'!$B$13+MIN(T354*'Tax Assumptions'!$B$15,'Tax Assumptions'!$B$16)+MIN(T354*'Tax Assumptions'!$B$17,'Tax Assumptions'!$B$18)+IF(W354=0,0,LOOKUP(W354,'Tax Assumptions'!$K$9:$K$17,'Tax Assumptions'!$N$9:$N$17)+(W354-LOOKUP(W354,'Tax Assumptions'!$K$9:$K$17,'Tax Assumptions'!$K$9:$K$17))*LOOKUP(W354,'Tax Assumptions'!$K$9:$K$17,'Tax Assumptions'!$M$9:$M$17))+IF(W354=0,0,LOOKUP(W354,'Tax Assumptions'!$P$9:$P$12,'Tax Assumptions'!$S$9:$S$12)+(W354-LOOKUP(W354,'Tax Assumptions'!$P$9:$P$12,'Tax Assumptions'!$P$9:$P$12))*LOOKUP(W354,'Tax Assumptions'!$P$9:$P$12,'Tax Assumptions'!$R$9:$R$12))</f>
        <v>1426764.0060518396</v>
      </c>
      <c r="Y354" s="230">
        <f t="shared" si="176"/>
        <v>1410248.5347073704</v>
      </c>
      <c r="Z354" s="230">
        <f>IF(J354&lt;=10,INDEX('Savings Projection'!$BL$19:$BL$28,J354),LOOKUP(2,1/('Savings Projection'!$BL$19:$BL$28&lt;&gt;""),'Savings Projection'!$BL$19:$BL$28))*(1+'Model Inputs'!$B$35)^(J354-1)+IF(J354&lt;=10,INDEX('Savings Projection'!$BM$19:$BM$28,J354),LOOKUP(2,1/('Savings Projection'!$BM$19:$BM$28&lt;&gt;""),'Savings Projection'!$BM$19:$BM$28))*(1+'Model Inputs'!$B$36)^(J354-1)</f>
        <v>144065.12767999998</v>
      </c>
      <c r="AA354" s="230">
        <f t="shared" si="177"/>
        <v>1266183.4070273705</v>
      </c>
      <c r="AB354" s="230">
        <f>MIN(MAX(AA354,0),'Tax Assumptions'!$B$20)</f>
        <v>7500</v>
      </c>
      <c r="AC354" s="230">
        <f t="shared" si="178"/>
        <v>1258683.4070273705</v>
      </c>
      <c r="AD354" s="230">
        <f>MAX(AD353*(1+'Model Inputs'!$B$13)+AC354,0)</f>
        <v>2330072.3098114617</v>
      </c>
      <c r="AE354" s="230">
        <f>MAX(AE353*(1+'Model Inputs'!$B$13)+U354+AB354,0)</f>
        <v>180386.97472</v>
      </c>
      <c r="AF354" s="230">
        <f t="shared" si="179"/>
        <v>2510459.2845314615</v>
      </c>
      <c r="AG354" s="226" t="str">
        <f t="shared" si="201"/>
        <v/>
      </c>
      <c r="AH354" s="226" t="str">
        <f t="shared" si="202"/>
        <v/>
      </c>
      <c r="AI354" s="226" t="str">
        <f t="shared" si="203"/>
        <v/>
      </c>
      <c r="AJ354" s="226" t="str">
        <f t="shared" si="204"/>
        <v/>
      </c>
    </row>
    <row r="355" spans="1:36" ht="18" customHeight="1" x14ac:dyDescent="0.2">
      <c r="A355" s="226" t="str">
        <f t="shared" si="193"/>
        <v>4Y -&gt; PM Y7 Upside</v>
      </c>
      <c r="B355" s="226">
        <f t="shared" si="194"/>
        <v>4</v>
      </c>
      <c r="C355" s="235">
        <f t="shared" si="195"/>
        <v>3</v>
      </c>
      <c r="D355" s="226">
        <f t="shared" si="196"/>
        <v>7</v>
      </c>
      <c r="E355" s="226" t="str">
        <f t="shared" si="197"/>
        <v>Upside</v>
      </c>
      <c r="F355" s="230">
        <f t="shared" si="198"/>
        <v>50000000</v>
      </c>
      <c r="G355" s="236">
        <f t="shared" si="199"/>
        <v>0.2</v>
      </c>
      <c r="H355" s="230">
        <f t="shared" si="200"/>
        <v>300000</v>
      </c>
      <c r="I355" s="236">
        <f t="shared" si="170"/>
        <v>0</v>
      </c>
      <c r="J355" s="234">
        <v>6</v>
      </c>
      <c r="K355" s="234">
        <f t="shared" si="171"/>
        <v>2031</v>
      </c>
      <c r="L355" s="230">
        <f>IF(J355=1,'Model Inputs'!$B$25*(13-'Model Inputs'!$B$23)/12,'Model Inputs'!$B$25)</f>
        <v>300000</v>
      </c>
      <c r="M355" s="230">
        <f>IF(J355=1,'Model Inputs'!$B$27*(13-'Model Inputs'!$B$23)/12,IF(J355=2,'Model Inputs'!$B$27,IF(J355&lt;=MAX(3,'Model Inputs'!$B$30+1),'Model Inputs'!$B$27*(1+'Model Inputs'!$B$28)^(J355-3),'Model Inputs'!$B$27*(1+'Model Inputs'!$B$28)^(MAX(3,'Model Inputs'!$B$30+1)-3)*(1+'Model Inputs'!$B$29)^(J355-MAX(3,'Model Inputs'!$B$30+1)))))</f>
        <v>1207333.5632986501</v>
      </c>
      <c r="N355" s="236">
        <f>IF(J355&lt;=2,0,'Model Inputs'!$B$32*SIN(2*PI()*(J355-3+'Model Inputs'!$B$34)/MAX(1,'Model Inputs'!$B$33)))</f>
        <v>-2.9391523179536474E-17</v>
      </c>
      <c r="O355" s="230">
        <f t="shared" si="172"/>
        <v>1207333.5632986501</v>
      </c>
      <c r="P355" s="230">
        <f t="shared" si="205"/>
        <v>818900.66583856498</v>
      </c>
      <c r="Q355" s="230">
        <f>L355+P355+IF(J355=1,'Model Inputs'!$B$26,0)</f>
        <v>1118900.665838565</v>
      </c>
      <c r="R355" s="230">
        <f t="shared" si="173"/>
        <v>3356701.9975156952</v>
      </c>
      <c r="S355" s="230">
        <f t="shared" si="174"/>
        <v>10300000</v>
      </c>
      <c r="T355" s="230">
        <f t="shared" si="175"/>
        <v>3356701.9975156952</v>
      </c>
      <c r="U355" s="230">
        <f>MIN(T355,'Tax Assumptions'!$B$19)</f>
        <v>24500</v>
      </c>
      <c r="V355" s="230">
        <f>MAX(T355-U355-'Tax Assumptions'!$B$8,0)</f>
        <v>3316101.9975156952</v>
      </c>
      <c r="W355" s="230">
        <f>MAX(T355-U355-'Tax Assumptions'!$B$9,0)</f>
        <v>3324201.9975156952</v>
      </c>
      <c r="X355" s="230">
        <f>IF(V355=0,0,LOOKUP(V355,'Tax Assumptions'!$F$9:$F$15,'Tax Assumptions'!$I$9:$I$15)+(V355-LOOKUP(V355,'Tax Assumptions'!$F$9:$F$15,'Tax Assumptions'!$F$9:$F$15))*LOOKUP(V355,'Tax Assumptions'!$F$9:$F$15,'Tax Assumptions'!$H$9:$H$15))+MIN(MAX(T355,0),'Tax Assumptions'!$B$11)*'Tax Assumptions'!$B$10+MAX(T355,0)*'Tax Assumptions'!$B$12+MAX(MAX(T355,0)-'Tax Assumptions'!$B$14,0)*'Tax Assumptions'!$B$13+MIN(T355*'Tax Assumptions'!$B$15,'Tax Assumptions'!$B$16)+MIN(T355*'Tax Assumptions'!$B$17,'Tax Assumptions'!$B$18)+IF(W355=0,0,LOOKUP(W355,'Tax Assumptions'!$K$9:$K$17,'Tax Assumptions'!$N$9:$N$17)+(W355-LOOKUP(W355,'Tax Assumptions'!$K$9:$K$17,'Tax Assumptions'!$K$9:$K$17))*LOOKUP(W355,'Tax Assumptions'!$K$9:$K$17,'Tax Assumptions'!$M$9:$M$17))+IF(W355=0,0,LOOKUP(W355,'Tax Assumptions'!$P$9:$P$12,'Tax Assumptions'!$S$9:$S$12)+(W355-LOOKUP(W355,'Tax Assumptions'!$P$9:$P$12,'Tax Assumptions'!$P$9:$P$12))*LOOKUP(W355,'Tax Assumptions'!$P$9:$P$12,'Tax Assumptions'!$R$9:$R$12))</f>
        <v>1688600.3832063989</v>
      </c>
      <c r="Y355" s="230">
        <f t="shared" si="176"/>
        <v>1643601.6143092962</v>
      </c>
      <c r="Z355" s="230">
        <f>IF(J355&lt;=10,INDEX('Savings Projection'!$BL$19:$BL$28,J355),LOOKUP(2,1/('Savings Projection'!$BL$19:$BL$28&lt;&gt;""),'Savings Projection'!$BL$19:$BL$28))*(1+'Model Inputs'!$B$35)^(J355-1)+IF(J355&lt;=10,INDEX('Savings Projection'!$BM$19:$BM$28,J355),LOOKUP(2,1/('Savings Projection'!$BM$19:$BM$28&lt;&gt;""),'Savings Projection'!$BM$19:$BM$28))*(1+'Model Inputs'!$B$36)^(J355-1)</f>
        <v>150705.62965899997</v>
      </c>
      <c r="AA355" s="230">
        <f t="shared" si="177"/>
        <v>1492895.9846502962</v>
      </c>
      <c r="AB355" s="230">
        <f>MIN(MAX(AA355,0),'Tax Assumptions'!$B$20)</f>
        <v>7500</v>
      </c>
      <c r="AC355" s="230">
        <f t="shared" si="178"/>
        <v>1485395.9846502962</v>
      </c>
      <c r="AD355" s="230">
        <f>MAX(AD354*(1+'Model Inputs'!$B$13)+AC355,0)</f>
        <v>3955272.6330504459</v>
      </c>
      <c r="AE355" s="230">
        <f>MAX(AE354*(1+'Model Inputs'!$B$13)+U355+AB355,0)</f>
        <v>223210.1932032</v>
      </c>
      <c r="AF355" s="230">
        <f t="shared" si="179"/>
        <v>4178482.8262536461</v>
      </c>
      <c r="AG355" s="226" t="str">
        <f t="shared" si="201"/>
        <v/>
      </c>
      <c r="AH355" s="226" t="str">
        <f t="shared" si="202"/>
        <v/>
      </c>
      <c r="AI355" s="226" t="str">
        <f t="shared" si="203"/>
        <v/>
      </c>
      <c r="AJ355" s="226" t="str">
        <f t="shared" si="204"/>
        <v/>
      </c>
    </row>
    <row r="356" spans="1:36" ht="18" customHeight="1" x14ac:dyDescent="0.2">
      <c r="A356" s="226" t="str">
        <f t="shared" si="193"/>
        <v>4Y -&gt; PM Y7 Upside</v>
      </c>
      <c r="B356" s="226">
        <f t="shared" si="194"/>
        <v>4</v>
      </c>
      <c r="C356" s="235">
        <f t="shared" si="195"/>
        <v>3</v>
      </c>
      <c r="D356" s="226">
        <f t="shared" si="196"/>
        <v>7</v>
      </c>
      <c r="E356" s="226" t="str">
        <f t="shared" si="197"/>
        <v>Upside</v>
      </c>
      <c r="F356" s="230">
        <f t="shared" si="198"/>
        <v>50000000</v>
      </c>
      <c r="G356" s="236">
        <f t="shared" si="199"/>
        <v>0.2</v>
      </c>
      <c r="H356" s="230">
        <f t="shared" si="200"/>
        <v>300000</v>
      </c>
      <c r="I356" s="236">
        <f t="shared" si="170"/>
        <v>0</v>
      </c>
      <c r="J356" s="234">
        <v>7</v>
      </c>
      <c r="K356" s="234">
        <f t="shared" si="171"/>
        <v>2032</v>
      </c>
      <c r="L356" s="230">
        <f>IF(J356=1,'Model Inputs'!$B$25*(13-'Model Inputs'!$B$23)/12,'Model Inputs'!$B$25)</f>
        <v>300000</v>
      </c>
      <c r="M356" s="230">
        <f>IF(J356=1,'Model Inputs'!$B$27*(13-'Model Inputs'!$B$23)/12,IF(J356=2,'Model Inputs'!$B$27,IF(J356&lt;=MAX(3,'Model Inputs'!$B$30+1),'Model Inputs'!$B$27*(1+'Model Inputs'!$B$28)^(J356-3),'Model Inputs'!$B$27*(1+'Model Inputs'!$B$28)^(MAX(3,'Model Inputs'!$B$30+1)-3)*(1+'Model Inputs'!$B$29)^(J356-MAX(3,'Model Inputs'!$B$30+1)))))</f>
        <v>1534372.9821762268</v>
      </c>
      <c r="N356" s="236">
        <f>IF(J356&lt;=2,0,'Model Inputs'!$B$32*SIN(2*PI()*(J356-3+'Model Inputs'!$B$34)/MAX(1,'Model Inputs'!$B$33)))</f>
        <v>0.10392304845413269</v>
      </c>
      <c r="O356" s="230">
        <f t="shared" si="172"/>
        <v>1693829.6999496389</v>
      </c>
      <c r="P356" s="230">
        <f t="shared" si="205"/>
        <v>1118318.448466131</v>
      </c>
      <c r="Q356" s="230">
        <f>L356+P356+IF(J356=1,'Model Inputs'!$B$26,0)</f>
        <v>1418318.448466131</v>
      </c>
      <c r="R356" s="230">
        <f t="shared" si="173"/>
        <v>4254955.3453983925</v>
      </c>
      <c r="S356" s="230">
        <f t="shared" si="174"/>
        <v>10300000</v>
      </c>
      <c r="T356" s="230">
        <f t="shared" si="175"/>
        <v>10300000</v>
      </c>
      <c r="U356" s="230">
        <f>MIN(T356,'Tax Assumptions'!$B$19)</f>
        <v>24500</v>
      </c>
      <c r="V356" s="230">
        <f>MAX(T356-U356-'Tax Assumptions'!$B$8,0)</f>
        <v>10259400</v>
      </c>
      <c r="W356" s="230">
        <f>MAX(T356-U356-'Tax Assumptions'!$B$9,0)</f>
        <v>10267500</v>
      </c>
      <c r="X356" s="230">
        <f>IF(V356=0,0,LOOKUP(V356,'Tax Assumptions'!$F$9:$F$15,'Tax Assumptions'!$I$9:$I$15)+(V356-LOOKUP(V356,'Tax Assumptions'!$F$9:$F$15,'Tax Assumptions'!$F$9:$F$15))*LOOKUP(V356,'Tax Assumptions'!$F$9:$F$15,'Tax Assumptions'!$H$9:$H$15))+MIN(MAX(T356,0),'Tax Assumptions'!$B$11)*'Tax Assumptions'!$B$10+MAX(T356,0)*'Tax Assumptions'!$B$12+MAX(MAX(T356,0)-'Tax Assumptions'!$B$14,0)*'Tax Assumptions'!$B$13+MIN(T356*'Tax Assumptions'!$B$15,'Tax Assumptions'!$B$16)+MIN(T356*'Tax Assumptions'!$B$17,'Tax Assumptions'!$B$18)+IF(W356=0,0,LOOKUP(W356,'Tax Assumptions'!$K$9:$K$17,'Tax Assumptions'!$N$9:$N$17)+(W356-LOOKUP(W356,'Tax Assumptions'!$K$9:$K$17,'Tax Assumptions'!$K$9:$K$17))*LOOKUP(W356,'Tax Assumptions'!$K$9:$K$17,'Tax Assumptions'!$M$9:$M$17))+IF(W356=0,0,LOOKUP(W356,'Tax Assumptions'!$P$9:$P$12,'Tax Assumptions'!$S$9:$S$12)+(W356-LOOKUP(W356,'Tax Assumptions'!$P$9:$P$12,'Tax Assumptions'!$P$9:$P$12))*LOOKUP(W356,'Tax Assumptions'!$P$9:$P$12,'Tax Assumptions'!$R$9:$R$12))</f>
        <v>5394180.54</v>
      </c>
      <c r="Y356" s="230">
        <f t="shared" si="176"/>
        <v>4881319.46</v>
      </c>
      <c r="Z356" s="230">
        <f>IF(J356&lt;=10,INDEX('Savings Projection'!$BL$19:$BL$28,J356),LOOKUP(2,1/('Savings Projection'!$BL$19:$BL$28&lt;&gt;""),'Savings Projection'!$BL$19:$BL$28))*(1+'Model Inputs'!$B$35)^(J356-1)+IF(J356&lt;=10,INDEX('Savings Projection'!$BM$19:$BM$28,J356),LOOKUP(2,1/('Savings Projection'!$BM$19:$BM$28&lt;&gt;""),'Savings Projection'!$BM$19:$BM$28))*(1+'Model Inputs'!$B$36)^(J356-1)</f>
        <v>155226.79854876999</v>
      </c>
      <c r="AA356" s="230">
        <f t="shared" si="177"/>
        <v>4726092.6614512298</v>
      </c>
      <c r="AB356" s="230">
        <f>MIN(MAX(AA356,0),'Tax Assumptions'!$B$20)</f>
        <v>7500</v>
      </c>
      <c r="AC356" s="230">
        <f t="shared" si="178"/>
        <v>4718592.6614512298</v>
      </c>
      <c r="AD356" s="230">
        <f>MAX(AD355*(1+'Model Inputs'!$B$13)+AC356,0)</f>
        <v>8911181.6524847038</v>
      </c>
      <c r="AE356" s="230">
        <f>MAX(AE355*(1+'Model Inputs'!$B$13)+U356+AB356,0)</f>
        <v>268602.80479539197</v>
      </c>
      <c r="AF356" s="230">
        <f t="shared" si="179"/>
        <v>9179784.4572800957</v>
      </c>
      <c r="AG356" s="226" t="str">
        <f t="shared" si="201"/>
        <v/>
      </c>
      <c r="AH356" s="226" t="str">
        <f t="shared" si="202"/>
        <v/>
      </c>
      <c r="AI356" s="226" t="str">
        <f t="shared" si="203"/>
        <v/>
      </c>
      <c r="AJ356" s="226" t="str">
        <f t="shared" si="204"/>
        <v/>
      </c>
    </row>
    <row r="357" spans="1:36" ht="18" customHeight="1" x14ac:dyDescent="0.2">
      <c r="A357" s="226" t="str">
        <f t="shared" si="193"/>
        <v>4Y -&gt; PM Y7 Upside</v>
      </c>
      <c r="B357" s="226">
        <f t="shared" si="194"/>
        <v>4</v>
      </c>
      <c r="C357" s="235">
        <f t="shared" si="195"/>
        <v>3</v>
      </c>
      <c r="D357" s="226">
        <f t="shared" si="196"/>
        <v>7</v>
      </c>
      <c r="E357" s="226" t="str">
        <f t="shared" si="197"/>
        <v>Upside</v>
      </c>
      <c r="F357" s="230">
        <f t="shared" si="198"/>
        <v>50000000</v>
      </c>
      <c r="G357" s="236">
        <f t="shared" si="199"/>
        <v>0.2</v>
      </c>
      <c r="H357" s="230">
        <f t="shared" si="200"/>
        <v>300000</v>
      </c>
      <c r="I357" s="236">
        <f t="shared" si="170"/>
        <v>0</v>
      </c>
      <c r="J357" s="234">
        <v>8</v>
      </c>
      <c r="K357" s="234">
        <f t="shared" si="171"/>
        <v>2033</v>
      </c>
      <c r="L357" s="230">
        <f>IF(J357=1,'Model Inputs'!$B$25*(13-'Model Inputs'!$B$23)/12,'Model Inputs'!$B$25)</f>
        <v>300000</v>
      </c>
      <c r="M357" s="230">
        <f>IF(J357=1,'Model Inputs'!$B$27*(13-'Model Inputs'!$B$23)/12,IF(J357=2,'Model Inputs'!$B$27,IF(J357&lt;=MAX(3,'Model Inputs'!$B$30+1),'Model Inputs'!$B$27*(1+'Model Inputs'!$B$28)^(J357-3),'Model Inputs'!$B$27*(1+'Model Inputs'!$B$28)^(MAX(3,'Model Inputs'!$B$30+1)-3)*(1+'Model Inputs'!$B$29)^(J357-MAX(3,'Model Inputs'!$B$30+1)))))</f>
        <v>1950000.0000000002</v>
      </c>
      <c r="N357" s="236">
        <f>IF(J357&lt;=2,0,'Model Inputs'!$B$32*SIN(2*PI()*(J357-3+'Model Inputs'!$B$34)/MAX(1,'Model Inputs'!$B$33)))</f>
        <v>-0.10392304845413264</v>
      </c>
      <c r="O357" s="230">
        <f t="shared" si="172"/>
        <v>1747350.0555144416</v>
      </c>
      <c r="P357" s="230">
        <f t="shared" si="205"/>
        <v>1572205.6657868917</v>
      </c>
      <c r="Q357" s="230">
        <f>L357+P357+IF(J357=1,'Model Inputs'!$B$26,0)</f>
        <v>1872205.6657868917</v>
      </c>
      <c r="R357" s="230">
        <f t="shared" si="173"/>
        <v>5616616.9973606747</v>
      </c>
      <c r="S357" s="230">
        <f t="shared" si="174"/>
        <v>10300000</v>
      </c>
      <c r="T357" s="230">
        <f t="shared" si="175"/>
        <v>10300000</v>
      </c>
      <c r="U357" s="230">
        <f>MIN(T357,'Tax Assumptions'!$B$19)</f>
        <v>24500</v>
      </c>
      <c r="V357" s="230">
        <f>MAX(T357-U357-'Tax Assumptions'!$B$8,0)</f>
        <v>10259400</v>
      </c>
      <c r="W357" s="230">
        <f>MAX(T357-U357-'Tax Assumptions'!$B$9,0)</f>
        <v>10267500</v>
      </c>
      <c r="X357" s="230">
        <f>IF(V357=0,0,LOOKUP(V357,'Tax Assumptions'!$F$9:$F$15,'Tax Assumptions'!$I$9:$I$15)+(V357-LOOKUP(V357,'Tax Assumptions'!$F$9:$F$15,'Tax Assumptions'!$F$9:$F$15))*LOOKUP(V357,'Tax Assumptions'!$F$9:$F$15,'Tax Assumptions'!$H$9:$H$15))+MIN(MAX(T357,0),'Tax Assumptions'!$B$11)*'Tax Assumptions'!$B$10+MAX(T357,0)*'Tax Assumptions'!$B$12+MAX(MAX(T357,0)-'Tax Assumptions'!$B$14,0)*'Tax Assumptions'!$B$13+MIN(T357*'Tax Assumptions'!$B$15,'Tax Assumptions'!$B$16)+MIN(T357*'Tax Assumptions'!$B$17,'Tax Assumptions'!$B$18)+IF(W357=0,0,LOOKUP(W357,'Tax Assumptions'!$K$9:$K$17,'Tax Assumptions'!$N$9:$N$17)+(W357-LOOKUP(W357,'Tax Assumptions'!$K$9:$K$17,'Tax Assumptions'!$K$9:$K$17))*LOOKUP(W357,'Tax Assumptions'!$K$9:$K$17,'Tax Assumptions'!$M$9:$M$17))+IF(W357=0,0,LOOKUP(W357,'Tax Assumptions'!$P$9:$P$12,'Tax Assumptions'!$S$9:$S$12)+(W357-LOOKUP(W357,'Tax Assumptions'!$P$9:$P$12,'Tax Assumptions'!$P$9:$P$12))*LOOKUP(W357,'Tax Assumptions'!$P$9:$P$12,'Tax Assumptions'!$R$9:$R$12))</f>
        <v>5394180.54</v>
      </c>
      <c r="Y357" s="230">
        <f t="shared" si="176"/>
        <v>4881319.46</v>
      </c>
      <c r="Z357" s="230">
        <f>IF(J357&lt;=10,INDEX('Savings Projection'!$BL$19:$BL$28,J357),LOOKUP(2,1/('Savings Projection'!$BL$19:$BL$28&lt;&gt;""),'Savings Projection'!$BL$19:$BL$28))*(1+'Model Inputs'!$B$35)^(J357-1)+IF(J357&lt;=10,INDEX('Savings Projection'!$BM$19:$BM$28,J357),LOOKUP(2,1/('Savings Projection'!$BM$19:$BM$28&lt;&gt;""),'Savings Projection'!$BM$19:$BM$28))*(1+'Model Inputs'!$B$36)^(J357-1)</f>
        <v>159883.60250523311</v>
      </c>
      <c r="AA357" s="230">
        <f t="shared" si="177"/>
        <v>4721435.8574947668</v>
      </c>
      <c r="AB357" s="230">
        <f>MIN(MAX(AA357,0),'Tax Assumptions'!$B$20)</f>
        <v>7500</v>
      </c>
      <c r="AC357" s="230">
        <f t="shared" si="178"/>
        <v>4713935.8574947668</v>
      </c>
      <c r="AD357" s="230">
        <f>MAX(AD356*(1+'Model Inputs'!$B$13)+AC357,0)</f>
        <v>14159788.409128554</v>
      </c>
      <c r="AE357" s="230">
        <f>MAX(AE356*(1+'Model Inputs'!$B$13)+U357+AB357,0)</f>
        <v>316718.97308311553</v>
      </c>
      <c r="AF357" s="230">
        <f t="shared" si="179"/>
        <v>14476507.38221167</v>
      </c>
      <c r="AG357" s="226">
        <f t="shared" si="201"/>
        <v>8</v>
      </c>
      <c r="AH357" s="226" t="str">
        <f t="shared" si="202"/>
        <v/>
      </c>
      <c r="AI357" s="226" t="str">
        <f t="shared" si="203"/>
        <v/>
      </c>
      <c r="AJ357" s="226" t="str">
        <f t="shared" si="204"/>
        <v/>
      </c>
    </row>
    <row r="358" spans="1:36" ht="18" customHeight="1" x14ac:dyDescent="0.2">
      <c r="A358" s="226" t="str">
        <f t="shared" si="193"/>
        <v>4Y -&gt; PM Y7 Upside</v>
      </c>
      <c r="B358" s="226">
        <f t="shared" si="194"/>
        <v>4</v>
      </c>
      <c r="C358" s="235">
        <f t="shared" si="195"/>
        <v>3</v>
      </c>
      <c r="D358" s="226">
        <f t="shared" si="196"/>
        <v>7</v>
      </c>
      <c r="E358" s="226" t="str">
        <f t="shared" si="197"/>
        <v>Upside</v>
      </c>
      <c r="F358" s="230">
        <f t="shared" si="198"/>
        <v>50000000</v>
      </c>
      <c r="G358" s="236">
        <f t="shared" si="199"/>
        <v>0.2</v>
      </c>
      <c r="H358" s="230">
        <f t="shared" si="200"/>
        <v>300000</v>
      </c>
      <c r="I358" s="236">
        <f t="shared" si="170"/>
        <v>0</v>
      </c>
      <c r="J358" s="234">
        <v>9</v>
      </c>
      <c r="K358" s="234">
        <f t="shared" si="171"/>
        <v>2034</v>
      </c>
      <c r="L358" s="230">
        <f>IF(J358=1,'Model Inputs'!$B$25*(13-'Model Inputs'!$B$23)/12,'Model Inputs'!$B$25)</f>
        <v>300000</v>
      </c>
      <c r="M358" s="230">
        <f>IF(J358=1,'Model Inputs'!$B$27*(13-'Model Inputs'!$B$23)/12,IF(J358=2,'Model Inputs'!$B$27,IF(J358&lt;=MAX(3,'Model Inputs'!$B$30+1),'Model Inputs'!$B$27*(1+'Model Inputs'!$B$28)^(J358-3),'Model Inputs'!$B$27*(1+'Model Inputs'!$B$28)^(MAX(3,'Model Inputs'!$B$30+1)-3)*(1+'Model Inputs'!$B$29)^(J358-MAX(3,'Model Inputs'!$B$30+1)))))</f>
        <v>2478210.9983498608</v>
      </c>
      <c r="N358" s="236">
        <f>IF(J358&lt;=2,0,'Model Inputs'!$B$32*SIN(2*PI()*(J358-3+'Model Inputs'!$B$34)/MAX(1,'Model Inputs'!$B$33)))</f>
        <v>-5.8783046359072947E-17</v>
      </c>
      <c r="O358" s="230">
        <f t="shared" si="172"/>
        <v>2478210.9983498603</v>
      </c>
      <c r="P358" s="230">
        <f t="shared" si="205"/>
        <v>1733969.9666232408</v>
      </c>
      <c r="Q358" s="230">
        <f>L358+P358+IF(J358=1,'Model Inputs'!$B$26,0)</f>
        <v>2033969.9666232408</v>
      </c>
      <c r="R358" s="230">
        <f t="shared" si="173"/>
        <v>6101909.8998697223</v>
      </c>
      <c r="S358" s="230">
        <f t="shared" si="174"/>
        <v>10300000</v>
      </c>
      <c r="T358" s="230">
        <f t="shared" si="175"/>
        <v>10300000</v>
      </c>
      <c r="U358" s="230">
        <f>MIN(T358,'Tax Assumptions'!$B$19)</f>
        <v>24500</v>
      </c>
      <c r="V358" s="230">
        <f>MAX(T358-U358-'Tax Assumptions'!$B$8,0)</f>
        <v>10259400</v>
      </c>
      <c r="W358" s="230">
        <f>MAX(T358-U358-'Tax Assumptions'!$B$9,0)</f>
        <v>10267500</v>
      </c>
      <c r="X358" s="230">
        <f>IF(V358=0,0,LOOKUP(V358,'Tax Assumptions'!$F$9:$F$15,'Tax Assumptions'!$I$9:$I$15)+(V358-LOOKUP(V358,'Tax Assumptions'!$F$9:$F$15,'Tax Assumptions'!$F$9:$F$15))*LOOKUP(V358,'Tax Assumptions'!$F$9:$F$15,'Tax Assumptions'!$H$9:$H$15))+MIN(MAX(T358,0),'Tax Assumptions'!$B$11)*'Tax Assumptions'!$B$10+MAX(T358,0)*'Tax Assumptions'!$B$12+MAX(MAX(T358,0)-'Tax Assumptions'!$B$14,0)*'Tax Assumptions'!$B$13+MIN(T358*'Tax Assumptions'!$B$15,'Tax Assumptions'!$B$16)+MIN(T358*'Tax Assumptions'!$B$17,'Tax Assumptions'!$B$18)+IF(W358=0,0,LOOKUP(W358,'Tax Assumptions'!$K$9:$K$17,'Tax Assumptions'!$N$9:$N$17)+(W358-LOOKUP(W358,'Tax Assumptions'!$K$9:$K$17,'Tax Assumptions'!$K$9:$K$17))*LOOKUP(W358,'Tax Assumptions'!$K$9:$K$17,'Tax Assumptions'!$M$9:$M$17))+IF(W358=0,0,LOOKUP(W358,'Tax Assumptions'!$P$9:$P$12,'Tax Assumptions'!$S$9:$S$12)+(W358-LOOKUP(W358,'Tax Assumptions'!$P$9:$P$12,'Tax Assumptions'!$P$9:$P$12))*LOOKUP(W358,'Tax Assumptions'!$P$9:$P$12,'Tax Assumptions'!$R$9:$R$12))</f>
        <v>5394180.54</v>
      </c>
      <c r="Y358" s="230">
        <f t="shared" si="176"/>
        <v>4881319.46</v>
      </c>
      <c r="Z358" s="230">
        <f>IF(J358&lt;=10,INDEX('Savings Projection'!$BL$19:$BL$28,J358),LOOKUP(2,1/('Savings Projection'!$BL$19:$BL$28&lt;&gt;""),'Savings Projection'!$BL$19:$BL$28))*(1+'Model Inputs'!$B$35)^(J358-1)+IF(J358&lt;=10,INDEX('Savings Projection'!$BM$19:$BM$28,J358),LOOKUP(2,1/('Savings Projection'!$BM$19:$BM$28&lt;&gt;""),'Savings Projection'!$BM$19:$BM$28))*(1+'Model Inputs'!$B$36)^(J358-1)</f>
        <v>164680.11058039009</v>
      </c>
      <c r="AA358" s="230">
        <f t="shared" si="177"/>
        <v>4716639.3494196096</v>
      </c>
      <c r="AB358" s="230">
        <f>MIN(MAX(AA358,0),'Tax Assumptions'!$B$20)</f>
        <v>7500</v>
      </c>
      <c r="AC358" s="230">
        <f t="shared" si="178"/>
        <v>4709139.3494196096</v>
      </c>
      <c r="AD358" s="230">
        <f>MAX(AD357*(1+'Model Inputs'!$B$13)+AC358,0)</f>
        <v>19718515.063095879</v>
      </c>
      <c r="AE358" s="230">
        <f>MAX(AE357*(1+'Model Inputs'!$B$13)+U358+AB358,0)</f>
        <v>367722.11146810249</v>
      </c>
      <c r="AF358" s="230">
        <f t="shared" si="179"/>
        <v>20086237.174563982</v>
      </c>
      <c r="AG358" s="226" t="str">
        <f t="shared" si="201"/>
        <v/>
      </c>
      <c r="AH358" s="226">
        <f t="shared" si="202"/>
        <v>9</v>
      </c>
      <c r="AI358" s="226">
        <f t="shared" si="203"/>
        <v>9</v>
      </c>
      <c r="AJ358" s="226" t="str">
        <f t="shared" si="204"/>
        <v/>
      </c>
    </row>
    <row r="359" spans="1:36" ht="18" customHeight="1" x14ac:dyDescent="0.2">
      <c r="A359" s="226" t="str">
        <f t="shared" si="193"/>
        <v>4Y -&gt; PM Y7 Upside</v>
      </c>
      <c r="B359" s="226">
        <f t="shared" si="194"/>
        <v>4</v>
      </c>
      <c r="C359" s="235">
        <f t="shared" si="195"/>
        <v>3</v>
      </c>
      <c r="D359" s="226">
        <f t="shared" si="196"/>
        <v>7</v>
      </c>
      <c r="E359" s="226" t="str">
        <f t="shared" si="197"/>
        <v>Upside</v>
      </c>
      <c r="F359" s="230">
        <f t="shared" si="198"/>
        <v>50000000</v>
      </c>
      <c r="G359" s="236">
        <f t="shared" si="199"/>
        <v>0.2</v>
      </c>
      <c r="H359" s="230">
        <f t="shared" si="200"/>
        <v>300000</v>
      </c>
      <c r="I359" s="236">
        <f t="shared" si="170"/>
        <v>0</v>
      </c>
      <c r="J359" s="234">
        <v>10</v>
      </c>
      <c r="K359" s="234">
        <f t="shared" si="171"/>
        <v>2035</v>
      </c>
      <c r="L359" s="230">
        <f>IF(J359=1,'Model Inputs'!$B$25*(13-'Model Inputs'!$B$23)/12,'Model Inputs'!$B$25)</f>
        <v>300000</v>
      </c>
      <c r="M359" s="230">
        <f>IF(J359=1,'Model Inputs'!$B$27*(13-'Model Inputs'!$B$23)/12,IF(J359=2,'Model Inputs'!$B$27,IF(J359&lt;=MAX(3,'Model Inputs'!$B$30+1),'Model Inputs'!$B$27*(1+'Model Inputs'!$B$28)^(J359-3),'Model Inputs'!$B$27*(1+'Model Inputs'!$B$28)^(MAX(3,'Model Inputs'!$B$30+1)-3)*(1+'Model Inputs'!$B$29)^(J359-MAX(3,'Model Inputs'!$B$30+1)))))</f>
        <v>3149502.4370985711</v>
      </c>
      <c r="N359" s="236">
        <f>IF(J359&lt;=2,0,'Model Inputs'!$B$32*SIN(2*PI()*(J359-3+'Model Inputs'!$B$34)/MAX(1,'Model Inputs'!$B$33)))</f>
        <v>0.10392304845413271</v>
      </c>
      <c r="O359" s="230">
        <f t="shared" si="172"/>
        <v>3476808.331475575</v>
      </c>
      <c r="P359" s="230">
        <f t="shared" si="205"/>
        <v>2295495.7626410057</v>
      </c>
      <c r="Q359" s="230">
        <f>L359+P359+IF(J359=1,'Model Inputs'!$B$26,0)</f>
        <v>2595495.7626410057</v>
      </c>
      <c r="R359" s="230">
        <f t="shared" si="173"/>
        <v>7786487.2879230175</v>
      </c>
      <c r="S359" s="230">
        <f t="shared" si="174"/>
        <v>10300000</v>
      </c>
      <c r="T359" s="230">
        <f t="shared" si="175"/>
        <v>10300000</v>
      </c>
      <c r="U359" s="230">
        <f>MIN(T359,'Tax Assumptions'!$B$19)</f>
        <v>24500</v>
      </c>
      <c r="V359" s="230">
        <f>MAX(T359-U359-'Tax Assumptions'!$B$8,0)</f>
        <v>10259400</v>
      </c>
      <c r="W359" s="230">
        <f>MAX(T359-U359-'Tax Assumptions'!$B$9,0)</f>
        <v>10267500</v>
      </c>
      <c r="X359" s="230">
        <f>IF(V359=0,0,LOOKUP(V359,'Tax Assumptions'!$F$9:$F$15,'Tax Assumptions'!$I$9:$I$15)+(V359-LOOKUP(V359,'Tax Assumptions'!$F$9:$F$15,'Tax Assumptions'!$F$9:$F$15))*LOOKUP(V359,'Tax Assumptions'!$F$9:$F$15,'Tax Assumptions'!$H$9:$H$15))+MIN(MAX(T359,0),'Tax Assumptions'!$B$11)*'Tax Assumptions'!$B$10+MAX(T359,0)*'Tax Assumptions'!$B$12+MAX(MAX(T359,0)-'Tax Assumptions'!$B$14,0)*'Tax Assumptions'!$B$13+MIN(T359*'Tax Assumptions'!$B$15,'Tax Assumptions'!$B$16)+MIN(T359*'Tax Assumptions'!$B$17,'Tax Assumptions'!$B$18)+IF(W359=0,0,LOOKUP(W359,'Tax Assumptions'!$K$9:$K$17,'Tax Assumptions'!$N$9:$N$17)+(W359-LOOKUP(W359,'Tax Assumptions'!$K$9:$K$17,'Tax Assumptions'!$K$9:$K$17))*LOOKUP(W359,'Tax Assumptions'!$K$9:$K$17,'Tax Assumptions'!$M$9:$M$17))+IF(W359=0,0,LOOKUP(W359,'Tax Assumptions'!$P$9:$P$12,'Tax Assumptions'!$S$9:$S$12)+(W359-LOOKUP(W359,'Tax Assumptions'!$P$9:$P$12,'Tax Assumptions'!$P$9:$P$12))*LOOKUP(W359,'Tax Assumptions'!$P$9:$P$12,'Tax Assumptions'!$R$9:$R$12))</f>
        <v>5394180.54</v>
      </c>
      <c r="Y359" s="230">
        <f t="shared" si="176"/>
        <v>4881319.46</v>
      </c>
      <c r="Z359" s="230">
        <f>IF(J359&lt;=10,INDEX('Savings Projection'!$BL$19:$BL$28,J359),LOOKUP(2,1/('Savings Projection'!$BL$19:$BL$28&lt;&gt;""),'Savings Projection'!$BL$19:$BL$28))*(1+'Model Inputs'!$B$35)^(J359-1)+IF(J359&lt;=10,INDEX('Savings Projection'!$BM$19:$BM$28,J359),LOOKUP(2,1/('Savings Projection'!$BM$19:$BM$28&lt;&gt;""),'Savings Projection'!$BM$19:$BM$28))*(1+'Model Inputs'!$B$36)^(J359-1)</f>
        <v>169620.51389780178</v>
      </c>
      <c r="AA359" s="230">
        <f t="shared" si="177"/>
        <v>4711698.9461021982</v>
      </c>
      <c r="AB359" s="230">
        <f>MIN(MAX(AA359,0),'Tax Assumptions'!$B$20)</f>
        <v>7500</v>
      </c>
      <c r="AC359" s="230">
        <f t="shared" si="178"/>
        <v>4704198.9461021982</v>
      </c>
      <c r="AD359" s="230">
        <f>MAX(AD358*(1+'Model Inputs'!$B$13)+AC359,0)</f>
        <v>25605824.912983831</v>
      </c>
      <c r="AE359" s="230">
        <f>MAX(AE358*(1+'Model Inputs'!$B$13)+U359+AB359,0)</f>
        <v>421785.43815618864</v>
      </c>
      <c r="AF359" s="230">
        <f t="shared" si="179"/>
        <v>26027610.351140019</v>
      </c>
      <c r="AG359" s="226" t="str">
        <f t="shared" si="201"/>
        <v/>
      </c>
      <c r="AH359" s="226" t="str">
        <f t="shared" si="202"/>
        <v/>
      </c>
      <c r="AI359" s="226" t="str">
        <f t="shared" si="203"/>
        <v/>
      </c>
      <c r="AJ359" s="226">
        <f t="shared" si="204"/>
        <v>10</v>
      </c>
    </row>
    <row r="360" spans="1:36" ht="18" customHeight="1" x14ac:dyDescent="0.2">
      <c r="A360" s="226" t="str">
        <f t="shared" si="193"/>
        <v>4Y -&gt; PM Y7 Upside</v>
      </c>
      <c r="B360" s="226">
        <f t="shared" si="194"/>
        <v>4</v>
      </c>
      <c r="C360" s="235">
        <f t="shared" si="195"/>
        <v>3</v>
      </c>
      <c r="D360" s="226">
        <f t="shared" si="196"/>
        <v>7</v>
      </c>
      <c r="E360" s="226" t="str">
        <f t="shared" si="197"/>
        <v>Upside</v>
      </c>
      <c r="F360" s="230">
        <f t="shared" si="198"/>
        <v>50000000</v>
      </c>
      <c r="G360" s="236">
        <f t="shared" si="199"/>
        <v>0.2</v>
      </c>
      <c r="H360" s="230">
        <f t="shared" si="200"/>
        <v>300000</v>
      </c>
      <c r="I360" s="236">
        <f t="shared" si="170"/>
        <v>0</v>
      </c>
      <c r="J360" s="234">
        <v>11</v>
      </c>
      <c r="K360" s="234">
        <f t="shared" si="171"/>
        <v>2036</v>
      </c>
      <c r="L360" s="230">
        <f>IF(J360=1,'Model Inputs'!$B$25*(13-'Model Inputs'!$B$23)/12,'Model Inputs'!$B$25)</f>
        <v>300000</v>
      </c>
      <c r="M360" s="230">
        <f>IF(J360=1,'Model Inputs'!$B$27*(13-'Model Inputs'!$B$23)/12,IF(J360=2,'Model Inputs'!$B$27,IF(J360&lt;=MAX(3,'Model Inputs'!$B$30+1),'Model Inputs'!$B$27*(1+'Model Inputs'!$B$28)^(J360-3),'Model Inputs'!$B$27*(1+'Model Inputs'!$B$28)^(MAX(3,'Model Inputs'!$B$30+1)-3)*(1+'Model Inputs'!$B$29)^(J360-MAX(3,'Model Inputs'!$B$30+1)))))</f>
        <v>4002631.578947369</v>
      </c>
      <c r="N360" s="236">
        <f>IF(J360&lt;=2,0,'Model Inputs'!$B$32*SIN(2*PI()*(J360-3+'Model Inputs'!$B$34)/MAX(1,'Model Inputs'!$B$33)))</f>
        <v>-0.10392304845413253</v>
      </c>
      <c r="O360" s="230">
        <f t="shared" si="172"/>
        <v>3586665.9034243808</v>
      </c>
      <c r="P360" s="230">
        <f t="shared" si="205"/>
        <v>3227158.9981941464</v>
      </c>
      <c r="Q360" s="230">
        <f>L360+P360+IF(J360=1,'Model Inputs'!$B$26,0)</f>
        <v>3527158.9981941464</v>
      </c>
      <c r="R360" s="230">
        <f t="shared" si="173"/>
        <v>10581476.994582439</v>
      </c>
      <c r="S360" s="230">
        <f t="shared" si="174"/>
        <v>10300000</v>
      </c>
      <c r="T360" s="230">
        <f t="shared" si="175"/>
        <v>10300000</v>
      </c>
      <c r="U360" s="230">
        <f>MIN(T360,'Tax Assumptions'!$B$19)</f>
        <v>24500</v>
      </c>
      <c r="V360" s="230">
        <f>MAX(T360-U360-'Tax Assumptions'!$B$8,0)</f>
        <v>10259400</v>
      </c>
      <c r="W360" s="230">
        <f>MAX(T360-U360-'Tax Assumptions'!$B$9,0)</f>
        <v>10267500</v>
      </c>
      <c r="X360" s="230">
        <f>IF(V360=0,0,LOOKUP(V360,'Tax Assumptions'!$F$9:$F$15,'Tax Assumptions'!$I$9:$I$15)+(V360-LOOKUP(V360,'Tax Assumptions'!$F$9:$F$15,'Tax Assumptions'!$F$9:$F$15))*LOOKUP(V360,'Tax Assumptions'!$F$9:$F$15,'Tax Assumptions'!$H$9:$H$15))+MIN(MAX(T360,0),'Tax Assumptions'!$B$11)*'Tax Assumptions'!$B$10+MAX(T360,0)*'Tax Assumptions'!$B$12+MAX(MAX(T360,0)-'Tax Assumptions'!$B$14,0)*'Tax Assumptions'!$B$13+MIN(T360*'Tax Assumptions'!$B$15,'Tax Assumptions'!$B$16)+MIN(T360*'Tax Assumptions'!$B$17,'Tax Assumptions'!$B$18)+IF(W360=0,0,LOOKUP(W360,'Tax Assumptions'!$K$9:$K$17,'Tax Assumptions'!$N$9:$N$17)+(W360-LOOKUP(W360,'Tax Assumptions'!$K$9:$K$17,'Tax Assumptions'!$K$9:$K$17))*LOOKUP(W360,'Tax Assumptions'!$K$9:$K$17,'Tax Assumptions'!$M$9:$M$17))+IF(W360=0,0,LOOKUP(W360,'Tax Assumptions'!$P$9:$P$12,'Tax Assumptions'!$S$9:$S$12)+(W360-LOOKUP(W360,'Tax Assumptions'!$P$9:$P$12,'Tax Assumptions'!$P$9:$P$12))*LOOKUP(W360,'Tax Assumptions'!$P$9:$P$12,'Tax Assumptions'!$R$9:$R$12))</f>
        <v>5394180.54</v>
      </c>
      <c r="Y360" s="230">
        <f t="shared" si="176"/>
        <v>4881319.46</v>
      </c>
      <c r="Z360" s="230">
        <f>IF(J360&lt;=10,INDEX('Savings Projection'!$BL$19:$BL$28,J360),LOOKUP(2,1/('Savings Projection'!$BL$19:$BL$28&lt;&gt;""),'Savings Projection'!$BL$19:$BL$28))*(1+'Model Inputs'!$B$35)^(J360-1)+IF(J360&lt;=10,INDEX('Savings Projection'!$BM$19:$BM$28,J360),LOOKUP(2,1/('Savings Projection'!$BM$19:$BM$28&lt;&gt;""),'Savings Projection'!$BM$19:$BM$28))*(1+'Model Inputs'!$B$36)^(J360-1)</f>
        <v>174709.12931473582</v>
      </c>
      <c r="AA360" s="230">
        <f t="shared" si="177"/>
        <v>4706610.3306852644</v>
      </c>
      <c r="AB360" s="230">
        <f>MIN(MAX(AA360,0),'Tax Assumptions'!$B$20)</f>
        <v>7500</v>
      </c>
      <c r="AC360" s="230">
        <f t="shared" si="178"/>
        <v>4699110.3306852644</v>
      </c>
      <c r="AD360" s="230">
        <f>MAX(AD359*(1+'Model Inputs'!$B$13)+AC360,0)</f>
        <v>31841284.738448128</v>
      </c>
      <c r="AE360" s="230">
        <f>MAX(AE359*(1+'Model Inputs'!$B$13)+U360+AB360,0)</f>
        <v>479092.56444555998</v>
      </c>
      <c r="AF360" s="230">
        <f t="shared" si="179"/>
        <v>32320377.302893687</v>
      </c>
      <c r="AG360" s="226" t="str">
        <f t="shared" si="201"/>
        <v/>
      </c>
      <c r="AH360" s="226" t="str">
        <f t="shared" si="202"/>
        <v/>
      </c>
      <c r="AI360" s="226" t="str">
        <f t="shared" si="203"/>
        <v/>
      </c>
      <c r="AJ360" s="226" t="str">
        <f t="shared" si="204"/>
        <v/>
      </c>
    </row>
    <row r="361" spans="1:36" ht="18" customHeight="1" x14ac:dyDescent="0.2">
      <c r="A361" s="226" t="str">
        <f t="shared" si="193"/>
        <v>4Y -&gt; PM Y7 Upside</v>
      </c>
      <c r="B361" s="226">
        <f t="shared" si="194"/>
        <v>4</v>
      </c>
      <c r="C361" s="235">
        <f t="shared" si="195"/>
        <v>3</v>
      </c>
      <c r="D361" s="226">
        <f t="shared" si="196"/>
        <v>7</v>
      </c>
      <c r="E361" s="226" t="str">
        <f t="shared" si="197"/>
        <v>Upside</v>
      </c>
      <c r="F361" s="230">
        <f t="shared" si="198"/>
        <v>50000000</v>
      </c>
      <c r="G361" s="236">
        <f t="shared" si="199"/>
        <v>0.2</v>
      </c>
      <c r="H361" s="230">
        <f t="shared" si="200"/>
        <v>300000</v>
      </c>
      <c r="I361" s="236">
        <f t="shared" si="170"/>
        <v>0</v>
      </c>
      <c r="J361" s="234">
        <v>12</v>
      </c>
      <c r="K361" s="234">
        <f t="shared" si="171"/>
        <v>2037</v>
      </c>
      <c r="L361" s="230">
        <f>IF(J361=1,'Model Inputs'!$B$25*(13-'Model Inputs'!$B$23)/12,'Model Inputs'!$B$25)</f>
        <v>300000</v>
      </c>
      <c r="M361" s="230">
        <f>IF(J361=1,'Model Inputs'!$B$27*(13-'Model Inputs'!$B$23)/12,IF(J361=2,'Model Inputs'!$B$27,IF(J361&lt;=MAX(3,'Model Inputs'!$B$30+1),'Model Inputs'!$B$27*(1+'Model Inputs'!$B$28)^(J361-3),'Model Inputs'!$B$27*(1+'Model Inputs'!$B$28)^(MAX(3,'Model Inputs'!$B$30+1)-3)*(1+'Model Inputs'!$B$29)^(J361-MAX(3,'Model Inputs'!$B$30+1)))))</f>
        <v>5086854.15450761</v>
      </c>
      <c r="N361" s="236">
        <f>IF(J361&lt;=2,0,'Model Inputs'!$B$32*SIN(2*PI()*(J361-3+'Model Inputs'!$B$34)/MAX(1,'Model Inputs'!$B$33)))</f>
        <v>-8.8174569538609421E-17</v>
      </c>
      <c r="O361" s="230">
        <f t="shared" si="172"/>
        <v>5086854.1545076091</v>
      </c>
      <c r="P361" s="230">
        <f t="shared" si="205"/>
        <v>3559201.5104371794</v>
      </c>
      <c r="Q361" s="230">
        <f>L361+P361+IF(J361=1,'Model Inputs'!$B$26,0)</f>
        <v>3859201.5104371794</v>
      </c>
      <c r="R361" s="230">
        <f t="shared" si="173"/>
        <v>11577604.531311538</v>
      </c>
      <c r="S361" s="230">
        <f t="shared" si="174"/>
        <v>10300000</v>
      </c>
      <c r="T361" s="230">
        <f t="shared" si="175"/>
        <v>10300000</v>
      </c>
      <c r="U361" s="230">
        <f>MIN(T361,'Tax Assumptions'!$B$19)</f>
        <v>24500</v>
      </c>
      <c r="V361" s="230">
        <f>MAX(T361-U361-'Tax Assumptions'!$B$8,0)</f>
        <v>10259400</v>
      </c>
      <c r="W361" s="230">
        <f>MAX(T361-U361-'Tax Assumptions'!$B$9,0)</f>
        <v>10267500</v>
      </c>
      <c r="X361" s="230">
        <f>IF(V361=0,0,LOOKUP(V361,'Tax Assumptions'!$F$9:$F$15,'Tax Assumptions'!$I$9:$I$15)+(V361-LOOKUP(V361,'Tax Assumptions'!$F$9:$F$15,'Tax Assumptions'!$F$9:$F$15))*LOOKUP(V361,'Tax Assumptions'!$F$9:$F$15,'Tax Assumptions'!$H$9:$H$15))+MIN(MAX(T361,0),'Tax Assumptions'!$B$11)*'Tax Assumptions'!$B$10+MAX(T361,0)*'Tax Assumptions'!$B$12+MAX(MAX(T361,0)-'Tax Assumptions'!$B$14,0)*'Tax Assumptions'!$B$13+MIN(T361*'Tax Assumptions'!$B$15,'Tax Assumptions'!$B$16)+MIN(T361*'Tax Assumptions'!$B$17,'Tax Assumptions'!$B$18)+IF(W361=0,0,LOOKUP(W361,'Tax Assumptions'!$K$9:$K$17,'Tax Assumptions'!$N$9:$N$17)+(W361-LOOKUP(W361,'Tax Assumptions'!$K$9:$K$17,'Tax Assumptions'!$K$9:$K$17))*LOOKUP(W361,'Tax Assumptions'!$K$9:$K$17,'Tax Assumptions'!$M$9:$M$17))+IF(W361=0,0,LOOKUP(W361,'Tax Assumptions'!$P$9:$P$12,'Tax Assumptions'!$S$9:$S$12)+(W361-LOOKUP(W361,'Tax Assumptions'!$P$9:$P$12,'Tax Assumptions'!$P$9:$P$12))*LOOKUP(W361,'Tax Assumptions'!$P$9:$P$12,'Tax Assumptions'!$R$9:$R$12))</f>
        <v>5394180.54</v>
      </c>
      <c r="Y361" s="230">
        <f t="shared" si="176"/>
        <v>4881319.46</v>
      </c>
      <c r="Z361" s="230">
        <f>IF(J361&lt;=10,INDEX('Savings Projection'!$BL$19:$BL$28,J361),LOOKUP(2,1/('Savings Projection'!$BL$19:$BL$28&lt;&gt;""),'Savings Projection'!$BL$19:$BL$28))*(1+'Model Inputs'!$B$35)^(J361-1)+IF(J361&lt;=10,INDEX('Savings Projection'!$BM$19:$BM$28,J361),LOOKUP(2,1/('Savings Projection'!$BM$19:$BM$28&lt;&gt;""),'Savings Projection'!$BM$19:$BM$28))*(1+'Model Inputs'!$B$36)^(J361-1)</f>
        <v>179950.4031941779</v>
      </c>
      <c r="AA361" s="230">
        <f t="shared" si="177"/>
        <v>4701369.0568058221</v>
      </c>
      <c r="AB361" s="230">
        <f>MIN(MAX(AA361,0),'Tax Assumptions'!$B$20)</f>
        <v>7500</v>
      </c>
      <c r="AC361" s="230">
        <f t="shared" si="178"/>
        <v>4693869.0568058221</v>
      </c>
      <c r="AD361" s="230">
        <f>MAX(AD360*(1+'Model Inputs'!$B$13)+AC361,0)</f>
        <v>38445630.879560836</v>
      </c>
      <c r="AE361" s="230">
        <f>MAX(AE360*(1+'Model Inputs'!$B$13)+U361+AB361,0)</f>
        <v>539838.11831229366</v>
      </c>
      <c r="AF361" s="230">
        <f t="shared" si="179"/>
        <v>38985468.997873127</v>
      </c>
      <c r="AG361" s="226" t="str">
        <f t="shared" si="201"/>
        <v/>
      </c>
      <c r="AH361" s="226" t="str">
        <f t="shared" si="202"/>
        <v/>
      </c>
      <c r="AI361" s="226" t="str">
        <f t="shared" si="203"/>
        <v/>
      </c>
      <c r="AJ361" s="226" t="str">
        <f t="shared" si="204"/>
        <v/>
      </c>
    </row>
    <row r="362" spans="1:36" ht="18" customHeight="1" x14ac:dyDescent="0.2">
      <c r="A362" s="226" t="str">
        <f t="shared" si="193"/>
        <v>4Y -&gt; PM Y7 Upside</v>
      </c>
      <c r="B362" s="226">
        <f t="shared" si="194"/>
        <v>4</v>
      </c>
      <c r="C362" s="235">
        <f t="shared" si="195"/>
        <v>3</v>
      </c>
      <c r="D362" s="226">
        <f t="shared" si="196"/>
        <v>7</v>
      </c>
      <c r="E362" s="226" t="str">
        <f t="shared" si="197"/>
        <v>Upside</v>
      </c>
      <c r="F362" s="230">
        <f t="shared" si="198"/>
        <v>50000000</v>
      </c>
      <c r="G362" s="236">
        <f t="shared" si="199"/>
        <v>0.2</v>
      </c>
      <c r="H362" s="230">
        <f t="shared" si="200"/>
        <v>300000</v>
      </c>
      <c r="I362" s="236">
        <f t="shared" si="170"/>
        <v>0</v>
      </c>
      <c r="J362" s="234">
        <v>13</v>
      </c>
      <c r="K362" s="234">
        <f t="shared" si="171"/>
        <v>2038</v>
      </c>
      <c r="L362" s="230">
        <f>IF(J362=1,'Model Inputs'!$B$25*(13-'Model Inputs'!$B$23)/12,'Model Inputs'!$B$25)</f>
        <v>300000</v>
      </c>
      <c r="M362" s="230">
        <f>IF(J362=1,'Model Inputs'!$B$27*(13-'Model Inputs'!$B$23)/12,IF(J362=2,'Model Inputs'!$B$27,IF(J362&lt;=MAX(3,'Model Inputs'!$B$30+1),'Model Inputs'!$B$27*(1+'Model Inputs'!$B$28)^(J362-3),'Model Inputs'!$B$27*(1+'Model Inputs'!$B$28)^(MAX(3,'Model Inputs'!$B$30+1)-3)*(1+'Model Inputs'!$B$29)^(J362-MAX(3,'Model Inputs'!$B$30+1)))))</f>
        <v>6464768.1603602255</v>
      </c>
      <c r="N362" s="236">
        <f>IF(J362&lt;=2,0,'Model Inputs'!$B$32*SIN(2*PI()*(J362-3+'Model Inputs'!$B$34)/MAX(1,'Model Inputs'!$B$33)))</f>
        <v>0.10392304845413261</v>
      </c>
      <c r="O362" s="230">
        <f t="shared" si="172"/>
        <v>7136606.5751340752</v>
      </c>
      <c r="P362" s="230">
        <f t="shared" si="205"/>
        <v>4711807.0917368019</v>
      </c>
      <c r="Q362" s="230">
        <f>L362+P362+IF(J362=1,'Model Inputs'!$B$26,0)</f>
        <v>5011807.0917368019</v>
      </c>
      <c r="R362" s="230">
        <f t="shared" si="173"/>
        <v>15035421.275210407</v>
      </c>
      <c r="S362" s="230">
        <f t="shared" si="174"/>
        <v>10300000</v>
      </c>
      <c r="T362" s="230">
        <f t="shared" si="175"/>
        <v>10300000</v>
      </c>
      <c r="U362" s="230">
        <f>MIN(T362,'Tax Assumptions'!$B$19)</f>
        <v>24500</v>
      </c>
      <c r="V362" s="230">
        <f>MAX(T362-U362-'Tax Assumptions'!$B$8,0)</f>
        <v>10259400</v>
      </c>
      <c r="W362" s="230">
        <f>MAX(T362-U362-'Tax Assumptions'!$B$9,0)</f>
        <v>10267500</v>
      </c>
      <c r="X362" s="230">
        <f>IF(V362=0,0,LOOKUP(V362,'Tax Assumptions'!$F$9:$F$15,'Tax Assumptions'!$I$9:$I$15)+(V362-LOOKUP(V362,'Tax Assumptions'!$F$9:$F$15,'Tax Assumptions'!$F$9:$F$15))*LOOKUP(V362,'Tax Assumptions'!$F$9:$F$15,'Tax Assumptions'!$H$9:$H$15))+MIN(MAX(T362,0),'Tax Assumptions'!$B$11)*'Tax Assumptions'!$B$10+MAX(T362,0)*'Tax Assumptions'!$B$12+MAX(MAX(T362,0)-'Tax Assumptions'!$B$14,0)*'Tax Assumptions'!$B$13+MIN(T362*'Tax Assumptions'!$B$15,'Tax Assumptions'!$B$16)+MIN(T362*'Tax Assumptions'!$B$17,'Tax Assumptions'!$B$18)+IF(W362=0,0,LOOKUP(W362,'Tax Assumptions'!$K$9:$K$17,'Tax Assumptions'!$N$9:$N$17)+(W362-LOOKUP(W362,'Tax Assumptions'!$K$9:$K$17,'Tax Assumptions'!$K$9:$K$17))*LOOKUP(W362,'Tax Assumptions'!$K$9:$K$17,'Tax Assumptions'!$M$9:$M$17))+IF(W362=0,0,LOOKUP(W362,'Tax Assumptions'!$P$9:$P$12,'Tax Assumptions'!$S$9:$S$12)+(W362-LOOKUP(W362,'Tax Assumptions'!$P$9:$P$12,'Tax Assumptions'!$P$9:$P$12))*LOOKUP(W362,'Tax Assumptions'!$P$9:$P$12,'Tax Assumptions'!$R$9:$R$12))</f>
        <v>5394180.54</v>
      </c>
      <c r="Y362" s="230">
        <f t="shared" si="176"/>
        <v>4881319.46</v>
      </c>
      <c r="Z362" s="230">
        <f>IF(J362&lt;=10,INDEX('Savings Projection'!$BL$19:$BL$28,J362),LOOKUP(2,1/('Savings Projection'!$BL$19:$BL$28&lt;&gt;""),'Savings Projection'!$BL$19:$BL$28))*(1+'Model Inputs'!$B$35)^(J362-1)+IF(J362&lt;=10,INDEX('Savings Projection'!$BM$19:$BM$28,J362),LOOKUP(2,1/('Savings Projection'!$BM$19:$BM$28&lt;&gt;""),'Savings Projection'!$BM$19:$BM$28))*(1+'Model Inputs'!$B$36)^(J362-1)</f>
        <v>185348.91529000323</v>
      </c>
      <c r="AA362" s="230">
        <f t="shared" si="177"/>
        <v>4695970.5447099963</v>
      </c>
      <c r="AB362" s="230">
        <f>MIN(MAX(AA362,0),'Tax Assumptions'!$B$20)</f>
        <v>7500</v>
      </c>
      <c r="AC362" s="230">
        <f t="shared" si="178"/>
        <v>4688470.5447099963</v>
      </c>
      <c r="AD362" s="230">
        <f>MAX(AD361*(1+'Model Inputs'!$B$13)+AC362,0)</f>
        <v>45440839.277044483</v>
      </c>
      <c r="AE362" s="230">
        <f>MAX(AE361*(1+'Model Inputs'!$B$13)+U362+AB362,0)</f>
        <v>604228.40541103133</v>
      </c>
      <c r="AF362" s="230">
        <f t="shared" si="179"/>
        <v>46045067.682455517</v>
      </c>
      <c r="AG362" s="226" t="str">
        <f t="shared" si="201"/>
        <v/>
      </c>
      <c r="AH362" s="226" t="str">
        <f t="shared" si="202"/>
        <v/>
      </c>
      <c r="AI362" s="226" t="str">
        <f t="shared" si="203"/>
        <v/>
      </c>
      <c r="AJ362" s="226" t="str">
        <f t="shared" si="204"/>
        <v/>
      </c>
    </row>
    <row r="363" spans="1:36" ht="18" customHeight="1" x14ac:dyDescent="0.2">
      <c r="A363" s="226" t="str">
        <f t="shared" si="193"/>
        <v>4Y -&gt; PM Y7 Upside</v>
      </c>
      <c r="B363" s="226">
        <f t="shared" si="194"/>
        <v>4</v>
      </c>
      <c r="C363" s="235">
        <f t="shared" si="195"/>
        <v>3</v>
      </c>
      <c r="D363" s="226">
        <f t="shared" si="196"/>
        <v>7</v>
      </c>
      <c r="E363" s="226" t="str">
        <f t="shared" si="197"/>
        <v>Upside</v>
      </c>
      <c r="F363" s="230">
        <f t="shared" si="198"/>
        <v>50000000</v>
      </c>
      <c r="G363" s="236">
        <f t="shared" si="199"/>
        <v>0.2</v>
      </c>
      <c r="H363" s="230">
        <f t="shared" si="200"/>
        <v>300000</v>
      </c>
      <c r="I363" s="236">
        <f t="shared" si="170"/>
        <v>0</v>
      </c>
      <c r="J363" s="234">
        <v>14</v>
      </c>
      <c r="K363" s="234">
        <f t="shared" si="171"/>
        <v>2039</v>
      </c>
      <c r="L363" s="230">
        <f>IF(J363=1,'Model Inputs'!$B$25*(13-'Model Inputs'!$B$23)/12,'Model Inputs'!$B$25)</f>
        <v>300000</v>
      </c>
      <c r="M363" s="230">
        <f>IF(J363=1,'Model Inputs'!$B$27*(13-'Model Inputs'!$B$23)/12,IF(J363=2,'Model Inputs'!$B$27,IF(J363&lt;=MAX(3,'Model Inputs'!$B$30+1),'Model Inputs'!$B$27*(1+'Model Inputs'!$B$28)^(J363-3),'Model Inputs'!$B$27*(1+'Model Inputs'!$B$28)^(MAX(3,'Model Inputs'!$B$30+1)-3)*(1+'Model Inputs'!$B$29)^(J363-MAX(3,'Model Inputs'!$B$30+1)))))</f>
        <v>8215927.9778393377</v>
      </c>
      <c r="N363" s="236">
        <f>IF(J363&lt;=2,0,'Model Inputs'!$B$32*SIN(2*PI()*(J363-3+'Model Inputs'!$B$34)/MAX(1,'Model Inputs'!$B$33)))</f>
        <v>-0.10392304845413251</v>
      </c>
      <c r="O363" s="230">
        <f t="shared" si="172"/>
        <v>7362103.6965026772</v>
      </c>
      <c r="P363" s="230">
        <f t="shared" si="205"/>
        <v>6624168.4699774589</v>
      </c>
      <c r="Q363" s="230">
        <f>L363+P363+IF(J363=1,'Model Inputs'!$B$26,0)</f>
        <v>6924168.4699774589</v>
      </c>
      <c r="R363" s="230">
        <f t="shared" si="173"/>
        <v>20772505.409932375</v>
      </c>
      <c r="S363" s="230">
        <f t="shared" si="174"/>
        <v>10300000</v>
      </c>
      <c r="T363" s="230">
        <f t="shared" si="175"/>
        <v>10300000</v>
      </c>
      <c r="U363" s="230">
        <f>MIN(T363,'Tax Assumptions'!$B$19)</f>
        <v>24500</v>
      </c>
      <c r="V363" s="230">
        <f>MAX(T363-U363-'Tax Assumptions'!$B$8,0)</f>
        <v>10259400</v>
      </c>
      <c r="W363" s="230">
        <f>MAX(T363-U363-'Tax Assumptions'!$B$9,0)</f>
        <v>10267500</v>
      </c>
      <c r="X363" s="230">
        <f>IF(V363=0,0,LOOKUP(V363,'Tax Assumptions'!$F$9:$F$15,'Tax Assumptions'!$I$9:$I$15)+(V363-LOOKUP(V363,'Tax Assumptions'!$F$9:$F$15,'Tax Assumptions'!$F$9:$F$15))*LOOKUP(V363,'Tax Assumptions'!$F$9:$F$15,'Tax Assumptions'!$H$9:$H$15))+MIN(MAX(T363,0),'Tax Assumptions'!$B$11)*'Tax Assumptions'!$B$10+MAX(T363,0)*'Tax Assumptions'!$B$12+MAX(MAX(T363,0)-'Tax Assumptions'!$B$14,0)*'Tax Assumptions'!$B$13+MIN(T363*'Tax Assumptions'!$B$15,'Tax Assumptions'!$B$16)+MIN(T363*'Tax Assumptions'!$B$17,'Tax Assumptions'!$B$18)+IF(W363=0,0,LOOKUP(W363,'Tax Assumptions'!$K$9:$K$17,'Tax Assumptions'!$N$9:$N$17)+(W363-LOOKUP(W363,'Tax Assumptions'!$K$9:$K$17,'Tax Assumptions'!$K$9:$K$17))*LOOKUP(W363,'Tax Assumptions'!$K$9:$K$17,'Tax Assumptions'!$M$9:$M$17))+IF(W363=0,0,LOOKUP(W363,'Tax Assumptions'!$P$9:$P$12,'Tax Assumptions'!$S$9:$S$12)+(W363-LOOKUP(W363,'Tax Assumptions'!$P$9:$P$12,'Tax Assumptions'!$P$9:$P$12))*LOOKUP(W363,'Tax Assumptions'!$P$9:$P$12,'Tax Assumptions'!$R$9:$R$12))</f>
        <v>5394180.54</v>
      </c>
      <c r="Y363" s="230">
        <f t="shared" si="176"/>
        <v>4881319.46</v>
      </c>
      <c r="Z363" s="230">
        <f>IF(J363&lt;=10,INDEX('Savings Projection'!$BL$19:$BL$28,J363),LOOKUP(2,1/('Savings Projection'!$BL$19:$BL$28&lt;&gt;""),'Savings Projection'!$BL$19:$BL$28))*(1+'Model Inputs'!$B$35)^(J363-1)+IF(J363&lt;=10,INDEX('Savings Projection'!$BM$19:$BM$28,J363),LOOKUP(2,1/('Savings Projection'!$BM$19:$BM$28&lt;&gt;""),'Savings Projection'!$BM$19:$BM$28))*(1+'Model Inputs'!$B$36)^(J363-1)</f>
        <v>190909.3827487033</v>
      </c>
      <c r="AA363" s="230">
        <f t="shared" si="177"/>
        <v>4690410.0772512965</v>
      </c>
      <c r="AB363" s="230">
        <f>MIN(MAX(AA363,0),'Tax Assumptions'!$B$20)</f>
        <v>7500</v>
      </c>
      <c r="AC363" s="230">
        <f t="shared" si="178"/>
        <v>4682910.0772512965</v>
      </c>
      <c r="AD363" s="230">
        <f>MAX(AD362*(1+'Model Inputs'!$B$13)+AC363,0)</f>
        <v>52850199.710918456</v>
      </c>
      <c r="AE363" s="230">
        <f>MAX(AE362*(1+'Model Inputs'!$B$13)+U363+AB363,0)</f>
        <v>672482.1097356932</v>
      </c>
      <c r="AF363" s="230">
        <f t="shared" si="179"/>
        <v>53522681.820654146</v>
      </c>
      <c r="AG363" s="226" t="str">
        <f t="shared" si="201"/>
        <v/>
      </c>
      <c r="AH363" s="226" t="str">
        <f t="shared" si="202"/>
        <v/>
      </c>
      <c r="AI363" s="226" t="str">
        <f t="shared" si="203"/>
        <v/>
      </c>
      <c r="AJ363" s="226" t="str">
        <f t="shared" si="204"/>
        <v/>
      </c>
    </row>
    <row r="364" spans="1:36" ht="18" customHeight="1" x14ac:dyDescent="0.2">
      <c r="A364" s="226" t="str">
        <f t="shared" si="193"/>
        <v>4Y -&gt; PM Y7 Upside</v>
      </c>
      <c r="B364" s="226">
        <f t="shared" si="194"/>
        <v>4</v>
      </c>
      <c r="C364" s="235">
        <f t="shared" si="195"/>
        <v>3</v>
      </c>
      <c r="D364" s="226">
        <f t="shared" si="196"/>
        <v>7</v>
      </c>
      <c r="E364" s="226" t="str">
        <f t="shared" si="197"/>
        <v>Upside</v>
      </c>
      <c r="F364" s="230">
        <f t="shared" si="198"/>
        <v>50000000</v>
      </c>
      <c r="G364" s="236">
        <f t="shared" si="199"/>
        <v>0.2</v>
      </c>
      <c r="H364" s="230">
        <f t="shared" si="200"/>
        <v>300000</v>
      </c>
      <c r="I364" s="236">
        <f t="shared" si="170"/>
        <v>0</v>
      </c>
      <c r="J364" s="234">
        <v>15</v>
      </c>
      <c r="K364" s="234">
        <f t="shared" si="171"/>
        <v>2040</v>
      </c>
      <c r="L364" s="230">
        <f>IF(J364=1,'Model Inputs'!$B$25*(13-'Model Inputs'!$B$23)/12,'Model Inputs'!$B$25)</f>
        <v>300000</v>
      </c>
      <c r="M364" s="230">
        <f>IF(J364=1,'Model Inputs'!$B$27*(13-'Model Inputs'!$B$23)/12,IF(J364=2,'Model Inputs'!$B$27,IF(J364&lt;=MAX(3,'Model Inputs'!$B$30+1),'Model Inputs'!$B$27*(1+'Model Inputs'!$B$28)^(J364-3),'Model Inputs'!$B$27*(1+'Model Inputs'!$B$28)^(MAX(3,'Model Inputs'!$B$30+1)-3)*(1+'Model Inputs'!$B$29)^(J364-MAX(3,'Model Inputs'!$B$30+1)))))</f>
        <v>10441437.475041937</v>
      </c>
      <c r="N364" s="236">
        <f>IF(J364&lt;=2,0,'Model Inputs'!$B$32*SIN(2*PI()*(J364-3+'Model Inputs'!$B$34)/MAX(1,'Model Inputs'!$B$33)))</f>
        <v>-1.1756609271814589E-16</v>
      </c>
      <c r="O364" s="230">
        <f t="shared" si="172"/>
        <v>10441437.475041935</v>
      </c>
      <c r="P364" s="230">
        <f t="shared" si="205"/>
        <v>7305729.4161605267</v>
      </c>
      <c r="Q364" s="230">
        <f>L364+P364+IF(J364=1,'Model Inputs'!$B$26,0)</f>
        <v>7605729.4161605267</v>
      </c>
      <c r="R364" s="230">
        <f t="shared" si="173"/>
        <v>22817188.248481579</v>
      </c>
      <c r="S364" s="230">
        <f t="shared" si="174"/>
        <v>10300000</v>
      </c>
      <c r="T364" s="230">
        <f t="shared" si="175"/>
        <v>10300000</v>
      </c>
      <c r="U364" s="230">
        <f>MIN(T364,'Tax Assumptions'!$B$19)</f>
        <v>24500</v>
      </c>
      <c r="V364" s="230">
        <f>MAX(T364-U364-'Tax Assumptions'!$B$8,0)</f>
        <v>10259400</v>
      </c>
      <c r="W364" s="230">
        <f>MAX(T364-U364-'Tax Assumptions'!$B$9,0)</f>
        <v>10267500</v>
      </c>
      <c r="X364" s="230">
        <f>IF(V364=0,0,LOOKUP(V364,'Tax Assumptions'!$F$9:$F$15,'Tax Assumptions'!$I$9:$I$15)+(V364-LOOKUP(V364,'Tax Assumptions'!$F$9:$F$15,'Tax Assumptions'!$F$9:$F$15))*LOOKUP(V364,'Tax Assumptions'!$F$9:$F$15,'Tax Assumptions'!$H$9:$H$15))+MIN(MAX(T364,0),'Tax Assumptions'!$B$11)*'Tax Assumptions'!$B$10+MAX(T364,0)*'Tax Assumptions'!$B$12+MAX(MAX(T364,0)-'Tax Assumptions'!$B$14,0)*'Tax Assumptions'!$B$13+MIN(T364*'Tax Assumptions'!$B$15,'Tax Assumptions'!$B$16)+MIN(T364*'Tax Assumptions'!$B$17,'Tax Assumptions'!$B$18)+IF(W364=0,0,LOOKUP(W364,'Tax Assumptions'!$K$9:$K$17,'Tax Assumptions'!$N$9:$N$17)+(W364-LOOKUP(W364,'Tax Assumptions'!$K$9:$K$17,'Tax Assumptions'!$K$9:$K$17))*LOOKUP(W364,'Tax Assumptions'!$K$9:$K$17,'Tax Assumptions'!$M$9:$M$17))+IF(W364=0,0,LOOKUP(W364,'Tax Assumptions'!$P$9:$P$12,'Tax Assumptions'!$S$9:$S$12)+(W364-LOOKUP(W364,'Tax Assumptions'!$P$9:$P$12,'Tax Assumptions'!$P$9:$P$12))*LOOKUP(W364,'Tax Assumptions'!$P$9:$P$12,'Tax Assumptions'!$R$9:$R$12))</f>
        <v>5394180.54</v>
      </c>
      <c r="Y364" s="230">
        <f t="shared" si="176"/>
        <v>4881319.46</v>
      </c>
      <c r="Z364" s="230">
        <f>IF(J364&lt;=10,INDEX('Savings Projection'!$BL$19:$BL$28,J364),LOOKUP(2,1/('Savings Projection'!$BL$19:$BL$28&lt;&gt;""),'Savings Projection'!$BL$19:$BL$28))*(1+'Model Inputs'!$B$35)^(J364-1)+IF(J364&lt;=10,INDEX('Savings Projection'!$BM$19:$BM$28,J364),LOOKUP(2,1/('Savings Projection'!$BM$19:$BM$28&lt;&gt;""),'Savings Projection'!$BM$19:$BM$28))*(1+'Model Inputs'!$B$36)^(J364-1)</f>
        <v>196636.66423116444</v>
      </c>
      <c r="AA364" s="230">
        <f t="shared" si="177"/>
        <v>4684682.7957688356</v>
      </c>
      <c r="AB364" s="230">
        <f>MIN(MAX(AA364,0),'Tax Assumptions'!$B$20)</f>
        <v>7500</v>
      </c>
      <c r="AC364" s="230">
        <f t="shared" si="178"/>
        <v>4677182.7957688356</v>
      </c>
      <c r="AD364" s="230">
        <f>MAX(AD363*(1+'Model Inputs'!$B$13)+AC364,0)</f>
        <v>60698394.489342399</v>
      </c>
      <c r="AE364" s="230">
        <f>MAX(AE363*(1+'Model Inputs'!$B$13)+U364+AB364,0)</f>
        <v>744831.03631983488</v>
      </c>
      <c r="AF364" s="230">
        <f t="shared" si="179"/>
        <v>61443225.525662236</v>
      </c>
      <c r="AG364" s="226" t="str">
        <f t="shared" si="201"/>
        <v/>
      </c>
      <c r="AH364" s="226" t="str">
        <f t="shared" si="202"/>
        <v/>
      </c>
      <c r="AI364" s="226" t="str">
        <f t="shared" si="203"/>
        <v/>
      </c>
      <c r="AJ364" s="226" t="str">
        <f t="shared" si="204"/>
        <v/>
      </c>
    </row>
    <row r="365" spans="1:36" ht="18" customHeight="1" x14ac:dyDescent="0.2">
      <c r="A365" s="226" t="str">
        <f t="shared" si="193"/>
        <v>4Y -&gt; PM Y7 Upside</v>
      </c>
      <c r="B365" s="226">
        <f t="shared" si="194"/>
        <v>4</v>
      </c>
      <c r="C365" s="235">
        <f t="shared" si="195"/>
        <v>3</v>
      </c>
      <c r="D365" s="226">
        <f t="shared" si="196"/>
        <v>7</v>
      </c>
      <c r="E365" s="226" t="str">
        <f t="shared" si="197"/>
        <v>Upside</v>
      </c>
      <c r="F365" s="230">
        <f t="shared" si="198"/>
        <v>50000000</v>
      </c>
      <c r="G365" s="236">
        <f t="shared" si="199"/>
        <v>0.2</v>
      </c>
      <c r="H365" s="230">
        <f t="shared" si="200"/>
        <v>300000</v>
      </c>
      <c r="I365" s="236">
        <f t="shared" si="170"/>
        <v>0</v>
      </c>
      <c r="J365" s="234">
        <v>16</v>
      </c>
      <c r="K365" s="234">
        <f t="shared" si="171"/>
        <v>2041</v>
      </c>
      <c r="L365" s="230">
        <f>IF(J365=1,'Model Inputs'!$B$25*(13-'Model Inputs'!$B$23)/12,'Model Inputs'!$B$25)</f>
        <v>300000</v>
      </c>
      <c r="M365" s="230">
        <f>IF(J365=1,'Model Inputs'!$B$27*(13-'Model Inputs'!$B$23)/12,IF(J365=2,'Model Inputs'!$B$27,IF(J365&lt;=MAX(3,'Model Inputs'!$B$30+1),'Model Inputs'!$B$27*(1+'Model Inputs'!$B$28)^(J365-3),'Model Inputs'!$B$27*(1+'Model Inputs'!$B$28)^(MAX(3,'Model Inputs'!$B$30+1)-3)*(1+'Model Inputs'!$B$29)^(J365-MAX(3,'Model Inputs'!$B$30+1)))))</f>
        <v>13269787.276528884</v>
      </c>
      <c r="N365" s="236">
        <f>IF(J365&lt;=2,0,'Model Inputs'!$B$32*SIN(2*PI()*(J365-3+'Model Inputs'!$B$34)/MAX(1,'Model Inputs'!$B$33)))</f>
        <v>0.10392304845413262</v>
      </c>
      <c r="O365" s="230">
        <f t="shared" si="172"/>
        <v>14648824.022643628</v>
      </c>
      <c r="P365" s="230">
        <f t="shared" si="205"/>
        <v>9671604.0304071214</v>
      </c>
      <c r="Q365" s="230">
        <f>L365+P365+IF(J365=1,'Model Inputs'!$B$26,0)</f>
        <v>9971604.0304071214</v>
      </c>
      <c r="R365" s="230">
        <f t="shared" si="173"/>
        <v>29914812.091221362</v>
      </c>
      <c r="S365" s="230">
        <f t="shared" si="174"/>
        <v>10300000</v>
      </c>
      <c r="T365" s="230">
        <f t="shared" si="175"/>
        <v>10300000</v>
      </c>
      <c r="U365" s="230">
        <f>MIN(T365,'Tax Assumptions'!$B$19)</f>
        <v>24500</v>
      </c>
      <c r="V365" s="230">
        <f>MAX(T365-U365-'Tax Assumptions'!$B$8,0)</f>
        <v>10259400</v>
      </c>
      <c r="W365" s="230">
        <f>MAX(T365-U365-'Tax Assumptions'!$B$9,0)</f>
        <v>10267500</v>
      </c>
      <c r="X365" s="230">
        <f>IF(V365=0,0,LOOKUP(V365,'Tax Assumptions'!$F$9:$F$15,'Tax Assumptions'!$I$9:$I$15)+(V365-LOOKUP(V365,'Tax Assumptions'!$F$9:$F$15,'Tax Assumptions'!$F$9:$F$15))*LOOKUP(V365,'Tax Assumptions'!$F$9:$F$15,'Tax Assumptions'!$H$9:$H$15))+MIN(MAX(T365,0),'Tax Assumptions'!$B$11)*'Tax Assumptions'!$B$10+MAX(T365,0)*'Tax Assumptions'!$B$12+MAX(MAX(T365,0)-'Tax Assumptions'!$B$14,0)*'Tax Assumptions'!$B$13+MIN(T365*'Tax Assumptions'!$B$15,'Tax Assumptions'!$B$16)+MIN(T365*'Tax Assumptions'!$B$17,'Tax Assumptions'!$B$18)+IF(W365=0,0,LOOKUP(W365,'Tax Assumptions'!$K$9:$K$17,'Tax Assumptions'!$N$9:$N$17)+(W365-LOOKUP(W365,'Tax Assumptions'!$K$9:$K$17,'Tax Assumptions'!$K$9:$K$17))*LOOKUP(W365,'Tax Assumptions'!$K$9:$K$17,'Tax Assumptions'!$M$9:$M$17))+IF(W365=0,0,LOOKUP(W365,'Tax Assumptions'!$P$9:$P$12,'Tax Assumptions'!$S$9:$S$12)+(W365-LOOKUP(W365,'Tax Assumptions'!$P$9:$P$12,'Tax Assumptions'!$P$9:$P$12))*LOOKUP(W365,'Tax Assumptions'!$P$9:$P$12,'Tax Assumptions'!$R$9:$R$12))</f>
        <v>5394180.54</v>
      </c>
      <c r="Y365" s="230">
        <f t="shared" si="176"/>
        <v>4881319.46</v>
      </c>
      <c r="Z365" s="230">
        <f>IF(J365&lt;=10,INDEX('Savings Projection'!$BL$19:$BL$28,J365),LOOKUP(2,1/('Savings Projection'!$BL$19:$BL$28&lt;&gt;""),'Savings Projection'!$BL$19:$BL$28))*(1+'Model Inputs'!$B$35)^(J365-1)+IF(J365&lt;=10,INDEX('Savings Projection'!$BM$19:$BM$28,J365),LOOKUP(2,1/('Savings Projection'!$BM$19:$BM$28&lt;&gt;""),'Savings Projection'!$BM$19:$BM$28))*(1+'Model Inputs'!$B$36)^(J365-1)</f>
        <v>202535.76415809937</v>
      </c>
      <c r="AA365" s="230">
        <f t="shared" si="177"/>
        <v>4678783.695841901</v>
      </c>
      <c r="AB365" s="230">
        <f>MIN(MAX(AA365,0),'Tax Assumptions'!$B$20)</f>
        <v>7500</v>
      </c>
      <c r="AC365" s="230">
        <f t="shared" si="178"/>
        <v>4671283.695841901</v>
      </c>
      <c r="AD365" s="230">
        <f>MAX(AD364*(1+'Model Inputs'!$B$13)+AC365,0)</f>
        <v>69011581.854544848</v>
      </c>
      <c r="AE365" s="230">
        <f>MAX(AE364*(1+'Model Inputs'!$B$13)+U365+AB365,0)</f>
        <v>821520.89849902503</v>
      </c>
      <c r="AF365" s="230">
        <f t="shared" si="179"/>
        <v>69833102.753043875</v>
      </c>
      <c r="AG365" s="226" t="str">
        <f t="shared" si="201"/>
        <v/>
      </c>
      <c r="AH365" s="226" t="str">
        <f t="shared" si="202"/>
        <v/>
      </c>
      <c r="AI365" s="226" t="str">
        <f t="shared" si="203"/>
        <v/>
      </c>
      <c r="AJ365" s="226" t="str">
        <f t="shared" si="204"/>
        <v/>
      </c>
    </row>
    <row r="366" spans="1:36" ht="18" customHeight="1" x14ac:dyDescent="0.2">
      <c r="A366" s="226" t="str">
        <f t="shared" si="193"/>
        <v>4Y -&gt; PM Y7 Upside</v>
      </c>
      <c r="B366" s="226">
        <f t="shared" si="194"/>
        <v>4</v>
      </c>
      <c r="C366" s="235">
        <f t="shared" si="195"/>
        <v>3</v>
      </c>
      <c r="D366" s="226">
        <f t="shared" si="196"/>
        <v>7</v>
      </c>
      <c r="E366" s="226" t="str">
        <f t="shared" si="197"/>
        <v>Upside</v>
      </c>
      <c r="F366" s="230">
        <f t="shared" si="198"/>
        <v>50000000</v>
      </c>
      <c r="G366" s="236">
        <f t="shared" si="199"/>
        <v>0.2</v>
      </c>
      <c r="H366" s="230">
        <f t="shared" si="200"/>
        <v>300000</v>
      </c>
      <c r="I366" s="236">
        <f t="shared" si="170"/>
        <v>0</v>
      </c>
      <c r="J366" s="234">
        <v>17</v>
      </c>
      <c r="K366" s="234">
        <f t="shared" si="171"/>
        <v>2042</v>
      </c>
      <c r="L366" s="230">
        <f>IF(J366=1,'Model Inputs'!$B$25*(13-'Model Inputs'!$B$23)/12,'Model Inputs'!$B$25)</f>
        <v>300000</v>
      </c>
      <c r="M366" s="230">
        <f>IF(J366=1,'Model Inputs'!$B$27*(13-'Model Inputs'!$B$23)/12,IF(J366=2,'Model Inputs'!$B$27,IF(J366&lt;=MAX(3,'Model Inputs'!$B$30+1),'Model Inputs'!$B$27*(1+'Model Inputs'!$B$28)^(J366-3),'Model Inputs'!$B$27*(1+'Model Inputs'!$B$28)^(MAX(3,'Model Inputs'!$B$30+1)-3)*(1+'Model Inputs'!$B$29)^(J366-MAX(3,'Model Inputs'!$B$30+1)))))</f>
        <v>16864273.217670217</v>
      </c>
      <c r="N366" s="236">
        <f>IF(J366&lt;=2,0,'Model Inputs'!$B$32*SIN(2*PI()*(J366-3+'Model Inputs'!$B$34)/MAX(1,'Model Inputs'!$B$33)))</f>
        <v>-0.1039230484541325</v>
      </c>
      <c r="O366" s="230">
        <f t="shared" si="172"/>
        <v>15111686.534926547</v>
      </c>
      <c r="P366" s="230">
        <f t="shared" si="205"/>
        <v>13596977.385743205</v>
      </c>
      <c r="Q366" s="230">
        <f>L366+P366+IF(J366=1,'Model Inputs'!$B$26,0)</f>
        <v>13896977.385743205</v>
      </c>
      <c r="R366" s="230">
        <f t="shared" si="173"/>
        <v>41690932.157229617</v>
      </c>
      <c r="S366" s="230">
        <f t="shared" si="174"/>
        <v>10300000</v>
      </c>
      <c r="T366" s="230">
        <f t="shared" si="175"/>
        <v>10300000</v>
      </c>
      <c r="U366" s="230">
        <f>MIN(T366,'Tax Assumptions'!$B$19)</f>
        <v>24500</v>
      </c>
      <c r="V366" s="230">
        <f>MAX(T366-U366-'Tax Assumptions'!$B$8,0)</f>
        <v>10259400</v>
      </c>
      <c r="W366" s="230">
        <f>MAX(T366-U366-'Tax Assumptions'!$B$9,0)</f>
        <v>10267500</v>
      </c>
      <c r="X366" s="230">
        <f>IF(V366=0,0,LOOKUP(V366,'Tax Assumptions'!$F$9:$F$15,'Tax Assumptions'!$I$9:$I$15)+(V366-LOOKUP(V366,'Tax Assumptions'!$F$9:$F$15,'Tax Assumptions'!$F$9:$F$15))*LOOKUP(V366,'Tax Assumptions'!$F$9:$F$15,'Tax Assumptions'!$H$9:$H$15))+MIN(MAX(T366,0),'Tax Assumptions'!$B$11)*'Tax Assumptions'!$B$10+MAX(T366,0)*'Tax Assumptions'!$B$12+MAX(MAX(T366,0)-'Tax Assumptions'!$B$14,0)*'Tax Assumptions'!$B$13+MIN(T366*'Tax Assumptions'!$B$15,'Tax Assumptions'!$B$16)+MIN(T366*'Tax Assumptions'!$B$17,'Tax Assumptions'!$B$18)+IF(W366=0,0,LOOKUP(W366,'Tax Assumptions'!$K$9:$K$17,'Tax Assumptions'!$N$9:$N$17)+(W366-LOOKUP(W366,'Tax Assumptions'!$K$9:$K$17,'Tax Assumptions'!$K$9:$K$17))*LOOKUP(W366,'Tax Assumptions'!$K$9:$K$17,'Tax Assumptions'!$M$9:$M$17))+IF(W366=0,0,LOOKUP(W366,'Tax Assumptions'!$P$9:$P$12,'Tax Assumptions'!$S$9:$S$12)+(W366-LOOKUP(W366,'Tax Assumptions'!$P$9:$P$12,'Tax Assumptions'!$P$9:$P$12))*LOOKUP(W366,'Tax Assumptions'!$P$9:$P$12,'Tax Assumptions'!$R$9:$R$12))</f>
        <v>5394180.54</v>
      </c>
      <c r="Y366" s="230">
        <f t="shared" si="176"/>
        <v>4881319.46</v>
      </c>
      <c r="Z366" s="230">
        <f>IF(J366&lt;=10,INDEX('Savings Projection'!$BL$19:$BL$28,J366),LOOKUP(2,1/('Savings Projection'!$BL$19:$BL$28&lt;&gt;""),'Savings Projection'!$BL$19:$BL$28))*(1+'Model Inputs'!$B$35)^(J366-1)+IF(J366&lt;=10,INDEX('Savings Projection'!$BM$19:$BM$28,J366),LOOKUP(2,1/('Savings Projection'!$BM$19:$BM$28&lt;&gt;""),'Savings Projection'!$BM$19:$BM$28))*(1+'Model Inputs'!$B$36)^(J366-1)</f>
        <v>208611.83708284231</v>
      </c>
      <c r="AA366" s="230">
        <f t="shared" si="177"/>
        <v>4672707.6229171576</v>
      </c>
      <c r="AB366" s="230">
        <f>MIN(MAX(AA366,0),'Tax Assumptions'!$B$20)</f>
        <v>7500</v>
      </c>
      <c r="AC366" s="230">
        <f t="shared" si="178"/>
        <v>4665207.6229171576</v>
      </c>
      <c r="AD366" s="230">
        <f>MAX(AD365*(1+'Model Inputs'!$B$13)+AC366,0)</f>
        <v>77817484.388734698</v>
      </c>
      <c r="AE366" s="230">
        <f>MAX(AE365*(1+'Model Inputs'!$B$13)+U366+AB366,0)</f>
        <v>902812.15240896656</v>
      </c>
      <c r="AF366" s="230">
        <f t="shared" si="179"/>
        <v>78720296.541143671</v>
      </c>
      <c r="AG366" s="226" t="str">
        <f t="shared" si="201"/>
        <v/>
      </c>
      <c r="AH366" s="226" t="str">
        <f t="shared" si="202"/>
        <v/>
      </c>
      <c r="AI366" s="226" t="str">
        <f t="shared" si="203"/>
        <v/>
      </c>
      <c r="AJ366" s="226" t="str">
        <f t="shared" si="204"/>
        <v/>
      </c>
    </row>
    <row r="367" spans="1:36" ht="18" customHeight="1" x14ac:dyDescent="0.2">
      <c r="A367" s="226" t="str">
        <f t="shared" si="193"/>
        <v>4Y -&gt; PM Y7 Upside</v>
      </c>
      <c r="B367" s="226">
        <f t="shared" si="194"/>
        <v>4</v>
      </c>
      <c r="C367" s="235">
        <f t="shared" si="195"/>
        <v>3</v>
      </c>
      <c r="D367" s="226">
        <f t="shared" si="196"/>
        <v>7</v>
      </c>
      <c r="E367" s="226" t="str">
        <f t="shared" si="197"/>
        <v>Upside</v>
      </c>
      <c r="F367" s="230">
        <f t="shared" si="198"/>
        <v>50000000</v>
      </c>
      <c r="G367" s="236">
        <f t="shared" si="199"/>
        <v>0.2</v>
      </c>
      <c r="H367" s="230">
        <f t="shared" si="200"/>
        <v>300000</v>
      </c>
      <c r="I367" s="236">
        <f t="shared" si="170"/>
        <v>0</v>
      </c>
      <c r="J367" s="234">
        <v>18</v>
      </c>
      <c r="K367" s="234">
        <f t="shared" si="171"/>
        <v>2043</v>
      </c>
      <c r="L367" s="230">
        <f>IF(J367=1,'Model Inputs'!$B$25*(13-'Model Inputs'!$B$23)/12,'Model Inputs'!$B$25)</f>
        <v>300000</v>
      </c>
      <c r="M367" s="230">
        <f>IF(J367=1,'Model Inputs'!$B$27*(13-'Model Inputs'!$B$23)/12,IF(J367=2,'Model Inputs'!$B$27,IF(J367&lt;=MAX(3,'Model Inputs'!$B$30+1),'Model Inputs'!$B$27*(1+'Model Inputs'!$B$28)^(J367-3),'Model Inputs'!$B$27*(1+'Model Inputs'!$B$28)^(MAX(3,'Model Inputs'!$B$30+1)-3)*(1+'Model Inputs'!$B$29)^(J367-MAX(3,'Model Inputs'!$B$30+1)))))</f>
        <v>21432424.290875554</v>
      </c>
      <c r="N367" s="236">
        <f>IF(J367&lt;=2,0,'Model Inputs'!$B$32*SIN(2*PI()*(J367-3+'Model Inputs'!$B$34)/MAX(1,'Model Inputs'!$B$33)))</f>
        <v>-5.7328325735374245E-16</v>
      </c>
      <c r="O367" s="230">
        <f t="shared" si="172"/>
        <v>21432424.290875543</v>
      </c>
      <c r="P367" s="230">
        <f t="shared" si="205"/>
        <v>14995970.906855816</v>
      </c>
      <c r="Q367" s="230">
        <f>L367+P367+IF(J367=1,'Model Inputs'!$B$26,0)</f>
        <v>15295970.906855816</v>
      </c>
      <c r="R367" s="230">
        <f t="shared" si="173"/>
        <v>45887912.72056745</v>
      </c>
      <c r="S367" s="230">
        <f t="shared" si="174"/>
        <v>10300000</v>
      </c>
      <c r="T367" s="230">
        <f t="shared" si="175"/>
        <v>10300000</v>
      </c>
      <c r="U367" s="230">
        <f>MIN(T367,'Tax Assumptions'!$B$19)</f>
        <v>24500</v>
      </c>
      <c r="V367" s="230">
        <f>MAX(T367-U367-'Tax Assumptions'!$B$8,0)</f>
        <v>10259400</v>
      </c>
      <c r="W367" s="230">
        <f>MAX(T367-U367-'Tax Assumptions'!$B$9,0)</f>
        <v>10267500</v>
      </c>
      <c r="X367" s="230">
        <f>IF(V367=0,0,LOOKUP(V367,'Tax Assumptions'!$F$9:$F$15,'Tax Assumptions'!$I$9:$I$15)+(V367-LOOKUP(V367,'Tax Assumptions'!$F$9:$F$15,'Tax Assumptions'!$F$9:$F$15))*LOOKUP(V367,'Tax Assumptions'!$F$9:$F$15,'Tax Assumptions'!$H$9:$H$15))+MIN(MAX(T367,0),'Tax Assumptions'!$B$11)*'Tax Assumptions'!$B$10+MAX(T367,0)*'Tax Assumptions'!$B$12+MAX(MAX(T367,0)-'Tax Assumptions'!$B$14,0)*'Tax Assumptions'!$B$13+MIN(T367*'Tax Assumptions'!$B$15,'Tax Assumptions'!$B$16)+MIN(T367*'Tax Assumptions'!$B$17,'Tax Assumptions'!$B$18)+IF(W367=0,0,LOOKUP(W367,'Tax Assumptions'!$K$9:$K$17,'Tax Assumptions'!$N$9:$N$17)+(W367-LOOKUP(W367,'Tax Assumptions'!$K$9:$K$17,'Tax Assumptions'!$K$9:$K$17))*LOOKUP(W367,'Tax Assumptions'!$K$9:$K$17,'Tax Assumptions'!$M$9:$M$17))+IF(W367=0,0,LOOKUP(W367,'Tax Assumptions'!$P$9:$P$12,'Tax Assumptions'!$S$9:$S$12)+(W367-LOOKUP(W367,'Tax Assumptions'!$P$9:$P$12,'Tax Assumptions'!$P$9:$P$12))*LOOKUP(W367,'Tax Assumptions'!$P$9:$P$12,'Tax Assumptions'!$R$9:$R$12))</f>
        <v>5394180.54</v>
      </c>
      <c r="Y367" s="230">
        <f t="shared" si="176"/>
        <v>4881319.46</v>
      </c>
      <c r="Z367" s="230">
        <f>IF(J367&lt;=10,INDEX('Savings Projection'!$BL$19:$BL$28,J367),LOOKUP(2,1/('Savings Projection'!$BL$19:$BL$28&lt;&gt;""),'Savings Projection'!$BL$19:$BL$28))*(1+'Model Inputs'!$B$35)^(J367-1)+IF(J367&lt;=10,INDEX('Savings Projection'!$BM$19:$BM$28,J367),LOOKUP(2,1/('Savings Projection'!$BM$19:$BM$28&lt;&gt;""),'Savings Projection'!$BM$19:$BM$28))*(1+'Model Inputs'!$B$36)^(J367-1)</f>
        <v>214870.1921953276</v>
      </c>
      <c r="AA367" s="230">
        <f t="shared" si="177"/>
        <v>4666449.267804672</v>
      </c>
      <c r="AB367" s="230">
        <f>MIN(MAX(AA367,0),'Tax Assumptions'!$B$20)</f>
        <v>7500</v>
      </c>
      <c r="AC367" s="230">
        <f t="shared" si="178"/>
        <v>4658949.267804672</v>
      </c>
      <c r="AD367" s="230">
        <f>MAX(AD366*(1+'Model Inputs'!$B$13)+AC367,0)</f>
        <v>87145482.719863445</v>
      </c>
      <c r="AE367" s="230">
        <f>MAX(AE366*(1+'Model Inputs'!$B$13)+U367+AB367,0)</f>
        <v>988980.88155350462</v>
      </c>
      <c r="AF367" s="230">
        <f t="shared" si="179"/>
        <v>88134463.601416945</v>
      </c>
      <c r="AG367" s="226" t="str">
        <f t="shared" si="201"/>
        <v/>
      </c>
      <c r="AH367" s="226" t="str">
        <f t="shared" si="202"/>
        <v/>
      </c>
      <c r="AI367" s="226" t="str">
        <f t="shared" si="203"/>
        <v/>
      </c>
      <c r="AJ367" s="226" t="str">
        <f t="shared" si="204"/>
        <v/>
      </c>
    </row>
    <row r="368" spans="1:36" ht="18" customHeight="1" x14ac:dyDescent="0.2">
      <c r="A368" s="226" t="str">
        <f t="shared" si="193"/>
        <v>4Y -&gt; PM Y7 Upside</v>
      </c>
      <c r="B368" s="226">
        <f t="shared" si="194"/>
        <v>4</v>
      </c>
      <c r="C368" s="235">
        <f t="shared" si="195"/>
        <v>3</v>
      </c>
      <c r="D368" s="226">
        <f t="shared" si="196"/>
        <v>7</v>
      </c>
      <c r="E368" s="226" t="str">
        <f t="shared" si="197"/>
        <v>Upside</v>
      </c>
      <c r="F368" s="230">
        <f t="shared" si="198"/>
        <v>50000000</v>
      </c>
      <c r="G368" s="236">
        <f t="shared" si="199"/>
        <v>0.2</v>
      </c>
      <c r="H368" s="230">
        <f t="shared" si="200"/>
        <v>300000</v>
      </c>
      <c r="I368" s="236">
        <f t="shared" si="170"/>
        <v>0</v>
      </c>
      <c r="J368" s="234">
        <v>19</v>
      </c>
      <c r="K368" s="234">
        <f t="shared" si="171"/>
        <v>2044</v>
      </c>
      <c r="L368" s="230">
        <f>IF(J368=1,'Model Inputs'!$B$25*(13-'Model Inputs'!$B$23)/12,'Model Inputs'!$B$25)</f>
        <v>300000</v>
      </c>
      <c r="M368" s="230">
        <f>IF(J368=1,'Model Inputs'!$B$27*(13-'Model Inputs'!$B$23)/12,IF(J368=2,'Model Inputs'!$B$27,IF(J368&lt;=MAX(3,'Model Inputs'!$B$30+1),'Model Inputs'!$B$27*(1+'Model Inputs'!$B$28)^(J368-3),'Model Inputs'!$B$27*(1+'Model Inputs'!$B$28)^(MAX(3,'Model Inputs'!$B$30+1)-3)*(1+'Model Inputs'!$B$29)^(J368-MAX(3,'Model Inputs'!$B$30+1)))))</f>
        <v>27237984.409717187</v>
      </c>
      <c r="N368" s="236">
        <f>IF(J368&lt;=2,0,'Model Inputs'!$B$32*SIN(2*PI()*(J368-3+'Model Inputs'!$B$34)/MAX(1,'Model Inputs'!$B$33)))</f>
        <v>0.10392304845413286</v>
      </c>
      <c r="O368" s="230">
        <f t="shared" si="172"/>
        <v>30068638.783321142</v>
      </c>
      <c r="P368" s="230">
        <f t="shared" si="205"/>
        <v>19852239.851888295</v>
      </c>
      <c r="Q368" s="230">
        <f>L368+P368+IF(J368=1,'Model Inputs'!$B$26,0)</f>
        <v>20152239.851888295</v>
      </c>
      <c r="R368" s="230">
        <f t="shared" si="173"/>
        <v>60456719.555664882</v>
      </c>
      <c r="S368" s="230">
        <f t="shared" si="174"/>
        <v>10300000</v>
      </c>
      <c r="T368" s="230">
        <f t="shared" si="175"/>
        <v>10300000</v>
      </c>
      <c r="U368" s="230">
        <f>MIN(T368,'Tax Assumptions'!$B$19)</f>
        <v>24500</v>
      </c>
      <c r="V368" s="230">
        <f>MAX(T368-U368-'Tax Assumptions'!$B$8,0)</f>
        <v>10259400</v>
      </c>
      <c r="W368" s="230">
        <f>MAX(T368-U368-'Tax Assumptions'!$B$9,0)</f>
        <v>10267500</v>
      </c>
      <c r="X368" s="230">
        <f>IF(V368=0,0,LOOKUP(V368,'Tax Assumptions'!$F$9:$F$15,'Tax Assumptions'!$I$9:$I$15)+(V368-LOOKUP(V368,'Tax Assumptions'!$F$9:$F$15,'Tax Assumptions'!$F$9:$F$15))*LOOKUP(V368,'Tax Assumptions'!$F$9:$F$15,'Tax Assumptions'!$H$9:$H$15))+MIN(MAX(T368,0),'Tax Assumptions'!$B$11)*'Tax Assumptions'!$B$10+MAX(T368,0)*'Tax Assumptions'!$B$12+MAX(MAX(T368,0)-'Tax Assumptions'!$B$14,0)*'Tax Assumptions'!$B$13+MIN(T368*'Tax Assumptions'!$B$15,'Tax Assumptions'!$B$16)+MIN(T368*'Tax Assumptions'!$B$17,'Tax Assumptions'!$B$18)+IF(W368=0,0,LOOKUP(W368,'Tax Assumptions'!$K$9:$K$17,'Tax Assumptions'!$N$9:$N$17)+(W368-LOOKUP(W368,'Tax Assumptions'!$K$9:$K$17,'Tax Assumptions'!$K$9:$K$17))*LOOKUP(W368,'Tax Assumptions'!$K$9:$K$17,'Tax Assumptions'!$M$9:$M$17))+IF(W368=0,0,LOOKUP(W368,'Tax Assumptions'!$P$9:$P$12,'Tax Assumptions'!$S$9:$S$12)+(W368-LOOKUP(W368,'Tax Assumptions'!$P$9:$P$12,'Tax Assumptions'!$P$9:$P$12))*LOOKUP(W368,'Tax Assumptions'!$P$9:$P$12,'Tax Assumptions'!$R$9:$R$12))</f>
        <v>5394180.54</v>
      </c>
      <c r="Y368" s="230">
        <f t="shared" si="176"/>
        <v>4881319.46</v>
      </c>
      <c r="Z368" s="230">
        <f>IF(J368&lt;=10,INDEX('Savings Projection'!$BL$19:$BL$28,J368),LOOKUP(2,1/('Savings Projection'!$BL$19:$BL$28&lt;&gt;""),'Savings Projection'!$BL$19:$BL$28))*(1+'Model Inputs'!$B$35)^(J368-1)+IF(J368&lt;=10,INDEX('Savings Projection'!$BM$19:$BM$28,J368),LOOKUP(2,1/('Savings Projection'!$BM$19:$BM$28&lt;&gt;""),'Savings Projection'!$BM$19:$BM$28))*(1+'Model Inputs'!$B$36)^(J368-1)</f>
        <v>221316.29796118743</v>
      </c>
      <c r="AA368" s="230">
        <f t="shared" si="177"/>
        <v>4660003.1620388124</v>
      </c>
      <c r="AB368" s="230">
        <f>MIN(MAX(AA368,0),'Tax Assumptions'!$B$20)</f>
        <v>7500</v>
      </c>
      <c r="AC368" s="230">
        <f t="shared" si="178"/>
        <v>4652503.1620388124</v>
      </c>
      <c r="AD368" s="230">
        <f>MAX(AD367*(1+'Model Inputs'!$B$13)+AC368,0)</f>
        <v>97026714.84509407</v>
      </c>
      <c r="AE368" s="230">
        <f>MAX(AE367*(1+'Model Inputs'!$B$13)+U368+AB368,0)</f>
        <v>1080319.7344467151</v>
      </c>
      <c r="AF368" s="230">
        <f t="shared" si="179"/>
        <v>98107034.579540789</v>
      </c>
      <c r="AG368" s="226" t="str">
        <f t="shared" si="201"/>
        <v/>
      </c>
      <c r="AH368" s="226" t="str">
        <f t="shared" si="202"/>
        <v/>
      </c>
      <c r="AI368" s="226" t="str">
        <f t="shared" si="203"/>
        <v/>
      </c>
      <c r="AJ368" s="226" t="str">
        <f t="shared" si="204"/>
        <v/>
      </c>
    </row>
    <row r="369" spans="1:36" ht="18" customHeight="1" x14ac:dyDescent="0.2">
      <c r="A369" s="226" t="str">
        <f t="shared" si="193"/>
        <v>4Y -&gt; PM Y7 Upside</v>
      </c>
      <c r="B369" s="226">
        <f t="shared" si="194"/>
        <v>4</v>
      </c>
      <c r="C369" s="235">
        <f t="shared" si="195"/>
        <v>3</v>
      </c>
      <c r="D369" s="226">
        <f t="shared" si="196"/>
        <v>7</v>
      </c>
      <c r="E369" s="226" t="str">
        <f t="shared" si="197"/>
        <v>Upside</v>
      </c>
      <c r="F369" s="230">
        <f t="shared" si="198"/>
        <v>50000000</v>
      </c>
      <c r="G369" s="236">
        <f t="shared" si="199"/>
        <v>0.2</v>
      </c>
      <c r="H369" s="230">
        <f t="shared" si="200"/>
        <v>300000</v>
      </c>
      <c r="I369" s="236">
        <f t="shared" si="170"/>
        <v>0</v>
      </c>
      <c r="J369" s="234">
        <v>20</v>
      </c>
      <c r="K369" s="234">
        <f t="shared" si="171"/>
        <v>2045</v>
      </c>
      <c r="L369" s="230">
        <f>IF(J369=1,'Model Inputs'!$B$25*(13-'Model Inputs'!$B$23)/12,'Model Inputs'!$B$25)</f>
        <v>300000</v>
      </c>
      <c r="M369" s="230">
        <f>IF(J369=1,'Model Inputs'!$B$27*(13-'Model Inputs'!$B$23)/12,IF(J369=2,'Model Inputs'!$B$27,IF(J369&lt;=MAX(3,'Model Inputs'!$B$30+1),'Model Inputs'!$B$27*(1+'Model Inputs'!$B$28)^(J369-3),'Model Inputs'!$B$27*(1+'Model Inputs'!$B$28)^(MAX(3,'Model Inputs'!$B$30+1)-3)*(1+'Model Inputs'!$B$29)^(J369-MAX(3,'Model Inputs'!$B$30+1)))))</f>
        <v>34616139.762586243</v>
      </c>
      <c r="N369" s="236">
        <f>IF(J369&lt;=2,0,'Model Inputs'!$B$32*SIN(2*PI()*(J369-3+'Model Inputs'!$B$34)/MAX(1,'Model Inputs'!$B$33)))</f>
        <v>-0.10392304845413269</v>
      </c>
      <c r="O369" s="230">
        <f t="shared" si="172"/>
        <v>31018724.992743965</v>
      </c>
      <c r="P369" s="230">
        <f t="shared" si="205"/>
        <v>27909585.160209741</v>
      </c>
      <c r="Q369" s="230">
        <f>L369+P369+IF(J369=1,'Model Inputs'!$B$26,0)</f>
        <v>28209585.160209741</v>
      </c>
      <c r="R369" s="230">
        <f t="shared" si="173"/>
        <v>84628755.480629221</v>
      </c>
      <c r="S369" s="230">
        <f t="shared" si="174"/>
        <v>10300000</v>
      </c>
      <c r="T369" s="230">
        <f t="shared" si="175"/>
        <v>10300000</v>
      </c>
      <c r="U369" s="230">
        <f>MIN(T369,'Tax Assumptions'!$B$19)</f>
        <v>24500</v>
      </c>
      <c r="V369" s="230">
        <f>MAX(T369-U369-'Tax Assumptions'!$B$8,0)</f>
        <v>10259400</v>
      </c>
      <c r="W369" s="230">
        <f>MAX(T369-U369-'Tax Assumptions'!$B$9,0)</f>
        <v>10267500</v>
      </c>
      <c r="X369" s="230">
        <f>IF(V369=0,0,LOOKUP(V369,'Tax Assumptions'!$F$9:$F$15,'Tax Assumptions'!$I$9:$I$15)+(V369-LOOKUP(V369,'Tax Assumptions'!$F$9:$F$15,'Tax Assumptions'!$F$9:$F$15))*LOOKUP(V369,'Tax Assumptions'!$F$9:$F$15,'Tax Assumptions'!$H$9:$H$15))+MIN(MAX(T369,0),'Tax Assumptions'!$B$11)*'Tax Assumptions'!$B$10+MAX(T369,0)*'Tax Assumptions'!$B$12+MAX(MAX(T369,0)-'Tax Assumptions'!$B$14,0)*'Tax Assumptions'!$B$13+MIN(T369*'Tax Assumptions'!$B$15,'Tax Assumptions'!$B$16)+MIN(T369*'Tax Assumptions'!$B$17,'Tax Assumptions'!$B$18)+IF(W369=0,0,LOOKUP(W369,'Tax Assumptions'!$K$9:$K$17,'Tax Assumptions'!$N$9:$N$17)+(W369-LOOKUP(W369,'Tax Assumptions'!$K$9:$K$17,'Tax Assumptions'!$K$9:$K$17))*LOOKUP(W369,'Tax Assumptions'!$K$9:$K$17,'Tax Assumptions'!$M$9:$M$17))+IF(W369=0,0,LOOKUP(W369,'Tax Assumptions'!$P$9:$P$12,'Tax Assumptions'!$S$9:$S$12)+(W369-LOOKUP(W369,'Tax Assumptions'!$P$9:$P$12,'Tax Assumptions'!$P$9:$P$12))*LOOKUP(W369,'Tax Assumptions'!$P$9:$P$12,'Tax Assumptions'!$R$9:$R$12))</f>
        <v>5394180.54</v>
      </c>
      <c r="Y369" s="230">
        <f t="shared" si="176"/>
        <v>4881319.46</v>
      </c>
      <c r="Z369" s="230">
        <f>IF(J369&lt;=10,INDEX('Savings Projection'!$BL$19:$BL$28,J369),LOOKUP(2,1/('Savings Projection'!$BL$19:$BL$28&lt;&gt;""),'Savings Projection'!$BL$19:$BL$28))*(1+'Model Inputs'!$B$35)^(J369-1)+IF(J369&lt;=10,INDEX('Savings Projection'!$BM$19:$BM$28,J369),LOOKUP(2,1/('Savings Projection'!$BM$19:$BM$28&lt;&gt;""),'Savings Projection'!$BM$19:$BM$28))*(1+'Model Inputs'!$B$36)^(J369-1)</f>
        <v>227955.78690002306</v>
      </c>
      <c r="AA369" s="230">
        <f t="shared" si="177"/>
        <v>4653363.673099977</v>
      </c>
      <c r="AB369" s="230">
        <f>MIN(MAX(AA369,0),'Tax Assumptions'!$B$20)</f>
        <v>7500</v>
      </c>
      <c r="AC369" s="230">
        <f t="shared" si="178"/>
        <v>4645863.673099977</v>
      </c>
      <c r="AD369" s="230">
        <f>MAX(AD368*(1+'Model Inputs'!$B$13)+AC369,0)</f>
        <v>107494181.40889969</v>
      </c>
      <c r="AE369" s="230">
        <f>MAX(AE368*(1+'Model Inputs'!$B$13)+U369+AB369,0)</f>
        <v>1177138.9185135181</v>
      </c>
      <c r="AF369" s="230">
        <f t="shared" si="179"/>
        <v>108671320.32741322</v>
      </c>
      <c r="AG369" s="226" t="str">
        <f t="shared" si="201"/>
        <v/>
      </c>
      <c r="AH369" s="226" t="str">
        <f t="shared" si="202"/>
        <v/>
      </c>
      <c r="AI369" s="226" t="str">
        <f t="shared" si="203"/>
        <v/>
      </c>
      <c r="AJ369" s="226" t="str">
        <f t="shared" si="204"/>
        <v/>
      </c>
    </row>
    <row r="370" spans="1:36" ht="18" customHeight="1" x14ac:dyDescent="0.2">
      <c r="A370" s="226" t="str">
        <f t="shared" si="193"/>
        <v>4Y -&gt; PM Y7 Upside</v>
      </c>
      <c r="B370" s="226">
        <f t="shared" si="194"/>
        <v>4</v>
      </c>
      <c r="C370" s="235">
        <f t="shared" si="195"/>
        <v>3</v>
      </c>
      <c r="D370" s="226">
        <f t="shared" si="196"/>
        <v>7</v>
      </c>
      <c r="E370" s="226" t="str">
        <f t="shared" si="197"/>
        <v>Upside</v>
      </c>
      <c r="F370" s="230">
        <f t="shared" si="198"/>
        <v>50000000</v>
      </c>
      <c r="G370" s="236">
        <f t="shared" si="199"/>
        <v>0.2</v>
      </c>
      <c r="H370" s="230">
        <f t="shared" si="200"/>
        <v>300000</v>
      </c>
      <c r="I370" s="236">
        <f t="shared" ref="I370:I433" si="206">$J$17</f>
        <v>0</v>
      </c>
      <c r="J370" s="234">
        <v>21</v>
      </c>
      <c r="K370" s="234">
        <f t="shared" ref="K370:K433" si="207">2025+J370</f>
        <v>2046</v>
      </c>
      <c r="L370" s="230">
        <f>IF(J370=1,'Model Inputs'!$B$25*(13-'Model Inputs'!$B$23)/12,'Model Inputs'!$B$25)</f>
        <v>300000</v>
      </c>
      <c r="M370" s="230">
        <f>IF(J370=1,'Model Inputs'!$B$27*(13-'Model Inputs'!$B$23)/12,IF(J370=2,'Model Inputs'!$B$27,IF(J370&lt;=MAX(3,'Model Inputs'!$B$30+1),'Model Inputs'!$B$27*(1+'Model Inputs'!$B$28)^(J370-3),'Model Inputs'!$B$27*(1+'Model Inputs'!$B$28)^(MAX(3,'Model Inputs'!$B$30+1)-3)*(1+'Model Inputs'!$B$29)^(J370-MAX(3,'Model Inputs'!$B$30+1)))))</f>
        <v>43992870.912849829</v>
      </c>
      <c r="N370" s="236">
        <f>IF(J370&lt;=2,0,'Model Inputs'!$B$32*SIN(2*PI()*(J370-3+'Model Inputs'!$B$34)/MAX(1,'Model Inputs'!$B$33)))</f>
        <v>-1.7634913907721884E-16</v>
      </c>
      <c r="O370" s="230">
        <f t="shared" ref="O370:O433" si="208">M370*(1+N370)</f>
        <v>43992870.912849821</v>
      </c>
      <c r="P370" s="230">
        <f t="shared" si="205"/>
        <v>30781203.440388259</v>
      </c>
      <c r="Q370" s="230">
        <f>L370+P370+IF(J370=1,'Model Inputs'!$B$26,0)</f>
        <v>31081203.440388259</v>
      </c>
      <c r="R370" s="230">
        <f t="shared" ref="R370:R433" si="209">IF(J370&lt;=B370,Q370,Q370*C370)</f>
        <v>93243610.321164772</v>
      </c>
      <c r="S370" s="230">
        <f t="shared" ref="S370:S433" si="210">H370+F370*G370*(1+I370)^MAX(0,J370-D370)</f>
        <v>10300000</v>
      </c>
      <c r="T370" s="230">
        <f t="shared" ref="T370:T433" si="211">IF(J370&gt;=D370,S370,R370)</f>
        <v>10300000</v>
      </c>
      <c r="U370" s="230">
        <f>MIN(T370,'Tax Assumptions'!$B$19)</f>
        <v>24500</v>
      </c>
      <c r="V370" s="230">
        <f>MAX(T370-U370-'Tax Assumptions'!$B$8,0)</f>
        <v>10259400</v>
      </c>
      <c r="W370" s="230">
        <f>MAX(T370-U370-'Tax Assumptions'!$B$9,0)</f>
        <v>10267500</v>
      </c>
      <c r="X370" s="230">
        <f>IF(V370=0,0,LOOKUP(V370,'Tax Assumptions'!$F$9:$F$15,'Tax Assumptions'!$I$9:$I$15)+(V370-LOOKUP(V370,'Tax Assumptions'!$F$9:$F$15,'Tax Assumptions'!$F$9:$F$15))*LOOKUP(V370,'Tax Assumptions'!$F$9:$F$15,'Tax Assumptions'!$H$9:$H$15))+MIN(MAX(T370,0),'Tax Assumptions'!$B$11)*'Tax Assumptions'!$B$10+MAX(T370,0)*'Tax Assumptions'!$B$12+MAX(MAX(T370,0)-'Tax Assumptions'!$B$14,0)*'Tax Assumptions'!$B$13+MIN(T370*'Tax Assumptions'!$B$15,'Tax Assumptions'!$B$16)+MIN(T370*'Tax Assumptions'!$B$17,'Tax Assumptions'!$B$18)+IF(W370=0,0,LOOKUP(W370,'Tax Assumptions'!$K$9:$K$17,'Tax Assumptions'!$N$9:$N$17)+(W370-LOOKUP(W370,'Tax Assumptions'!$K$9:$K$17,'Tax Assumptions'!$K$9:$K$17))*LOOKUP(W370,'Tax Assumptions'!$K$9:$K$17,'Tax Assumptions'!$M$9:$M$17))+IF(W370=0,0,LOOKUP(W370,'Tax Assumptions'!$P$9:$P$12,'Tax Assumptions'!$S$9:$S$12)+(W370-LOOKUP(W370,'Tax Assumptions'!$P$9:$P$12,'Tax Assumptions'!$P$9:$P$12))*LOOKUP(W370,'Tax Assumptions'!$P$9:$P$12,'Tax Assumptions'!$R$9:$R$12))</f>
        <v>5394180.54</v>
      </c>
      <c r="Y370" s="230">
        <f t="shared" ref="Y370:Y433" si="212">T370-U370-X370</f>
        <v>4881319.46</v>
      </c>
      <c r="Z370" s="230">
        <f>IF(J370&lt;=10,INDEX('Savings Projection'!$BL$19:$BL$28,J370),LOOKUP(2,1/('Savings Projection'!$BL$19:$BL$28&lt;&gt;""),'Savings Projection'!$BL$19:$BL$28))*(1+'Model Inputs'!$B$35)^(J370-1)+IF(J370&lt;=10,INDEX('Savings Projection'!$BM$19:$BM$28,J370),LOOKUP(2,1/('Savings Projection'!$BM$19:$BM$28&lt;&gt;""),'Savings Projection'!$BM$19:$BM$28))*(1+'Model Inputs'!$B$36)^(J370-1)</f>
        <v>234794.46050702373</v>
      </c>
      <c r="AA370" s="230">
        <f t="shared" ref="AA370:AA433" si="213">Y370-Z370</f>
        <v>4646524.9994929759</v>
      </c>
      <c r="AB370" s="230">
        <f>MIN(MAX(AA370,0),'Tax Assumptions'!$B$20)</f>
        <v>7500</v>
      </c>
      <c r="AC370" s="230">
        <f t="shared" ref="AC370:AC433" si="214">AA370-AB370</f>
        <v>4639024.9994929759</v>
      </c>
      <c r="AD370" s="230">
        <f>MAX(AD369*(1+'Model Inputs'!$B$13)+AC370,0)</f>
        <v>118582857.29292665</v>
      </c>
      <c r="AE370" s="230">
        <f>MAX(AE369*(1+'Model Inputs'!$B$13)+U370+AB370,0)</f>
        <v>1279767.2536243291</v>
      </c>
      <c r="AF370" s="230">
        <f t="shared" ref="AF370:AF433" si="215">AD370+AE370</f>
        <v>119862624.54655099</v>
      </c>
      <c r="AG370" s="226" t="str">
        <f t="shared" si="201"/>
        <v/>
      </c>
      <c r="AH370" s="226" t="str">
        <f t="shared" si="202"/>
        <v/>
      </c>
      <c r="AI370" s="226" t="str">
        <f t="shared" si="203"/>
        <v/>
      </c>
      <c r="AJ370" s="226" t="str">
        <f t="shared" si="204"/>
        <v/>
      </c>
    </row>
    <row r="371" spans="1:36" ht="18" customHeight="1" x14ac:dyDescent="0.2">
      <c r="A371" s="226" t="str">
        <f t="shared" si="193"/>
        <v>4Y -&gt; PM Y7 Upside</v>
      </c>
      <c r="B371" s="226">
        <f t="shared" si="194"/>
        <v>4</v>
      </c>
      <c r="C371" s="235">
        <f t="shared" si="195"/>
        <v>3</v>
      </c>
      <c r="D371" s="226">
        <f t="shared" si="196"/>
        <v>7</v>
      </c>
      <c r="E371" s="226" t="str">
        <f t="shared" si="197"/>
        <v>Upside</v>
      </c>
      <c r="F371" s="230">
        <f t="shared" si="198"/>
        <v>50000000</v>
      </c>
      <c r="G371" s="236">
        <f t="shared" si="199"/>
        <v>0.2</v>
      </c>
      <c r="H371" s="230">
        <f t="shared" si="200"/>
        <v>300000</v>
      </c>
      <c r="I371" s="236">
        <f t="shared" si="206"/>
        <v>0</v>
      </c>
      <c r="J371" s="234">
        <v>22</v>
      </c>
      <c r="K371" s="234">
        <f t="shared" si="207"/>
        <v>2047</v>
      </c>
      <c r="L371" s="230">
        <f>IF(J371=1,'Model Inputs'!$B$25*(13-'Model Inputs'!$B$23)/12,'Model Inputs'!$B$25)</f>
        <v>300000</v>
      </c>
      <c r="M371" s="230">
        <f>IF(J371=1,'Model Inputs'!$B$27*(13-'Model Inputs'!$B$23)/12,IF(J371=2,'Model Inputs'!$B$27,IF(J371&lt;=MAX(3,'Model Inputs'!$B$30+1),'Model Inputs'!$B$27*(1+'Model Inputs'!$B$28)^(J371-3),'Model Inputs'!$B$27*(1+'Model Inputs'!$B$28)^(MAX(3,'Model Inputs'!$B$30+1)-3)*(1+'Model Inputs'!$B$29)^(J371-MAX(3,'Model Inputs'!$B$30+1)))))</f>
        <v>55909546.9462616</v>
      </c>
      <c r="N371" s="236">
        <f>IF(J371&lt;=2,0,'Model Inputs'!$B$32*SIN(2*PI()*(J371-3+'Model Inputs'!$B$34)/MAX(1,'Model Inputs'!$B$33)))</f>
        <v>0.10392304845413287</v>
      </c>
      <c r="O371" s="230">
        <f t="shared" si="208"/>
        <v>61719837.502606563</v>
      </c>
      <c r="P371" s="230">
        <f t="shared" si="205"/>
        <v>40749334.43282336</v>
      </c>
      <c r="Q371" s="230">
        <f>L371+P371+IF(J371=1,'Model Inputs'!$B$26,0)</f>
        <v>41049334.43282336</v>
      </c>
      <c r="R371" s="230">
        <f t="shared" si="209"/>
        <v>123148003.29847008</v>
      </c>
      <c r="S371" s="230">
        <f t="shared" si="210"/>
        <v>10300000</v>
      </c>
      <c r="T371" s="230">
        <f t="shared" si="211"/>
        <v>10300000</v>
      </c>
      <c r="U371" s="230">
        <f>MIN(T371,'Tax Assumptions'!$B$19)</f>
        <v>24500</v>
      </c>
      <c r="V371" s="230">
        <f>MAX(T371-U371-'Tax Assumptions'!$B$8,0)</f>
        <v>10259400</v>
      </c>
      <c r="W371" s="230">
        <f>MAX(T371-U371-'Tax Assumptions'!$B$9,0)</f>
        <v>10267500</v>
      </c>
      <c r="X371" s="230">
        <f>IF(V371=0,0,LOOKUP(V371,'Tax Assumptions'!$F$9:$F$15,'Tax Assumptions'!$I$9:$I$15)+(V371-LOOKUP(V371,'Tax Assumptions'!$F$9:$F$15,'Tax Assumptions'!$F$9:$F$15))*LOOKUP(V371,'Tax Assumptions'!$F$9:$F$15,'Tax Assumptions'!$H$9:$H$15))+MIN(MAX(T371,0),'Tax Assumptions'!$B$11)*'Tax Assumptions'!$B$10+MAX(T371,0)*'Tax Assumptions'!$B$12+MAX(MAX(T371,0)-'Tax Assumptions'!$B$14,0)*'Tax Assumptions'!$B$13+MIN(T371*'Tax Assumptions'!$B$15,'Tax Assumptions'!$B$16)+MIN(T371*'Tax Assumptions'!$B$17,'Tax Assumptions'!$B$18)+IF(W371=0,0,LOOKUP(W371,'Tax Assumptions'!$K$9:$K$17,'Tax Assumptions'!$N$9:$N$17)+(W371-LOOKUP(W371,'Tax Assumptions'!$K$9:$K$17,'Tax Assumptions'!$K$9:$K$17))*LOOKUP(W371,'Tax Assumptions'!$K$9:$K$17,'Tax Assumptions'!$M$9:$M$17))+IF(W371=0,0,LOOKUP(W371,'Tax Assumptions'!$P$9:$P$12,'Tax Assumptions'!$S$9:$S$12)+(W371-LOOKUP(W371,'Tax Assumptions'!$P$9:$P$12,'Tax Assumptions'!$P$9:$P$12))*LOOKUP(W371,'Tax Assumptions'!$P$9:$P$12,'Tax Assumptions'!$R$9:$R$12))</f>
        <v>5394180.54</v>
      </c>
      <c r="Y371" s="230">
        <f t="shared" si="212"/>
        <v>4881319.46</v>
      </c>
      <c r="Z371" s="230">
        <f>IF(J371&lt;=10,INDEX('Savings Projection'!$BL$19:$BL$28,J371),LOOKUP(2,1/('Savings Projection'!$BL$19:$BL$28&lt;&gt;""),'Savings Projection'!$BL$19:$BL$28))*(1+'Model Inputs'!$B$35)^(J371-1)+IF(J371&lt;=10,INDEX('Savings Projection'!$BM$19:$BM$28,J371),LOOKUP(2,1/('Savings Projection'!$BM$19:$BM$28&lt;&gt;""),'Savings Projection'!$BM$19:$BM$28))*(1+'Model Inputs'!$B$36)^(J371-1)</f>
        <v>241838.2943222344</v>
      </c>
      <c r="AA371" s="230">
        <f t="shared" si="213"/>
        <v>4639481.1656777654</v>
      </c>
      <c r="AB371" s="230">
        <f>MIN(MAX(AA371,0),'Tax Assumptions'!$B$20)</f>
        <v>7500</v>
      </c>
      <c r="AC371" s="230">
        <f t="shared" si="214"/>
        <v>4631981.1656777654</v>
      </c>
      <c r="AD371" s="230">
        <f>MAX(AD370*(1+'Model Inputs'!$B$13)+AC371,0)</f>
        <v>130329809.89618003</v>
      </c>
      <c r="AE371" s="230">
        <f>MAX(AE370*(1+'Model Inputs'!$B$13)+U371+AB371,0)</f>
        <v>1388553.2888417889</v>
      </c>
      <c r="AF371" s="230">
        <f t="shared" si="215"/>
        <v>131718363.18502182</v>
      </c>
      <c r="AG371" s="226" t="str">
        <f t="shared" si="201"/>
        <v/>
      </c>
      <c r="AH371" s="226" t="str">
        <f t="shared" si="202"/>
        <v/>
      </c>
      <c r="AI371" s="226" t="str">
        <f t="shared" si="203"/>
        <v/>
      </c>
      <c r="AJ371" s="226" t="str">
        <f t="shared" si="204"/>
        <v/>
      </c>
    </row>
    <row r="372" spans="1:36" ht="18" customHeight="1" x14ac:dyDescent="0.2">
      <c r="A372" s="226" t="str">
        <f t="shared" si="193"/>
        <v>4Y -&gt; PM Y7 Upside</v>
      </c>
      <c r="B372" s="226">
        <f t="shared" si="194"/>
        <v>4</v>
      </c>
      <c r="C372" s="235">
        <f t="shared" si="195"/>
        <v>3</v>
      </c>
      <c r="D372" s="226">
        <f t="shared" si="196"/>
        <v>7</v>
      </c>
      <c r="E372" s="226" t="str">
        <f t="shared" si="197"/>
        <v>Upside</v>
      </c>
      <c r="F372" s="230">
        <f t="shared" si="198"/>
        <v>50000000</v>
      </c>
      <c r="G372" s="236">
        <f t="shared" si="199"/>
        <v>0.2</v>
      </c>
      <c r="H372" s="230">
        <f t="shared" si="200"/>
        <v>300000</v>
      </c>
      <c r="I372" s="236">
        <f t="shared" si="206"/>
        <v>0</v>
      </c>
      <c r="J372" s="234">
        <v>23</v>
      </c>
      <c r="K372" s="234">
        <f t="shared" si="207"/>
        <v>2048</v>
      </c>
      <c r="L372" s="230">
        <f>IF(J372=1,'Model Inputs'!$B$25*(13-'Model Inputs'!$B$23)/12,'Model Inputs'!$B$25)</f>
        <v>300000</v>
      </c>
      <c r="M372" s="230">
        <f>IF(J372=1,'Model Inputs'!$B$27*(13-'Model Inputs'!$B$23)/12,IF(J372=2,'Model Inputs'!$B$27,IF(J372&lt;=MAX(3,'Model Inputs'!$B$30+1),'Model Inputs'!$B$27*(1+'Model Inputs'!$B$28)^(J372-3),'Model Inputs'!$B$27*(1+'Model Inputs'!$B$28)^(MAX(3,'Model Inputs'!$B$30+1)-3)*(1+'Model Inputs'!$B$29)^(J372-MAX(3,'Model Inputs'!$B$30+1)))))</f>
        <v>71054181.617940187</v>
      </c>
      <c r="N372" s="236">
        <f>IF(J372&lt;=2,0,'Model Inputs'!$B$32*SIN(2*PI()*(J372-3+'Model Inputs'!$B$34)/MAX(1,'Model Inputs'!$B$33)))</f>
        <v>-0.10392304845413268</v>
      </c>
      <c r="O372" s="230">
        <f t="shared" si="208"/>
        <v>63670014.458790243</v>
      </c>
      <c r="P372" s="230">
        <f t="shared" si="205"/>
        <v>57288095.855167374</v>
      </c>
      <c r="Q372" s="230">
        <f>L372+P372+IF(J372=1,'Model Inputs'!$B$26,0)</f>
        <v>57588095.855167374</v>
      </c>
      <c r="R372" s="230">
        <f t="shared" si="209"/>
        <v>172764287.56550211</v>
      </c>
      <c r="S372" s="230">
        <f t="shared" si="210"/>
        <v>10300000</v>
      </c>
      <c r="T372" s="230">
        <f t="shared" si="211"/>
        <v>10300000</v>
      </c>
      <c r="U372" s="230">
        <f>MIN(T372,'Tax Assumptions'!$B$19)</f>
        <v>24500</v>
      </c>
      <c r="V372" s="230">
        <f>MAX(T372-U372-'Tax Assumptions'!$B$8,0)</f>
        <v>10259400</v>
      </c>
      <c r="W372" s="230">
        <f>MAX(T372-U372-'Tax Assumptions'!$B$9,0)</f>
        <v>10267500</v>
      </c>
      <c r="X372" s="230">
        <f>IF(V372=0,0,LOOKUP(V372,'Tax Assumptions'!$F$9:$F$15,'Tax Assumptions'!$I$9:$I$15)+(V372-LOOKUP(V372,'Tax Assumptions'!$F$9:$F$15,'Tax Assumptions'!$F$9:$F$15))*LOOKUP(V372,'Tax Assumptions'!$F$9:$F$15,'Tax Assumptions'!$H$9:$H$15))+MIN(MAX(T372,0),'Tax Assumptions'!$B$11)*'Tax Assumptions'!$B$10+MAX(T372,0)*'Tax Assumptions'!$B$12+MAX(MAX(T372,0)-'Tax Assumptions'!$B$14,0)*'Tax Assumptions'!$B$13+MIN(T372*'Tax Assumptions'!$B$15,'Tax Assumptions'!$B$16)+MIN(T372*'Tax Assumptions'!$B$17,'Tax Assumptions'!$B$18)+IF(W372=0,0,LOOKUP(W372,'Tax Assumptions'!$K$9:$K$17,'Tax Assumptions'!$N$9:$N$17)+(W372-LOOKUP(W372,'Tax Assumptions'!$K$9:$K$17,'Tax Assumptions'!$K$9:$K$17))*LOOKUP(W372,'Tax Assumptions'!$K$9:$K$17,'Tax Assumptions'!$M$9:$M$17))+IF(W372=0,0,LOOKUP(W372,'Tax Assumptions'!$P$9:$P$12,'Tax Assumptions'!$S$9:$S$12)+(W372-LOOKUP(W372,'Tax Assumptions'!$P$9:$P$12,'Tax Assumptions'!$P$9:$P$12))*LOOKUP(W372,'Tax Assumptions'!$P$9:$P$12,'Tax Assumptions'!$R$9:$R$12))</f>
        <v>5394180.54</v>
      </c>
      <c r="Y372" s="230">
        <f t="shared" si="212"/>
        <v>4881319.46</v>
      </c>
      <c r="Z372" s="230">
        <f>IF(J372&lt;=10,INDEX('Savings Projection'!$BL$19:$BL$28,J372),LOOKUP(2,1/('Savings Projection'!$BL$19:$BL$28&lt;&gt;""),'Savings Projection'!$BL$19:$BL$28))*(1+'Model Inputs'!$B$35)^(J372-1)+IF(J372&lt;=10,INDEX('Savings Projection'!$BM$19:$BM$28,J372),LOOKUP(2,1/('Savings Projection'!$BM$19:$BM$28&lt;&gt;""),'Savings Projection'!$BM$19:$BM$28))*(1+'Model Inputs'!$B$36)^(J372-1)</f>
        <v>249093.44315190148</v>
      </c>
      <c r="AA372" s="230">
        <f t="shared" si="213"/>
        <v>4632226.0168480985</v>
      </c>
      <c r="AB372" s="230">
        <f>MIN(MAX(AA372,0),'Tax Assumptions'!$B$20)</f>
        <v>7500</v>
      </c>
      <c r="AC372" s="230">
        <f t="shared" si="214"/>
        <v>4624726.0168480985</v>
      </c>
      <c r="AD372" s="230">
        <f>MAX(AD371*(1+'Model Inputs'!$B$13)+AC372,0)</f>
        <v>142774324.50679892</v>
      </c>
      <c r="AE372" s="230">
        <f>MAX(AE371*(1+'Model Inputs'!$B$13)+U372+AB372,0)</f>
        <v>1503866.4861722963</v>
      </c>
      <c r="AF372" s="230">
        <f t="shared" si="215"/>
        <v>144278190.99297121</v>
      </c>
      <c r="AG372" s="226" t="str">
        <f t="shared" si="201"/>
        <v/>
      </c>
      <c r="AH372" s="226" t="str">
        <f t="shared" si="202"/>
        <v/>
      </c>
      <c r="AI372" s="226" t="str">
        <f t="shared" si="203"/>
        <v/>
      </c>
      <c r="AJ372" s="226" t="str">
        <f t="shared" si="204"/>
        <v/>
      </c>
    </row>
    <row r="373" spans="1:36" ht="18" customHeight="1" x14ac:dyDescent="0.2">
      <c r="A373" s="226" t="str">
        <f t="shared" si="193"/>
        <v>4Y -&gt; PM Y7 Upside</v>
      </c>
      <c r="B373" s="226">
        <f t="shared" si="194"/>
        <v>4</v>
      </c>
      <c r="C373" s="235">
        <f t="shared" si="195"/>
        <v>3</v>
      </c>
      <c r="D373" s="226">
        <f t="shared" si="196"/>
        <v>7</v>
      </c>
      <c r="E373" s="226" t="str">
        <f t="shared" si="197"/>
        <v>Upside</v>
      </c>
      <c r="F373" s="230">
        <f t="shared" si="198"/>
        <v>50000000</v>
      </c>
      <c r="G373" s="236">
        <f t="shared" si="199"/>
        <v>0.2</v>
      </c>
      <c r="H373" s="230">
        <f t="shared" si="200"/>
        <v>300000</v>
      </c>
      <c r="I373" s="236">
        <f t="shared" si="206"/>
        <v>0</v>
      </c>
      <c r="J373" s="234">
        <v>24</v>
      </c>
      <c r="K373" s="234">
        <f t="shared" si="207"/>
        <v>2049</v>
      </c>
      <c r="L373" s="230">
        <f>IF(J373=1,'Model Inputs'!$B$25*(13-'Model Inputs'!$B$23)/12,'Model Inputs'!$B$25)</f>
        <v>300000</v>
      </c>
      <c r="M373" s="230">
        <f>IF(J373=1,'Model Inputs'!$B$27*(13-'Model Inputs'!$B$23)/12,IF(J373=2,'Model Inputs'!$B$27,IF(J373&lt;=MAX(3,'Model Inputs'!$B$30+1),'Model Inputs'!$B$27*(1+'Model Inputs'!$B$28)^(J373-3),'Model Inputs'!$B$27*(1+'Model Inputs'!$B$28)^(MAX(3,'Model Inputs'!$B$30+1)-3)*(1+'Model Inputs'!$B$29)^(J373-MAX(3,'Model Inputs'!$B$30+1)))))</f>
        <v>90301156.084270701</v>
      </c>
      <c r="N373" s="236">
        <f>IF(J373&lt;=2,0,'Model Inputs'!$B$32*SIN(2*PI()*(J373-3+'Model Inputs'!$B$34)/MAX(1,'Model Inputs'!$B$33)))</f>
        <v>-2.0574066225675533E-16</v>
      </c>
      <c r="O373" s="230">
        <f t="shared" si="208"/>
        <v>90301156.084270686</v>
      </c>
      <c r="P373" s="230">
        <f t="shared" si="205"/>
        <v>63182470.219744325</v>
      </c>
      <c r="Q373" s="230">
        <f>L373+P373+IF(J373=1,'Model Inputs'!$B$26,0)</f>
        <v>63482470.219744325</v>
      </c>
      <c r="R373" s="230">
        <f t="shared" si="209"/>
        <v>190447410.65923297</v>
      </c>
      <c r="S373" s="230">
        <f t="shared" si="210"/>
        <v>10300000</v>
      </c>
      <c r="T373" s="230">
        <f t="shared" si="211"/>
        <v>10300000</v>
      </c>
      <c r="U373" s="230">
        <f>MIN(T373,'Tax Assumptions'!$B$19)</f>
        <v>24500</v>
      </c>
      <c r="V373" s="230">
        <f>MAX(T373-U373-'Tax Assumptions'!$B$8,0)</f>
        <v>10259400</v>
      </c>
      <c r="W373" s="230">
        <f>MAX(T373-U373-'Tax Assumptions'!$B$9,0)</f>
        <v>10267500</v>
      </c>
      <c r="X373" s="230">
        <f>IF(V373=0,0,LOOKUP(V373,'Tax Assumptions'!$F$9:$F$15,'Tax Assumptions'!$I$9:$I$15)+(V373-LOOKUP(V373,'Tax Assumptions'!$F$9:$F$15,'Tax Assumptions'!$F$9:$F$15))*LOOKUP(V373,'Tax Assumptions'!$F$9:$F$15,'Tax Assumptions'!$H$9:$H$15))+MIN(MAX(T373,0),'Tax Assumptions'!$B$11)*'Tax Assumptions'!$B$10+MAX(T373,0)*'Tax Assumptions'!$B$12+MAX(MAX(T373,0)-'Tax Assumptions'!$B$14,0)*'Tax Assumptions'!$B$13+MIN(T373*'Tax Assumptions'!$B$15,'Tax Assumptions'!$B$16)+MIN(T373*'Tax Assumptions'!$B$17,'Tax Assumptions'!$B$18)+IF(W373=0,0,LOOKUP(W373,'Tax Assumptions'!$K$9:$K$17,'Tax Assumptions'!$N$9:$N$17)+(W373-LOOKUP(W373,'Tax Assumptions'!$K$9:$K$17,'Tax Assumptions'!$K$9:$K$17))*LOOKUP(W373,'Tax Assumptions'!$K$9:$K$17,'Tax Assumptions'!$M$9:$M$17))+IF(W373=0,0,LOOKUP(W373,'Tax Assumptions'!$P$9:$P$12,'Tax Assumptions'!$S$9:$S$12)+(W373-LOOKUP(W373,'Tax Assumptions'!$P$9:$P$12,'Tax Assumptions'!$P$9:$P$12))*LOOKUP(W373,'Tax Assumptions'!$P$9:$P$12,'Tax Assumptions'!$R$9:$R$12))</f>
        <v>5394180.54</v>
      </c>
      <c r="Y373" s="230">
        <f t="shared" si="212"/>
        <v>4881319.46</v>
      </c>
      <c r="Z373" s="230">
        <f>IF(J373&lt;=10,INDEX('Savings Projection'!$BL$19:$BL$28,J373),LOOKUP(2,1/('Savings Projection'!$BL$19:$BL$28&lt;&gt;""),'Savings Projection'!$BL$19:$BL$28))*(1+'Model Inputs'!$B$35)^(J373-1)+IF(J373&lt;=10,INDEX('Savings Projection'!$BM$19:$BM$28,J373),LOOKUP(2,1/('Savings Projection'!$BM$19:$BM$28&lt;&gt;""),'Savings Projection'!$BM$19:$BM$28))*(1+'Model Inputs'!$B$36)^(J373-1)</f>
        <v>256566.24644645851</v>
      </c>
      <c r="AA373" s="230">
        <f t="shared" si="213"/>
        <v>4624753.2135535413</v>
      </c>
      <c r="AB373" s="230">
        <f>MIN(MAX(AA373,0),'Tax Assumptions'!$B$20)</f>
        <v>7500</v>
      </c>
      <c r="AC373" s="230">
        <f t="shared" si="214"/>
        <v>4617253.2135535413</v>
      </c>
      <c r="AD373" s="230">
        <f>MAX(AD372*(1+'Model Inputs'!$B$13)+AC373,0)</f>
        <v>155958037.1907604</v>
      </c>
      <c r="AE373" s="230">
        <f>MAX(AE372*(1+'Model Inputs'!$B$13)+U373+AB373,0)</f>
        <v>1626098.4753426341</v>
      </c>
      <c r="AF373" s="230">
        <f t="shared" si="215"/>
        <v>157584135.66610304</v>
      </c>
      <c r="AG373" s="226" t="str">
        <f t="shared" si="201"/>
        <v/>
      </c>
      <c r="AH373" s="226" t="str">
        <f t="shared" si="202"/>
        <v/>
      </c>
      <c r="AI373" s="226" t="str">
        <f t="shared" si="203"/>
        <v/>
      </c>
      <c r="AJ373" s="226" t="str">
        <f t="shared" si="204"/>
        <v/>
      </c>
    </row>
    <row r="374" spans="1:36" ht="18" customHeight="1" x14ac:dyDescent="0.2">
      <c r="A374" s="226" t="str">
        <f t="shared" si="193"/>
        <v>4Y -&gt; PM Y7 Upside</v>
      </c>
      <c r="B374" s="226">
        <f t="shared" si="194"/>
        <v>4</v>
      </c>
      <c r="C374" s="235">
        <f t="shared" si="195"/>
        <v>3</v>
      </c>
      <c r="D374" s="226">
        <f t="shared" si="196"/>
        <v>7</v>
      </c>
      <c r="E374" s="226" t="str">
        <f t="shared" si="197"/>
        <v>Upside</v>
      </c>
      <c r="F374" s="230">
        <f t="shared" si="198"/>
        <v>50000000</v>
      </c>
      <c r="G374" s="236">
        <f t="shared" si="199"/>
        <v>0.2</v>
      </c>
      <c r="H374" s="230">
        <f t="shared" si="200"/>
        <v>300000</v>
      </c>
      <c r="I374" s="236">
        <f t="shared" si="206"/>
        <v>0</v>
      </c>
      <c r="J374" s="234">
        <v>25</v>
      </c>
      <c r="K374" s="234">
        <f t="shared" si="207"/>
        <v>2050</v>
      </c>
      <c r="L374" s="230">
        <f>IF(J374=1,'Model Inputs'!$B$25*(13-'Model Inputs'!$B$23)/12,'Model Inputs'!$B$25)</f>
        <v>300000</v>
      </c>
      <c r="M374" s="230">
        <f>IF(J374=1,'Model Inputs'!$B$27*(13-'Model Inputs'!$B$23)/12,IF(J374=2,'Model Inputs'!$B$27,IF(J374&lt;=MAX(3,'Model Inputs'!$B$30+1),'Model Inputs'!$B$27*(1+'Model Inputs'!$B$28)^(J374-3),'Model Inputs'!$B$27*(1+'Model Inputs'!$B$28)^(MAX(3,'Model Inputs'!$B$30+1)-3)*(1+'Model Inputs'!$B$29)^(J374-MAX(3,'Model Inputs'!$B$30+1)))))</f>
        <v>114761701.62653697</v>
      </c>
      <c r="N374" s="236">
        <f>IF(J374&lt;=2,0,'Model Inputs'!$B$32*SIN(2*PI()*(J374-3+'Model Inputs'!$B$34)/MAX(1,'Model Inputs'!$B$33)))</f>
        <v>0.10392304845413287</v>
      </c>
      <c r="O374" s="230">
        <f t="shared" si="208"/>
        <v>126688087.50535031</v>
      </c>
      <c r="P374" s="230">
        <f t="shared" si="205"/>
        <v>83643370.677900568</v>
      </c>
      <c r="Q374" s="230">
        <f>L374+P374+IF(J374=1,'Model Inputs'!$B$26,0)</f>
        <v>83943370.677900568</v>
      </c>
      <c r="R374" s="230">
        <f t="shared" si="209"/>
        <v>251830112.03370172</v>
      </c>
      <c r="S374" s="230">
        <f t="shared" si="210"/>
        <v>10300000</v>
      </c>
      <c r="T374" s="230">
        <f t="shared" si="211"/>
        <v>10300000</v>
      </c>
      <c r="U374" s="230">
        <f>MIN(T374,'Tax Assumptions'!$B$19)</f>
        <v>24500</v>
      </c>
      <c r="V374" s="230">
        <f>MAX(T374-U374-'Tax Assumptions'!$B$8,0)</f>
        <v>10259400</v>
      </c>
      <c r="W374" s="230">
        <f>MAX(T374-U374-'Tax Assumptions'!$B$9,0)</f>
        <v>10267500</v>
      </c>
      <c r="X374" s="230">
        <f>IF(V374=0,0,LOOKUP(V374,'Tax Assumptions'!$F$9:$F$15,'Tax Assumptions'!$I$9:$I$15)+(V374-LOOKUP(V374,'Tax Assumptions'!$F$9:$F$15,'Tax Assumptions'!$F$9:$F$15))*LOOKUP(V374,'Tax Assumptions'!$F$9:$F$15,'Tax Assumptions'!$H$9:$H$15))+MIN(MAX(T374,0),'Tax Assumptions'!$B$11)*'Tax Assumptions'!$B$10+MAX(T374,0)*'Tax Assumptions'!$B$12+MAX(MAX(T374,0)-'Tax Assumptions'!$B$14,0)*'Tax Assumptions'!$B$13+MIN(T374*'Tax Assumptions'!$B$15,'Tax Assumptions'!$B$16)+MIN(T374*'Tax Assumptions'!$B$17,'Tax Assumptions'!$B$18)+IF(W374=0,0,LOOKUP(W374,'Tax Assumptions'!$K$9:$K$17,'Tax Assumptions'!$N$9:$N$17)+(W374-LOOKUP(W374,'Tax Assumptions'!$K$9:$K$17,'Tax Assumptions'!$K$9:$K$17))*LOOKUP(W374,'Tax Assumptions'!$K$9:$K$17,'Tax Assumptions'!$M$9:$M$17))+IF(W374=0,0,LOOKUP(W374,'Tax Assumptions'!$P$9:$P$12,'Tax Assumptions'!$S$9:$S$12)+(W374-LOOKUP(W374,'Tax Assumptions'!$P$9:$P$12,'Tax Assumptions'!$P$9:$P$12))*LOOKUP(W374,'Tax Assumptions'!$P$9:$P$12,'Tax Assumptions'!$R$9:$R$12))</f>
        <v>5394180.54</v>
      </c>
      <c r="Y374" s="230">
        <f t="shared" si="212"/>
        <v>4881319.46</v>
      </c>
      <c r="Z374" s="230">
        <f>IF(J374&lt;=10,INDEX('Savings Projection'!$BL$19:$BL$28,J374),LOOKUP(2,1/('Savings Projection'!$BL$19:$BL$28&lt;&gt;""),'Savings Projection'!$BL$19:$BL$28))*(1+'Model Inputs'!$B$35)^(J374-1)+IF(J374&lt;=10,INDEX('Savings Projection'!$BM$19:$BM$28,J374),LOOKUP(2,1/('Savings Projection'!$BM$19:$BM$28&lt;&gt;""),'Savings Projection'!$BM$19:$BM$28))*(1+'Model Inputs'!$B$36)^(J374-1)</f>
        <v>264263.23383985227</v>
      </c>
      <c r="AA374" s="230">
        <f t="shared" si="213"/>
        <v>4617056.2261601482</v>
      </c>
      <c r="AB374" s="230">
        <f>MIN(MAX(AA374,0),'Tax Assumptions'!$B$20)</f>
        <v>7500</v>
      </c>
      <c r="AC374" s="230">
        <f t="shared" si="214"/>
        <v>4609556.2261601482</v>
      </c>
      <c r="AD374" s="230">
        <f>MAX(AD373*(1+'Model Inputs'!$B$13)+AC374,0)</f>
        <v>169925075.64836618</v>
      </c>
      <c r="AE374" s="230">
        <f>MAX(AE373*(1+'Model Inputs'!$B$13)+U374+AB374,0)</f>
        <v>1755664.3838631923</v>
      </c>
      <c r="AF374" s="230">
        <f t="shared" si="215"/>
        <v>171680740.03222936</v>
      </c>
      <c r="AG374" s="226" t="str">
        <f t="shared" si="201"/>
        <v/>
      </c>
      <c r="AH374" s="226" t="str">
        <f t="shared" si="202"/>
        <v/>
      </c>
      <c r="AI374" s="226" t="str">
        <f t="shared" si="203"/>
        <v/>
      </c>
      <c r="AJ374" s="226" t="str">
        <f t="shared" si="204"/>
        <v/>
      </c>
    </row>
    <row r="375" spans="1:36" ht="18" customHeight="1" x14ac:dyDescent="0.2">
      <c r="A375" s="226" t="str">
        <f t="shared" si="193"/>
        <v>4Y -&gt; PM Y7 Upside</v>
      </c>
      <c r="B375" s="226">
        <f t="shared" si="194"/>
        <v>4</v>
      </c>
      <c r="C375" s="235">
        <f t="shared" si="195"/>
        <v>3</v>
      </c>
      <c r="D375" s="226">
        <f t="shared" si="196"/>
        <v>7</v>
      </c>
      <c r="E375" s="226" t="str">
        <f t="shared" si="197"/>
        <v>Upside</v>
      </c>
      <c r="F375" s="230">
        <f t="shared" si="198"/>
        <v>50000000</v>
      </c>
      <c r="G375" s="236">
        <f t="shared" si="199"/>
        <v>0.2</v>
      </c>
      <c r="H375" s="230">
        <f t="shared" si="200"/>
        <v>300000</v>
      </c>
      <c r="I375" s="236">
        <f t="shared" si="206"/>
        <v>0</v>
      </c>
      <c r="J375" s="234">
        <v>26</v>
      </c>
      <c r="K375" s="234">
        <f t="shared" si="207"/>
        <v>2051</v>
      </c>
      <c r="L375" s="230">
        <f>IF(J375=1,'Model Inputs'!$B$25*(13-'Model Inputs'!$B$23)/12,'Model Inputs'!$B$25)</f>
        <v>300000</v>
      </c>
      <c r="M375" s="230">
        <f>IF(J375=1,'Model Inputs'!$B$27*(13-'Model Inputs'!$B$23)/12,IF(J375=2,'Model Inputs'!$B$27,IF(J375&lt;=MAX(3,'Model Inputs'!$B$30+1),'Model Inputs'!$B$27*(1+'Model Inputs'!$B$28)^(J375-3),'Model Inputs'!$B$27*(1+'Model Inputs'!$B$28)^(MAX(3,'Model Inputs'!$B$30+1)-3)*(1+'Model Inputs'!$B$29)^(J375-MAX(3,'Model Inputs'!$B$30+1)))))</f>
        <v>145848057.00524563</v>
      </c>
      <c r="N375" s="236">
        <f>IF(J375&lt;=2,0,'Model Inputs'!$B$32*SIN(2*PI()*(J375-3+'Model Inputs'!$B$34)/MAX(1,'Model Inputs'!$B$33)))</f>
        <v>-0.10392304845413224</v>
      </c>
      <c r="O375" s="230">
        <f t="shared" si="208"/>
        <v>130691082.31014845</v>
      </c>
      <c r="P375" s="230">
        <f t="shared" si="205"/>
        <v>117591354.65008041</v>
      </c>
      <c r="Q375" s="230">
        <f>L375+P375+IF(J375=1,'Model Inputs'!$B$26,0)</f>
        <v>117891354.65008041</v>
      </c>
      <c r="R375" s="230">
        <f t="shared" si="209"/>
        <v>353674063.95024121</v>
      </c>
      <c r="S375" s="230">
        <f t="shared" si="210"/>
        <v>10300000</v>
      </c>
      <c r="T375" s="230">
        <f t="shared" si="211"/>
        <v>10300000</v>
      </c>
      <c r="U375" s="230">
        <f>MIN(T375,'Tax Assumptions'!$B$19)</f>
        <v>24500</v>
      </c>
      <c r="V375" s="230">
        <f>MAX(T375-U375-'Tax Assumptions'!$B$8,0)</f>
        <v>10259400</v>
      </c>
      <c r="W375" s="230">
        <f>MAX(T375-U375-'Tax Assumptions'!$B$9,0)</f>
        <v>10267500</v>
      </c>
      <c r="X375" s="230">
        <f>IF(V375=0,0,LOOKUP(V375,'Tax Assumptions'!$F$9:$F$15,'Tax Assumptions'!$I$9:$I$15)+(V375-LOOKUP(V375,'Tax Assumptions'!$F$9:$F$15,'Tax Assumptions'!$F$9:$F$15))*LOOKUP(V375,'Tax Assumptions'!$F$9:$F$15,'Tax Assumptions'!$H$9:$H$15))+MIN(MAX(T375,0),'Tax Assumptions'!$B$11)*'Tax Assumptions'!$B$10+MAX(T375,0)*'Tax Assumptions'!$B$12+MAX(MAX(T375,0)-'Tax Assumptions'!$B$14,0)*'Tax Assumptions'!$B$13+MIN(T375*'Tax Assumptions'!$B$15,'Tax Assumptions'!$B$16)+MIN(T375*'Tax Assumptions'!$B$17,'Tax Assumptions'!$B$18)+IF(W375=0,0,LOOKUP(W375,'Tax Assumptions'!$K$9:$K$17,'Tax Assumptions'!$N$9:$N$17)+(W375-LOOKUP(W375,'Tax Assumptions'!$K$9:$K$17,'Tax Assumptions'!$K$9:$K$17))*LOOKUP(W375,'Tax Assumptions'!$K$9:$K$17,'Tax Assumptions'!$M$9:$M$17))+IF(W375=0,0,LOOKUP(W375,'Tax Assumptions'!$P$9:$P$12,'Tax Assumptions'!$S$9:$S$12)+(W375-LOOKUP(W375,'Tax Assumptions'!$P$9:$P$12,'Tax Assumptions'!$P$9:$P$12))*LOOKUP(W375,'Tax Assumptions'!$P$9:$P$12,'Tax Assumptions'!$R$9:$R$12))</f>
        <v>5394180.54</v>
      </c>
      <c r="Y375" s="230">
        <f t="shared" si="212"/>
        <v>4881319.46</v>
      </c>
      <c r="Z375" s="230">
        <f>IF(J375&lt;=10,INDEX('Savings Projection'!$BL$19:$BL$28,J375),LOOKUP(2,1/('Savings Projection'!$BL$19:$BL$28&lt;&gt;""),'Savings Projection'!$BL$19:$BL$28))*(1+'Model Inputs'!$B$35)^(J375-1)+IF(J375&lt;=10,INDEX('Savings Projection'!$BM$19:$BM$28,J375),LOOKUP(2,1/('Savings Projection'!$BM$19:$BM$28&lt;&gt;""),'Savings Projection'!$BM$19:$BM$28))*(1+'Model Inputs'!$B$36)^(J375-1)</f>
        <v>272191.13085504784</v>
      </c>
      <c r="AA375" s="230">
        <f t="shared" si="213"/>
        <v>4609128.3291449519</v>
      </c>
      <c r="AB375" s="230">
        <f>MIN(MAX(AA375,0),'Tax Assumptions'!$B$20)</f>
        <v>7500</v>
      </c>
      <c r="AC375" s="230">
        <f t="shared" si="214"/>
        <v>4601628.3291449519</v>
      </c>
      <c r="AD375" s="230">
        <f>MAX(AD374*(1+'Model Inputs'!$B$13)+AC375,0)</f>
        <v>184722208.51641312</v>
      </c>
      <c r="AE375" s="230">
        <f>MAX(AE374*(1+'Model Inputs'!$B$13)+U375+AB375,0)</f>
        <v>1893004.2468949838</v>
      </c>
      <c r="AF375" s="230">
        <f t="shared" si="215"/>
        <v>186615212.76330811</v>
      </c>
      <c r="AG375" s="226" t="str">
        <f t="shared" si="201"/>
        <v/>
      </c>
      <c r="AH375" s="226" t="str">
        <f t="shared" si="202"/>
        <v/>
      </c>
      <c r="AI375" s="226" t="str">
        <f t="shared" si="203"/>
        <v/>
      </c>
      <c r="AJ375" s="226" t="str">
        <f t="shared" si="204"/>
        <v/>
      </c>
    </row>
    <row r="376" spans="1:36" ht="18" customHeight="1" x14ac:dyDescent="0.2">
      <c r="A376" s="226" t="str">
        <f t="shared" si="193"/>
        <v>4Y -&gt; PM Y7 Upside</v>
      </c>
      <c r="B376" s="226">
        <f t="shared" si="194"/>
        <v>4</v>
      </c>
      <c r="C376" s="235">
        <f t="shared" si="195"/>
        <v>3</v>
      </c>
      <c r="D376" s="226">
        <f t="shared" si="196"/>
        <v>7</v>
      </c>
      <c r="E376" s="226" t="str">
        <f t="shared" si="197"/>
        <v>Upside</v>
      </c>
      <c r="F376" s="230">
        <f t="shared" si="198"/>
        <v>50000000</v>
      </c>
      <c r="G376" s="236">
        <f t="shared" si="199"/>
        <v>0.2</v>
      </c>
      <c r="H376" s="230">
        <f t="shared" si="200"/>
        <v>300000</v>
      </c>
      <c r="I376" s="236">
        <f t="shared" si="206"/>
        <v>0</v>
      </c>
      <c r="J376" s="234">
        <v>27</v>
      </c>
      <c r="K376" s="234">
        <f t="shared" si="207"/>
        <v>2052</v>
      </c>
      <c r="L376" s="230">
        <f>IF(J376=1,'Model Inputs'!$B$25*(13-'Model Inputs'!$B$23)/12,'Model Inputs'!$B$25)</f>
        <v>300000</v>
      </c>
      <c r="M376" s="230">
        <f>IF(J376=1,'Model Inputs'!$B$27*(13-'Model Inputs'!$B$23)/12,IF(J376=2,'Model Inputs'!$B$27,IF(J376&lt;=MAX(3,'Model Inputs'!$B$30+1),'Model Inputs'!$B$27*(1+'Model Inputs'!$B$28)^(J376-3),'Model Inputs'!$B$27*(1+'Model Inputs'!$B$28)^(MAX(3,'Model Inputs'!$B$30+1)-3)*(1+'Model Inputs'!$B$29)^(J376-MAX(3,'Model Inputs'!$B$30+1)))))</f>
        <v>185355004.59402937</v>
      </c>
      <c r="N376" s="236">
        <f>IF(J376&lt;=2,0,'Model Inputs'!$B$32*SIN(2*PI()*(J376-3+'Model Inputs'!$B$34)/MAX(1,'Model Inputs'!$B$33)))</f>
        <v>-2.3513218543629179E-16</v>
      </c>
      <c r="O376" s="230">
        <f t="shared" si="208"/>
        <v>185355004.59402934</v>
      </c>
      <c r="P376" s="230">
        <f t="shared" si="205"/>
        <v>129690333.6089489</v>
      </c>
      <c r="Q376" s="230">
        <f>L376+P376+IF(J376=1,'Model Inputs'!$B$26,0)</f>
        <v>129990333.6089489</v>
      </c>
      <c r="R376" s="230">
        <f t="shared" si="209"/>
        <v>389971000.82684672</v>
      </c>
      <c r="S376" s="230">
        <f t="shared" si="210"/>
        <v>10300000</v>
      </c>
      <c r="T376" s="230">
        <f t="shared" si="211"/>
        <v>10300000</v>
      </c>
      <c r="U376" s="230">
        <f>MIN(T376,'Tax Assumptions'!$B$19)</f>
        <v>24500</v>
      </c>
      <c r="V376" s="230">
        <f>MAX(T376-U376-'Tax Assumptions'!$B$8,0)</f>
        <v>10259400</v>
      </c>
      <c r="W376" s="230">
        <f>MAX(T376-U376-'Tax Assumptions'!$B$9,0)</f>
        <v>10267500</v>
      </c>
      <c r="X376" s="230">
        <f>IF(V376=0,0,LOOKUP(V376,'Tax Assumptions'!$F$9:$F$15,'Tax Assumptions'!$I$9:$I$15)+(V376-LOOKUP(V376,'Tax Assumptions'!$F$9:$F$15,'Tax Assumptions'!$F$9:$F$15))*LOOKUP(V376,'Tax Assumptions'!$F$9:$F$15,'Tax Assumptions'!$H$9:$H$15))+MIN(MAX(T376,0),'Tax Assumptions'!$B$11)*'Tax Assumptions'!$B$10+MAX(T376,0)*'Tax Assumptions'!$B$12+MAX(MAX(T376,0)-'Tax Assumptions'!$B$14,0)*'Tax Assumptions'!$B$13+MIN(T376*'Tax Assumptions'!$B$15,'Tax Assumptions'!$B$16)+MIN(T376*'Tax Assumptions'!$B$17,'Tax Assumptions'!$B$18)+IF(W376=0,0,LOOKUP(W376,'Tax Assumptions'!$K$9:$K$17,'Tax Assumptions'!$N$9:$N$17)+(W376-LOOKUP(W376,'Tax Assumptions'!$K$9:$K$17,'Tax Assumptions'!$K$9:$K$17))*LOOKUP(W376,'Tax Assumptions'!$K$9:$K$17,'Tax Assumptions'!$M$9:$M$17))+IF(W376=0,0,LOOKUP(W376,'Tax Assumptions'!$P$9:$P$12,'Tax Assumptions'!$S$9:$S$12)+(W376-LOOKUP(W376,'Tax Assumptions'!$P$9:$P$12,'Tax Assumptions'!$P$9:$P$12))*LOOKUP(W376,'Tax Assumptions'!$P$9:$P$12,'Tax Assumptions'!$R$9:$R$12))</f>
        <v>5394180.54</v>
      </c>
      <c r="Y376" s="230">
        <f t="shared" si="212"/>
        <v>4881319.46</v>
      </c>
      <c r="Z376" s="230">
        <f>IF(J376&lt;=10,INDEX('Savings Projection'!$BL$19:$BL$28,J376),LOOKUP(2,1/('Savings Projection'!$BL$19:$BL$28&lt;&gt;""),'Savings Projection'!$BL$19:$BL$28))*(1+'Model Inputs'!$B$35)^(J376-1)+IF(J376&lt;=10,INDEX('Savings Projection'!$BM$19:$BM$28,J376),LOOKUP(2,1/('Savings Projection'!$BM$19:$BM$28&lt;&gt;""),'Savings Projection'!$BM$19:$BM$28))*(1+'Model Inputs'!$B$36)^(J376-1)</f>
        <v>280356.86478069925</v>
      </c>
      <c r="AA376" s="230">
        <f t="shared" si="213"/>
        <v>4600962.5952193011</v>
      </c>
      <c r="AB376" s="230">
        <f>MIN(MAX(AA376,0),'Tax Assumptions'!$B$20)</f>
        <v>7500</v>
      </c>
      <c r="AC376" s="230">
        <f t="shared" si="214"/>
        <v>4593462.5952193011</v>
      </c>
      <c r="AD376" s="230">
        <f>MAX(AD375*(1+'Model Inputs'!$B$13)+AC376,0)</f>
        <v>200399003.62261724</v>
      </c>
      <c r="AE376" s="230">
        <f>MAX(AE375*(1+'Model Inputs'!$B$13)+U376+AB376,0)</f>
        <v>2038584.5017086829</v>
      </c>
      <c r="AF376" s="230">
        <f t="shared" si="215"/>
        <v>202437588.12432593</v>
      </c>
      <c r="AG376" s="226" t="str">
        <f t="shared" si="201"/>
        <v/>
      </c>
      <c r="AH376" s="226" t="str">
        <f t="shared" si="202"/>
        <v/>
      </c>
      <c r="AI376" s="226" t="str">
        <f t="shared" si="203"/>
        <v/>
      </c>
      <c r="AJ376" s="226" t="str">
        <f t="shared" si="204"/>
        <v/>
      </c>
    </row>
    <row r="377" spans="1:36" ht="18" customHeight="1" x14ac:dyDescent="0.2">
      <c r="A377" s="226" t="str">
        <f t="shared" si="193"/>
        <v>4Y -&gt; PM Y7 Upside</v>
      </c>
      <c r="B377" s="226">
        <f t="shared" si="194"/>
        <v>4</v>
      </c>
      <c r="C377" s="235">
        <f t="shared" si="195"/>
        <v>3</v>
      </c>
      <c r="D377" s="226">
        <f t="shared" si="196"/>
        <v>7</v>
      </c>
      <c r="E377" s="226" t="str">
        <f t="shared" si="197"/>
        <v>Upside</v>
      </c>
      <c r="F377" s="230">
        <f t="shared" si="198"/>
        <v>50000000</v>
      </c>
      <c r="G377" s="236">
        <f t="shared" si="199"/>
        <v>0.2</v>
      </c>
      <c r="H377" s="230">
        <f t="shared" si="200"/>
        <v>300000</v>
      </c>
      <c r="I377" s="236">
        <f t="shared" si="206"/>
        <v>0</v>
      </c>
      <c r="J377" s="234">
        <v>28</v>
      </c>
      <c r="K377" s="234">
        <f t="shared" si="207"/>
        <v>2053</v>
      </c>
      <c r="L377" s="230">
        <f>IF(J377=1,'Model Inputs'!$B$25*(13-'Model Inputs'!$B$23)/12,'Model Inputs'!$B$25)</f>
        <v>300000</v>
      </c>
      <c r="M377" s="230">
        <f>IF(J377=1,'Model Inputs'!$B$27*(13-'Model Inputs'!$B$23)/12,IF(J377=2,'Model Inputs'!$B$27,IF(J377&lt;=MAX(3,'Model Inputs'!$B$30+1),'Model Inputs'!$B$27*(1+'Model Inputs'!$B$28)^(J377-3),'Model Inputs'!$B$27*(1+'Model Inputs'!$B$28)^(MAX(3,'Model Inputs'!$B$30+1)-3)*(1+'Model Inputs'!$B$29)^(J377-MAX(3,'Model Inputs'!$B$30+1)))))</f>
        <v>235563492.81236541</v>
      </c>
      <c r="N377" s="236">
        <f>IF(J377&lt;=2,0,'Model Inputs'!$B$32*SIN(2*PI()*(J377-3+'Model Inputs'!$B$34)/MAX(1,'Model Inputs'!$B$33)))</f>
        <v>0.10392304845413247</v>
      </c>
      <c r="O377" s="230">
        <f t="shared" si="208"/>
        <v>260043969.08992955</v>
      </c>
      <c r="P377" s="230">
        <f t="shared" si="205"/>
        <v>171689024.02305913</v>
      </c>
      <c r="Q377" s="230">
        <f>L377+P377+IF(J377=1,'Model Inputs'!$B$26,0)</f>
        <v>171989024.02305913</v>
      </c>
      <c r="R377" s="230">
        <f t="shared" si="209"/>
        <v>515967072.06917739</v>
      </c>
      <c r="S377" s="230">
        <f t="shared" si="210"/>
        <v>10300000</v>
      </c>
      <c r="T377" s="230">
        <f t="shared" si="211"/>
        <v>10300000</v>
      </c>
      <c r="U377" s="230">
        <f>MIN(T377,'Tax Assumptions'!$B$19)</f>
        <v>24500</v>
      </c>
      <c r="V377" s="230">
        <f>MAX(T377-U377-'Tax Assumptions'!$B$8,0)</f>
        <v>10259400</v>
      </c>
      <c r="W377" s="230">
        <f>MAX(T377-U377-'Tax Assumptions'!$B$9,0)</f>
        <v>10267500</v>
      </c>
      <c r="X377" s="230">
        <f>IF(V377=0,0,LOOKUP(V377,'Tax Assumptions'!$F$9:$F$15,'Tax Assumptions'!$I$9:$I$15)+(V377-LOOKUP(V377,'Tax Assumptions'!$F$9:$F$15,'Tax Assumptions'!$F$9:$F$15))*LOOKUP(V377,'Tax Assumptions'!$F$9:$F$15,'Tax Assumptions'!$H$9:$H$15))+MIN(MAX(T377,0),'Tax Assumptions'!$B$11)*'Tax Assumptions'!$B$10+MAX(T377,0)*'Tax Assumptions'!$B$12+MAX(MAX(T377,0)-'Tax Assumptions'!$B$14,0)*'Tax Assumptions'!$B$13+MIN(T377*'Tax Assumptions'!$B$15,'Tax Assumptions'!$B$16)+MIN(T377*'Tax Assumptions'!$B$17,'Tax Assumptions'!$B$18)+IF(W377=0,0,LOOKUP(W377,'Tax Assumptions'!$K$9:$K$17,'Tax Assumptions'!$N$9:$N$17)+(W377-LOOKUP(W377,'Tax Assumptions'!$K$9:$K$17,'Tax Assumptions'!$K$9:$K$17))*LOOKUP(W377,'Tax Assumptions'!$K$9:$K$17,'Tax Assumptions'!$M$9:$M$17))+IF(W377=0,0,LOOKUP(W377,'Tax Assumptions'!$P$9:$P$12,'Tax Assumptions'!$S$9:$S$12)+(W377-LOOKUP(W377,'Tax Assumptions'!$P$9:$P$12,'Tax Assumptions'!$P$9:$P$12))*LOOKUP(W377,'Tax Assumptions'!$P$9:$P$12,'Tax Assumptions'!$R$9:$R$12))</f>
        <v>5394180.54</v>
      </c>
      <c r="Y377" s="230">
        <f t="shared" si="212"/>
        <v>4881319.46</v>
      </c>
      <c r="Z377" s="230">
        <f>IF(J377&lt;=10,INDEX('Savings Projection'!$BL$19:$BL$28,J377),LOOKUP(2,1/('Savings Projection'!$BL$19:$BL$28&lt;&gt;""),'Savings Projection'!$BL$19:$BL$28))*(1+'Model Inputs'!$B$35)^(J377-1)+IF(J377&lt;=10,INDEX('Savings Projection'!$BM$19:$BM$28,J377),LOOKUP(2,1/('Savings Projection'!$BM$19:$BM$28&lt;&gt;""),'Savings Projection'!$BM$19:$BM$28))*(1+'Model Inputs'!$B$36)^(J377-1)</f>
        <v>288767.57072412025</v>
      </c>
      <c r="AA377" s="230">
        <f t="shared" si="213"/>
        <v>4592551.8892758796</v>
      </c>
      <c r="AB377" s="230">
        <f>MIN(MAX(AA377,0),'Tax Assumptions'!$B$20)</f>
        <v>7500</v>
      </c>
      <c r="AC377" s="230">
        <f t="shared" si="214"/>
        <v>4585051.8892758796</v>
      </c>
      <c r="AD377" s="230">
        <f>MAX(AD376*(1+'Model Inputs'!$B$13)+AC377,0)</f>
        <v>217007995.72925016</v>
      </c>
      <c r="AE377" s="230">
        <f>MAX(AE376*(1+'Model Inputs'!$B$13)+U377+AB377,0)</f>
        <v>2192899.5718112038</v>
      </c>
      <c r="AF377" s="230">
        <f t="shared" si="215"/>
        <v>219200895.30106136</v>
      </c>
      <c r="AG377" s="226" t="str">
        <f t="shared" si="201"/>
        <v/>
      </c>
      <c r="AH377" s="226" t="str">
        <f t="shared" si="202"/>
        <v/>
      </c>
      <c r="AI377" s="226" t="str">
        <f t="shared" si="203"/>
        <v/>
      </c>
      <c r="AJ377" s="226" t="str">
        <f t="shared" si="204"/>
        <v/>
      </c>
    </row>
    <row r="378" spans="1:36" ht="18" customHeight="1" x14ac:dyDescent="0.2">
      <c r="A378" s="226" t="str">
        <f t="shared" si="193"/>
        <v>4Y -&gt; PM Y7 Upside</v>
      </c>
      <c r="B378" s="226">
        <f t="shared" si="194"/>
        <v>4</v>
      </c>
      <c r="C378" s="235">
        <f t="shared" si="195"/>
        <v>3</v>
      </c>
      <c r="D378" s="226">
        <f t="shared" si="196"/>
        <v>7</v>
      </c>
      <c r="E378" s="226" t="str">
        <f t="shared" si="197"/>
        <v>Upside</v>
      </c>
      <c r="F378" s="230">
        <f t="shared" si="198"/>
        <v>50000000</v>
      </c>
      <c r="G378" s="236">
        <f t="shared" si="199"/>
        <v>0.2</v>
      </c>
      <c r="H378" s="230">
        <f t="shared" si="200"/>
        <v>300000</v>
      </c>
      <c r="I378" s="236">
        <f t="shared" si="206"/>
        <v>0</v>
      </c>
      <c r="J378" s="234">
        <v>29</v>
      </c>
      <c r="K378" s="234">
        <f t="shared" si="207"/>
        <v>2054</v>
      </c>
      <c r="L378" s="230">
        <f>IF(J378=1,'Model Inputs'!$B$25*(13-'Model Inputs'!$B$23)/12,'Model Inputs'!$B$25)</f>
        <v>300000</v>
      </c>
      <c r="M378" s="230">
        <f>IF(J378=1,'Model Inputs'!$B$27*(13-'Model Inputs'!$B$23)/12,IF(J378=2,'Model Inputs'!$B$27,IF(J378&lt;=MAX(3,'Model Inputs'!$B$30+1),'Model Inputs'!$B$27*(1+'Model Inputs'!$B$28)^(J378-3),'Model Inputs'!$B$27*(1+'Model Inputs'!$B$28)^(MAX(3,'Model Inputs'!$B$30+1)-3)*(1+'Model Inputs'!$B$29)^(J378-MAX(3,'Model Inputs'!$B$30+1)))))</f>
        <v>299372327.53708321</v>
      </c>
      <c r="N378" s="236">
        <f>IF(J378&lt;=2,0,'Model Inputs'!$B$32*SIN(2*PI()*(J378-3+'Model Inputs'!$B$34)/MAX(1,'Model Inputs'!$B$33)))</f>
        <v>-0.10392304845413265</v>
      </c>
      <c r="O378" s="230">
        <f t="shared" si="208"/>
        <v>268260642.63662043</v>
      </c>
      <c r="P378" s="230">
        <f t="shared" si="205"/>
        <v>241371727.96595448</v>
      </c>
      <c r="Q378" s="230">
        <f>L378+P378+IF(J378=1,'Model Inputs'!$B$26,0)</f>
        <v>241671727.96595448</v>
      </c>
      <c r="R378" s="230">
        <f t="shared" si="209"/>
        <v>725015183.89786339</v>
      </c>
      <c r="S378" s="230">
        <f t="shared" si="210"/>
        <v>10300000</v>
      </c>
      <c r="T378" s="230">
        <f t="shared" si="211"/>
        <v>10300000</v>
      </c>
      <c r="U378" s="230">
        <f>MIN(T378,'Tax Assumptions'!$B$19)</f>
        <v>24500</v>
      </c>
      <c r="V378" s="230">
        <f>MAX(T378-U378-'Tax Assumptions'!$B$8,0)</f>
        <v>10259400</v>
      </c>
      <c r="W378" s="230">
        <f>MAX(T378-U378-'Tax Assumptions'!$B$9,0)</f>
        <v>10267500</v>
      </c>
      <c r="X378" s="230">
        <f>IF(V378=0,0,LOOKUP(V378,'Tax Assumptions'!$F$9:$F$15,'Tax Assumptions'!$I$9:$I$15)+(V378-LOOKUP(V378,'Tax Assumptions'!$F$9:$F$15,'Tax Assumptions'!$F$9:$F$15))*LOOKUP(V378,'Tax Assumptions'!$F$9:$F$15,'Tax Assumptions'!$H$9:$H$15))+MIN(MAX(T378,0),'Tax Assumptions'!$B$11)*'Tax Assumptions'!$B$10+MAX(T378,0)*'Tax Assumptions'!$B$12+MAX(MAX(T378,0)-'Tax Assumptions'!$B$14,0)*'Tax Assumptions'!$B$13+MIN(T378*'Tax Assumptions'!$B$15,'Tax Assumptions'!$B$16)+MIN(T378*'Tax Assumptions'!$B$17,'Tax Assumptions'!$B$18)+IF(W378=0,0,LOOKUP(W378,'Tax Assumptions'!$K$9:$K$17,'Tax Assumptions'!$N$9:$N$17)+(W378-LOOKUP(W378,'Tax Assumptions'!$K$9:$K$17,'Tax Assumptions'!$K$9:$K$17))*LOOKUP(W378,'Tax Assumptions'!$K$9:$K$17,'Tax Assumptions'!$M$9:$M$17))+IF(W378=0,0,LOOKUP(W378,'Tax Assumptions'!$P$9:$P$12,'Tax Assumptions'!$S$9:$S$12)+(W378-LOOKUP(W378,'Tax Assumptions'!$P$9:$P$12,'Tax Assumptions'!$P$9:$P$12))*LOOKUP(W378,'Tax Assumptions'!$P$9:$P$12,'Tax Assumptions'!$R$9:$R$12))</f>
        <v>5394180.54</v>
      </c>
      <c r="Y378" s="230">
        <f t="shared" si="212"/>
        <v>4881319.46</v>
      </c>
      <c r="Z378" s="230">
        <f>IF(J378&lt;=10,INDEX('Savings Projection'!$BL$19:$BL$28,J378),LOOKUP(2,1/('Savings Projection'!$BL$19:$BL$28&lt;&gt;""),'Savings Projection'!$BL$19:$BL$28))*(1+'Model Inputs'!$B$35)^(J378-1)+IF(J378&lt;=10,INDEX('Savings Projection'!$BM$19:$BM$28,J378),LOOKUP(2,1/('Savings Projection'!$BM$19:$BM$28&lt;&gt;""),'Savings Projection'!$BM$19:$BM$28))*(1+'Model Inputs'!$B$36)^(J378-1)</f>
        <v>297430.59784584382</v>
      </c>
      <c r="AA378" s="230">
        <f t="shared" si="213"/>
        <v>4583888.862154156</v>
      </c>
      <c r="AB378" s="230">
        <f>MIN(MAX(AA378,0),'Tax Assumptions'!$B$20)</f>
        <v>7500</v>
      </c>
      <c r="AC378" s="230">
        <f t="shared" si="214"/>
        <v>4576388.862154156</v>
      </c>
      <c r="AD378" s="230">
        <f>MAX(AD377*(1+'Model Inputs'!$B$13)+AC378,0)</f>
        <v>234604864.33515933</v>
      </c>
      <c r="AE378" s="230">
        <f>MAX(AE377*(1+'Model Inputs'!$B$13)+U378+AB378,0)</f>
        <v>2356473.5461198762</v>
      </c>
      <c r="AF378" s="230">
        <f t="shared" si="215"/>
        <v>236961337.8812792</v>
      </c>
      <c r="AG378" s="226" t="str">
        <f t="shared" si="201"/>
        <v/>
      </c>
      <c r="AH378" s="226" t="str">
        <f t="shared" si="202"/>
        <v/>
      </c>
      <c r="AI378" s="226" t="str">
        <f t="shared" si="203"/>
        <v/>
      </c>
      <c r="AJ378" s="226" t="str">
        <f t="shared" si="204"/>
        <v/>
      </c>
    </row>
    <row r="379" spans="1:36" ht="18" customHeight="1" x14ac:dyDescent="0.2">
      <c r="A379" s="226" t="str">
        <f t="shared" si="193"/>
        <v>4Y -&gt; PM Y7 Upside</v>
      </c>
      <c r="B379" s="226">
        <f t="shared" si="194"/>
        <v>4</v>
      </c>
      <c r="C379" s="235">
        <f t="shared" si="195"/>
        <v>3</v>
      </c>
      <c r="D379" s="226">
        <f t="shared" si="196"/>
        <v>7</v>
      </c>
      <c r="E379" s="226" t="str">
        <f t="shared" si="197"/>
        <v>Upside</v>
      </c>
      <c r="F379" s="230">
        <f t="shared" si="198"/>
        <v>50000000</v>
      </c>
      <c r="G379" s="236">
        <f t="shared" si="199"/>
        <v>0.2</v>
      </c>
      <c r="H379" s="230">
        <f t="shared" si="200"/>
        <v>300000</v>
      </c>
      <c r="I379" s="236">
        <f t="shared" si="206"/>
        <v>0</v>
      </c>
      <c r="J379" s="234">
        <v>30</v>
      </c>
      <c r="K379" s="234">
        <f t="shared" si="207"/>
        <v>2055</v>
      </c>
      <c r="L379" s="230">
        <f>IF(J379=1,'Model Inputs'!$B$25*(13-'Model Inputs'!$B$23)/12,'Model Inputs'!$B$25)</f>
        <v>300000</v>
      </c>
      <c r="M379" s="230">
        <f>IF(J379=1,'Model Inputs'!$B$27*(13-'Model Inputs'!$B$23)/12,IF(J379=2,'Model Inputs'!$B$27,IF(J379&lt;=MAX(3,'Model Inputs'!$B$30+1),'Model Inputs'!$B$27*(1+'Model Inputs'!$B$28)^(J379-3),'Model Inputs'!$B$27*(1+'Model Inputs'!$B$28)^(MAX(3,'Model Inputs'!$B$30+1)-3)*(1+'Model Inputs'!$B$29)^(J379-MAX(3,'Model Inputs'!$B$30+1)))))</f>
        <v>380465535.74563926</v>
      </c>
      <c r="N379" s="236">
        <f>IF(J379&lt;=2,0,'Model Inputs'!$B$32*SIN(2*PI()*(J379-3+'Model Inputs'!$B$34)/MAX(1,'Model Inputs'!$B$33)))</f>
        <v>-2.645237086158283E-16</v>
      </c>
      <c r="O379" s="230">
        <f t="shared" si="208"/>
        <v>380465535.7456392</v>
      </c>
      <c r="P379" s="230">
        <f t="shared" si="205"/>
        <v>266206474.24994773</v>
      </c>
      <c r="Q379" s="230">
        <f>L379+P379+IF(J379=1,'Model Inputs'!$B$26,0)</f>
        <v>266506474.24994773</v>
      </c>
      <c r="R379" s="230">
        <f t="shared" si="209"/>
        <v>799519422.74984312</v>
      </c>
      <c r="S379" s="230">
        <f t="shared" si="210"/>
        <v>10300000</v>
      </c>
      <c r="T379" s="230">
        <f t="shared" si="211"/>
        <v>10300000</v>
      </c>
      <c r="U379" s="230">
        <f>MIN(T379,'Tax Assumptions'!$B$19)</f>
        <v>24500</v>
      </c>
      <c r="V379" s="230">
        <f>MAX(T379-U379-'Tax Assumptions'!$B$8,0)</f>
        <v>10259400</v>
      </c>
      <c r="W379" s="230">
        <f>MAX(T379-U379-'Tax Assumptions'!$B$9,0)</f>
        <v>10267500</v>
      </c>
      <c r="X379" s="230">
        <f>IF(V379=0,0,LOOKUP(V379,'Tax Assumptions'!$F$9:$F$15,'Tax Assumptions'!$I$9:$I$15)+(V379-LOOKUP(V379,'Tax Assumptions'!$F$9:$F$15,'Tax Assumptions'!$F$9:$F$15))*LOOKUP(V379,'Tax Assumptions'!$F$9:$F$15,'Tax Assumptions'!$H$9:$H$15))+MIN(MAX(T379,0),'Tax Assumptions'!$B$11)*'Tax Assumptions'!$B$10+MAX(T379,0)*'Tax Assumptions'!$B$12+MAX(MAX(T379,0)-'Tax Assumptions'!$B$14,0)*'Tax Assumptions'!$B$13+MIN(T379*'Tax Assumptions'!$B$15,'Tax Assumptions'!$B$16)+MIN(T379*'Tax Assumptions'!$B$17,'Tax Assumptions'!$B$18)+IF(W379=0,0,LOOKUP(W379,'Tax Assumptions'!$K$9:$K$17,'Tax Assumptions'!$N$9:$N$17)+(W379-LOOKUP(W379,'Tax Assumptions'!$K$9:$K$17,'Tax Assumptions'!$K$9:$K$17))*LOOKUP(W379,'Tax Assumptions'!$K$9:$K$17,'Tax Assumptions'!$M$9:$M$17))+IF(W379=0,0,LOOKUP(W379,'Tax Assumptions'!$P$9:$P$12,'Tax Assumptions'!$S$9:$S$12)+(W379-LOOKUP(W379,'Tax Assumptions'!$P$9:$P$12,'Tax Assumptions'!$P$9:$P$12))*LOOKUP(W379,'Tax Assumptions'!$P$9:$P$12,'Tax Assumptions'!$R$9:$R$12))</f>
        <v>5394180.54</v>
      </c>
      <c r="Y379" s="230">
        <f t="shared" si="212"/>
        <v>4881319.46</v>
      </c>
      <c r="Z379" s="230">
        <f>IF(J379&lt;=10,INDEX('Savings Projection'!$BL$19:$BL$28,J379),LOOKUP(2,1/('Savings Projection'!$BL$19:$BL$28&lt;&gt;""),'Savings Projection'!$BL$19:$BL$28))*(1+'Model Inputs'!$B$35)^(J379-1)+IF(J379&lt;=10,INDEX('Savings Projection'!$BM$19:$BM$28,J379),LOOKUP(2,1/('Savings Projection'!$BM$19:$BM$28&lt;&gt;""),'Savings Projection'!$BM$19:$BM$28))*(1+'Model Inputs'!$B$36)^(J379-1)</f>
        <v>306353.51578121912</v>
      </c>
      <c r="AA379" s="230">
        <f t="shared" si="213"/>
        <v>4574965.9442187808</v>
      </c>
      <c r="AB379" s="230">
        <f>MIN(MAX(AA379,0),'Tax Assumptions'!$B$20)</f>
        <v>7500</v>
      </c>
      <c r="AC379" s="230">
        <f t="shared" si="214"/>
        <v>4567465.9442187808</v>
      </c>
      <c r="AD379" s="230">
        <f>MAX(AD378*(1+'Model Inputs'!$B$13)+AC379,0)</f>
        <v>253248622.13948768</v>
      </c>
      <c r="AE379" s="230">
        <f>MAX(AE378*(1+'Model Inputs'!$B$13)+U379+AB379,0)</f>
        <v>2529861.958887069</v>
      </c>
      <c r="AF379" s="230">
        <f t="shared" si="215"/>
        <v>255778484.09837475</v>
      </c>
      <c r="AG379" s="226" t="str">
        <f t="shared" si="201"/>
        <v/>
      </c>
      <c r="AH379" s="226" t="str">
        <f t="shared" si="202"/>
        <v/>
      </c>
      <c r="AI379" s="226" t="str">
        <f t="shared" si="203"/>
        <v/>
      </c>
      <c r="AJ379" s="226" t="str">
        <f t="shared" si="204"/>
        <v/>
      </c>
    </row>
    <row r="380" spans="1:36" ht="18" customHeight="1" x14ac:dyDescent="0.2">
      <c r="A380" s="226" t="str">
        <f t="shared" ref="A380:A409" si="216">$A$33</f>
        <v>4Y -&gt; PM Y7 Tail</v>
      </c>
      <c r="B380" s="226">
        <f t="shared" ref="B380:B409" si="217">$B$33</f>
        <v>4</v>
      </c>
      <c r="C380" s="235">
        <f t="shared" ref="C380:C409" si="218">$C$33</f>
        <v>3</v>
      </c>
      <c r="D380" s="226">
        <f t="shared" ref="D380:D409" si="219">$D$33</f>
        <v>7</v>
      </c>
      <c r="E380" s="226" t="str">
        <f t="shared" ref="E380:E409" si="220">$E$33</f>
        <v>Tail</v>
      </c>
      <c r="F380" s="230">
        <f t="shared" ref="F380:F409" si="221">$F$33</f>
        <v>100000000</v>
      </c>
      <c r="G380" s="236">
        <f t="shared" ref="G380:G409" si="222">$G$33</f>
        <v>0.15</v>
      </c>
      <c r="H380" s="230">
        <f t="shared" ref="H380:H409" si="223">$H$33</f>
        <v>300000</v>
      </c>
      <c r="I380" s="236">
        <f t="shared" si="206"/>
        <v>0</v>
      </c>
      <c r="J380" s="234">
        <v>1</v>
      </c>
      <c r="K380" s="234">
        <f t="shared" si="207"/>
        <v>2026</v>
      </c>
      <c r="L380" s="230">
        <f>IF(J380=1,'Model Inputs'!$B$25*(13-'Model Inputs'!$B$23)/12,'Model Inputs'!$B$25)</f>
        <v>100000</v>
      </c>
      <c r="M380" s="230">
        <f>IF(J380=1,'Model Inputs'!$B$27*(13-'Model Inputs'!$B$23)/12,IF(J380=2,'Model Inputs'!$B$27,IF(J380&lt;=MAX(3,'Model Inputs'!$B$30+1),'Model Inputs'!$B$27*(1+'Model Inputs'!$B$28)^(J380-3),'Model Inputs'!$B$27*(1+'Model Inputs'!$B$28)^(MAX(3,'Model Inputs'!$B$30+1)-3)*(1+'Model Inputs'!$B$29)^(J380-MAX(3,'Model Inputs'!$B$30+1)))))</f>
        <v>150000</v>
      </c>
      <c r="N380" s="236">
        <f>IF(J380&lt;=2,0,'Model Inputs'!$B$32*SIN(2*PI()*(J380-3+'Model Inputs'!$B$34)/MAX(1,'Model Inputs'!$B$33)))</f>
        <v>0</v>
      </c>
      <c r="O380" s="230">
        <f t="shared" si="208"/>
        <v>150000</v>
      </c>
      <c r="P380" s="230">
        <f>0</f>
        <v>0</v>
      </c>
      <c r="Q380" s="230">
        <f>L380+P380+IF(J380=1,'Model Inputs'!$B$26,0)</f>
        <v>550000</v>
      </c>
      <c r="R380" s="230">
        <f t="shared" si="209"/>
        <v>550000</v>
      </c>
      <c r="S380" s="230">
        <f t="shared" si="210"/>
        <v>15300000</v>
      </c>
      <c r="T380" s="230">
        <f t="shared" si="211"/>
        <v>550000</v>
      </c>
      <c r="U380" s="230">
        <f>MIN(T380,'Tax Assumptions'!$B$19)</f>
        <v>24500</v>
      </c>
      <c r="V380" s="230">
        <f>MAX(T380-U380-'Tax Assumptions'!$B$8,0)</f>
        <v>509400</v>
      </c>
      <c r="W380" s="230">
        <f>MAX(T380-U380-'Tax Assumptions'!$B$9,0)</f>
        <v>517500</v>
      </c>
      <c r="X380" s="230">
        <f>IF(V380=0,0,LOOKUP(V380,'Tax Assumptions'!$F$9:$F$15,'Tax Assumptions'!$I$9:$I$15)+(V380-LOOKUP(V380,'Tax Assumptions'!$F$9:$F$15,'Tax Assumptions'!$F$9:$F$15))*LOOKUP(V380,'Tax Assumptions'!$F$9:$F$15,'Tax Assumptions'!$H$9:$H$15))+MIN(MAX(T380,0),'Tax Assumptions'!$B$11)*'Tax Assumptions'!$B$10+MAX(T380,0)*'Tax Assumptions'!$B$12+MAX(MAX(T380,0)-'Tax Assumptions'!$B$14,0)*'Tax Assumptions'!$B$13+MIN(T380*'Tax Assumptions'!$B$15,'Tax Assumptions'!$B$16)+MIN(T380*'Tax Assumptions'!$B$17,'Tax Assumptions'!$B$18)+IF(W380=0,0,LOOKUP(W380,'Tax Assumptions'!$K$9:$K$17,'Tax Assumptions'!$N$9:$N$17)+(W380-LOOKUP(W380,'Tax Assumptions'!$K$9:$K$17,'Tax Assumptions'!$K$9:$K$17))*LOOKUP(W380,'Tax Assumptions'!$K$9:$K$17,'Tax Assumptions'!$M$9:$M$17))+IF(W380=0,0,LOOKUP(W380,'Tax Assumptions'!$P$9:$P$12,'Tax Assumptions'!$S$9:$S$12)+(W380-LOOKUP(W380,'Tax Assumptions'!$P$9:$P$12,'Tax Assumptions'!$P$9:$P$12))*LOOKUP(W380,'Tax Assumptions'!$P$9:$P$12,'Tax Assumptions'!$R$9:$R$12))</f>
        <v>222834.53000000003</v>
      </c>
      <c r="Y380" s="230">
        <f t="shared" si="212"/>
        <v>302665.46999999997</v>
      </c>
      <c r="Z380" s="230">
        <f>IF(J380&lt;=10,INDEX('Savings Projection'!$BL$19:$BL$28,J380),LOOKUP(2,1/('Savings Projection'!$BL$19:$BL$28&lt;&gt;""),'Savings Projection'!$BL$19:$BL$28))*(1+'Model Inputs'!$B$35)^(J380-1)+IF(J380&lt;=10,INDEX('Savings Projection'!$BM$19:$BM$28,J380),LOOKUP(2,1/('Savings Projection'!$BM$19:$BM$28&lt;&gt;""),'Savings Projection'!$BM$19:$BM$28))*(1+'Model Inputs'!$B$36)^(J380-1)</f>
        <v>118000</v>
      </c>
      <c r="AA380" s="230">
        <f t="shared" si="213"/>
        <v>184665.46999999997</v>
      </c>
      <c r="AB380" s="230">
        <f>MIN(MAX(AA380,0),'Tax Assumptions'!$B$20)</f>
        <v>7500</v>
      </c>
      <c r="AC380" s="230">
        <f t="shared" si="214"/>
        <v>177165.46999999997</v>
      </c>
      <c r="AD380" s="230">
        <f>MAX('Model Inputs'!$B$7*(1+'Model Inputs'!$B$13)+AC380,0)</f>
        <v>336165.47</v>
      </c>
      <c r="AE380" s="230">
        <f>MAX(('Model Inputs'!$B$8+'Model Inputs'!$B$9+'Model Inputs'!$B$10)*(1+'Model Inputs'!$B$13)+U380+AB380,0)</f>
        <v>32000</v>
      </c>
      <c r="AF380" s="230">
        <f t="shared" si="215"/>
        <v>368165.47</v>
      </c>
      <c r="AG380" s="226" t="str">
        <f>IF(AND(AF380&gt;=$F$14,0&lt;$F$14),J380,"")</f>
        <v/>
      </c>
      <c r="AH380" s="226" t="str">
        <f>IF(AND(AF380&gt;=$F$15,0&lt;$F$15),J380,"")</f>
        <v/>
      </c>
      <c r="AI380" s="226" t="str">
        <f>IF(AND(AF380&gt;=$F$16,0&lt;$F$16),J380,"")</f>
        <v/>
      </c>
      <c r="AJ380" s="226" t="str">
        <f>IF(AND(AF380&gt;=$F$17,0&lt;$F$17),J380,"")</f>
        <v/>
      </c>
    </row>
    <row r="381" spans="1:36" ht="18" customHeight="1" x14ac:dyDescent="0.2">
      <c r="A381" s="226" t="str">
        <f t="shared" si="216"/>
        <v>4Y -&gt; PM Y7 Tail</v>
      </c>
      <c r="B381" s="226">
        <f t="shared" si="217"/>
        <v>4</v>
      </c>
      <c r="C381" s="235">
        <f t="shared" si="218"/>
        <v>3</v>
      </c>
      <c r="D381" s="226">
        <f t="shared" si="219"/>
        <v>7</v>
      </c>
      <c r="E381" s="226" t="str">
        <f t="shared" si="220"/>
        <v>Tail</v>
      </c>
      <c r="F381" s="230">
        <f t="shared" si="221"/>
        <v>100000000</v>
      </c>
      <c r="G381" s="236">
        <f t="shared" si="222"/>
        <v>0.15</v>
      </c>
      <c r="H381" s="230">
        <f t="shared" si="223"/>
        <v>300000</v>
      </c>
      <c r="I381" s="236">
        <f t="shared" si="206"/>
        <v>0</v>
      </c>
      <c r="J381" s="234">
        <v>2</v>
      </c>
      <c r="K381" s="234">
        <f t="shared" si="207"/>
        <v>2027</v>
      </c>
      <c r="L381" s="230">
        <f>IF(J381=1,'Model Inputs'!$B$25*(13-'Model Inputs'!$B$23)/12,'Model Inputs'!$B$25)</f>
        <v>300000</v>
      </c>
      <c r="M381" s="230">
        <f>IF(J381=1,'Model Inputs'!$B$27*(13-'Model Inputs'!$B$23)/12,IF(J381=2,'Model Inputs'!$B$27,IF(J381&lt;=MAX(3,'Model Inputs'!$B$30+1),'Model Inputs'!$B$27*(1+'Model Inputs'!$B$28)^(J381-3),'Model Inputs'!$B$27*(1+'Model Inputs'!$B$28)^(MAX(3,'Model Inputs'!$B$30+1)-3)*(1+'Model Inputs'!$B$29)^(J381-MAX(3,'Model Inputs'!$B$30+1)))))</f>
        <v>450000</v>
      </c>
      <c r="N381" s="236">
        <f>IF(J381&lt;=2,0,'Model Inputs'!$B$32*SIN(2*PI()*(J381-3+'Model Inputs'!$B$34)/MAX(1,'Model Inputs'!$B$33)))</f>
        <v>0</v>
      </c>
      <c r="O381" s="230">
        <f t="shared" si="208"/>
        <v>450000</v>
      </c>
      <c r="P381" s="230">
        <f>0.75*O380</f>
        <v>112500</v>
      </c>
      <c r="Q381" s="230">
        <f>L381+P381+IF(J381=1,'Model Inputs'!$B$26,0)</f>
        <v>412500</v>
      </c>
      <c r="R381" s="230">
        <f t="shared" si="209"/>
        <v>412500</v>
      </c>
      <c r="S381" s="230">
        <f t="shared" si="210"/>
        <v>15300000</v>
      </c>
      <c r="T381" s="230">
        <f t="shared" si="211"/>
        <v>412500</v>
      </c>
      <c r="U381" s="230">
        <f>MIN(T381,'Tax Assumptions'!$B$19)</f>
        <v>24500</v>
      </c>
      <c r="V381" s="230">
        <f>MAX(T381-U381-'Tax Assumptions'!$B$8,0)</f>
        <v>371900</v>
      </c>
      <c r="W381" s="230">
        <f>MAX(T381-U381-'Tax Assumptions'!$B$9,0)</f>
        <v>380000</v>
      </c>
      <c r="X381" s="230">
        <f>IF(V381=0,0,LOOKUP(V381,'Tax Assumptions'!$F$9:$F$15,'Tax Assumptions'!$I$9:$I$15)+(V381-LOOKUP(V381,'Tax Assumptions'!$F$9:$F$15,'Tax Assumptions'!$F$9:$F$15))*LOOKUP(V381,'Tax Assumptions'!$F$9:$F$15,'Tax Assumptions'!$H$9:$H$15))+MIN(MAX(T381,0),'Tax Assumptions'!$B$11)*'Tax Assumptions'!$B$10+MAX(T381,0)*'Tax Assumptions'!$B$12+MAX(MAX(T381,0)-'Tax Assumptions'!$B$14,0)*'Tax Assumptions'!$B$13+MIN(T381*'Tax Assumptions'!$B$15,'Tax Assumptions'!$B$16)+MIN(T381*'Tax Assumptions'!$B$17,'Tax Assumptions'!$B$18)+IF(W381=0,0,LOOKUP(W381,'Tax Assumptions'!$K$9:$K$17,'Tax Assumptions'!$N$9:$N$17)+(W381-LOOKUP(W381,'Tax Assumptions'!$K$9:$K$17,'Tax Assumptions'!$K$9:$K$17))*LOOKUP(W381,'Tax Assumptions'!$K$9:$K$17,'Tax Assumptions'!$M$9:$M$17))+IF(W381=0,0,LOOKUP(W381,'Tax Assumptions'!$P$9:$P$12,'Tax Assumptions'!$S$9:$S$12)+(W381-LOOKUP(W381,'Tax Assumptions'!$P$9:$P$12,'Tax Assumptions'!$P$9:$P$12))*LOOKUP(W381,'Tax Assumptions'!$P$9:$P$12,'Tax Assumptions'!$R$9:$R$12))</f>
        <v>156730.03</v>
      </c>
      <c r="Y381" s="230">
        <f t="shared" si="212"/>
        <v>231269.97</v>
      </c>
      <c r="Z381" s="230">
        <f>IF(J381&lt;=10,INDEX('Savings Projection'!$BL$19:$BL$28,J381),LOOKUP(2,1/('Savings Projection'!$BL$19:$BL$28&lt;&gt;""),'Savings Projection'!$BL$19:$BL$28))*(1+'Model Inputs'!$B$35)^(J381-1)+IF(J381&lt;=10,INDEX('Savings Projection'!$BM$19:$BM$28,J381),LOOKUP(2,1/('Savings Projection'!$BM$19:$BM$28&lt;&gt;""),'Savings Projection'!$BM$19:$BM$28))*(1+'Model Inputs'!$B$36)^(J381-1)</f>
        <v>121540</v>
      </c>
      <c r="AA381" s="230">
        <f t="shared" si="213"/>
        <v>109729.97</v>
      </c>
      <c r="AB381" s="230">
        <f>MIN(MAX(AA381,0),'Tax Assumptions'!$B$20)</f>
        <v>7500</v>
      </c>
      <c r="AC381" s="230">
        <f t="shared" si="214"/>
        <v>102229.97</v>
      </c>
      <c r="AD381" s="230">
        <f>MAX(AD380*(1+'Model Inputs'!$B$13)+AC381,0)</f>
        <v>458565.36820000003</v>
      </c>
      <c r="AE381" s="230">
        <f>MAX(AE380*(1+'Model Inputs'!$B$13)+U381+AB381,0)</f>
        <v>65920</v>
      </c>
      <c r="AF381" s="230">
        <f t="shared" si="215"/>
        <v>524485.36820000003</v>
      </c>
      <c r="AG381" s="226" t="str">
        <f t="shared" ref="AG381:AG409" si="224">IF(AND(AF381&gt;=$F$14,AF380&lt;$F$14),J381,"")</f>
        <v/>
      </c>
      <c r="AH381" s="226" t="str">
        <f t="shared" ref="AH381:AH409" si="225">IF(AND(AF381&gt;=$F$15,AF380&lt;$F$15),J381,"")</f>
        <v/>
      </c>
      <c r="AI381" s="226" t="str">
        <f t="shared" ref="AI381:AI409" si="226">IF(AND(AF381&gt;=$F$16,AF380&lt;$F$16),J381,"")</f>
        <v/>
      </c>
      <c r="AJ381" s="226" t="str">
        <f t="shared" ref="AJ381:AJ409" si="227">IF(AND(AF381&gt;=$F$17,AF380&lt;$F$17),J381,"")</f>
        <v/>
      </c>
    </row>
    <row r="382" spans="1:36" ht="18" customHeight="1" x14ac:dyDescent="0.2">
      <c r="A382" s="226" t="str">
        <f t="shared" si="216"/>
        <v>4Y -&gt; PM Y7 Tail</v>
      </c>
      <c r="B382" s="226">
        <f t="shared" si="217"/>
        <v>4</v>
      </c>
      <c r="C382" s="235">
        <f t="shared" si="218"/>
        <v>3</v>
      </c>
      <c r="D382" s="226">
        <f t="shared" si="219"/>
        <v>7</v>
      </c>
      <c r="E382" s="226" t="str">
        <f t="shared" si="220"/>
        <v>Tail</v>
      </c>
      <c r="F382" s="230">
        <f t="shared" si="221"/>
        <v>100000000</v>
      </c>
      <c r="G382" s="236">
        <f t="shared" si="222"/>
        <v>0.15</v>
      </c>
      <c r="H382" s="230">
        <f t="shared" si="223"/>
        <v>300000</v>
      </c>
      <c r="I382" s="236">
        <f t="shared" si="206"/>
        <v>0</v>
      </c>
      <c r="J382" s="234">
        <v>3</v>
      </c>
      <c r="K382" s="234">
        <f t="shared" si="207"/>
        <v>2028</v>
      </c>
      <c r="L382" s="230">
        <f>IF(J382=1,'Model Inputs'!$B$25*(13-'Model Inputs'!$B$23)/12,'Model Inputs'!$B$25)</f>
        <v>300000</v>
      </c>
      <c r="M382" s="230">
        <f>IF(J382=1,'Model Inputs'!$B$27*(13-'Model Inputs'!$B$23)/12,IF(J382=2,'Model Inputs'!$B$27,IF(J382&lt;=MAX(3,'Model Inputs'!$B$30+1),'Model Inputs'!$B$27*(1+'Model Inputs'!$B$28)^(J382-3),'Model Inputs'!$B$27*(1+'Model Inputs'!$B$28)^(MAX(3,'Model Inputs'!$B$30+1)-3)*(1+'Model Inputs'!$B$29)^(J382-MAX(3,'Model Inputs'!$B$30+1)))))</f>
        <v>450000</v>
      </c>
      <c r="N382" s="236">
        <f>IF(J382&lt;=2,0,'Model Inputs'!$B$32*SIN(2*PI()*(J382-3+'Model Inputs'!$B$34)/MAX(1,'Model Inputs'!$B$33)))</f>
        <v>0</v>
      </c>
      <c r="O382" s="230">
        <f t="shared" si="208"/>
        <v>450000</v>
      </c>
      <c r="P382" s="230">
        <f t="shared" ref="P382:P409" si="228">0.75*O381+0.25*O380</f>
        <v>375000</v>
      </c>
      <c r="Q382" s="230">
        <f>L382+P382+IF(J382=1,'Model Inputs'!$B$26,0)</f>
        <v>675000</v>
      </c>
      <c r="R382" s="230">
        <f t="shared" si="209"/>
        <v>675000</v>
      </c>
      <c r="S382" s="230">
        <f t="shared" si="210"/>
        <v>15300000</v>
      </c>
      <c r="T382" s="230">
        <f t="shared" si="211"/>
        <v>675000</v>
      </c>
      <c r="U382" s="230">
        <f>MIN(T382,'Tax Assumptions'!$B$19)</f>
        <v>24500</v>
      </c>
      <c r="V382" s="230">
        <f>MAX(T382-U382-'Tax Assumptions'!$B$8,0)</f>
        <v>634400</v>
      </c>
      <c r="W382" s="230">
        <f>MAX(T382-U382-'Tax Assumptions'!$B$9,0)</f>
        <v>642500</v>
      </c>
      <c r="X382" s="230">
        <f>IF(V382=0,0,LOOKUP(V382,'Tax Assumptions'!$F$9:$F$15,'Tax Assumptions'!$I$9:$I$15)+(V382-LOOKUP(V382,'Tax Assumptions'!$F$9:$F$15,'Tax Assumptions'!$F$9:$F$15))*LOOKUP(V382,'Tax Assumptions'!$F$9:$F$15,'Tax Assumptions'!$H$9:$H$15))+MIN(MAX(T382,0),'Tax Assumptions'!$B$11)*'Tax Assumptions'!$B$10+MAX(T382,0)*'Tax Assumptions'!$B$12+MAX(MAX(T382,0)-'Tax Assumptions'!$B$14,0)*'Tax Assumptions'!$B$13+MIN(T382*'Tax Assumptions'!$B$15,'Tax Assumptions'!$B$16)+MIN(T382*'Tax Assumptions'!$B$17,'Tax Assumptions'!$B$18)+IF(W382=0,0,LOOKUP(W382,'Tax Assumptions'!$K$9:$K$17,'Tax Assumptions'!$N$9:$N$17)+(W382-LOOKUP(W382,'Tax Assumptions'!$K$9:$K$17,'Tax Assumptions'!$K$9:$K$17))*LOOKUP(W382,'Tax Assumptions'!$K$9:$K$17,'Tax Assumptions'!$M$9:$M$17))+IF(W382=0,0,LOOKUP(W382,'Tax Assumptions'!$P$9:$P$12,'Tax Assumptions'!$S$9:$S$12)+(W382-LOOKUP(W382,'Tax Assumptions'!$P$9:$P$12,'Tax Assumptions'!$P$9:$P$12))*LOOKUP(W382,'Tax Assumptions'!$P$9:$P$12,'Tax Assumptions'!$R$9:$R$12))</f>
        <v>282929.53000000003</v>
      </c>
      <c r="Y382" s="230">
        <f t="shared" si="212"/>
        <v>367570.47</v>
      </c>
      <c r="Z382" s="230">
        <f>IF(J382&lt;=10,INDEX('Savings Projection'!$BL$19:$BL$28,J382),LOOKUP(2,1/('Savings Projection'!$BL$19:$BL$28&lt;&gt;""),'Savings Projection'!$BL$19:$BL$28))*(1+'Model Inputs'!$B$35)^(J382-1)+IF(J382&lt;=10,INDEX('Savings Projection'!$BM$19:$BM$28,J382),LOOKUP(2,1/('Savings Projection'!$BM$19:$BM$28&lt;&gt;""),'Savings Projection'!$BM$19:$BM$28))*(1+'Model Inputs'!$B$36)^(J382-1)</f>
        <v>135795.20000000001</v>
      </c>
      <c r="AA382" s="230">
        <f t="shared" si="213"/>
        <v>231775.26999999996</v>
      </c>
      <c r="AB382" s="230">
        <f>MIN(MAX(AA382,0),'Tax Assumptions'!$B$20)</f>
        <v>7500</v>
      </c>
      <c r="AC382" s="230">
        <f t="shared" si="214"/>
        <v>224275.26999999996</v>
      </c>
      <c r="AD382" s="230">
        <f>MAX(AD381*(1+'Model Inputs'!$B$13)+AC382,0)</f>
        <v>710354.56029199995</v>
      </c>
      <c r="AE382" s="230">
        <f>MAX(AE381*(1+'Model Inputs'!$B$13)+U382+AB382,0)</f>
        <v>101875.2</v>
      </c>
      <c r="AF382" s="230">
        <f t="shared" si="215"/>
        <v>812229.7602919999</v>
      </c>
      <c r="AG382" s="226" t="str">
        <f t="shared" si="224"/>
        <v/>
      </c>
      <c r="AH382" s="226" t="str">
        <f t="shared" si="225"/>
        <v/>
      </c>
      <c r="AI382" s="226" t="str">
        <f t="shared" si="226"/>
        <v/>
      </c>
      <c r="AJ382" s="226" t="str">
        <f t="shared" si="227"/>
        <v/>
      </c>
    </row>
    <row r="383" spans="1:36" ht="18" customHeight="1" x14ac:dyDescent="0.2">
      <c r="A383" s="226" t="str">
        <f t="shared" si="216"/>
        <v>4Y -&gt; PM Y7 Tail</v>
      </c>
      <c r="B383" s="226">
        <f t="shared" si="217"/>
        <v>4</v>
      </c>
      <c r="C383" s="235">
        <f t="shared" si="218"/>
        <v>3</v>
      </c>
      <c r="D383" s="226">
        <f t="shared" si="219"/>
        <v>7</v>
      </c>
      <c r="E383" s="226" t="str">
        <f t="shared" si="220"/>
        <v>Tail</v>
      </c>
      <c r="F383" s="230">
        <f t="shared" si="221"/>
        <v>100000000</v>
      </c>
      <c r="G383" s="236">
        <f t="shared" si="222"/>
        <v>0.15</v>
      </c>
      <c r="H383" s="230">
        <f t="shared" si="223"/>
        <v>300000</v>
      </c>
      <c r="I383" s="236">
        <f t="shared" si="206"/>
        <v>0</v>
      </c>
      <c r="J383" s="234">
        <v>4</v>
      </c>
      <c r="K383" s="234">
        <f t="shared" si="207"/>
        <v>2029</v>
      </c>
      <c r="L383" s="230">
        <f>IF(J383=1,'Model Inputs'!$B$25*(13-'Model Inputs'!$B$23)/12,'Model Inputs'!$B$25)</f>
        <v>300000</v>
      </c>
      <c r="M383" s="230">
        <f>IF(J383=1,'Model Inputs'!$B$27*(13-'Model Inputs'!$B$23)/12,IF(J383=2,'Model Inputs'!$B$27,IF(J383&lt;=MAX(3,'Model Inputs'!$B$30+1),'Model Inputs'!$B$27*(1+'Model Inputs'!$B$28)^(J383-3),'Model Inputs'!$B$27*(1+'Model Inputs'!$B$28)^(MAX(3,'Model Inputs'!$B$30+1)-3)*(1+'Model Inputs'!$B$29)^(J383-MAX(3,'Model Inputs'!$B$30+1)))))</f>
        <v>653834.84153110103</v>
      </c>
      <c r="N383" s="236">
        <f>IF(J383&lt;=2,0,'Model Inputs'!$B$32*SIN(2*PI()*(J383-3+'Model Inputs'!$B$34)/MAX(1,'Model Inputs'!$B$33)))</f>
        <v>0.10392304845413264</v>
      </c>
      <c r="O383" s="230">
        <f t="shared" si="208"/>
        <v>721783.35144853778</v>
      </c>
      <c r="P383" s="230">
        <f t="shared" si="228"/>
        <v>450000</v>
      </c>
      <c r="Q383" s="230">
        <f>L383+P383+IF(J383=1,'Model Inputs'!$B$26,0)</f>
        <v>750000</v>
      </c>
      <c r="R383" s="230">
        <f t="shared" si="209"/>
        <v>750000</v>
      </c>
      <c r="S383" s="230">
        <f t="shared" si="210"/>
        <v>15300000</v>
      </c>
      <c r="T383" s="230">
        <f t="shared" si="211"/>
        <v>750000</v>
      </c>
      <c r="U383" s="230">
        <f>MIN(T383,'Tax Assumptions'!$B$19)</f>
        <v>24500</v>
      </c>
      <c r="V383" s="230">
        <f>MAX(T383-U383-'Tax Assumptions'!$B$8,0)</f>
        <v>709400</v>
      </c>
      <c r="W383" s="230">
        <f>MAX(T383-U383-'Tax Assumptions'!$B$9,0)</f>
        <v>717500</v>
      </c>
      <c r="X383" s="230">
        <f>IF(V383=0,0,LOOKUP(V383,'Tax Assumptions'!$F$9:$F$15,'Tax Assumptions'!$I$9:$I$15)+(V383-LOOKUP(V383,'Tax Assumptions'!$F$9:$F$15,'Tax Assumptions'!$F$9:$F$15))*LOOKUP(V383,'Tax Assumptions'!$F$9:$F$15,'Tax Assumptions'!$H$9:$H$15))+MIN(MAX(T383,0),'Tax Assumptions'!$B$11)*'Tax Assumptions'!$B$10+MAX(T383,0)*'Tax Assumptions'!$B$12+MAX(MAX(T383,0)-'Tax Assumptions'!$B$14,0)*'Tax Assumptions'!$B$13+MIN(T383*'Tax Assumptions'!$B$15,'Tax Assumptions'!$B$16)+MIN(T383*'Tax Assumptions'!$B$17,'Tax Assumptions'!$B$18)+IF(W383=0,0,LOOKUP(W383,'Tax Assumptions'!$K$9:$K$17,'Tax Assumptions'!$N$9:$N$17)+(W383-LOOKUP(W383,'Tax Assumptions'!$K$9:$K$17,'Tax Assumptions'!$K$9:$K$17))*LOOKUP(W383,'Tax Assumptions'!$K$9:$K$17,'Tax Assumptions'!$M$9:$M$17))+IF(W383=0,0,LOOKUP(W383,'Tax Assumptions'!$P$9:$P$12,'Tax Assumptions'!$S$9:$S$12)+(W383-LOOKUP(W383,'Tax Assumptions'!$P$9:$P$12,'Tax Assumptions'!$P$9:$P$12))*LOOKUP(W383,'Tax Assumptions'!$P$9:$P$12,'Tax Assumptions'!$R$9:$R$12))</f>
        <v>320362.53000000003</v>
      </c>
      <c r="Y383" s="230">
        <f t="shared" si="212"/>
        <v>405137.47</v>
      </c>
      <c r="Z383" s="230">
        <f>IF(J383&lt;=10,INDEX('Savings Projection'!$BL$19:$BL$28,J383),LOOKUP(2,1/('Savings Projection'!$BL$19:$BL$28&lt;&gt;""),'Savings Projection'!$BL$19:$BL$28))*(1+'Model Inputs'!$B$35)^(J383-1)+IF(J383&lt;=10,INDEX('Savings Projection'!$BM$19:$BM$28,J383),LOOKUP(2,1/('Savings Projection'!$BM$19:$BM$28&lt;&gt;""),'Savings Projection'!$BM$19:$BM$28))*(1+'Model Inputs'!$B$36)^(J383-1)</f>
        <v>139869.05600000001</v>
      </c>
      <c r="AA383" s="230">
        <f t="shared" si="213"/>
        <v>265268.41399999999</v>
      </c>
      <c r="AB383" s="230">
        <f>MIN(MAX(AA383,0),'Tax Assumptions'!$B$20)</f>
        <v>7500</v>
      </c>
      <c r="AC383" s="230">
        <f t="shared" si="214"/>
        <v>257768.41399999999</v>
      </c>
      <c r="AD383" s="230">
        <f>MAX(AD382*(1+'Model Inputs'!$B$13)+AC383,0)</f>
        <v>1010744.2479095199</v>
      </c>
      <c r="AE383" s="230">
        <f>MAX(AE382*(1+'Model Inputs'!$B$13)+U383+AB383,0)</f>
        <v>139987.712</v>
      </c>
      <c r="AF383" s="230">
        <f t="shared" si="215"/>
        <v>1150731.9599095199</v>
      </c>
      <c r="AG383" s="226" t="str">
        <f t="shared" si="224"/>
        <v/>
      </c>
      <c r="AH383" s="226" t="str">
        <f t="shared" si="225"/>
        <v/>
      </c>
      <c r="AI383" s="226" t="str">
        <f t="shared" si="226"/>
        <v/>
      </c>
      <c r="AJ383" s="226" t="str">
        <f t="shared" si="227"/>
        <v/>
      </c>
    </row>
    <row r="384" spans="1:36" ht="18" customHeight="1" x14ac:dyDescent="0.2">
      <c r="A384" s="226" t="str">
        <f t="shared" si="216"/>
        <v>4Y -&gt; PM Y7 Tail</v>
      </c>
      <c r="B384" s="226">
        <f t="shared" si="217"/>
        <v>4</v>
      </c>
      <c r="C384" s="235">
        <f t="shared" si="218"/>
        <v>3</v>
      </c>
      <c r="D384" s="226">
        <f t="shared" si="219"/>
        <v>7</v>
      </c>
      <c r="E384" s="226" t="str">
        <f t="shared" si="220"/>
        <v>Tail</v>
      </c>
      <c r="F384" s="230">
        <f t="shared" si="221"/>
        <v>100000000</v>
      </c>
      <c r="G384" s="236">
        <f t="shared" si="222"/>
        <v>0.15</v>
      </c>
      <c r="H384" s="230">
        <f t="shared" si="223"/>
        <v>300000</v>
      </c>
      <c r="I384" s="236">
        <f t="shared" si="206"/>
        <v>0</v>
      </c>
      <c r="J384" s="234">
        <v>5</v>
      </c>
      <c r="K384" s="234">
        <f t="shared" si="207"/>
        <v>2030</v>
      </c>
      <c r="L384" s="230">
        <f>IF(J384=1,'Model Inputs'!$B$25*(13-'Model Inputs'!$B$23)/12,'Model Inputs'!$B$25)</f>
        <v>300000</v>
      </c>
      <c r="M384" s="230">
        <f>IF(J384=1,'Model Inputs'!$B$27*(13-'Model Inputs'!$B$23)/12,IF(J384=2,'Model Inputs'!$B$27,IF(J384&lt;=MAX(3,'Model Inputs'!$B$30+1),'Model Inputs'!$B$27*(1+'Model Inputs'!$B$28)^(J384-3),'Model Inputs'!$B$27*(1+'Model Inputs'!$B$28)^(MAX(3,'Model Inputs'!$B$30+1)-3)*(1+'Model Inputs'!$B$29)^(J384-MAX(3,'Model Inputs'!$B$30+1)))))</f>
        <v>950000</v>
      </c>
      <c r="N384" s="236">
        <f>IF(J384&lt;=2,0,'Model Inputs'!$B$32*SIN(2*PI()*(J384-3+'Model Inputs'!$B$34)/MAX(1,'Model Inputs'!$B$33)))</f>
        <v>-0.1039230484541326</v>
      </c>
      <c r="O384" s="230">
        <f t="shared" si="208"/>
        <v>851273.10396857408</v>
      </c>
      <c r="P384" s="230">
        <f t="shared" si="228"/>
        <v>653837.51358640334</v>
      </c>
      <c r="Q384" s="230">
        <f>L384+P384+IF(J384=1,'Model Inputs'!$B$26,0)</f>
        <v>953837.51358640334</v>
      </c>
      <c r="R384" s="230">
        <f t="shared" si="209"/>
        <v>2861512.54075921</v>
      </c>
      <c r="S384" s="230">
        <f t="shared" si="210"/>
        <v>15300000</v>
      </c>
      <c r="T384" s="230">
        <f t="shared" si="211"/>
        <v>2861512.54075921</v>
      </c>
      <c r="U384" s="230">
        <f>MIN(T384,'Tax Assumptions'!$B$19)</f>
        <v>24500</v>
      </c>
      <c r="V384" s="230">
        <f>MAX(T384-U384-'Tax Assumptions'!$B$8,0)</f>
        <v>2820912.54075921</v>
      </c>
      <c r="W384" s="230">
        <f>MAX(T384-U384-'Tax Assumptions'!$B$9,0)</f>
        <v>2829012.54075921</v>
      </c>
      <c r="X384" s="230">
        <f>IF(V384=0,0,LOOKUP(V384,'Tax Assumptions'!$F$9:$F$15,'Tax Assumptions'!$I$9:$I$15)+(V384-LOOKUP(V384,'Tax Assumptions'!$F$9:$F$15,'Tax Assumptions'!$F$9:$F$15))*LOOKUP(V384,'Tax Assumptions'!$F$9:$F$15,'Tax Assumptions'!$H$9:$H$15))+MIN(MAX(T384,0),'Tax Assumptions'!$B$11)*'Tax Assumptions'!$B$10+MAX(T384,0)*'Tax Assumptions'!$B$12+MAX(MAX(T384,0)-'Tax Assumptions'!$B$14,0)*'Tax Assumptions'!$B$13+MIN(T384*'Tax Assumptions'!$B$15,'Tax Assumptions'!$B$16)+MIN(T384*'Tax Assumptions'!$B$17,'Tax Assumptions'!$B$18)+IF(W384=0,0,LOOKUP(W384,'Tax Assumptions'!$K$9:$K$17,'Tax Assumptions'!$N$9:$N$17)+(W384-LOOKUP(W384,'Tax Assumptions'!$K$9:$K$17,'Tax Assumptions'!$K$9:$K$17))*LOOKUP(W384,'Tax Assumptions'!$K$9:$K$17,'Tax Assumptions'!$M$9:$M$17))+IF(W384=0,0,LOOKUP(W384,'Tax Assumptions'!$P$9:$P$12,'Tax Assumptions'!$S$9:$S$12)+(W384-LOOKUP(W384,'Tax Assumptions'!$P$9:$P$12,'Tax Assumptions'!$P$9:$P$12))*LOOKUP(W384,'Tax Assumptions'!$P$9:$P$12,'Tax Assumptions'!$R$9:$R$12))</f>
        <v>1426764.0060518396</v>
      </c>
      <c r="Y384" s="230">
        <f t="shared" si="212"/>
        <v>1410248.5347073704</v>
      </c>
      <c r="Z384" s="230">
        <f>IF(J384&lt;=10,INDEX('Savings Projection'!$BL$19:$BL$28,J384),LOOKUP(2,1/('Savings Projection'!$BL$19:$BL$28&lt;&gt;""),'Savings Projection'!$BL$19:$BL$28))*(1+'Model Inputs'!$B$35)^(J384-1)+IF(J384&lt;=10,INDEX('Savings Projection'!$BM$19:$BM$28,J384),LOOKUP(2,1/('Savings Projection'!$BM$19:$BM$28&lt;&gt;""),'Savings Projection'!$BM$19:$BM$28))*(1+'Model Inputs'!$B$36)^(J384-1)</f>
        <v>144065.12767999998</v>
      </c>
      <c r="AA384" s="230">
        <f t="shared" si="213"/>
        <v>1266183.4070273705</v>
      </c>
      <c r="AB384" s="230">
        <f>MIN(MAX(AA384,0),'Tax Assumptions'!$B$20)</f>
        <v>7500</v>
      </c>
      <c r="AC384" s="230">
        <f t="shared" si="214"/>
        <v>1258683.4070273705</v>
      </c>
      <c r="AD384" s="230">
        <f>MAX(AD383*(1+'Model Inputs'!$B$13)+AC384,0)</f>
        <v>2330072.3098114617</v>
      </c>
      <c r="AE384" s="230">
        <f>MAX(AE383*(1+'Model Inputs'!$B$13)+U384+AB384,0)</f>
        <v>180386.97472</v>
      </c>
      <c r="AF384" s="230">
        <f t="shared" si="215"/>
        <v>2510459.2845314615</v>
      </c>
      <c r="AG384" s="226" t="str">
        <f t="shared" si="224"/>
        <v/>
      </c>
      <c r="AH384" s="226" t="str">
        <f t="shared" si="225"/>
        <v/>
      </c>
      <c r="AI384" s="226" t="str">
        <f t="shared" si="226"/>
        <v/>
      </c>
      <c r="AJ384" s="226" t="str">
        <f t="shared" si="227"/>
        <v/>
      </c>
    </row>
    <row r="385" spans="1:36" ht="18" customHeight="1" x14ac:dyDescent="0.2">
      <c r="A385" s="226" t="str">
        <f t="shared" si="216"/>
        <v>4Y -&gt; PM Y7 Tail</v>
      </c>
      <c r="B385" s="226">
        <f t="shared" si="217"/>
        <v>4</v>
      </c>
      <c r="C385" s="235">
        <f t="shared" si="218"/>
        <v>3</v>
      </c>
      <c r="D385" s="226">
        <f t="shared" si="219"/>
        <v>7</v>
      </c>
      <c r="E385" s="226" t="str">
        <f t="shared" si="220"/>
        <v>Tail</v>
      </c>
      <c r="F385" s="230">
        <f t="shared" si="221"/>
        <v>100000000</v>
      </c>
      <c r="G385" s="236">
        <f t="shared" si="222"/>
        <v>0.15</v>
      </c>
      <c r="H385" s="230">
        <f t="shared" si="223"/>
        <v>300000</v>
      </c>
      <c r="I385" s="236">
        <f t="shared" si="206"/>
        <v>0</v>
      </c>
      <c r="J385" s="234">
        <v>6</v>
      </c>
      <c r="K385" s="234">
        <f t="shared" si="207"/>
        <v>2031</v>
      </c>
      <c r="L385" s="230">
        <f>IF(J385=1,'Model Inputs'!$B$25*(13-'Model Inputs'!$B$23)/12,'Model Inputs'!$B$25)</f>
        <v>300000</v>
      </c>
      <c r="M385" s="230">
        <f>IF(J385=1,'Model Inputs'!$B$27*(13-'Model Inputs'!$B$23)/12,IF(J385=2,'Model Inputs'!$B$27,IF(J385&lt;=MAX(3,'Model Inputs'!$B$30+1),'Model Inputs'!$B$27*(1+'Model Inputs'!$B$28)^(J385-3),'Model Inputs'!$B$27*(1+'Model Inputs'!$B$28)^(MAX(3,'Model Inputs'!$B$30+1)-3)*(1+'Model Inputs'!$B$29)^(J385-MAX(3,'Model Inputs'!$B$30+1)))))</f>
        <v>1207333.5632986501</v>
      </c>
      <c r="N385" s="236">
        <f>IF(J385&lt;=2,0,'Model Inputs'!$B$32*SIN(2*PI()*(J385-3+'Model Inputs'!$B$34)/MAX(1,'Model Inputs'!$B$33)))</f>
        <v>-2.9391523179536474E-17</v>
      </c>
      <c r="O385" s="230">
        <f t="shared" si="208"/>
        <v>1207333.5632986501</v>
      </c>
      <c r="P385" s="230">
        <f t="shared" si="228"/>
        <v>818900.66583856498</v>
      </c>
      <c r="Q385" s="230">
        <f>L385+P385+IF(J385=1,'Model Inputs'!$B$26,0)</f>
        <v>1118900.665838565</v>
      </c>
      <c r="R385" s="230">
        <f t="shared" si="209"/>
        <v>3356701.9975156952</v>
      </c>
      <c r="S385" s="230">
        <f t="shared" si="210"/>
        <v>15300000</v>
      </c>
      <c r="T385" s="230">
        <f t="shared" si="211"/>
        <v>3356701.9975156952</v>
      </c>
      <c r="U385" s="230">
        <f>MIN(T385,'Tax Assumptions'!$B$19)</f>
        <v>24500</v>
      </c>
      <c r="V385" s="230">
        <f>MAX(T385-U385-'Tax Assumptions'!$B$8,0)</f>
        <v>3316101.9975156952</v>
      </c>
      <c r="W385" s="230">
        <f>MAX(T385-U385-'Tax Assumptions'!$B$9,0)</f>
        <v>3324201.9975156952</v>
      </c>
      <c r="X385" s="230">
        <f>IF(V385=0,0,LOOKUP(V385,'Tax Assumptions'!$F$9:$F$15,'Tax Assumptions'!$I$9:$I$15)+(V385-LOOKUP(V385,'Tax Assumptions'!$F$9:$F$15,'Tax Assumptions'!$F$9:$F$15))*LOOKUP(V385,'Tax Assumptions'!$F$9:$F$15,'Tax Assumptions'!$H$9:$H$15))+MIN(MAX(T385,0),'Tax Assumptions'!$B$11)*'Tax Assumptions'!$B$10+MAX(T385,0)*'Tax Assumptions'!$B$12+MAX(MAX(T385,0)-'Tax Assumptions'!$B$14,0)*'Tax Assumptions'!$B$13+MIN(T385*'Tax Assumptions'!$B$15,'Tax Assumptions'!$B$16)+MIN(T385*'Tax Assumptions'!$B$17,'Tax Assumptions'!$B$18)+IF(W385=0,0,LOOKUP(W385,'Tax Assumptions'!$K$9:$K$17,'Tax Assumptions'!$N$9:$N$17)+(W385-LOOKUP(W385,'Tax Assumptions'!$K$9:$K$17,'Tax Assumptions'!$K$9:$K$17))*LOOKUP(W385,'Tax Assumptions'!$K$9:$K$17,'Tax Assumptions'!$M$9:$M$17))+IF(W385=0,0,LOOKUP(W385,'Tax Assumptions'!$P$9:$P$12,'Tax Assumptions'!$S$9:$S$12)+(W385-LOOKUP(W385,'Tax Assumptions'!$P$9:$P$12,'Tax Assumptions'!$P$9:$P$12))*LOOKUP(W385,'Tax Assumptions'!$P$9:$P$12,'Tax Assumptions'!$R$9:$R$12))</f>
        <v>1688600.3832063989</v>
      </c>
      <c r="Y385" s="230">
        <f t="shared" si="212"/>
        <v>1643601.6143092962</v>
      </c>
      <c r="Z385" s="230">
        <f>IF(J385&lt;=10,INDEX('Savings Projection'!$BL$19:$BL$28,J385),LOOKUP(2,1/('Savings Projection'!$BL$19:$BL$28&lt;&gt;""),'Savings Projection'!$BL$19:$BL$28))*(1+'Model Inputs'!$B$35)^(J385-1)+IF(J385&lt;=10,INDEX('Savings Projection'!$BM$19:$BM$28,J385),LOOKUP(2,1/('Savings Projection'!$BM$19:$BM$28&lt;&gt;""),'Savings Projection'!$BM$19:$BM$28))*(1+'Model Inputs'!$B$36)^(J385-1)</f>
        <v>150705.62965899997</v>
      </c>
      <c r="AA385" s="230">
        <f t="shared" si="213"/>
        <v>1492895.9846502962</v>
      </c>
      <c r="AB385" s="230">
        <f>MIN(MAX(AA385,0),'Tax Assumptions'!$B$20)</f>
        <v>7500</v>
      </c>
      <c r="AC385" s="230">
        <f t="shared" si="214"/>
        <v>1485395.9846502962</v>
      </c>
      <c r="AD385" s="230">
        <f>MAX(AD384*(1+'Model Inputs'!$B$13)+AC385,0)</f>
        <v>3955272.6330504459</v>
      </c>
      <c r="AE385" s="230">
        <f>MAX(AE384*(1+'Model Inputs'!$B$13)+U385+AB385,0)</f>
        <v>223210.1932032</v>
      </c>
      <c r="AF385" s="230">
        <f t="shared" si="215"/>
        <v>4178482.8262536461</v>
      </c>
      <c r="AG385" s="226" t="str">
        <f t="shared" si="224"/>
        <v/>
      </c>
      <c r="AH385" s="226" t="str">
        <f t="shared" si="225"/>
        <v/>
      </c>
      <c r="AI385" s="226" t="str">
        <f t="shared" si="226"/>
        <v/>
      </c>
      <c r="AJ385" s="226" t="str">
        <f t="shared" si="227"/>
        <v/>
      </c>
    </row>
    <row r="386" spans="1:36" ht="18" customHeight="1" x14ac:dyDescent="0.2">
      <c r="A386" s="226" t="str">
        <f t="shared" si="216"/>
        <v>4Y -&gt; PM Y7 Tail</v>
      </c>
      <c r="B386" s="226">
        <f t="shared" si="217"/>
        <v>4</v>
      </c>
      <c r="C386" s="235">
        <f t="shared" si="218"/>
        <v>3</v>
      </c>
      <c r="D386" s="226">
        <f t="shared" si="219"/>
        <v>7</v>
      </c>
      <c r="E386" s="226" t="str">
        <f t="shared" si="220"/>
        <v>Tail</v>
      </c>
      <c r="F386" s="230">
        <f t="shared" si="221"/>
        <v>100000000</v>
      </c>
      <c r="G386" s="236">
        <f t="shared" si="222"/>
        <v>0.15</v>
      </c>
      <c r="H386" s="230">
        <f t="shared" si="223"/>
        <v>300000</v>
      </c>
      <c r="I386" s="236">
        <f t="shared" si="206"/>
        <v>0</v>
      </c>
      <c r="J386" s="234">
        <v>7</v>
      </c>
      <c r="K386" s="234">
        <f t="shared" si="207"/>
        <v>2032</v>
      </c>
      <c r="L386" s="230">
        <f>IF(J386=1,'Model Inputs'!$B$25*(13-'Model Inputs'!$B$23)/12,'Model Inputs'!$B$25)</f>
        <v>300000</v>
      </c>
      <c r="M386" s="230">
        <f>IF(J386=1,'Model Inputs'!$B$27*(13-'Model Inputs'!$B$23)/12,IF(J386=2,'Model Inputs'!$B$27,IF(J386&lt;=MAX(3,'Model Inputs'!$B$30+1),'Model Inputs'!$B$27*(1+'Model Inputs'!$B$28)^(J386-3),'Model Inputs'!$B$27*(1+'Model Inputs'!$B$28)^(MAX(3,'Model Inputs'!$B$30+1)-3)*(1+'Model Inputs'!$B$29)^(J386-MAX(3,'Model Inputs'!$B$30+1)))))</f>
        <v>1534372.9821762268</v>
      </c>
      <c r="N386" s="236">
        <f>IF(J386&lt;=2,0,'Model Inputs'!$B$32*SIN(2*PI()*(J386-3+'Model Inputs'!$B$34)/MAX(1,'Model Inputs'!$B$33)))</f>
        <v>0.10392304845413269</v>
      </c>
      <c r="O386" s="230">
        <f t="shared" si="208"/>
        <v>1693829.6999496389</v>
      </c>
      <c r="P386" s="230">
        <f t="shared" si="228"/>
        <v>1118318.448466131</v>
      </c>
      <c r="Q386" s="230">
        <f>L386+P386+IF(J386=1,'Model Inputs'!$B$26,0)</f>
        <v>1418318.448466131</v>
      </c>
      <c r="R386" s="230">
        <f t="shared" si="209"/>
        <v>4254955.3453983925</v>
      </c>
      <c r="S386" s="230">
        <f t="shared" si="210"/>
        <v>15300000</v>
      </c>
      <c r="T386" s="230">
        <f t="shared" si="211"/>
        <v>15300000</v>
      </c>
      <c r="U386" s="230">
        <f>MIN(T386,'Tax Assumptions'!$B$19)</f>
        <v>24500</v>
      </c>
      <c r="V386" s="230">
        <f>MAX(T386-U386-'Tax Assumptions'!$B$8,0)</f>
        <v>15259400</v>
      </c>
      <c r="W386" s="230">
        <f>MAX(T386-U386-'Tax Assumptions'!$B$9,0)</f>
        <v>15267500</v>
      </c>
      <c r="X386" s="230">
        <f>IF(V386=0,0,LOOKUP(V386,'Tax Assumptions'!$F$9:$F$15,'Tax Assumptions'!$I$9:$I$15)+(V386-LOOKUP(V386,'Tax Assumptions'!$F$9:$F$15,'Tax Assumptions'!$F$9:$F$15))*LOOKUP(V386,'Tax Assumptions'!$F$9:$F$15,'Tax Assumptions'!$H$9:$H$15))+MIN(MAX(T386,0),'Tax Assumptions'!$B$11)*'Tax Assumptions'!$B$10+MAX(T386,0)*'Tax Assumptions'!$B$12+MAX(MAX(T386,0)-'Tax Assumptions'!$B$14,0)*'Tax Assumptions'!$B$13+MIN(T386*'Tax Assumptions'!$B$15,'Tax Assumptions'!$B$16)+MIN(T386*'Tax Assumptions'!$B$17,'Tax Assumptions'!$B$18)+IF(W386=0,0,LOOKUP(W386,'Tax Assumptions'!$K$9:$K$17,'Tax Assumptions'!$N$9:$N$17)+(W386-LOOKUP(W386,'Tax Assumptions'!$K$9:$K$17,'Tax Assumptions'!$K$9:$K$17))*LOOKUP(W386,'Tax Assumptions'!$K$9:$K$17,'Tax Assumptions'!$M$9:$M$17))+IF(W386=0,0,LOOKUP(W386,'Tax Assumptions'!$P$9:$P$12,'Tax Assumptions'!$S$9:$S$12)+(W386-LOOKUP(W386,'Tax Assumptions'!$P$9:$P$12,'Tax Assumptions'!$P$9:$P$12))*LOOKUP(W386,'Tax Assumptions'!$P$9:$P$12,'Tax Assumptions'!$R$9:$R$12))</f>
        <v>8070480.54</v>
      </c>
      <c r="Y386" s="230">
        <f t="shared" si="212"/>
        <v>7205019.46</v>
      </c>
      <c r="Z386" s="230">
        <f>IF(J386&lt;=10,INDEX('Savings Projection'!$BL$19:$BL$28,J386),LOOKUP(2,1/('Savings Projection'!$BL$19:$BL$28&lt;&gt;""),'Savings Projection'!$BL$19:$BL$28))*(1+'Model Inputs'!$B$35)^(J386-1)+IF(J386&lt;=10,INDEX('Savings Projection'!$BM$19:$BM$28,J386),LOOKUP(2,1/('Savings Projection'!$BM$19:$BM$28&lt;&gt;""),'Savings Projection'!$BM$19:$BM$28))*(1+'Model Inputs'!$B$36)^(J386-1)</f>
        <v>155226.79854876999</v>
      </c>
      <c r="AA386" s="230">
        <f t="shared" si="213"/>
        <v>7049792.6614512298</v>
      </c>
      <c r="AB386" s="230">
        <f>MIN(MAX(AA386,0),'Tax Assumptions'!$B$20)</f>
        <v>7500</v>
      </c>
      <c r="AC386" s="230">
        <f t="shared" si="214"/>
        <v>7042292.6614512298</v>
      </c>
      <c r="AD386" s="230">
        <f>MAX(AD385*(1+'Model Inputs'!$B$13)+AC386,0)</f>
        <v>11234881.652484704</v>
      </c>
      <c r="AE386" s="230">
        <f>MAX(AE385*(1+'Model Inputs'!$B$13)+U386+AB386,0)</f>
        <v>268602.80479539197</v>
      </c>
      <c r="AF386" s="230">
        <f t="shared" si="215"/>
        <v>11503484.457280096</v>
      </c>
      <c r="AG386" s="226" t="str">
        <f t="shared" si="224"/>
        <v/>
      </c>
      <c r="AH386" s="226" t="str">
        <f t="shared" si="225"/>
        <v/>
      </c>
      <c r="AI386" s="226" t="str">
        <f t="shared" si="226"/>
        <v/>
      </c>
      <c r="AJ386" s="226" t="str">
        <f t="shared" si="227"/>
        <v/>
      </c>
    </row>
    <row r="387" spans="1:36" ht="18" customHeight="1" x14ac:dyDescent="0.2">
      <c r="A387" s="226" t="str">
        <f t="shared" si="216"/>
        <v>4Y -&gt; PM Y7 Tail</v>
      </c>
      <c r="B387" s="226">
        <f t="shared" si="217"/>
        <v>4</v>
      </c>
      <c r="C387" s="235">
        <f t="shared" si="218"/>
        <v>3</v>
      </c>
      <c r="D387" s="226">
        <f t="shared" si="219"/>
        <v>7</v>
      </c>
      <c r="E387" s="226" t="str">
        <f t="shared" si="220"/>
        <v>Tail</v>
      </c>
      <c r="F387" s="230">
        <f t="shared" si="221"/>
        <v>100000000</v>
      </c>
      <c r="G387" s="236">
        <f t="shared" si="222"/>
        <v>0.15</v>
      </c>
      <c r="H387" s="230">
        <f t="shared" si="223"/>
        <v>300000</v>
      </c>
      <c r="I387" s="236">
        <f t="shared" si="206"/>
        <v>0</v>
      </c>
      <c r="J387" s="234">
        <v>8</v>
      </c>
      <c r="K387" s="234">
        <f t="shared" si="207"/>
        <v>2033</v>
      </c>
      <c r="L387" s="230">
        <f>IF(J387=1,'Model Inputs'!$B$25*(13-'Model Inputs'!$B$23)/12,'Model Inputs'!$B$25)</f>
        <v>300000</v>
      </c>
      <c r="M387" s="230">
        <f>IF(J387=1,'Model Inputs'!$B$27*(13-'Model Inputs'!$B$23)/12,IF(J387=2,'Model Inputs'!$B$27,IF(J387&lt;=MAX(3,'Model Inputs'!$B$30+1),'Model Inputs'!$B$27*(1+'Model Inputs'!$B$28)^(J387-3),'Model Inputs'!$B$27*(1+'Model Inputs'!$B$28)^(MAX(3,'Model Inputs'!$B$30+1)-3)*(1+'Model Inputs'!$B$29)^(J387-MAX(3,'Model Inputs'!$B$30+1)))))</f>
        <v>1950000.0000000002</v>
      </c>
      <c r="N387" s="236">
        <f>IF(J387&lt;=2,0,'Model Inputs'!$B$32*SIN(2*PI()*(J387-3+'Model Inputs'!$B$34)/MAX(1,'Model Inputs'!$B$33)))</f>
        <v>-0.10392304845413264</v>
      </c>
      <c r="O387" s="230">
        <f t="shared" si="208"/>
        <v>1747350.0555144416</v>
      </c>
      <c r="P387" s="230">
        <f t="shared" si="228"/>
        <v>1572205.6657868917</v>
      </c>
      <c r="Q387" s="230">
        <f>L387+P387+IF(J387=1,'Model Inputs'!$B$26,0)</f>
        <v>1872205.6657868917</v>
      </c>
      <c r="R387" s="230">
        <f t="shared" si="209"/>
        <v>5616616.9973606747</v>
      </c>
      <c r="S387" s="230">
        <f t="shared" si="210"/>
        <v>15300000</v>
      </c>
      <c r="T387" s="230">
        <f t="shared" si="211"/>
        <v>15300000</v>
      </c>
      <c r="U387" s="230">
        <f>MIN(T387,'Tax Assumptions'!$B$19)</f>
        <v>24500</v>
      </c>
      <c r="V387" s="230">
        <f>MAX(T387-U387-'Tax Assumptions'!$B$8,0)</f>
        <v>15259400</v>
      </c>
      <c r="W387" s="230">
        <f>MAX(T387-U387-'Tax Assumptions'!$B$9,0)</f>
        <v>15267500</v>
      </c>
      <c r="X387" s="230">
        <f>IF(V387=0,0,LOOKUP(V387,'Tax Assumptions'!$F$9:$F$15,'Tax Assumptions'!$I$9:$I$15)+(V387-LOOKUP(V387,'Tax Assumptions'!$F$9:$F$15,'Tax Assumptions'!$F$9:$F$15))*LOOKUP(V387,'Tax Assumptions'!$F$9:$F$15,'Tax Assumptions'!$H$9:$H$15))+MIN(MAX(T387,0),'Tax Assumptions'!$B$11)*'Tax Assumptions'!$B$10+MAX(T387,0)*'Tax Assumptions'!$B$12+MAX(MAX(T387,0)-'Tax Assumptions'!$B$14,0)*'Tax Assumptions'!$B$13+MIN(T387*'Tax Assumptions'!$B$15,'Tax Assumptions'!$B$16)+MIN(T387*'Tax Assumptions'!$B$17,'Tax Assumptions'!$B$18)+IF(W387=0,0,LOOKUP(W387,'Tax Assumptions'!$K$9:$K$17,'Tax Assumptions'!$N$9:$N$17)+(W387-LOOKUP(W387,'Tax Assumptions'!$K$9:$K$17,'Tax Assumptions'!$K$9:$K$17))*LOOKUP(W387,'Tax Assumptions'!$K$9:$K$17,'Tax Assumptions'!$M$9:$M$17))+IF(W387=0,0,LOOKUP(W387,'Tax Assumptions'!$P$9:$P$12,'Tax Assumptions'!$S$9:$S$12)+(W387-LOOKUP(W387,'Tax Assumptions'!$P$9:$P$12,'Tax Assumptions'!$P$9:$P$12))*LOOKUP(W387,'Tax Assumptions'!$P$9:$P$12,'Tax Assumptions'!$R$9:$R$12))</f>
        <v>8070480.54</v>
      </c>
      <c r="Y387" s="230">
        <f t="shared" si="212"/>
        <v>7205019.46</v>
      </c>
      <c r="Z387" s="230">
        <f>IF(J387&lt;=10,INDEX('Savings Projection'!$BL$19:$BL$28,J387),LOOKUP(2,1/('Savings Projection'!$BL$19:$BL$28&lt;&gt;""),'Savings Projection'!$BL$19:$BL$28))*(1+'Model Inputs'!$B$35)^(J387-1)+IF(J387&lt;=10,INDEX('Savings Projection'!$BM$19:$BM$28,J387),LOOKUP(2,1/('Savings Projection'!$BM$19:$BM$28&lt;&gt;""),'Savings Projection'!$BM$19:$BM$28))*(1+'Model Inputs'!$B$36)^(J387-1)</f>
        <v>159883.60250523311</v>
      </c>
      <c r="AA387" s="230">
        <f t="shared" si="213"/>
        <v>7045135.8574947668</v>
      </c>
      <c r="AB387" s="230">
        <f>MIN(MAX(AA387,0),'Tax Assumptions'!$B$20)</f>
        <v>7500</v>
      </c>
      <c r="AC387" s="230">
        <f t="shared" si="214"/>
        <v>7037635.8574947668</v>
      </c>
      <c r="AD387" s="230">
        <f>MAX(AD386*(1+'Model Inputs'!$B$13)+AC387,0)</f>
        <v>18946610.409128554</v>
      </c>
      <c r="AE387" s="230">
        <f>MAX(AE386*(1+'Model Inputs'!$B$13)+U387+AB387,0)</f>
        <v>316718.97308311553</v>
      </c>
      <c r="AF387" s="230">
        <f t="shared" si="215"/>
        <v>19263329.38221167</v>
      </c>
      <c r="AG387" s="226">
        <f t="shared" si="224"/>
        <v>8</v>
      </c>
      <c r="AH387" s="226">
        <f t="shared" si="225"/>
        <v>8</v>
      </c>
      <c r="AI387" s="226">
        <f t="shared" si="226"/>
        <v>8</v>
      </c>
      <c r="AJ387" s="226" t="str">
        <f t="shared" si="227"/>
        <v/>
      </c>
    </row>
    <row r="388" spans="1:36" ht="18" customHeight="1" x14ac:dyDescent="0.2">
      <c r="A388" s="226" t="str">
        <f t="shared" si="216"/>
        <v>4Y -&gt; PM Y7 Tail</v>
      </c>
      <c r="B388" s="226">
        <f t="shared" si="217"/>
        <v>4</v>
      </c>
      <c r="C388" s="235">
        <f t="shared" si="218"/>
        <v>3</v>
      </c>
      <c r="D388" s="226">
        <f t="shared" si="219"/>
        <v>7</v>
      </c>
      <c r="E388" s="226" t="str">
        <f t="shared" si="220"/>
        <v>Tail</v>
      </c>
      <c r="F388" s="230">
        <f t="shared" si="221"/>
        <v>100000000</v>
      </c>
      <c r="G388" s="236">
        <f t="shared" si="222"/>
        <v>0.15</v>
      </c>
      <c r="H388" s="230">
        <f t="shared" si="223"/>
        <v>300000</v>
      </c>
      <c r="I388" s="236">
        <f t="shared" si="206"/>
        <v>0</v>
      </c>
      <c r="J388" s="234">
        <v>9</v>
      </c>
      <c r="K388" s="234">
        <f t="shared" si="207"/>
        <v>2034</v>
      </c>
      <c r="L388" s="230">
        <f>IF(J388=1,'Model Inputs'!$B$25*(13-'Model Inputs'!$B$23)/12,'Model Inputs'!$B$25)</f>
        <v>300000</v>
      </c>
      <c r="M388" s="230">
        <f>IF(J388=1,'Model Inputs'!$B$27*(13-'Model Inputs'!$B$23)/12,IF(J388=2,'Model Inputs'!$B$27,IF(J388&lt;=MAX(3,'Model Inputs'!$B$30+1),'Model Inputs'!$B$27*(1+'Model Inputs'!$B$28)^(J388-3),'Model Inputs'!$B$27*(1+'Model Inputs'!$B$28)^(MAX(3,'Model Inputs'!$B$30+1)-3)*(1+'Model Inputs'!$B$29)^(J388-MAX(3,'Model Inputs'!$B$30+1)))))</f>
        <v>2478210.9983498608</v>
      </c>
      <c r="N388" s="236">
        <f>IF(J388&lt;=2,0,'Model Inputs'!$B$32*SIN(2*PI()*(J388-3+'Model Inputs'!$B$34)/MAX(1,'Model Inputs'!$B$33)))</f>
        <v>-5.8783046359072947E-17</v>
      </c>
      <c r="O388" s="230">
        <f t="shared" si="208"/>
        <v>2478210.9983498603</v>
      </c>
      <c r="P388" s="230">
        <f t="shared" si="228"/>
        <v>1733969.9666232408</v>
      </c>
      <c r="Q388" s="230">
        <f>L388+P388+IF(J388=1,'Model Inputs'!$B$26,0)</f>
        <v>2033969.9666232408</v>
      </c>
      <c r="R388" s="230">
        <f t="shared" si="209"/>
        <v>6101909.8998697223</v>
      </c>
      <c r="S388" s="230">
        <f t="shared" si="210"/>
        <v>15300000</v>
      </c>
      <c r="T388" s="230">
        <f t="shared" si="211"/>
        <v>15300000</v>
      </c>
      <c r="U388" s="230">
        <f>MIN(T388,'Tax Assumptions'!$B$19)</f>
        <v>24500</v>
      </c>
      <c r="V388" s="230">
        <f>MAX(T388-U388-'Tax Assumptions'!$B$8,0)</f>
        <v>15259400</v>
      </c>
      <c r="W388" s="230">
        <f>MAX(T388-U388-'Tax Assumptions'!$B$9,0)</f>
        <v>15267500</v>
      </c>
      <c r="X388" s="230">
        <f>IF(V388=0,0,LOOKUP(V388,'Tax Assumptions'!$F$9:$F$15,'Tax Assumptions'!$I$9:$I$15)+(V388-LOOKUP(V388,'Tax Assumptions'!$F$9:$F$15,'Tax Assumptions'!$F$9:$F$15))*LOOKUP(V388,'Tax Assumptions'!$F$9:$F$15,'Tax Assumptions'!$H$9:$H$15))+MIN(MAX(T388,0),'Tax Assumptions'!$B$11)*'Tax Assumptions'!$B$10+MAX(T388,0)*'Tax Assumptions'!$B$12+MAX(MAX(T388,0)-'Tax Assumptions'!$B$14,0)*'Tax Assumptions'!$B$13+MIN(T388*'Tax Assumptions'!$B$15,'Tax Assumptions'!$B$16)+MIN(T388*'Tax Assumptions'!$B$17,'Tax Assumptions'!$B$18)+IF(W388=0,0,LOOKUP(W388,'Tax Assumptions'!$K$9:$K$17,'Tax Assumptions'!$N$9:$N$17)+(W388-LOOKUP(W388,'Tax Assumptions'!$K$9:$K$17,'Tax Assumptions'!$K$9:$K$17))*LOOKUP(W388,'Tax Assumptions'!$K$9:$K$17,'Tax Assumptions'!$M$9:$M$17))+IF(W388=0,0,LOOKUP(W388,'Tax Assumptions'!$P$9:$P$12,'Tax Assumptions'!$S$9:$S$12)+(W388-LOOKUP(W388,'Tax Assumptions'!$P$9:$P$12,'Tax Assumptions'!$P$9:$P$12))*LOOKUP(W388,'Tax Assumptions'!$P$9:$P$12,'Tax Assumptions'!$R$9:$R$12))</f>
        <v>8070480.54</v>
      </c>
      <c r="Y388" s="230">
        <f t="shared" si="212"/>
        <v>7205019.46</v>
      </c>
      <c r="Z388" s="230">
        <f>IF(J388&lt;=10,INDEX('Savings Projection'!$BL$19:$BL$28,J388),LOOKUP(2,1/('Savings Projection'!$BL$19:$BL$28&lt;&gt;""),'Savings Projection'!$BL$19:$BL$28))*(1+'Model Inputs'!$B$35)^(J388-1)+IF(J388&lt;=10,INDEX('Savings Projection'!$BM$19:$BM$28,J388),LOOKUP(2,1/('Savings Projection'!$BM$19:$BM$28&lt;&gt;""),'Savings Projection'!$BM$19:$BM$28))*(1+'Model Inputs'!$B$36)^(J388-1)</f>
        <v>164680.11058039009</v>
      </c>
      <c r="AA388" s="230">
        <f t="shared" si="213"/>
        <v>7040339.3494196096</v>
      </c>
      <c r="AB388" s="230">
        <f>MIN(MAX(AA388,0),'Tax Assumptions'!$B$20)</f>
        <v>7500</v>
      </c>
      <c r="AC388" s="230">
        <f t="shared" si="214"/>
        <v>7032839.3494196096</v>
      </c>
      <c r="AD388" s="230">
        <f>MAX(AD387*(1+'Model Inputs'!$B$13)+AC388,0)</f>
        <v>27116246.383095875</v>
      </c>
      <c r="AE388" s="230">
        <f>MAX(AE387*(1+'Model Inputs'!$B$13)+U388+AB388,0)</f>
        <v>367722.11146810249</v>
      </c>
      <c r="AF388" s="230">
        <f t="shared" si="215"/>
        <v>27483968.494563978</v>
      </c>
      <c r="AG388" s="226" t="str">
        <f t="shared" si="224"/>
        <v/>
      </c>
      <c r="AH388" s="226" t="str">
        <f t="shared" si="225"/>
        <v/>
      </c>
      <c r="AI388" s="226" t="str">
        <f t="shared" si="226"/>
        <v/>
      </c>
      <c r="AJ388" s="226">
        <f t="shared" si="227"/>
        <v>9</v>
      </c>
    </row>
    <row r="389" spans="1:36" ht="18" customHeight="1" x14ac:dyDescent="0.2">
      <c r="A389" s="226" t="str">
        <f t="shared" si="216"/>
        <v>4Y -&gt; PM Y7 Tail</v>
      </c>
      <c r="B389" s="226">
        <f t="shared" si="217"/>
        <v>4</v>
      </c>
      <c r="C389" s="235">
        <f t="shared" si="218"/>
        <v>3</v>
      </c>
      <c r="D389" s="226">
        <f t="shared" si="219"/>
        <v>7</v>
      </c>
      <c r="E389" s="226" t="str">
        <f t="shared" si="220"/>
        <v>Tail</v>
      </c>
      <c r="F389" s="230">
        <f t="shared" si="221"/>
        <v>100000000</v>
      </c>
      <c r="G389" s="236">
        <f t="shared" si="222"/>
        <v>0.15</v>
      </c>
      <c r="H389" s="230">
        <f t="shared" si="223"/>
        <v>300000</v>
      </c>
      <c r="I389" s="236">
        <f t="shared" si="206"/>
        <v>0</v>
      </c>
      <c r="J389" s="234">
        <v>10</v>
      </c>
      <c r="K389" s="234">
        <f t="shared" si="207"/>
        <v>2035</v>
      </c>
      <c r="L389" s="230">
        <f>IF(J389=1,'Model Inputs'!$B$25*(13-'Model Inputs'!$B$23)/12,'Model Inputs'!$B$25)</f>
        <v>300000</v>
      </c>
      <c r="M389" s="230">
        <f>IF(J389=1,'Model Inputs'!$B$27*(13-'Model Inputs'!$B$23)/12,IF(J389=2,'Model Inputs'!$B$27,IF(J389&lt;=MAX(3,'Model Inputs'!$B$30+1),'Model Inputs'!$B$27*(1+'Model Inputs'!$B$28)^(J389-3),'Model Inputs'!$B$27*(1+'Model Inputs'!$B$28)^(MAX(3,'Model Inputs'!$B$30+1)-3)*(1+'Model Inputs'!$B$29)^(J389-MAX(3,'Model Inputs'!$B$30+1)))))</f>
        <v>3149502.4370985711</v>
      </c>
      <c r="N389" s="236">
        <f>IF(J389&lt;=2,0,'Model Inputs'!$B$32*SIN(2*PI()*(J389-3+'Model Inputs'!$B$34)/MAX(1,'Model Inputs'!$B$33)))</f>
        <v>0.10392304845413271</v>
      </c>
      <c r="O389" s="230">
        <f t="shared" si="208"/>
        <v>3476808.331475575</v>
      </c>
      <c r="P389" s="230">
        <f t="shared" si="228"/>
        <v>2295495.7626410057</v>
      </c>
      <c r="Q389" s="230">
        <f>L389+P389+IF(J389=1,'Model Inputs'!$B$26,0)</f>
        <v>2595495.7626410057</v>
      </c>
      <c r="R389" s="230">
        <f t="shared" si="209"/>
        <v>7786487.2879230175</v>
      </c>
      <c r="S389" s="230">
        <f t="shared" si="210"/>
        <v>15300000</v>
      </c>
      <c r="T389" s="230">
        <f t="shared" si="211"/>
        <v>15300000</v>
      </c>
      <c r="U389" s="230">
        <f>MIN(T389,'Tax Assumptions'!$B$19)</f>
        <v>24500</v>
      </c>
      <c r="V389" s="230">
        <f>MAX(T389-U389-'Tax Assumptions'!$B$8,0)</f>
        <v>15259400</v>
      </c>
      <c r="W389" s="230">
        <f>MAX(T389-U389-'Tax Assumptions'!$B$9,0)</f>
        <v>15267500</v>
      </c>
      <c r="X389" s="230">
        <f>IF(V389=0,0,LOOKUP(V389,'Tax Assumptions'!$F$9:$F$15,'Tax Assumptions'!$I$9:$I$15)+(V389-LOOKUP(V389,'Tax Assumptions'!$F$9:$F$15,'Tax Assumptions'!$F$9:$F$15))*LOOKUP(V389,'Tax Assumptions'!$F$9:$F$15,'Tax Assumptions'!$H$9:$H$15))+MIN(MAX(T389,0),'Tax Assumptions'!$B$11)*'Tax Assumptions'!$B$10+MAX(T389,0)*'Tax Assumptions'!$B$12+MAX(MAX(T389,0)-'Tax Assumptions'!$B$14,0)*'Tax Assumptions'!$B$13+MIN(T389*'Tax Assumptions'!$B$15,'Tax Assumptions'!$B$16)+MIN(T389*'Tax Assumptions'!$B$17,'Tax Assumptions'!$B$18)+IF(W389=0,0,LOOKUP(W389,'Tax Assumptions'!$K$9:$K$17,'Tax Assumptions'!$N$9:$N$17)+(W389-LOOKUP(W389,'Tax Assumptions'!$K$9:$K$17,'Tax Assumptions'!$K$9:$K$17))*LOOKUP(W389,'Tax Assumptions'!$K$9:$K$17,'Tax Assumptions'!$M$9:$M$17))+IF(W389=0,0,LOOKUP(W389,'Tax Assumptions'!$P$9:$P$12,'Tax Assumptions'!$S$9:$S$12)+(W389-LOOKUP(W389,'Tax Assumptions'!$P$9:$P$12,'Tax Assumptions'!$P$9:$P$12))*LOOKUP(W389,'Tax Assumptions'!$P$9:$P$12,'Tax Assumptions'!$R$9:$R$12))</f>
        <v>8070480.54</v>
      </c>
      <c r="Y389" s="230">
        <f t="shared" si="212"/>
        <v>7205019.46</v>
      </c>
      <c r="Z389" s="230">
        <f>IF(J389&lt;=10,INDEX('Savings Projection'!$BL$19:$BL$28,J389),LOOKUP(2,1/('Savings Projection'!$BL$19:$BL$28&lt;&gt;""),'Savings Projection'!$BL$19:$BL$28))*(1+'Model Inputs'!$B$35)^(J389-1)+IF(J389&lt;=10,INDEX('Savings Projection'!$BM$19:$BM$28,J389),LOOKUP(2,1/('Savings Projection'!$BM$19:$BM$28&lt;&gt;""),'Savings Projection'!$BM$19:$BM$28))*(1+'Model Inputs'!$B$36)^(J389-1)</f>
        <v>169620.51389780178</v>
      </c>
      <c r="AA389" s="230">
        <f t="shared" si="213"/>
        <v>7035398.9461021982</v>
      </c>
      <c r="AB389" s="230">
        <f>MIN(MAX(AA389,0),'Tax Assumptions'!$B$20)</f>
        <v>7500</v>
      </c>
      <c r="AC389" s="230">
        <f t="shared" si="214"/>
        <v>7027898.9461021982</v>
      </c>
      <c r="AD389" s="230">
        <f>MAX(AD388*(1+'Model Inputs'!$B$13)+AC389,0)</f>
        <v>35771120.112183824</v>
      </c>
      <c r="AE389" s="230">
        <f>MAX(AE388*(1+'Model Inputs'!$B$13)+U389+AB389,0)</f>
        <v>421785.43815618864</v>
      </c>
      <c r="AF389" s="230">
        <f t="shared" si="215"/>
        <v>36192905.550340012</v>
      </c>
      <c r="AG389" s="226" t="str">
        <f t="shared" si="224"/>
        <v/>
      </c>
      <c r="AH389" s="226" t="str">
        <f t="shared" si="225"/>
        <v/>
      </c>
      <c r="AI389" s="226" t="str">
        <f t="shared" si="226"/>
        <v/>
      </c>
      <c r="AJ389" s="226" t="str">
        <f t="shared" si="227"/>
        <v/>
      </c>
    </row>
    <row r="390" spans="1:36" ht="18" customHeight="1" x14ac:dyDescent="0.2">
      <c r="A390" s="226" t="str">
        <f t="shared" si="216"/>
        <v>4Y -&gt; PM Y7 Tail</v>
      </c>
      <c r="B390" s="226">
        <f t="shared" si="217"/>
        <v>4</v>
      </c>
      <c r="C390" s="235">
        <f t="shared" si="218"/>
        <v>3</v>
      </c>
      <c r="D390" s="226">
        <f t="shared" si="219"/>
        <v>7</v>
      </c>
      <c r="E390" s="226" t="str">
        <f t="shared" si="220"/>
        <v>Tail</v>
      </c>
      <c r="F390" s="230">
        <f t="shared" si="221"/>
        <v>100000000</v>
      </c>
      <c r="G390" s="236">
        <f t="shared" si="222"/>
        <v>0.15</v>
      </c>
      <c r="H390" s="230">
        <f t="shared" si="223"/>
        <v>300000</v>
      </c>
      <c r="I390" s="236">
        <f t="shared" si="206"/>
        <v>0</v>
      </c>
      <c r="J390" s="234">
        <v>11</v>
      </c>
      <c r="K390" s="234">
        <f t="shared" si="207"/>
        <v>2036</v>
      </c>
      <c r="L390" s="230">
        <f>IF(J390=1,'Model Inputs'!$B$25*(13-'Model Inputs'!$B$23)/12,'Model Inputs'!$B$25)</f>
        <v>300000</v>
      </c>
      <c r="M390" s="230">
        <f>IF(J390=1,'Model Inputs'!$B$27*(13-'Model Inputs'!$B$23)/12,IF(J390=2,'Model Inputs'!$B$27,IF(J390&lt;=MAX(3,'Model Inputs'!$B$30+1),'Model Inputs'!$B$27*(1+'Model Inputs'!$B$28)^(J390-3),'Model Inputs'!$B$27*(1+'Model Inputs'!$B$28)^(MAX(3,'Model Inputs'!$B$30+1)-3)*(1+'Model Inputs'!$B$29)^(J390-MAX(3,'Model Inputs'!$B$30+1)))))</f>
        <v>4002631.578947369</v>
      </c>
      <c r="N390" s="236">
        <f>IF(J390&lt;=2,0,'Model Inputs'!$B$32*SIN(2*PI()*(J390-3+'Model Inputs'!$B$34)/MAX(1,'Model Inputs'!$B$33)))</f>
        <v>-0.10392304845413253</v>
      </c>
      <c r="O390" s="230">
        <f t="shared" si="208"/>
        <v>3586665.9034243808</v>
      </c>
      <c r="P390" s="230">
        <f t="shared" si="228"/>
        <v>3227158.9981941464</v>
      </c>
      <c r="Q390" s="230">
        <f>L390+P390+IF(J390=1,'Model Inputs'!$B$26,0)</f>
        <v>3527158.9981941464</v>
      </c>
      <c r="R390" s="230">
        <f t="shared" si="209"/>
        <v>10581476.994582439</v>
      </c>
      <c r="S390" s="230">
        <f t="shared" si="210"/>
        <v>15300000</v>
      </c>
      <c r="T390" s="230">
        <f t="shared" si="211"/>
        <v>15300000</v>
      </c>
      <c r="U390" s="230">
        <f>MIN(T390,'Tax Assumptions'!$B$19)</f>
        <v>24500</v>
      </c>
      <c r="V390" s="230">
        <f>MAX(T390-U390-'Tax Assumptions'!$B$8,0)</f>
        <v>15259400</v>
      </c>
      <c r="W390" s="230">
        <f>MAX(T390-U390-'Tax Assumptions'!$B$9,0)</f>
        <v>15267500</v>
      </c>
      <c r="X390" s="230">
        <f>IF(V390=0,0,LOOKUP(V390,'Tax Assumptions'!$F$9:$F$15,'Tax Assumptions'!$I$9:$I$15)+(V390-LOOKUP(V390,'Tax Assumptions'!$F$9:$F$15,'Tax Assumptions'!$F$9:$F$15))*LOOKUP(V390,'Tax Assumptions'!$F$9:$F$15,'Tax Assumptions'!$H$9:$H$15))+MIN(MAX(T390,0),'Tax Assumptions'!$B$11)*'Tax Assumptions'!$B$10+MAX(T390,0)*'Tax Assumptions'!$B$12+MAX(MAX(T390,0)-'Tax Assumptions'!$B$14,0)*'Tax Assumptions'!$B$13+MIN(T390*'Tax Assumptions'!$B$15,'Tax Assumptions'!$B$16)+MIN(T390*'Tax Assumptions'!$B$17,'Tax Assumptions'!$B$18)+IF(W390=0,0,LOOKUP(W390,'Tax Assumptions'!$K$9:$K$17,'Tax Assumptions'!$N$9:$N$17)+(W390-LOOKUP(W390,'Tax Assumptions'!$K$9:$K$17,'Tax Assumptions'!$K$9:$K$17))*LOOKUP(W390,'Tax Assumptions'!$K$9:$K$17,'Tax Assumptions'!$M$9:$M$17))+IF(W390=0,0,LOOKUP(W390,'Tax Assumptions'!$P$9:$P$12,'Tax Assumptions'!$S$9:$S$12)+(W390-LOOKUP(W390,'Tax Assumptions'!$P$9:$P$12,'Tax Assumptions'!$P$9:$P$12))*LOOKUP(W390,'Tax Assumptions'!$P$9:$P$12,'Tax Assumptions'!$R$9:$R$12))</f>
        <v>8070480.54</v>
      </c>
      <c r="Y390" s="230">
        <f t="shared" si="212"/>
        <v>7205019.46</v>
      </c>
      <c r="Z390" s="230">
        <f>IF(J390&lt;=10,INDEX('Savings Projection'!$BL$19:$BL$28,J390),LOOKUP(2,1/('Savings Projection'!$BL$19:$BL$28&lt;&gt;""),'Savings Projection'!$BL$19:$BL$28))*(1+'Model Inputs'!$B$35)^(J390-1)+IF(J390&lt;=10,INDEX('Savings Projection'!$BM$19:$BM$28,J390),LOOKUP(2,1/('Savings Projection'!$BM$19:$BM$28&lt;&gt;""),'Savings Projection'!$BM$19:$BM$28))*(1+'Model Inputs'!$B$36)^(J390-1)</f>
        <v>174709.12931473582</v>
      </c>
      <c r="AA390" s="230">
        <f t="shared" si="213"/>
        <v>7030310.3306852644</v>
      </c>
      <c r="AB390" s="230">
        <f>MIN(MAX(AA390,0),'Tax Assumptions'!$B$20)</f>
        <v>7500</v>
      </c>
      <c r="AC390" s="230">
        <f t="shared" si="214"/>
        <v>7022810.3306852644</v>
      </c>
      <c r="AD390" s="230">
        <f>MAX(AD389*(1+'Model Inputs'!$B$13)+AC390,0)</f>
        <v>44940197.649600118</v>
      </c>
      <c r="AE390" s="230">
        <f>MAX(AE389*(1+'Model Inputs'!$B$13)+U390+AB390,0)</f>
        <v>479092.56444555998</v>
      </c>
      <c r="AF390" s="230">
        <f t="shared" si="215"/>
        <v>45419290.214045681</v>
      </c>
      <c r="AG390" s="226" t="str">
        <f t="shared" si="224"/>
        <v/>
      </c>
      <c r="AH390" s="226" t="str">
        <f t="shared" si="225"/>
        <v/>
      </c>
      <c r="AI390" s="226" t="str">
        <f t="shared" si="226"/>
        <v/>
      </c>
      <c r="AJ390" s="226" t="str">
        <f t="shared" si="227"/>
        <v/>
      </c>
    </row>
    <row r="391" spans="1:36" ht="18" customHeight="1" x14ac:dyDescent="0.2">
      <c r="A391" s="226" t="str">
        <f t="shared" si="216"/>
        <v>4Y -&gt; PM Y7 Tail</v>
      </c>
      <c r="B391" s="226">
        <f t="shared" si="217"/>
        <v>4</v>
      </c>
      <c r="C391" s="235">
        <f t="shared" si="218"/>
        <v>3</v>
      </c>
      <c r="D391" s="226">
        <f t="shared" si="219"/>
        <v>7</v>
      </c>
      <c r="E391" s="226" t="str">
        <f t="shared" si="220"/>
        <v>Tail</v>
      </c>
      <c r="F391" s="230">
        <f t="shared" si="221"/>
        <v>100000000</v>
      </c>
      <c r="G391" s="236">
        <f t="shared" si="222"/>
        <v>0.15</v>
      </c>
      <c r="H391" s="230">
        <f t="shared" si="223"/>
        <v>300000</v>
      </c>
      <c r="I391" s="236">
        <f t="shared" si="206"/>
        <v>0</v>
      </c>
      <c r="J391" s="234">
        <v>12</v>
      </c>
      <c r="K391" s="234">
        <f t="shared" si="207"/>
        <v>2037</v>
      </c>
      <c r="L391" s="230">
        <f>IF(J391=1,'Model Inputs'!$B$25*(13-'Model Inputs'!$B$23)/12,'Model Inputs'!$B$25)</f>
        <v>300000</v>
      </c>
      <c r="M391" s="230">
        <f>IF(J391=1,'Model Inputs'!$B$27*(13-'Model Inputs'!$B$23)/12,IF(J391=2,'Model Inputs'!$B$27,IF(J391&lt;=MAX(3,'Model Inputs'!$B$30+1),'Model Inputs'!$B$27*(1+'Model Inputs'!$B$28)^(J391-3),'Model Inputs'!$B$27*(1+'Model Inputs'!$B$28)^(MAX(3,'Model Inputs'!$B$30+1)-3)*(1+'Model Inputs'!$B$29)^(J391-MAX(3,'Model Inputs'!$B$30+1)))))</f>
        <v>5086854.15450761</v>
      </c>
      <c r="N391" s="236">
        <f>IF(J391&lt;=2,0,'Model Inputs'!$B$32*SIN(2*PI()*(J391-3+'Model Inputs'!$B$34)/MAX(1,'Model Inputs'!$B$33)))</f>
        <v>-8.8174569538609421E-17</v>
      </c>
      <c r="O391" s="230">
        <f t="shared" si="208"/>
        <v>5086854.1545076091</v>
      </c>
      <c r="P391" s="230">
        <f t="shared" si="228"/>
        <v>3559201.5104371794</v>
      </c>
      <c r="Q391" s="230">
        <f>L391+P391+IF(J391=1,'Model Inputs'!$B$26,0)</f>
        <v>3859201.5104371794</v>
      </c>
      <c r="R391" s="230">
        <f t="shared" si="209"/>
        <v>11577604.531311538</v>
      </c>
      <c r="S391" s="230">
        <f t="shared" si="210"/>
        <v>15300000</v>
      </c>
      <c r="T391" s="230">
        <f t="shared" si="211"/>
        <v>15300000</v>
      </c>
      <c r="U391" s="230">
        <f>MIN(T391,'Tax Assumptions'!$B$19)</f>
        <v>24500</v>
      </c>
      <c r="V391" s="230">
        <f>MAX(T391-U391-'Tax Assumptions'!$B$8,0)</f>
        <v>15259400</v>
      </c>
      <c r="W391" s="230">
        <f>MAX(T391-U391-'Tax Assumptions'!$B$9,0)</f>
        <v>15267500</v>
      </c>
      <c r="X391" s="230">
        <f>IF(V391=0,0,LOOKUP(V391,'Tax Assumptions'!$F$9:$F$15,'Tax Assumptions'!$I$9:$I$15)+(V391-LOOKUP(V391,'Tax Assumptions'!$F$9:$F$15,'Tax Assumptions'!$F$9:$F$15))*LOOKUP(V391,'Tax Assumptions'!$F$9:$F$15,'Tax Assumptions'!$H$9:$H$15))+MIN(MAX(T391,0),'Tax Assumptions'!$B$11)*'Tax Assumptions'!$B$10+MAX(T391,0)*'Tax Assumptions'!$B$12+MAX(MAX(T391,0)-'Tax Assumptions'!$B$14,0)*'Tax Assumptions'!$B$13+MIN(T391*'Tax Assumptions'!$B$15,'Tax Assumptions'!$B$16)+MIN(T391*'Tax Assumptions'!$B$17,'Tax Assumptions'!$B$18)+IF(W391=0,0,LOOKUP(W391,'Tax Assumptions'!$K$9:$K$17,'Tax Assumptions'!$N$9:$N$17)+(W391-LOOKUP(W391,'Tax Assumptions'!$K$9:$K$17,'Tax Assumptions'!$K$9:$K$17))*LOOKUP(W391,'Tax Assumptions'!$K$9:$K$17,'Tax Assumptions'!$M$9:$M$17))+IF(W391=0,0,LOOKUP(W391,'Tax Assumptions'!$P$9:$P$12,'Tax Assumptions'!$S$9:$S$12)+(W391-LOOKUP(W391,'Tax Assumptions'!$P$9:$P$12,'Tax Assumptions'!$P$9:$P$12))*LOOKUP(W391,'Tax Assumptions'!$P$9:$P$12,'Tax Assumptions'!$R$9:$R$12))</f>
        <v>8070480.54</v>
      </c>
      <c r="Y391" s="230">
        <f t="shared" si="212"/>
        <v>7205019.46</v>
      </c>
      <c r="Z391" s="230">
        <f>IF(J391&lt;=10,INDEX('Savings Projection'!$BL$19:$BL$28,J391),LOOKUP(2,1/('Savings Projection'!$BL$19:$BL$28&lt;&gt;""),'Savings Projection'!$BL$19:$BL$28))*(1+'Model Inputs'!$B$35)^(J391-1)+IF(J391&lt;=10,INDEX('Savings Projection'!$BM$19:$BM$28,J391),LOOKUP(2,1/('Savings Projection'!$BM$19:$BM$28&lt;&gt;""),'Savings Projection'!$BM$19:$BM$28))*(1+'Model Inputs'!$B$36)^(J391-1)</f>
        <v>179950.4031941779</v>
      </c>
      <c r="AA391" s="230">
        <f t="shared" si="213"/>
        <v>7025069.0568058221</v>
      </c>
      <c r="AB391" s="230">
        <f>MIN(MAX(AA391,0),'Tax Assumptions'!$B$20)</f>
        <v>7500</v>
      </c>
      <c r="AC391" s="230">
        <f t="shared" si="214"/>
        <v>7017569.0568058221</v>
      </c>
      <c r="AD391" s="230">
        <f>MAX(AD390*(1+'Model Inputs'!$B$13)+AC391,0)</f>
        <v>54654178.565381944</v>
      </c>
      <c r="AE391" s="230">
        <f>MAX(AE390*(1+'Model Inputs'!$B$13)+U391+AB391,0)</f>
        <v>539838.11831229366</v>
      </c>
      <c r="AF391" s="230">
        <f t="shared" si="215"/>
        <v>55194016.683694236</v>
      </c>
      <c r="AG391" s="226" t="str">
        <f t="shared" si="224"/>
        <v/>
      </c>
      <c r="AH391" s="226" t="str">
        <f t="shared" si="225"/>
        <v/>
      </c>
      <c r="AI391" s="226" t="str">
        <f t="shared" si="226"/>
        <v/>
      </c>
      <c r="AJ391" s="226" t="str">
        <f t="shared" si="227"/>
        <v/>
      </c>
    </row>
    <row r="392" spans="1:36" ht="18" customHeight="1" x14ac:dyDescent="0.2">
      <c r="A392" s="226" t="str">
        <f t="shared" si="216"/>
        <v>4Y -&gt; PM Y7 Tail</v>
      </c>
      <c r="B392" s="226">
        <f t="shared" si="217"/>
        <v>4</v>
      </c>
      <c r="C392" s="235">
        <f t="shared" si="218"/>
        <v>3</v>
      </c>
      <c r="D392" s="226">
        <f t="shared" si="219"/>
        <v>7</v>
      </c>
      <c r="E392" s="226" t="str">
        <f t="shared" si="220"/>
        <v>Tail</v>
      </c>
      <c r="F392" s="230">
        <f t="shared" si="221"/>
        <v>100000000</v>
      </c>
      <c r="G392" s="236">
        <f t="shared" si="222"/>
        <v>0.15</v>
      </c>
      <c r="H392" s="230">
        <f t="shared" si="223"/>
        <v>300000</v>
      </c>
      <c r="I392" s="236">
        <f t="shared" si="206"/>
        <v>0</v>
      </c>
      <c r="J392" s="234">
        <v>13</v>
      </c>
      <c r="K392" s="234">
        <f t="shared" si="207"/>
        <v>2038</v>
      </c>
      <c r="L392" s="230">
        <f>IF(J392=1,'Model Inputs'!$B$25*(13-'Model Inputs'!$B$23)/12,'Model Inputs'!$B$25)</f>
        <v>300000</v>
      </c>
      <c r="M392" s="230">
        <f>IF(J392=1,'Model Inputs'!$B$27*(13-'Model Inputs'!$B$23)/12,IF(J392=2,'Model Inputs'!$B$27,IF(J392&lt;=MAX(3,'Model Inputs'!$B$30+1),'Model Inputs'!$B$27*(1+'Model Inputs'!$B$28)^(J392-3),'Model Inputs'!$B$27*(1+'Model Inputs'!$B$28)^(MAX(3,'Model Inputs'!$B$30+1)-3)*(1+'Model Inputs'!$B$29)^(J392-MAX(3,'Model Inputs'!$B$30+1)))))</f>
        <v>6464768.1603602255</v>
      </c>
      <c r="N392" s="236">
        <f>IF(J392&lt;=2,0,'Model Inputs'!$B$32*SIN(2*PI()*(J392-3+'Model Inputs'!$B$34)/MAX(1,'Model Inputs'!$B$33)))</f>
        <v>0.10392304845413261</v>
      </c>
      <c r="O392" s="230">
        <f t="shared" si="208"/>
        <v>7136606.5751340752</v>
      </c>
      <c r="P392" s="230">
        <f t="shared" si="228"/>
        <v>4711807.0917368019</v>
      </c>
      <c r="Q392" s="230">
        <f>L392+P392+IF(J392=1,'Model Inputs'!$B$26,0)</f>
        <v>5011807.0917368019</v>
      </c>
      <c r="R392" s="230">
        <f t="shared" si="209"/>
        <v>15035421.275210407</v>
      </c>
      <c r="S392" s="230">
        <f t="shared" si="210"/>
        <v>15300000</v>
      </c>
      <c r="T392" s="230">
        <f t="shared" si="211"/>
        <v>15300000</v>
      </c>
      <c r="U392" s="230">
        <f>MIN(T392,'Tax Assumptions'!$B$19)</f>
        <v>24500</v>
      </c>
      <c r="V392" s="230">
        <f>MAX(T392-U392-'Tax Assumptions'!$B$8,0)</f>
        <v>15259400</v>
      </c>
      <c r="W392" s="230">
        <f>MAX(T392-U392-'Tax Assumptions'!$B$9,0)</f>
        <v>15267500</v>
      </c>
      <c r="X392" s="230">
        <f>IF(V392=0,0,LOOKUP(V392,'Tax Assumptions'!$F$9:$F$15,'Tax Assumptions'!$I$9:$I$15)+(V392-LOOKUP(V392,'Tax Assumptions'!$F$9:$F$15,'Tax Assumptions'!$F$9:$F$15))*LOOKUP(V392,'Tax Assumptions'!$F$9:$F$15,'Tax Assumptions'!$H$9:$H$15))+MIN(MAX(T392,0),'Tax Assumptions'!$B$11)*'Tax Assumptions'!$B$10+MAX(T392,0)*'Tax Assumptions'!$B$12+MAX(MAX(T392,0)-'Tax Assumptions'!$B$14,0)*'Tax Assumptions'!$B$13+MIN(T392*'Tax Assumptions'!$B$15,'Tax Assumptions'!$B$16)+MIN(T392*'Tax Assumptions'!$B$17,'Tax Assumptions'!$B$18)+IF(W392=0,0,LOOKUP(W392,'Tax Assumptions'!$K$9:$K$17,'Tax Assumptions'!$N$9:$N$17)+(W392-LOOKUP(W392,'Tax Assumptions'!$K$9:$K$17,'Tax Assumptions'!$K$9:$K$17))*LOOKUP(W392,'Tax Assumptions'!$K$9:$K$17,'Tax Assumptions'!$M$9:$M$17))+IF(W392=0,0,LOOKUP(W392,'Tax Assumptions'!$P$9:$P$12,'Tax Assumptions'!$S$9:$S$12)+(W392-LOOKUP(W392,'Tax Assumptions'!$P$9:$P$12,'Tax Assumptions'!$P$9:$P$12))*LOOKUP(W392,'Tax Assumptions'!$P$9:$P$12,'Tax Assumptions'!$R$9:$R$12))</f>
        <v>8070480.54</v>
      </c>
      <c r="Y392" s="230">
        <f t="shared" si="212"/>
        <v>7205019.46</v>
      </c>
      <c r="Z392" s="230">
        <f>IF(J392&lt;=10,INDEX('Savings Projection'!$BL$19:$BL$28,J392),LOOKUP(2,1/('Savings Projection'!$BL$19:$BL$28&lt;&gt;""),'Savings Projection'!$BL$19:$BL$28))*(1+'Model Inputs'!$B$35)^(J392-1)+IF(J392&lt;=10,INDEX('Savings Projection'!$BM$19:$BM$28,J392),LOOKUP(2,1/('Savings Projection'!$BM$19:$BM$28&lt;&gt;""),'Savings Projection'!$BM$19:$BM$28))*(1+'Model Inputs'!$B$36)^(J392-1)</f>
        <v>185348.91529000323</v>
      </c>
      <c r="AA392" s="230">
        <f t="shared" si="213"/>
        <v>7019670.5447099963</v>
      </c>
      <c r="AB392" s="230">
        <f>MIN(MAX(AA392,0),'Tax Assumptions'!$B$20)</f>
        <v>7500</v>
      </c>
      <c r="AC392" s="230">
        <f t="shared" si="214"/>
        <v>7012170.5447099963</v>
      </c>
      <c r="AD392" s="230">
        <f>MAX(AD391*(1+'Model Inputs'!$B$13)+AC392,0)</f>
        <v>64945599.824014857</v>
      </c>
      <c r="AE392" s="230">
        <f>MAX(AE391*(1+'Model Inputs'!$B$13)+U392+AB392,0)</f>
        <v>604228.40541103133</v>
      </c>
      <c r="AF392" s="230">
        <f t="shared" si="215"/>
        <v>65549828.229425892</v>
      </c>
      <c r="AG392" s="226" t="str">
        <f t="shared" si="224"/>
        <v/>
      </c>
      <c r="AH392" s="226" t="str">
        <f t="shared" si="225"/>
        <v/>
      </c>
      <c r="AI392" s="226" t="str">
        <f t="shared" si="226"/>
        <v/>
      </c>
      <c r="AJ392" s="226" t="str">
        <f t="shared" si="227"/>
        <v/>
      </c>
    </row>
    <row r="393" spans="1:36" ht="18" customHeight="1" x14ac:dyDescent="0.2">
      <c r="A393" s="226" t="str">
        <f t="shared" si="216"/>
        <v>4Y -&gt; PM Y7 Tail</v>
      </c>
      <c r="B393" s="226">
        <f t="shared" si="217"/>
        <v>4</v>
      </c>
      <c r="C393" s="235">
        <f t="shared" si="218"/>
        <v>3</v>
      </c>
      <c r="D393" s="226">
        <f t="shared" si="219"/>
        <v>7</v>
      </c>
      <c r="E393" s="226" t="str">
        <f t="shared" si="220"/>
        <v>Tail</v>
      </c>
      <c r="F393" s="230">
        <f t="shared" si="221"/>
        <v>100000000</v>
      </c>
      <c r="G393" s="236">
        <f t="shared" si="222"/>
        <v>0.15</v>
      </c>
      <c r="H393" s="230">
        <f t="shared" si="223"/>
        <v>300000</v>
      </c>
      <c r="I393" s="236">
        <f t="shared" si="206"/>
        <v>0</v>
      </c>
      <c r="J393" s="234">
        <v>14</v>
      </c>
      <c r="K393" s="234">
        <f t="shared" si="207"/>
        <v>2039</v>
      </c>
      <c r="L393" s="230">
        <f>IF(J393=1,'Model Inputs'!$B$25*(13-'Model Inputs'!$B$23)/12,'Model Inputs'!$B$25)</f>
        <v>300000</v>
      </c>
      <c r="M393" s="230">
        <f>IF(J393=1,'Model Inputs'!$B$27*(13-'Model Inputs'!$B$23)/12,IF(J393=2,'Model Inputs'!$B$27,IF(J393&lt;=MAX(3,'Model Inputs'!$B$30+1),'Model Inputs'!$B$27*(1+'Model Inputs'!$B$28)^(J393-3),'Model Inputs'!$B$27*(1+'Model Inputs'!$B$28)^(MAX(3,'Model Inputs'!$B$30+1)-3)*(1+'Model Inputs'!$B$29)^(J393-MAX(3,'Model Inputs'!$B$30+1)))))</f>
        <v>8215927.9778393377</v>
      </c>
      <c r="N393" s="236">
        <f>IF(J393&lt;=2,0,'Model Inputs'!$B$32*SIN(2*PI()*(J393-3+'Model Inputs'!$B$34)/MAX(1,'Model Inputs'!$B$33)))</f>
        <v>-0.10392304845413251</v>
      </c>
      <c r="O393" s="230">
        <f t="shared" si="208"/>
        <v>7362103.6965026772</v>
      </c>
      <c r="P393" s="230">
        <f t="shared" si="228"/>
        <v>6624168.4699774589</v>
      </c>
      <c r="Q393" s="230">
        <f>L393+P393+IF(J393=1,'Model Inputs'!$B$26,0)</f>
        <v>6924168.4699774589</v>
      </c>
      <c r="R393" s="230">
        <f t="shared" si="209"/>
        <v>20772505.409932375</v>
      </c>
      <c r="S393" s="230">
        <f t="shared" si="210"/>
        <v>15300000</v>
      </c>
      <c r="T393" s="230">
        <f t="shared" si="211"/>
        <v>15300000</v>
      </c>
      <c r="U393" s="230">
        <f>MIN(T393,'Tax Assumptions'!$B$19)</f>
        <v>24500</v>
      </c>
      <c r="V393" s="230">
        <f>MAX(T393-U393-'Tax Assumptions'!$B$8,0)</f>
        <v>15259400</v>
      </c>
      <c r="W393" s="230">
        <f>MAX(T393-U393-'Tax Assumptions'!$B$9,0)</f>
        <v>15267500</v>
      </c>
      <c r="X393" s="230">
        <f>IF(V393=0,0,LOOKUP(V393,'Tax Assumptions'!$F$9:$F$15,'Tax Assumptions'!$I$9:$I$15)+(V393-LOOKUP(V393,'Tax Assumptions'!$F$9:$F$15,'Tax Assumptions'!$F$9:$F$15))*LOOKUP(V393,'Tax Assumptions'!$F$9:$F$15,'Tax Assumptions'!$H$9:$H$15))+MIN(MAX(T393,0),'Tax Assumptions'!$B$11)*'Tax Assumptions'!$B$10+MAX(T393,0)*'Tax Assumptions'!$B$12+MAX(MAX(T393,0)-'Tax Assumptions'!$B$14,0)*'Tax Assumptions'!$B$13+MIN(T393*'Tax Assumptions'!$B$15,'Tax Assumptions'!$B$16)+MIN(T393*'Tax Assumptions'!$B$17,'Tax Assumptions'!$B$18)+IF(W393=0,0,LOOKUP(W393,'Tax Assumptions'!$K$9:$K$17,'Tax Assumptions'!$N$9:$N$17)+(W393-LOOKUP(W393,'Tax Assumptions'!$K$9:$K$17,'Tax Assumptions'!$K$9:$K$17))*LOOKUP(W393,'Tax Assumptions'!$K$9:$K$17,'Tax Assumptions'!$M$9:$M$17))+IF(W393=0,0,LOOKUP(W393,'Tax Assumptions'!$P$9:$P$12,'Tax Assumptions'!$S$9:$S$12)+(W393-LOOKUP(W393,'Tax Assumptions'!$P$9:$P$12,'Tax Assumptions'!$P$9:$P$12))*LOOKUP(W393,'Tax Assumptions'!$P$9:$P$12,'Tax Assumptions'!$R$9:$R$12))</f>
        <v>8070480.54</v>
      </c>
      <c r="Y393" s="230">
        <f t="shared" si="212"/>
        <v>7205019.46</v>
      </c>
      <c r="Z393" s="230">
        <f>IF(J393&lt;=10,INDEX('Savings Projection'!$BL$19:$BL$28,J393),LOOKUP(2,1/('Savings Projection'!$BL$19:$BL$28&lt;&gt;""),'Savings Projection'!$BL$19:$BL$28))*(1+'Model Inputs'!$B$35)^(J393-1)+IF(J393&lt;=10,INDEX('Savings Projection'!$BM$19:$BM$28,J393),LOOKUP(2,1/('Savings Projection'!$BM$19:$BM$28&lt;&gt;""),'Savings Projection'!$BM$19:$BM$28))*(1+'Model Inputs'!$B$36)^(J393-1)</f>
        <v>190909.3827487033</v>
      </c>
      <c r="AA393" s="230">
        <f t="shared" si="213"/>
        <v>7014110.0772512965</v>
      </c>
      <c r="AB393" s="230">
        <f>MIN(MAX(AA393,0),'Tax Assumptions'!$B$20)</f>
        <v>7500</v>
      </c>
      <c r="AC393" s="230">
        <f t="shared" si="214"/>
        <v>7006610.0772512965</v>
      </c>
      <c r="AD393" s="230">
        <f>MAX(AD392*(1+'Model Inputs'!$B$13)+AC393,0)</f>
        <v>75848945.890707046</v>
      </c>
      <c r="AE393" s="230">
        <f>MAX(AE392*(1+'Model Inputs'!$B$13)+U393+AB393,0)</f>
        <v>672482.1097356932</v>
      </c>
      <c r="AF393" s="230">
        <f t="shared" si="215"/>
        <v>76521428.000442743</v>
      </c>
      <c r="AG393" s="226" t="str">
        <f t="shared" si="224"/>
        <v/>
      </c>
      <c r="AH393" s="226" t="str">
        <f t="shared" si="225"/>
        <v/>
      </c>
      <c r="AI393" s="226" t="str">
        <f t="shared" si="226"/>
        <v/>
      </c>
      <c r="AJ393" s="226" t="str">
        <f t="shared" si="227"/>
        <v/>
      </c>
    </row>
    <row r="394" spans="1:36" ht="18" customHeight="1" x14ac:dyDescent="0.2">
      <c r="A394" s="226" t="str">
        <f t="shared" si="216"/>
        <v>4Y -&gt; PM Y7 Tail</v>
      </c>
      <c r="B394" s="226">
        <f t="shared" si="217"/>
        <v>4</v>
      </c>
      <c r="C394" s="235">
        <f t="shared" si="218"/>
        <v>3</v>
      </c>
      <c r="D394" s="226">
        <f t="shared" si="219"/>
        <v>7</v>
      </c>
      <c r="E394" s="226" t="str">
        <f t="shared" si="220"/>
        <v>Tail</v>
      </c>
      <c r="F394" s="230">
        <f t="shared" si="221"/>
        <v>100000000</v>
      </c>
      <c r="G394" s="236">
        <f t="shared" si="222"/>
        <v>0.15</v>
      </c>
      <c r="H394" s="230">
        <f t="shared" si="223"/>
        <v>300000</v>
      </c>
      <c r="I394" s="236">
        <f t="shared" si="206"/>
        <v>0</v>
      </c>
      <c r="J394" s="234">
        <v>15</v>
      </c>
      <c r="K394" s="234">
        <f t="shared" si="207"/>
        <v>2040</v>
      </c>
      <c r="L394" s="230">
        <f>IF(J394=1,'Model Inputs'!$B$25*(13-'Model Inputs'!$B$23)/12,'Model Inputs'!$B$25)</f>
        <v>300000</v>
      </c>
      <c r="M394" s="230">
        <f>IF(J394=1,'Model Inputs'!$B$27*(13-'Model Inputs'!$B$23)/12,IF(J394=2,'Model Inputs'!$B$27,IF(J394&lt;=MAX(3,'Model Inputs'!$B$30+1),'Model Inputs'!$B$27*(1+'Model Inputs'!$B$28)^(J394-3),'Model Inputs'!$B$27*(1+'Model Inputs'!$B$28)^(MAX(3,'Model Inputs'!$B$30+1)-3)*(1+'Model Inputs'!$B$29)^(J394-MAX(3,'Model Inputs'!$B$30+1)))))</f>
        <v>10441437.475041937</v>
      </c>
      <c r="N394" s="236">
        <f>IF(J394&lt;=2,0,'Model Inputs'!$B$32*SIN(2*PI()*(J394-3+'Model Inputs'!$B$34)/MAX(1,'Model Inputs'!$B$33)))</f>
        <v>-1.1756609271814589E-16</v>
      </c>
      <c r="O394" s="230">
        <f t="shared" si="208"/>
        <v>10441437.475041935</v>
      </c>
      <c r="P394" s="230">
        <f t="shared" si="228"/>
        <v>7305729.4161605267</v>
      </c>
      <c r="Q394" s="230">
        <f>L394+P394+IF(J394=1,'Model Inputs'!$B$26,0)</f>
        <v>7605729.4161605267</v>
      </c>
      <c r="R394" s="230">
        <f t="shared" si="209"/>
        <v>22817188.248481579</v>
      </c>
      <c r="S394" s="230">
        <f t="shared" si="210"/>
        <v>15300000</v>
      </c>
      <c r="T394" s="230">
        <f t="shared" si="211"/>
        <v>15300000</v>
      </c>
      <c r="U394" s="230">
        <f>MIN(T394,'Tax Assumptions'!$B$19)</f>
        <v>24500</v>
      </c>
      <c r="V394" s="230">
        <f>MAX(T394-U394-'Tax Assumptions'!$B$8,0)</f>
        <v>15259400</v>
      </c>
      <c r="W394" s="230">
        <f>MAX(T394-U394-'Tax Assumptions'!$B$9,0)</f>
        <v>15267500</v>
      </c>
      <c r="X394" s="230">
        <f>IF(V394=0,0,LOOKUP(V394,'Tax Assumptions'!$F$9:$F$15,'Tax Assumptions'!$I$9:$I$15)+(V394-LOOKUP(V394,'Tax Assumptions'!$F$9:$F$15,'Tax Assumptions'!$F$9:$F$15))*LOOKUP(V394,'Tax Assumptions'!$F$9:$F$15,'Tax Assumptions'!$H$9:$H$15))+MIN(MAX(T394,0),'Tax Assumptions'!$B$11)*'Tax Assumptions'!$B$10+MAX(T394,0)*'Tax Assumptions'!$B$12+MAX(MAX(T394,0)-'Tax Assumptions'!$B$14,0)*'Tax Assumptions'!$B$13+MIN(T394*'Tax Assumptions'!$B$15,'Tax Assumptions'!$B$16)+MIN(T394*'Tax Assumptions'!$B$17,'Tax Assumptions'!$B$18)+IF(W394=0,0,LOOKUP(W394,'Tax Assumptions'!$K$9:$K$17,'Tax Assumptions'!$N$9:$N$17)+(W394-LOOKUP(W394,'Tax Assumptions'!$K$9:$K$17,'Tax Assumptions'!$K$9:$K$17))*LOOKUP(W394,'Tax Assumptions'!$K$9:$K$17,'Tax Assumptions'!$M$9:$M$17))+IF(W394=0,0,LOOKUP(W394,'Tax Assumptions'!$P$9:$P$12,'Tax Assumptions'!$S$9:$S$12)+(W394-LOOKUP(W394,'Tax Assumptions'!$P$9:$P$12,'Tax Assumptions'!$P$9:$P$12))*LOOKUP(W394,'Tax Assumptions'!$P$9:$P$12,'Tax Assumptions'!$R$9:$R$12))</f>
        <v>8070480.54</v>
      </c>
      <c r="Y394" s="230">
        <f t="shared" si="212"/>
        <v>7205019.46</v>
      </c>
      <c r="Z394" s="230">
        <f>IF(J394&lt;=10,INDEX('Savings Projection'!$BL$19:$BL$28,J394),LOOKUP(2,1/('Savings Projection'!$BL$19:$BL$28&lt;&gt;""),'Savings Projection'!$BL$19:$BL$28))*(1+'Model Inputs'!$B$35)^(J394-1)+IF(J394&lt;=10,INDEX('Savings Projection'!$BM$19:$BM$28,J394),LOOKUP(2,1/('Savings Projection'!$BM$19:$BM$28&lt;&gt;""),'Savings Projection'!$BM$19:$BM$28))*(1+'Model Inputs'!$B$36)^(J394-1)</f>
        <v>196636.66423116444</v>
      </c>
      <c r="AA394" s="230">
        <f t="shared" si="213"/>
        <v>7008382.7957688356</v>
      </c>
      <c r="AB394" s="230">
        <f>MIN(MAX(AA394,0),'Tax Assumptions'!$B$20)</f>
        <v>7500</v>
      </c>
      <c r="AC394" s="230">
        <f t="shared" si="214"/>
        <v>7000882.7957688356</v>
      </c>
      <c r="AD394" s="230">
        <f>MAX(AD393*(1+'Model Inputs'!$B$13)+AC394,0)</f>
        <v>87400765.439918309</v>
      </c>
      <c r="AE394" s="230">
        <f>MAX(AE393*(1+'Model Inputs'!$B$13)+U394+AB394,0)</f>
        <v>744831.03631983488</v>
      </c>
      <c r="AF394" s="230">
        <f t="shared" si="215"/>
        <v>88145596.476238146</v>
      </c>
      <c r="AG394" s="226" t="str">
        <f t="shared" si="224"/>
        <v/>
      </c>
      <c r="AH394" s="226" t="str">
        <f t="shared" si="225"/>
        <v/>
      </c>
      <c r="AI394" s="226" t="str">
        <f t="shared" si="226"/>
        <v/>
      </c>
      <c r="AJ394" s="226" t="str">
        <f t="shared" si="227"/>
        <v/>
      </c>
    </row>
    <row r="395" spans="1:36" ht="18" customHeight="1" x14ac:dyDescent="0.2">
      <c r="A395" s="226" t="str">
        <f t="shared" si="216"/>
        <v>4Y -&gt; PM Y7 Tail</v>
      </c>
      <c r="B395" s="226">
        <f t="shared" si="217"/>
        <v>4</v>
      </c>
      <c r="C395" s="235">
        <f t="shared" si="218"/>
        <v>3</v>
      </c>
      <c r="D395" s="226">
        <f t="shared" si="219"/>
        <v>7</v>
      </c>
      <c r="E395" s="226" t="str">
        <f t="shared" si="220"/>
        <v>Tail</v>
      </c>
      <c r="F395" s="230">
        <f t="shared" si="221"/>
        <v>100000000</v>
      </c>
      <c r="G395" s="236">
        <f t="shared" si="222"/>
        <v>0.15</v>
      </c>
      <c r="H395" s="230">
        <f t="shared" si="223"/>
        <v>300000</v>
      </c>
      <c r="I395" s="236">
        <f t="shared" si="206"/>
        <v>0</v>
      </c>
      <c r="J395" s="234">
        <v>16</v>
      </c>
      <c r="K395" s="234">
        <f t="shared" si="207"/>
        <v>2041</v>
      </c>
      <c r="L395" s="230">
        <f>IF(J395=1,'Model Inputs'!$B$25*(13-'Model Inputs'!$B$23)/12,'Model Inputs'!$B$25)</f>
        <v>300000</v>
      </c>
      <c r="M395" s="230">
        <f>IF(J395=1,'Model Inputs'!$B$27*(13-'Model Inputs'!$B$23)/12,IF(J395=2,'Model Inputs'!$B$27,IF(J395&lt;=MAX(3,'Model Inputs'!$B$30+1),'Model Inputs'!$B$27*(1+'Model Inputs'!$B$28)^(J395-3),'Model Inputs'!$B$27*(1+'Model Inputs'!$B$28)^(MAX(3,'Model Inputs'!$B$30+1)-3)*(1+'Model Inputs'!$B$29)^(J395-MAX(3,'Model Inputs'!$B$30+1)))))</f>
        <v>13269787.276528884</v>
      </c>
      <c r="N395" s="236">
        <f>IF(J395&lt;=2,0,'Model Inputs'!$B$32*SIN(2*PI()*(J395-3+'Model Inputs'!$B$34)/MAX(1,'Model Inputs'!$B$33)))</f>
        <v>0.10392304845413262</v>
      </c>
      <c r="O395" s="230">
        <f t="shared" si="208"/>
        <v>14648824.022643628</v>
      </c>
      <c r="P395" s="230">
        <f t="shared" si="228"/>
        <v>9671604.0304071214</v>
      </c>
      <c r="Q395" s="230">
        <f>L395+P395+IF(J395=1,'Model Inputs'!$B$26,0)</f>
        <v>9971604.0304071214</v>
      </c>
      <c r="R395" s="230">
        <f t="shared" si="209"/>
        <v>29914812.091221362</v>
      </c>
      <c r="S395" s="230">
        <f t="shared" si="210"/>
        <v>15300000</v>
      </c>
      <c r="T395" s="230">
        <f t="shared" si="211"/>
        <v>15300000</v>
      </c>
      <c r="U395" s="230">
        <f>MIN(T395,'Tax Assumptions'!$B$19)</f>
        <v>24500</v>
      </c>
      <c r="V395" s="230">
        <f>MAX(T395-U395-'Tax Assumptions'!$B$8,0)</f>
        <v>15259400</v>
      </c>
      <c r="W395" s="230">
        <f>MAX(T395-U395-'Tax Assumptions'!$B$9,0)</f>
        <v>15267500</v>
      </c>
      <c r="X395" s="230">
        <f>IF(V395=0,0,LOOKUP(V395,'Tax Assumptions'!$F$9:$F$15,'Tax Assumptions'!$I$9:$I$15)+(V395-LOOKUP(V395,'Tax Assumptions'!$F$9:$F$15,'Tax Assumptions'!$F$9:$F$15))*LOOKUP(V395,'Tax Assumptions'!$F$9:$F$15,'Tax Assumptions'!$H$9:$H$15))+MIN(MAX(T395,0),'Tax Assumptions'!$B$11)*'Tax Assumptions'!$B$10+MAX(T395,0)*'Tax Assumptions'!$B$12+MAX(MAX(T395,0)-'Tax Assumptions'!$B$14,0)*'Tax Assumptions'!$B$13+MIN(T395*'Tax Assumptions'!$B$15,'Tax Assumptions'!$B$16)+MIN(T395*'Tax Assumptions'!$B$17,'Tax Assumptions'!$B$18)+IF(W395=0,0,LOOKUP(W395,'Tax Assumptions'!$K$9:$K$17,'Tax Assumptions'!$N$9:$N$17)+(W395-LOOKUP(W395,'Tax Assumptions'!$K$9:$K$17,'Tax Assumptions'!$K$9:$K$17))*LOOKUP(W395,'Tax Assumptions'!$K$9:$K$17,'Tax Assumptions'!$M$9:$M$17))+IF(W395=0,0,LOOKUP(W395,'Tax Assumptions'!$P$9:$P$12,'Tax Assumptions'!$S$9:$S$12)+(W395-LOOKUP(W395,'Tax Assumptions'!$P$9:$P$12,'Tax Assumptions'!$P$9:$P$12))*LOOKUP(W395,'Tax Assumptions'!$P$9:$P$12,'Tax Assumptions'!$R$9:$R$12))</f>
        <v>8070480.54</v>
      </c>
      <c r="Y395" s="230">
        <f t="shared" si="212"/>
        <v>7205019.46</v>
      </c>
      <c r="Z395" s="230">
        <f>IF(J395&lt;=10,INDEX('Savings Projection'!$BL$19:$BL$28,J395),LOOKUP(2,1/('Savings Projection'!$BL$19:$BL$28&lt;&gt;""),'Savings Projection'!$BL$19:$BL$28))*(1+'Model Inputs'!$B$35)^(J395-1)+IF(J395&lt;=10,INDEX('Savings Projection'!$BM$19:$BM$28,J395),LOOKUP(2,1/('Savings Projection'!$BM$19:$BM$28&lt;&gt;""),'Savings Projection'!$BM$19:$BM$28))*(1+'Model Inputs'!$B$36)^(J395-1)</f>
        <v>202535.76415809937</v>
      </c>
      <c r="AA395" s="230">
        <f t="shared" si="213"/>
        <v>7002483.695841901</v>
      </c>
      <c r="AB395" s="230">
        <f>MIN(MAX(AA395,0),'Tax Assumptions'!$B$20)</f>
        <v>7500</v>
      </c>
      <c r="AC395" s="230">
        <f t="shared" si="214"/>
        <v>6994983.695841901</v>
      </c>
      <c r="AD395" s="230">
        <f>MAX(AD394*(1+'Model Inputs'!$B$13)+AC395,0)</f>
        <v>99639795.062155306</v>
      </c>
      <c r="AE395" s="230">
        <f>MAX(AE394*(1+'Model Inputs'!$B$13)+U395+AB395,0)</f>
        <v>821520.89849902503</v>
      </c>
      <c r="AF395" s="230">
        <f t="shared" si="215"/>
        <v>100461315.96065433</v>
      </c>
      <c r="AG395" s="226" t="str">
        <f t="shared" si="224"/>
        <v/>
      </c>
      <c r="AH395" s="226" t="str">
        <f t="shared" si="225"/>
        <v/>
      </c>
      <c r="AI395" s="226" t="str">
        <f t="shared" si="226"/>
        <v/>
      </c>
      <c r="AJ395" s="226" t="str">
        <f t="shared" si="227"/>
        <v/>
      </c>
    </row>
    <row r="396" spans="1:36" ht="18" customHeight="1" x14ac:dyDescent="0.2">
      <c r="A396" s="226" t="str">
        <f t="shared" si="216"/>
        <v>4Y -&gt; PM Y7 Tail</v>
      </c>
      <c r="B396" s="226">
        <f t="shared" si="217"/>
        <v>4</v>
      </c>
      <c r="C396" s="235">
        <f t="shared" si="218"/>
        <v>3</v>
      </c>
      <c r="D396" s="226">
        <f t="shared" si="219"/>
        <v>7</v>
      </c>
      <c r="E396" s="226" t="str">
        <f t="shared" si="220"/>
        <v>Tail</v>
      </c>
      <c r="F396" s="230">
        <f t="shared" si="221"/>
        <v>100000000</v>
      </c>
      <c r="G396" s="236">
        <f t="shared" si="222"/>
        <v>0.15</v>
      </c>
      <c r="H396" s="230">
        <f t="shared" si="223"/>
        <v>300000</v>
      </c>
      <c r="I396" s="236">
        <f t="shared" si="206"/>
        <v>0</v>
      </c>
      <c r="J396" s="234">
        <v>17</v>
      </c>
      <c r="K396" s="234">
        <f t="shared" si="207"/>
        <v>2042</v>
      </c>
      <c r="L396" s="230">
        <f>IF(J396=1,'Model Inputs'!$B$25*(13-'Model Inputs'!$B$23)/12,'Model Inputs'!$B$25)</f>
        <v>300000</v>
      </c>
      <c r="M396" s="230">
        <f>IF(J396=1,'Model Inputs'!$B$27*(13-'Model Inputs'!$B$23)/12,IF(J396=2,'Model Inputs'!$B$27,IF(J396&lt;=MAX(3,'Model Inputs'!$B$30+1),'Model Inputs'!$B$27*(1+'Model Inputs'!$B$28)^(J396-3),'Model Inputs'!$B$27*(1+'Model Inputs'!$B$28)^(MAX(3,'Model Inputs'!$B$30+1)-3)*(1+'Model Inputs'!$B$29)^(J396-MAX(3,'Model Inputs'!$B$30+1)))))</f>
        <v>16864273.217670217</v>
      </c>
      <c r="N396" s="236">
        <f>IF(J396&lt;=2,0,'Model Inputs'!$B$32*SIN(2*PI()*(J396-3+'Model Inputs'!$B$34)/MAX(1,'Model Inputs'!$B$33)))</f>
        <v>-0.1039230484541325</v>
      </c>
      <c r="O396" s="230">
        <f t="shared" si="208"/>
        <v>15111686.534926547</v>
      </c>
      <c r="P396" s="230">
        <f t="shared" si="228"/>
        <v>13596977.385743205</v>
      </c>
      <c r="Q396" s="230">
        <f>L396+P396+IF(J396=1,'Model Inputs'!$B$26,0)</f>
        <v>13896977.385743205</v>
      </c>
      <c r="R396" s="230">
        <f t="shared" si="209"/>
        <v>41690932.157229617</v>
      </c>
      <c r="S396" s="230">
        <f t="shared" si="210"/>
        <v>15300000</v>
      </c>
      <c r="T396" s="230">
        <f t="shared" si="211"/>
        <v>15300000</v>
      </c>
      <c r="U396" s="230">
        <f>MIN(T396,'Tax Assumptions'!$B$19)</f>
        <v>24500</v>
      </c>
      <c r="V396" s="230">
        <f>MAX(T396-U396-'Tax Assumptions'!$B$8,0)</f>
        <v>15259400</v>
      </c>
      <c r="W396" s="230">
        <f>MAX(T396-U396-'Tax Assumptions'!$B$9,0)</f>
        <v>15267500</v>
      </c>
      <c r="X396" s="230">
        <f>IF(V396=0,0,LOOKUP(V396,'Tax Assumptions'!$F$9:$F$15,'Tax Assumptions'!$I$9:$I$15)+(V396-LOOKUP(V396,'Tax Assumptions'!$F$9:$F$15,'Tax Assumptions'!$F$9:$F$15))*LOOKUP(V396,'Tax Assumptions'!$F$9:$F$15,'Tax Assumptions'!$H$9:$H$15))+MIN(MAX(T396,0),'Tax Assumptions'!$B$11)*'Tax Assumptions'!$B$10+MAX(T396,0)*'Tax Assumptions'!$B$12+MAX(MAX(T396,0)-'Tax Assumptions'!$B$14,0)*'Tax Assumptions'!$B$13+MIN(T396*'Tax Assumptions'!$B$15,'Tax Assumptions'!$B$16)+MIN(T396*'Tax Assumptions'!$B$17,'Tax Assumptions'!$B$18)+IF(W396=0,0,LOOKUP(W396,'Tax Assumptions'!$K$9:$K$17,'Tax Assumptions'!$N$9:$N$17)+(W396-LOOKUP(W396,'Tax Assumptions'!$K$9:$K$17,'Tax Assumptions'!$K$9:$K$17))*LOOKUP(W396,'Tax Assumptions'!$K$9:$K$17,'Tax Assumptions'!$M$9:$M$17))+IF(W396=0,0,LOOKUP(W396,'Tax Assumptions'!$P$9:$P$12,'Tax Assumptions'!$S$9:$S$12)+(W396-LOOKUP(W396,'Tax Assumptions'!$P$9:$P$12,'Tax Assumptions'!$P$9:$P$12))*LOOKUP(W396,'Tax Assumptions'!$P$9:$P$12,'Tax Assumptions'!$R$9:$R$12))</f>
        <v>8070480.54</v>
      </c>
      <c r="Y396" s="230">
        <f t="shared" si="212"/>
        <v>7205019.46</v>
      </c>
      <c r="Z396" s="230">
        <f>IF(J396&lt;=10,INDEX('Savings Projection'!$BL$19:$BL$28,J396),LOOKUP(2,1/('Savings Projection'!$BL$19:$BL$28&lt;&gt;""),'Savings Projection'!$BL$19:$BL$28))*(1+'Model Inputs'!$B$35)^(J396-1)+IF(J396&lt;=10,INDEX('Savings Projection'!$BM$19:$BM$28,J396),LOOKUP(2,1/('Savings Projection'!$BM$19:$BM$28&lt;&gt;""),'Savings Projection'!$BM$19:$BM$28))*(1+'Model Inputs'!$B$36)^(J396-1)</f>
        <v>208611.83708284231</v>
      </c>
      <c r="AA396" s="230">
        <f t="shared" si="213"/>
        <v>6996407.6229171576</v>
      </c>
      <c r="AB396" s="230">
        <f>MIN(MAX(AA396,0),'Tax Assumptions'!$B$20)</f>
        <v>7500</v>
      </c>
      <c r="AC396" s="230">
        <f t="shared" si="214"/>
        <v>6988907.6229171576</v>
      </c>
      <c r="AD396" s="230">
        <f>MAX(AD395*(1+'Model Inputs'!$B$13)+AC396,0)</f>
        <v>112607090.38880178</v>
      </c>
      <c r="AE396" s="230">
        <f>MAX(AE395*(1+'Model Inputs'!$B$13)+U396+AB396,0)</f>
        <v>902812.15240896656</v>
      </c>
      <c r="AF396" s="230">
        <f t="shared" si="215"/>
        <v>113509902.54121076</v>
      </c>
      <c r="AG396" s="226" t="str">
        <f t="shared" si="224"/>
        <v/>
      </c>
      <c r="AH396" s="226" t="str">
        <f t="shared" si="225"/>
        <v/>
      </c>
      <c r="AI396" s="226" t="str">
        <f t="shared" si="226"/>
        <v/>
      </c>
      <c r="AJ396" s="226" t="str">
        <f t="shared" si="227"/>
        <v/>
      </c>
    </row>
    <row r="397" spans="1:36" ht="18" customHeight="1" x14ac:dyDescent="0.2">
      <c r="A397" s="226" t="str">
        <f t="shared" si="216"/>
        <v>4Y -&gt; PM Y7 Tail</v>
      </c>
      <c r="B397" s="226">
        <f t="shared" si="217"/>
        <v>4</v>
      </c>
      <c r="C397" s="235">
        <f t="shared" si="218"/>
        <v>3</v>
      </c>
      <c r="D397" s="226">
        <f t="shared" si="219"/>
        <v>7</v>
      </c>
      <c r="E397" s="226" t="str">
        <f t="shared" si="220"/>
        <v>Tail</v>
      </c>
      <c r="F397" s="230">
        <f t="shared" si="221"/>
        <v>100000000</v>
      </c>
      <c r="G397" s="236">
        <f t="shared" si="222"/>
        <v>0.15</v>
      </c>
      <c r="H397" s="230">
        <f t="shared" si="223"/>
        <v>300000</v>
      </c>
      <c r="I397" s="236">
        <f t="shared" si="206"/>
        <v>0</v>
      </c>
      <c r="J397" s="234">
        <v>18</v>
      </c>
      <c r="K397" s="234">
        <f t="shared" si="207"/>
        <v>2043</v>
      </c>
      <c r="L397" s="230">
        <f>IF(J397=1,'Model Inputs'!$B$25*(13-'Model Inputs'!$B$23)/12,'Model Inputs'!$B$25)</f>
        <v>300000</v>
      </c>
      <c r="M397" s="230">
        <f>IF(J397=1,'Model Inputs'!$B$27*(13-'Model Inputs'!$B$23)/12,IF(J397=2,'Model Inputs'!$B$27,IF(J397&lt;=MAX(3,'Model Inputs'!$B$30+1),'Model Inputs'!$B$27*(1+'Model Inputs'!$B$28)^(J397-3),'Model Inputs'!$B$27*(1+'Model Inputs'!$B$28)^(MAX(3,'Model Inputs'!$B$30+1)-3)*(1+'Model Inputs'!$B$29)^(J397-MAX(3,'Model Inputs'!$B$30+1)))))</f>
        <v>21432424.290875554</v>
      </c>
      <c r="N397" s="236">
        <f>IF(J397&lt;=2,0,'Model Inputs'!$B$32*SIN(2*PI()*(J397-3+'Model Inputs'!$B$34)/MAX(1,'Model Inputs'!$B$33)))</f>
        <v>-5.7328325735374245E-16</v>
      </c>
      <c r="O397" s="230">
        <f t="shared" si="208"/>
        <v>21432424.290875543</v>
      </c>
      <c r="P397" s="230">
        <f t="shared" si="228"/>
        <v>14995970.906855816</v>
      </c>
      <c r="Q397" s="230">
        <f>L397+P397+IF(J397=1,'Model Inputs'!$B$26,0)</f>
        <v>15295970.906855816</v>
      </c>
      <c r="R397" s="230">
        <f t="shared" si="209"/>
        <v>45887912.72056745</v>
      </c>
      <c r="S397" s="230">
        <f t="shared" si="210"/>
        <v>15300000</v>
      </c>
      <c r="T397" s="230">
        <f t="shared" si="211"/>
        <v>15300000</v>
      </c>
      <c r="U397" s="230">
        <f>MIN(T397,'Tax Assumptions'!$B$19)</f>
        <v>24500</v>
      </c>
      <c r="V397" s="230">
        <f>MAX(T397-U397-'Tax Assumptions'!$B$8,0)</f>
        <v>15259400</v>
      </c>
      <c r="W397" s="230">
        <f>MAX(T397-U397-'Tax Assumptions'!$B$9,0)</f>
        <v>15267500</v>
      </c>
      <c r="X397" s="230">
        <f>IF(V397=0,0,LOOKUP(V397,'Tax Assumptions'!$F$9:$F$15,'Tax Assumptions'!$I$9:$I$15)+(V397-LOOKUP(V397,'Tax Assumptions'!$F$9:$F$15,'Tax Assumptions'!$F$9:$F$15))*LOOKUP(V397,'Tax Assumptions'!$F$9:$F$15,'Tax Assumptions'!$H$9:$H$15))+MIN(MAX(T397,0),'Tax Assumptions'!$B$11)*'Tax Assumptions'!$B$10+MAX(T397,0)*'Tax Assumptions'!$B$12+MAX(MAX(T397,0)-'Tax Assumptions'!$B$14,0)*'Tax Assumptions'!$B$13+MIN(T397*'Tax Assumptions'!$B$15,'Tax Assumptions'!$B$16)+MIN(T397*'Tax Assumptions'!$B$17,'Tax Assumptions'!$B$18)+IF(W397=0,0,LOOKUP(W397,'Tax Assumptions'!$K$9:$K$17,'Tax Assumptions'!$N$9:$N$17)+(W397-LOOKUP(W397,'Tax Assumptions'!$K$9:$K$17,'Tax Assumptions'!$K$9:$K$17))*LOOKUP(W397,'Tax Assumptions'!$K$9:$K$17,'Tax Assumptions'!$M$9:$M$17))+IF(W397=0,0,LOOKUP(W397,'Tax Assumptions'!$P$9:$P$12,'Tax Assumptions'!$S$9:$S$12)+(W397-LOOKUP(W397,'Tax Assumptions'!$P$9:$P$12,'Tax Assumptions'!$P$9:$P$12))*LOOKUP(W397,'Tax Assumptions'!$P$9:$P$12,'Tax Assumptions'!$R$9:$R$12))</f>
        <v>8070480.54</v>
      </c>
      <c r="Y397" s="230">
        <f t="shared" si="212"/>
        <v>7205019.46</v>
      </c>
      <c r="Z397" s="230">
        <f>IF(J397&lt;=10,INDEX('Savings Projection'!$BL$19:$BL$28,J397),LOOKUP(2,1/('Savings Projection'!$BL$19:$BL$28&lt;&gt;""),'Savings Projection'!$BL$19:$BL$28))*(1+'Model Inputs'!$B$35)^(J397-1)+IF(J397&lt;=10,INDEX('Savings Projection'!$BM$19:$BM$28,J397),LOOKUP(2,1/('Savings Projection'!$BM$19:$BM$28&lt;&gt;""),'Savings Projection'!$BM$19:$BM$28))*(1+'Model Inputs'!$B$36)^(J397-1)</f>
        <v>214870.1921953276</v>
      </c>
      <c r="AA397" s="230">
        <f t="shared" si="213"/>
        <v>6990149.267804672</v>
      </c>
      <c r="AB397" s="230">
        <f>MIN(MAX(AA397,0),'Tax Assumptions'!$B$20)</f>
        <v>7500</v>
      </c>
      <c r="AC397" s="230">
        <f t="shared" si="214"/>
        <v>6982649.267804672</v>
      </c>
      <c r="AD397" s="230">
        <f>MAX(AD396*(1+'Model Inputs'!$B$13)+AC397,0)</f>
        <v>126346165.07993457</v>
      </c>
      <c r="AE397" s="230">
        <f>MAX(AE396*(1+'Model Inputs'!$B$13)+U397+AB397,0)</f>
        <v>988980.88155350462</v>
      </c>
      <c r="AF397" s="230">
        <f t="shared" si="215"/>
        <v>127335145.96148807</v>
      </c>
      <c r="AG397" s="226" t="str">
        <f t="shared" si="224"/>
        <v/>
      </c>
      <c r="AH397" s="226" t="str">
        <f t="shared" si="225"/>
        <v/>
      </c>
      <c r="AI397" s="226" t="str">
        <f t="shared" si="226"/>
        <v/>
      </c>
      <c r="AJ397" s="226" t="str">
        <f t="shared" si="227"/>
        <v/>
      </c>
    </row>
    <row r="398" spans="1:36" ht="18" customHeight="1" x14ac:dyDescent="0.2">
      <c r="A398" s="226" t="str">
        <f t="shared" si="216"/>
        <v>4Y -&gt; PM Y7 Tail</v>
      </c>
      <c r="B398" s="226">
        <f t="shared" si="217"/>
        <v>4</v>
      </c>
      <c r="C398" s="235">
        <f t="shared" si="218"/>
        <v>3</v>
      </c>
      <c r="D398" s="226">
        <f t="shared" si="219"/>
        <v>7</v>
      </c>
      <c r="E398" s="226" t="str">
        <f t="shared" si="220"/>
        <v>Tail</v>
      </c>
      <c r="F398" s="230">
        <f t="shared" si="221"/>
        <v>100000000</v>
      </c>
      <c r="G398" s="236">
        <f t="shared" si="222"/>
        <v>0.15</v>
      </c>
      <c r="H398" s="230">
        <f t="shared" si="223"/>
        <v>300000</v>
      </c>
      <c r="I398" s="236">
        <f t="shared" si="206"/>
        <v>0</v>
      </c>
      <c r="J398" s="234">
        <v>19</v>
      </c>
      <c r="K398" s="234">
        <f t="shared" si="207"/>
        <v>2044</v>
      </c>
      <c r="L398" s="230">
        <f>IF(J398=1,'Model Inputs'!$B$25*(13-'Model Inputs'!$B$23)/12,'Model Inputs'!$B$25)</f>
        <v>300000</v>
      </c>
      <c r="M398" s="230">
        <f>IF(J398=1,'Model Inputs'!$B$27*(13-'Model Inputs'!$B$23)/12,IF(J398=2,'Model Inputs'!$B$27,IF(J398&lt;=MAX(3,'Model Inputs'!$B$30+1),'Model Inputs'!$B$27*(1+'Model Inputs'!$B$28)^(J398-3),'Model Inputs'!$B$27*(1+'Model Inputs'!$B$28)^(MAX(3,'Model Inputs'!$B$30+1)-3)*(1+'Model Inputs'!$B$29)^(J398-MAX(3,'Model Inputs'!$B$30+1)))))</f>
        <v>27237984.409717187</v>
      </c>
      <c r="N398" s="236">
        <f>IF(J398&lt;=2,0,'Model Inputs'!$B$32*SIN(2*PI()*(J398-3+'Model Inputs'!$B$34)/MAX(1,'Model Inputs'!$B$33)))</f>
        <v>0.10392304845413286</v>
      </c>
      <c r="O398" s="230">
        <f t="shared" si="208"/>
        <v>30068638.783321142</v>
      </c>
      <c r="P398" s="230">
        <f t="shared" si="228"/>
        <v>19852239.851888295</v>
      </c>
      <c r="Q398" s="230">
        <f>L398+P398+IF(J398=1,'Model Inputs'!$B$26,0)</f>
        <v>20152239.851888295</v>
      </c>
      <c r="R398" s="230">
        <f t="shared" si="209"/>
        <v>60456719.555664882</v>
      </c>
      <c r="S398" s="230">
        <f t="shared" si="210"/>
        <v>15300000</v>
      </c>
      <c r="T398" s="230">
        <f t="shared" si="211"/>
        <v>15300000</v>
      </c>
      <c r="U398" s="230">
        <f>MIN(T398,'Tax Assumptions'!$B$19)</f>
        <v>24500</v>
      </c>
      <c r="V398" s="230">
        <f>MAX(T398-U398-'Tax Assumptions'!$B$8,0)</f>
        <v>15259400</v>
      </c>
      <c r="W398" s="230">
        <f>MAX(T398-U398-'Tax Assumptions'!$B$9,0)</f>
        <v>15267500</v>
      </c>
      <c r="X398" s="230">
        <f>IF(V398=0,0,LOOKUP(V398,'Tax Assumptions'!$F$9:$F$15,'Tax Assumptions'!$I$9:$I$15)+(V398-LOOKUP(V398,'Tax Assumptions'!$F$9:$F$15,'Tax Assumptions'!$F$9:$F$15))*LOOKUP(V398,'Tax Assumptions'!$F$9:$F$15,'Tax Assumptions'!$H$9:$H$15))+MIN(MAX(T398,0),'Tax Assumptions'!$B$11)*'Tax Assumptions'!$B$10+MAX(T398,0)*'Tax Assumptions'!$B$12+MAX(MAX(T398,0)-'Tax Assumptions'!$B$14,0)*'Tax Assumptions'!$B$13+MIN(T398*'Tax Assumptions'!$B$15,'Tax Assumptions'!$B$16)+MIN(T398*'Tax Assumptions'!$B$17,'Tax Assumptions'!$B$18)+IF(W398=0,0,LOOKUP(W398,'Tax Assumptions'!$K$9:$K$17,'Tax Assumptions'!$N$9:$N$17)+(W398-LOOKUP(W398,'Tax Assumptions'!$K$9:$K$17,'Tax Assumptions'!$K$9:$K$17))*LOOKUP(W398,'Tax Assumptions'!$K$9:$K$17,'Tax Assumptions'!$M$9:$M$17))+IF(W398=0,0,LOOKUP(W398,'Tax Assumptions'!$P$9:$P$12,'Tax Assumptions'!$S$9:$S$12)+(W398-LOOKUP(W398,'Tax Assumptions'!$P$9:$P$12,'Tax Assumptions'!$P$9:$P$12))*LOOKUP(W398,'Tax Assumptions'!$P$9:$P$12,'Tax Assumptions'!$R$9:$R$12))</f>
        <v>8070480.54</v>
      </c>
      <c r="Y398" s="230">
        <f t="shared" si="212"/>
        <v>7205019.46</v>
      </c>
      <c r="Z398" s="230">
        <f>IF(J398&lt;=10,INDEX('Savings Projection'!$BL$19:$BL$28,J398),LOOKUP(2,1/('Savings Projection'!$BL$19:$BL$28&lt;&gt;""),'Savings Projection'!$BL$19:$BL$28))*(1+'Model Inputs'!$B$35)^(J398-1)+IF(J398&lt;=10,INDEX('Savings Projection'!$BM$19:$BM$28,J398),LOOKUP(2,1/('Savings Projection'!$BM$19:$BM$28&lt;&gt;""),'Savings Projection'!$BM$19:$BM$28))*(1+'Model Inputs'!$B$36)^(J398-1)</f>
        <v>221316.29796118743</v>
      </c>
      <c r="AA398" s="230">
        <f t="shared" si="213"/>
        <v>6983703.1620388124</v>
      </c>
      <c r="AB398" s="230">
        <f>MIN(MAX(AA398,0),'Tax Assumptions'!$B$20)</f>
        <v>7500</v>
      </c>
      <c r="AC398" s="230">
        <f t="shared" si="214"/>
        <v>6976203.1620388124</v>
      </c>
      <c r="AD398" s="230">
        <f>MAX(AD397*(1+'Model Inputs'!$B$13)+AC398,0)</f>
        <v>140903138.14676946</v>
      </c>
      <c r="AE398" s="230">
        <f>MAX(AE397*(1+'Model Inputs'!$B$13)+U398+AB398,0)</f>
        <v>1080319.7344467151</v>
      </c>
      <c r="AF398" s="230">
        <f t="shared" si="215"/>
        <v>141983457.88121617</v>
      </c>
      <c r="AG398" s="226" t="str">
        <f t="shared" si="224"/>
        <v/>
      </c>
      <c r="AH398" s="226" t="str">
        <f t="shared" si="225"/>
        <v/>
      </c>
      <c r="AI398" s="226" t="str">
        <f t="shared" si="226"/>
        <v/>
      </c>
      <c r="AJ398" s="226" t="str">
        <f t="shared" si="227"/>
        <v/>
      </c>
    </row>
    <row r="399" spans="1:36" ht="18" customHeight="1" x14ac:dyDescent="0.2">
      <c r="A399" s="226" t="str">
        <f t="shared" si="216"/>
        <v>4Y -&gt; PM Y7 Tail</v>
      </c>
      <c r="B399" s="226">
        <f t="shared" si="217"/>
        <v>4</v>
      </c>
      <c r="C399" s="235">
        <f t="shared" si="218"/>
        <v>3</v>
      </c>
      <c r="D399" s="226">
        <f t="shared" si="219"/>
        <v>7</v>
      </c>
      <c r="E399" s="226" t="str">
        <f t="shared" si="220"/>
        <v>Tail</v>
      </c>
      <c r="F399" s="230">
        <f t="shared" si="221"/>
        <v>100000000</v>
      </c>
      <c r="G399" s="236">
        <f t="shared" si="222"/>
        <v>0.15</v>
      </c>
      <c r="H399" s="230">
        <f t="shared" si="223"/>
        <v>300000</v>
      </c>
      <c r="I399" s="236">
        <f t="shared" si="206"/>
        <v>0</v>
      </c>
      <c r="J399" s="234">
        <v>20</v>
      </c>
      <c r="K399" s="234">
        <f t="shared" si="207"/>
        <v>2045</v>
      </c>
      <c r="L399" s="230">
        <f>IF(J399=1,'Model Inputs'!$B$25*(13-'Model Inputs'!$B$23)/12,'Model Inputs'!$B$25)</f>
        <v>300000</v>
      </c>
      <c r="M399" s="230">
        <f>IF(J399=1,'Model Inputs'!$B$27*(13-'Model Inputs'!$B$23)/12,IF(J399=2,'Model Inputs'!$B$27,IF(J399&lt;=MAX(3,'Model Inputs'!$B$30+1),'Model Inputs'!$B$27*(1+'Model Inputs'!$B$28)^(J399-3),'Model Inputs'!$B$27*(1+'Model Inputs'!$B$28)^(MAX(3,'Model Inputs'!$B$30+1)-3)*(1+'Model Inputs'!$B$29)^(J399-MAX(3,'Model Inputs'!$B$30+1)))))</f>
        <v>34616139.762586243</v>
      </c>
      <c r="N399" s="236">
        <f>IF(J399&lt;=2,0,'Model Inputs'!$B$32*SIN(2*PI()*(J399-3+'Model Inputs'!$B$34)/MAX(1,'Model Inputs'!$B$33)))</f>
        <v>-0.10392304845413269</v>
      </c>
      <c r="O399" s="230">
        <f t="shared" si="208"/>
        <v>31018724.992743965</v>
      </c>
      <c r="P399" s="230">
        <f t="shared" si="228"/>
        <v>27909585.160209741</v>
      </c>
      <c r="Q399" s="230">
        <f>L399+P399+IF(J399=1,'Model Inputs'!$B$26,0)</f>
        <v>28209585.160209741</v>
      </c>
      <c r="R399" s="230">
        <f t="shared" si="209"/>
        <v>84628755.480629221</v>
      </c>
      <c r="S399" s="230">
        <f t="shared" si="210"/>
        <v>15300000</v>
      </c>
      <c r="T399" s="230">
        <f t="shared" si="211"/>
        <v>15300000</v>
      </c>
      <c r="U399" s="230">
        <f>MIN(T399,'Tax Assumptions'!$B$19)</f>
        <v>24500</v>
      </c>
      <c r="V399" s="230">
        <f>MAX(T399-U399-'Tax Assumptions'!$B$8,0)</f>
        <v>15259400</v>
      </c>
      <c r="W399" s="230">
        <f>MAX(T399-U399-'Tax Assumptions'!$B$9,0)</f>
        <v>15267500</v>
      </c>
      <c r="X399" s="230">
        <f>IF(V399=0,0,LOOKUP(V399,'Tax Assumptions'!$F$9:$F$15,'Tax Assumptions'!$I$9:$I$15)+(V399-LOOKUP(V399,'Tax Assumptions'!$F$9:$F$15,'Tax Assumptions'!$F$9:$F$15))*LOOKUP(V399,'Tax Assumptions'!$F$9:$F$15,'Tax Assumptions'!$H$9:$H$15))+MIN(MAX(T399,0),'Tax Assumptions'!$B$11)*'Tax Assumptions'!$B$10+MAX(T399,0)*'Tax Assumptions'!$B$12+MAX(MAX(T399,0)-'Tax Assumptions'!$B$14,0)*'Tax Assumptions'!$B$13+MIN(T399*'Tax Assumptions'!$B$15,'Tax Assumptions'!$B$16)+MIN(T399*'Tax Assumptions'!$B$17,'Tax Assumptions'!$B$18)+IF(W399=0,0,LOOKUP(W399,'Tax Assumptions'!$K$9:$K$17,'Tax Assumptions'!$N$9:$N$17)+(W399-LOOKUP(W399,'Tax Assumptions'!$K$9:$K$17,'Tax Assumptions'!$K$9:$K$17))*LOOKUP(W399,'Tax Assumptions'!$K$9:$K$17,'Tax Assumptions'!$M$9:$M$17))+IF(W399=0,0,LOOKUP(W399,'Tax Assumptions'!$P$9:$P$12,'Tax Assumptions'!$S$9:$S$12)+(W399-LOOKUP(W399,'Tax Assumptions'!$P$9:$P$12,'Tax Assumptions'!$P$9:$P$12))*LOOKUP(W399,'Tax Assumptions'!$P$9:$P$12,'Tax Assumptions'!$R$9:$R$12))</f>
        <v>8070480.54</v>
      </c>
      <c r="Y399" s="230">
        <f t="shared" si="212"/>
        <v>7205019.46</v>
      </c>
      <c r="Z399" s="230">
        <f>IF(J399&lt;=10,INDEX('Savings Projection'!$BL$19:$BL$28,J399),LOOKUP(2,1/('Savings Projection'!$BL$19:$BL$28&lt;&gt;""),'Savings Projection'!$BL$19:$BL$28))*(1+'Model Inputs'!$B$35)^(J399-1)+IF(J399&lt;=10,INDEX('Savings Projection'!$BM$19:$BM$28,J399),LOOKUP(2,1/('Savings Projection'!$BM$19:$BM$28&lt;&gt;""),'Savings Projection'!$BM$19:$BM$28))*(1+'Model Inputs'!$B$36)^(J399-1)</f>
        <v>227955.78690002306</v>
      </c>
      <c r="AA399" s="230">
        <f t="shared" si="213"/>
        <v>6977063.673099977</v>
      </c>
      <c r="AB399" s="230">
        <f>MIN(MAX(AA399,0),'Tax Assumptions'!$B$20)</f>
        <v>7500</v>
      </c>
      <c r="AC399" s="230">
        <f t="shared" si="214"/>
        <v>6969563.673099977</v>
      </c>
      <c r="AD399" s="230">
        <f>MAX(AD398*(1+'Model Inputs'!$B$13)+AC399,0)</f>
        <v>156326890.1086756</v>
      </c>
      <c r="AE399" s="230">
        <f>MAX(AE398*(1+'Model Inputs'!$B$13)+U399+AB399,0)</f>
        <v>1177138.9185135181</v>
      </c>
      <c r="AF399" s="230">
        <f t="shared" si="215"/>
        <v>157504029.02718911</v>
      </c>
      <c r="AG399" s="226" t="str">
        <f t="shared" si="224"/>
        <v/>
      </c>
      <c r="AH399" s="226" t="str">
        <f t="shared" si="225"/>
        <v/>
      </c>
      <c r="AI399" s="226" t="str">
        <f t="shared" si="226"/>
        <v/>
      </c>
      <c r="AJ399" s="226" t="str">
        <f t="shared" si="227"/>
        <v/>
      </c>
    </row>
    <row r="400" spans="1:36" ht="18" customHeight="1" x14ac:dyDescent="0.2">
      <c r="A400" s="226" t="str">
        <f t="shared" si="216"/>
        <v>4Y -&gt; PM Y7 Tail</v>
      </c>
      <c r="B400" s="226">
        <f t="shared" si="217"/>
        <v>4</v>
      </c>
      <c r="C400" s="235">
        <f t="shared" si="218"/>
        <v>3</v>
      </c>
      <c r="D400" s="226">
        <f t="shared" si="219"/>
        <v>7</v>
      </c>
      <c r="E400" s="226" t="str">
        <f t="shared" si="220"/>
        <v>Tail</v>
      </c>
      <c r="F400" s="230">
        <f t="shared" si="221"/>
        <v>100000000</v>
      </c>
      <c r="G400" s="236">
        <f t="shared" si="222"/>
        <v>0.15</v>
      </c>
      <c r="H400" s="230">
        <f t="shared" si="223"/>
        <v>300000</v>
      </c>
      <c r="I400" s="236">
        <f t="shared" si="206"/>
        <v>0</v>
      </c>
      <c r="J400" s="234">
        <v>21</v>
      </c>
      <c r="K400" s="234">
        <f t="shared" si="207"/>
        <v>2046</v>
      </c>
      <c r="L400" s="230">
        <f>IF(J400=1,'Model Inputs'!$B$25*(13-'Model Inputs'!$B$23)/12,'Model Inputs'!$B$25)</f>
        <v>300000</v>
      </c>
      <c r="M400" s="230">
        <f>IF(J400=1,'Model Inputs'!$B$27*(13-'Model Inputs'!$B$23)/12,IF(J400=2,'Model Inputs'!$B$27,IF(J400&lt;=MAX(3,'Model Inputs'!$B$30+1),'Model Inputs'!$B$27*(1+'Model Inputs'!$B$28)^(J400-3),'Model Inputs'!$B$27*(1+'Model Inputs'!$B$28)^(MAX(3,'Model Inputs'!$B$30+1)-3)*(1+'Model Inputs'!$B$29)^(J400-MAX(3,'Model Inputs'!$B$30+1)))))</f>
        <v>43992870.912849829</v>
      </c>
      <c r="N400" s="236">
        <f>IF(J400&lt;=2,0,'Model Inputs'!$B$32*SIN(2*PI()*(J400-3+'Model Inputs'!$B$34)/MAX(1,'Model Inputs'!$B$33)))</f>
        <v>-1.7634913907721884E-16</v>
      </c>
      <c r="O400" s="230">
        <f t="shared" si="208"/>
        <v>43992870.912849821</v>
      </c>
      <c r="P400" s="230">
        <f t="shared" si="228"/>
        <v>30781203.440388259</v>
      </c>
      <c r="Q400" s="230">
        <f>L400+P400+IF(J400=1,'Model Inputs'!$B$26,0)</f>
        <v>31081203.440388259</v>
      </c>
      <c r="R400" s="230">
        <f t="shared" si="209"/>
        <v>93243610.321164772</v>
      </c>
      <c r="S400" s="230">
        <f t="shared" si="210"/>
        <v>15300000</v>
      </c>
      <c r="T400" s="230">
        <f t="shared" si="211"/>
        <v>15300000</v>
      </c>
      <c r="U400" s="230">
        <f>MIN(T400,'Tax Assumptions'!$B$19)</f>
        <v>24500</v>
      </c>
      <c r="V400" s="230">
        <f>MAX(T400-U400-'Tax Assumptions'!$B$8,0)</f>
        <v>15259400</v>
      </c>
      <c r="W400" s="230">
        <f>MAX(T400-U400-'Tax Assumptions'!$B$9,0)</f>
        <v>15267500</v>
      </c>
      <c r="X400" s="230">
        <f>IF(V400=0,0,LOOKUP(V400,'Tax Assumptions'!$F$9:$F$15,'Tax Assumptions'!$I$9:$I$15)+(V400-LOOKUP(V400,'Tax Assumptions'!$F$9:$F$15,'Tax Assumptions'!$F$9:$F$15))*LOOKUP(V400,'Tax Assumptions'!$F$9:$F$15,'Tax Assumptions'!$H$9:$H$15))+MIN(MAX(T400,0),'Tax Assumptions'!$B$11)*'Tax Assumptions'!$B$10+MAX(T400,0)*'Tax Assumptions'!$B$12+MAX(MAX(T400,0)-'Tax Assumptions'!$B$14,0)*'Tax Assumptions'!$B$13+MIN(T400*'Tax Assumptions'!$B$15,'Tax Assumptions'!$B$16)+MIN(T400*'Tax Assumptions'!$B$17,'Tax Assumptions'!$B$18)+IF(W400=0,0,LOOKUP(W400,'Tax Assumptions'!$K$9:$K$17,'Tax Assumptions'!$N$9:$N$17)+(W400-LOOKUP(W400,'Tax Assumptions'!$K$9:$K$17,'Tax Assumptions'!$K$9:$K$17))*LOOKUP(W400,'Tax Assumptions'!$K$9:$K$17,'Tax Assumptions'!$M$9:$M$17))+IF(W400=0,0,LOOKUP(W400,'Tax Assumptions'!$P$9:$P$12,'Tax Assumptions'!$S$9:$S$12)+(W400-LOOKUP(W400,'Tax Assumptions'!$P$9:$P$12,'Tax Assumptions'!$P$9:$P$12))*LOOKUP(W400,'Tax Assumptions'!$P$9:$P$12,'Tax Assumptions'!$R$9:$R$12))</f>
        <v>8070480.54</v>
      </c>
      <c r="Y400" s="230">
        <f t="shared" si="212"/>
        <v>7205019.46</v>
      </c>
      <c r="Z400" s="230">
        <f>IF(J400&lt;=10,INDEX('Savings Projection'!$BL$19:$BL$28,J400),LOOKUP(2,1/('Savings Projection'!$BL$19:$BL$28&lt;&gt;""),'Savings Projection'!$BL$19:$BL$28))*(1+'Model Inputs'!$B$35)^(J400-1)+IF(J400&lt;=10,INDEX('Savings Projection'!$BM$19:$BM$28,J400),LOOKUP(2,1/('Savings Projection'!$BM$19:$BM$28&lt;&gt;""),'Savings Projection'!$BM$19:$BM$28))*(1+'Model Inputs'!$B$36)^(J400-1)</f>
        <v>234794.46050702373</v>
      </c>
      <c r="AA400" s="230">
        <f t="shared" si="213"/>
        <v>6970224.9994929759</v>
      </c>
      <c r="AB400" s="230">
        <f>MIN(MAX(AA400,0),'Tax Assumptions'!$B$20)</f>
        <v>7500</v>
      </c>
      <c r="AC400" s="230">
        <f t="shared" si="214"/>
        <v>6962724.9994929759</v>
      </c>
      <c r="AD400" s="230">
        <f>MAX(AD399*(1+'Model Inputs'!$B$13)+AC400,0)</f>
        <v>172669228.51468912</v>
      </c>
      <c r="AE400" s="230">
        <f>MAX(AE399*(1+'Model Inputs'!$B$13)+U400+AB400,0)</f>
        <v>1279767.2536243291</v>
      </c>
      <c r="AF400" s="230">
        <f t="shared" si="215"/>
        <v>173948995.76831344</v>
      </c>
      <c r="AG400" s="226" t="str">
        <f t="shared" si="224"/>
        <v/>
      </c>
      <c r="AH400" s="226" t="str">
        <f t="shared" si="225"/>
        <v/>
      </c>
      <c r="AI400" s="226" t="str">
        <f t="shared" si="226"/>
        <v/>
      </c>
      <c r="AJ400" s="226" t="str">
        <f t="shared" si="227"/>
        <v/>
      </c>
    </row>
    <row r="401" spans="1:36" ht="18" customHeight="1" x14ac:dyDescent="0.2">
      <c r="A401" s="226" t="str">
        <f t="shared" si="216"/>
        <v>4Y -&gt; PM Y7 Tail</v>
      </c>
      <c r="B401" s="226">
        <f t="shared" si="217"/>
        <v>4</v>
      </c>
      <c r="C401" s="235">
        <f t="shared" si="218"/>
        <v>3</v>
      </c>
      <c r="D401" s="226">
        <f t="shared" si="219"/>
        <v>7</v>
      </c>
      <c r="E401" s="226" t="str">
        <f t="shared" si="220"/>
        <v>Tail</v>
      </c>
      <c r="F401" s="230">
        <f t="shared" si="221"/>
        <v>100000000</v>
      </c>
      <c r="G401" s="236">
        <f t="shared" si="222"/>
        <v>0.15</v>
      </c>
      <c r="H401" s="230">
        <f t="shared" si="223"/>
        <v>300000</v>
      </c>
      <c r="I401" s="236">
        <f t="shared" si="206"/>
        <v>0</v>
      </c>
      <c r="J401" s="234">
        <v>22</v>
      </c>
      <c r="K401" s="234">
        <f t="shared" si="207"/>
        <v>2047</v>
      </c>
      <c r="L401" s="230">
        <f>IF(J401=1,'Model Inputs'!$B$25*(13-'Model Inputs'!$B$23)/12,'Model Inputs'!$B$25)</f>
        <v>300000</v>
      </c>
      <c r="M401" s="230">
        <f>IF(J401=1,'Model Inputs'!$B$27*(13-'Model Inputs'!$B$23)/12,IF(J401=2,'Model Inputs'!$B$27,IF(J401&lt;=MAX(3,'Model Inputs'!$B$30+1),'Model Inputs'!$B$27*(1+'Model Inputs'!$B$28)^(J401-3),'Model Inputs'!$B$27*(1+'Model Inputs'!$B$28)^(MAX(3,'Model Inputs'!$B$30+1)-3)*(1+'Model Inputs'!$B$29)^(J401-MAX(3,'Model Inputs'!$B$30+1)))))</f>
        <v>55909546.9462616</v>
      </c>
      <c r="N401" s="236">
        <f>IF(J401&lt;=2,0,'Model Inputs'!$B$32*SIN(2*PI()*(J401-3+'Model Inputs'!$B$34)/MAX(1,'Model Inputs'!$B$33)))</f>
        <v>0.10392304845413287</v>
      </c>
      <c r="O401" s="230">
        <f t="shared" si="208"/>
        <v>61719837.502606563</v>
      </c>
      <c r="P401" s="230">
        <f t="shared" si="228"/>
        <v>40749334.43282336</v>
      </c>
      <c r="Q401" s="230">
        <f>L401+P401+IF(J401=1,'Model Inputs'!$B$26,0)</f>
        <v>41049334.43282336</v>
      </c>
      <c r="R401" s="230">
        <f t="shared" si="209"/>
        <v>123148003.29847008</v>
      </c>
      <c r="S401" s="230">
        <f t="shared" si="210"/>
        <v>15300000</v>
      </c>
      <c r="T401" s="230">
        <f t="shared" si="211"/>
        <v>15300000</v>
      </c>
      <c r="U401" s="230">
        <f>MIN(T401,'Tax Assumptions'!$B$19)</f>
        <v>24500</v>
      </c>
      <c r="V401" s="230">
        <f>MAX(T401-U401-'Tax Assumptions'!$B$8,0)</f>
        <v>15259400</v>
      </c>
      <c r="W401" s="230">
        <f>MAX(T401-U401-'Tax Assumptions'!$B$9,0)</f>
        <v>15267500</v>
      </c>
      <c r="X401" s="230">
        <f>IF(V401=0,0,LOOKUP(V401,'Tax Assumptions'!$F$9:$F$15,'Tax Assumptions'!$I$9:$I$15)+(V401-LOOKUP(V401,'Tax Assumptions'!$F$9:$F$15,'Tax Assumptions'!$F$9:$F$15))*LOOKUP(V401,'Tax Assumptions'!$F$9:$F$15,'Tax Assumptions'!$H$9:$H$15))+MIN(MAX(T401,0),'Tax Assumptions'!$B$11)*'Tax Assumptions'!$B$10+MAX(T401,0)*'Tax Assumptions'!$B$12+MAX(MAX(T401,0)-'Tax Assumptions'!$B$14,0)*'Tax Assumptions'!$B$13+MIN(T401*'Tax Assumptions'!$B$15,'Tax Assumptions'!$B$16)+MIN(T401*'Tax Assumptions'!$B$17,'Tax Assumptions'!$B$18)+IF(W401=0,0,LOOKUP(W401,'Tax Assumptions'!$K$9:$K$17,'Tax Assumptions'!$N$9:$N$17)+(W401-LOOKUP(W401,'Tax Assumptions'!$K$9:$K$17,'Tax Assumptions'!$K$9:$K$17))*LOOKUP(W401,'Tax Assumptions'!$K$9:$K$17,'Tax Assumptions'!$M$9:$M$17))+IF(W401=0,0,LOOKUP(W401,'Tax Assumptions'!$P$9:$P$12,'Tax Assumptions'!$S$9:$S$12)+(W401-LOOKUP(W401,'Tax Assumptions'!$P$9:$P$12,'Tax Assumptions'!$P$9:$P$12))*LOOKUP(W401,'Tax Assumptions'!$P$9:$P$12,'Tax Assumptions'!$R$9:$R$12))</f>
        <v>8070480.54</v>
      </c>
      <c r="Y401" s="230">
        <f t="shared" si="212"/>
        <v>7205019.46</v>
      </c>
      <c r="Z401" s="230">
        <f>IF(J401&lt;=10,INDEX('Savings Projection'!$BL$19:$BL$28,J401),LOOKUP(2,1/('Savings Projection'!$BL$19:$BL$28&lt;&gt;""),'Savings Projection'!$BL$19:$BL$28))*(1+'Model Inputs'!$B$35)^(J401-1)+IF(J401&lt;=10,INDEX('Savings Projection'!$BM$19:$BM$28,J401),LOOKUP(2,1/('Savings Projection'!$BM$19:$BM$28&lt;&gt;""),'Savings Projection'!$BM$19:$BM$28))*(1+'Model Inputs'!$B$36)^(J401-1)</f>
        <v>241838.2943222344</v>
      </c>
      <c r="AA401" s="230">
        <f t="shared" si="213"/>
        <v>6963181.1656777654</v>
      </c>
      <c r="AB401" s="230">
        <f>MIN(MAX(AA401,0),'Tax Assumptions'!$B$20)</f>
        <v>7500</v>
      </c>
      <c r="AC401" s="230">
        <f t="shared" si="214"/>
        <v>6955681.1656777654</v>
      </c>
      <c r="AD401" s="230">
        <f>MAX(AD400*(1+'Model Inputs'!$B$13)+AC401,0)</f>
        <v>189985063.39124823</v>
      </c>
      <c r="AE401" s="230">
        <f>MAX(AE400*(1+'Model Inputs'!$B$13)+U401+AB401,0)</f>
        <v>1388553.2888417889</v>
      </c>
      <c r="AF401" s="230">
        <f t="shared" si="215"/>
        <v>191373616.68009001</v>
      </c>
      <c r="AG401" s="226" t="str">
        <f t="shared" si="224"/>
        <v/>
      </c>
      <c r="AH401" s="226" t="str">
        <f t="shared" si="225"/>
        <v/>
      </c>
      <c r="AI401" s="226" t="str">
        <f t="shared" si="226"/>
        <v/>
      </c>
      <c r="AJ401" s="226" t="str">
        <f t="shared" si="227"/>
        <v/>
      </c>
    </row>
    <row r="402" spans="1:36" ht="18" customHeight="1" x14ac:dyDescent="0.2">
      <c r="A402" s="226" t="str">
        <f t="shared" si="216"/>
        <v>4Y -&gt; PM Y7 Tail</v>
      </c>
      <c r="B402" s="226">
        <f t="shared" si="217"/>
        <v>4</v>
      </c>
      <c r="C402" s="235">
        <f t="shared" si="218"/>
        <v>3</v>
      </c>
      <c r="D402" s="226">
        <f t="shared" si="219"/>
        <v>7</v>
      </c>
      <c r="E402" s="226" t="str">
        <f t="shared" si="220"/>
        <v>Tail</v>
      </c>
      <c r="F402" s="230">
        <f t="shared" si="221"/>
        <v>100000000</v>
      </c>
      <c r="G402" s="236">
        <f t="shared" si="222"/>
        <v>0.15</v>
      </c>
      <c r="H402" s="230">
        <f t="shared" si="223"/>
        <v>300000</v>
      </c>
      <c r="I402" s="236">
        <f t="shared" si="206"/>
        <v>0</v>
      </c>
      <c r="J402" s="234">
        <v>23</v>
      </c>
      <c r="K402" s="234">
        <f t="shared" si="207"/>
        <v>2048</v>
      </c>
      <c r="L402" s="230">
        <f>IF(J402=1,'Model Inputs'!$B$25*(13-'Model Inputs'!$B$23)/12,'Model Inputs'!$B$25)</f>
        <v>300000</v>
      </c>
      <c r="M402" s="230">
        <f>IF(J402=1,'Model Inputs'!$B$27*(13-'Model Inputs'!$B$23)/12,IF(J402=2,'Model Inputs'!$B$27,IF(J402&lt;=MAX(3,'Model Inputs'!$B$30+1),'Model Inputs'!$B$27*(1+'Model Inputs'!$B$28)^(J402-3),'Model Inputs'!$B$27*(1+'Model Inputs'!$B$28)^(MAX(3,'Model Inputs'!$B$30+1)-3)*(1+'Model Inputs'!$B$29)^(J402-MAX(3,'Model Inputs'!$B$30+1)))))</f>
        <v>71054181.617940187</v>
      </c>
      <c r="N402" s="236">
        <f>IF(J402&lt;=2,0,'Model Inputs'!$B$32*SIN(2*PI()*(J402-3+'Model Inputs'!$B$34)/MAX(1,'Model Inputs'!$B$33)))</f>
        <v>-0.10392304845413268</v>
      </c>
      <c r="O402" s="230">
        <f t="shared" si="208"/>
        <v>63670014.458790243</v>
      </c>
      <c r="P402" s="230">
        <f t="shared" si="228"/>
        <v>57288095.855167374</v>
      </c>
      <c r="Q402" s="230">
        <f>L402+P402+IF(J402=1,'Model Inputs'!$B$26,0)</f>
        <v>57588095.855167374</v>
      </c>
      <c r="R402" s="230">
        <f t="shared" si="209"/>
        <v>172764287.56550211</v>
      </c>
      <c r="S402" s="230">
        <f t="shared" si="210"/>
        <v>15300000</v>
      </c>
      <c r="T402" s="230">
        <f t="shared" si="211"/>
        <v>15300000</v>
      </c>
      <c r="U402" s="230">
        <f>MIN(T402,'Tax Assumptions'!$B$19)</f>
        <v>24500</v>
      </c>
      <c r="V402" s="230">
        <f>MAX(T402-U402-'Tax Assumptions'!$B$8,0)</f>
        <v>15259400</v>
      </c>
      <c r="W402" s="230">
        <f>MAX(T402-U402-'Tax Assumptions'!$B$9,0)</f>
        <v>15267500</v>
      </c>
      <c r="X402" s="230">
        <f>IF(V402=0,0,LOOKUP(V402,'Tax Assumptions'!$F$9:$F$15,'Tax Assumptions'!$I$9:$I$15)+(V402-LOOKUP(V402,'Tax Assumptions'!$F$9:$F$15,'Tax Assumptions'!$F$9:$F$15))*LOOKUP(V402,'Tax Assumptions'!$F$9:$F$15,'Tax Assumptions'!$H$9:$H$15))+MIN(MAX(T402,0),'Tax Assumptions'!$B$11)*'Tax Assumptions'!$B$10+MAX(T402,0)*'Tax Assumptions'!$B$12+MAX(MAX(T402,0)-'Tax Assumptions'!$B$14,0)*'Tax Assumptions'!$B$13+MIN(T402*'Tax Assumptions'!$B$15,'Tax Assumptions'!$B$16)+MIN(T402*'Tax Assumptions'!$B$17,'Tax Assumptions'!$B$18)+IF(W402=0,0,LOOKUP(W402,'Tax Assumptions'!$K$9:$K$17,'Tax Assumptions'!$N$9:$N$17)+(W402-LOOKUP(W402,'Tax Assumptions'!$K$9:$K$17,'Tax Assumptions'!$K$9:$K$17))*LOOKUP(W402,'Tax Assumptions'!$K$9:$K$17,'Tax Assumptions'!$M$9:$M$17))+IF(W402=0,0,LOOKUP(W402,'Tax Assumptions'!$P$9:$P$12,'Tax Assumptions'!$S$9:$S$12)+(W402-LOOKUP(W402,'Tax Assumptions'!$P$9:$P$12,'Tax Assumptions'!$P$9:$P$12))*LOOKUP(W402,'Tax Assumptions'!$P$9:$P$12,'Tax Assumptions'!$R$9:$R$12))</f>
        <v>8070480.54</v>
      </c>
      <c r="Y402" s="230">
        <f t="shared" si="212"/>
        <v>7205019.46</v>
      </c>
      <c r="Z402" s="230">
        <f>IF(J402&lt;=10,INDEX('Savings Projection'!$BL$19:$BL$28,J402),LOOKUP(2,1/('Savings Projection'!$BL$19:$BL$28&lt;&gt;""),'Savings Projection'!$BL$19:$BL$28))*(1+'Model Inputs'!$B$35)^(J402-1)+IF(J402&lt;=10,INDEX('Savings Projection'!$BM$19:$BM$28,J402),LOOKUP(2,1/('Savings Projection'!$BM$19:$BM$28&lt;&gt;""),'Savings Projection'!$BM$19:$BM$28))*(1+'Model Inputs'!$B$36)^(J402-1)</f>
        <v>249093.44315190148</v>
      </c>
      <c r="AA402" s="230">
        <f t="shared" si="213"/>
        <v>6955926.0168480985</v>
      </c>
      <c r="AB402" s="230">
        <f>MIN(MAX(AA402,0),'Tax Assumptions'!$B$20)</f>
        <v>7500</v>
      </c>
      <c r="AC402" s="230">
        <f t="shared" si="214"/>
        <v>6948426.0168480985</v>
      </c>
      <c r="AD402" s="230">
        <f>MAX(AD401*(1+'Model Inputs'!$B$13)+AC402,0)</f>
        <v>208332593.21157122</v>
      </c>
      <c r="AE402" s="230">
        <f>MAX(AE401*(1+'Model Inputs'!$B$13)+U402+AB402,0)</f>
        <v>1503866.4861722963</v>
      </c>
      <c r="AF402" s="230">
        <f t="shared" si="215"/>
        <v>209836459.69774351</v>
      </c>
      <c r="AG402" s="226" t="str">
        <f t="shared" si="224"/>
        <v/>
      </c>
      <c r="AH402" s="226" t="str">
        <f t="shared" si="225"/>
        <v/>
      </c>
      <c r="AI402" s="226" t="str">
        <f t="shared" si="226"/>
        <v/>
      </c>
      <c r="AJ402" s="226" t="str">
        <f t="shared" si="227"/>
        <v/>
      </c>
    </row>
    <row r="403" spans="1:36" ht="18" customHeight="1" x14ac:dyDescent="0.2">
      <c r="A403" s="226" t="str">
        <f t="shared" si="216"/>
        <v>4Y -&gt; PM Y7 Tail</v>
      </c>
      <c r="B403" s="226">
        <f t="shared" si="217"/>
        <v>4</v>
      </c>
      <c r="C403" s="235">
        <f t="shared" si="218"/>
        <v>3</v>
      </c>
      <c r="D403" s="226">
        <f t="shared" si="219"/>
        <v>7</v>
      </c>
      <c r="E403" s="226" t="str">
        <f t="shared" si="220"/>
        <v>Tail</v>
      </c>
      <c r="F403" s="230">
        <f t="shared" si="221"/>
        <v>100000000</v>
      </c>
      <c r="G403" s="236">
        <f t="shared" si="222"/>
        <v>0.15</v>
      </c>
      <c r="H403" s="230">
        <f t="shared" si="223"/>
        <v>300000</v>
      </c>
      <c r="I403" s="236">
        <f t="shared" si="206"/>
        <v>0</v>
      </c>
      <c r="J403" s="234">
        <v>24</v>
      </c>
      <c r="K403" s="234">
        <f t="shared" si="207"/>
        <v>2049</v>
      </c>
      <c r="L403" s="230">
        <f>IF(J403=1,'Model Inputs'!$B$25*(13-'Model Inputs'!$B$23)/12,'Model Inputs'!$B$25)</f>
        <v>300000</v>
      </c>
      <c r="M403" s="230">
        <f>IF(J403=1,'Model Inputs'!$B$27*(13-'Model Inputs'!$B$23)/12,IF(J403=2,'Model Inputs'!$B$27,IF(J403&lt;=MAX(3,'Model Inputs'!$B$30+1),'Model Inputs'!$B$27*(1+'Model Inputs'!$B$28)^(J403-3),'Model Inputs'!$B$27*(1+'Model Inputs'!$B$28)^(MAX(3,'Model Inputs'!$B$30+1)-3)*(1+'Model Inputs'!$B$29)^(J403-MAX(3,'Model Inputs'!$B$30+1)))))</f>
        <v>90301156.084270701</v>
      </c>
      <c r="N403" s="236">
        <f>IF(J403&lt;=2,0,'Model Inputs'!$B$32*SIN(2*PI()*(J403-3+'Model Inputs'!$B$34)/MAX(1,'Model Inputs'!$B$33)))</f>
        <v>-2.0574066225675533E-16</v>
      </c>
      <c r="O403" s="230">
        <f t="shared" si="208"/>
        <v>90301156.084270686</v>
      </c>
      <c r="P403" s="230">
        <f t="shared" si="228"/>
        <v>63182470.219744325</v>
      </c>
      <c r="Q403" s="230">
        <f>L403+P403+IF(J403=1,'Model Inputs'!$B$26,0)</f>
        <v>63482470.219744325</v>
      </c>
      <c r="R403" s="230">
        <f t="shared" si="209"/>
        <v>190447410.65923297</v>
      </c>
      <c r="S403" s="230">
        <f t="shared" si="210"/>
        <v>15300000</v>
      </c>
      <c r="T403" s="230">
        <f t="shared" si="211"/>
        <v>15300000</v>
      </c>
      <c r="U403" s="230">
        <f>MIN(T403,'Tax Assumptions'!$B$19)</f>
        <v>24500</v>
      </c>
      <c r="V403" s="230">
        <f>MAX(T403-U403-'Tax Assumptions'!$B$8,0)</f>
        <v>15259400</v>
      </c>
      <c r="W403" s="230">
        <f>MAX(T403-U403-'Tax Assumptions'!$B$9,0)</f>
        <v>15267500</v>
      </c>
      <c r="X403" s="230">
        <f>IF(V403=0,0,LOOKUP(V403,'Tax Assumptions'!$F$9:$F$15,'Tax Assumptions'!$I$9:$I$15)+(V403-LOOKUP(V403,'Tax Assumptions'!$F$9:$F$15,'Tax Assumptions'!$F$9:$F$15))*LOOKUP(V403,'Tax Assumptions'!$F$9:$F$15,'Tax Assumptions'!$H$9:$H$15))+MIN(MAX(T403,0),'Tax Assumptions'!$B$11)*'Tax Assumptions'!$B$10+MAX(T403,0)*'Tax Assumptions'!$B$12+MAX(MAX(T403,0)-'Tax Assumptions'!$B$14,0)*'Tax Assumptions'!$B$13+MIN(T403*'Tax Assumptions'!$B$15,'Tax Assumptions'!$B$16)+MIN(T403*'Tax Assumptions'!$B$17,'Tax Assumptions'!$B$18)+IF(W403=0,0,LOOKUP(W403,'Tax Assumptions'!$K$9:$K$17,'Tax Assumptions'!$N$9:$N$17)+(W403-LOOKUP(W403,'Tax Assumptions'!$K$9:$K$17,'Tax Assumptions'!$K$9:$K$17))*LOOKUP(W403,'Tax Assumptions'!$K$9:$K$17,'Tax Assumptions'!$M$9:$M$17))+IF(W403=0,0,LOOKUP(W403,'Tax Assumptions'!$P$9:$P$12,'Tax Assumptions'!$S$9:$S$12)+(W403-LOOKUP(W403,'Tax Assumptions'!$P$9:$P$12,'Tax Assumptions'!$P$9:$P$12))*LOOKUP(W403,'Tax Assumptions'!$P$9:$P$12,'Tax Assumptions'!$R$9:$R$12))</f>
        <v>8070480.54</v>
      </c>
      <c r="Y403" s="230">
        <f t="shared" si="212"/>
        <v>7205019.46</v>
      </c>
      <c r="Z403" s="230">
        <f>IF(J403&lt;=10,INDEX('Savings Projection'!$BL$19:$BL$28,J403),LOOKUP(2,1/('Savings Projection'!$BL$19:$BL$28&lt;&gt;""),'Savings Projection'!$BL$19:$BL$28))*(1+'Model Inputs'!$B$35)^(J403-1)+IF(J403&lt;=10,INDEX('Savings Projection'!$BM$19:$BM$28,J403),LOOKUP(2,1/('Savings Projection'!$BM$19:$BM$28&lt;&gt;""),'Savings Projection'!$BM$19:$BM$28))*(1+'Model Inputs'!$B$36)^(J403-1)</f>
        <v>256566.24644645851</v>
      </c>
      <c r="AA403" s="230">
        <f t="shared" si="213"/>
        <v>6948453.2135535413</v>
      </c>
      <c r="AB403" s="230">
        <f>MIN(MAX(AA403,0),'Tax Assumptions'!$B$20)</f>
        <v>7500</v>
      </c>
      <c r="AC403" s="230">
        <f t="shared" si="214"/>
        <v>6940953.2135535413</v>
      </c>
      <c r="AD403" s="230">
        <f>MAX(AD402*(1+'Model Inputs'!$B$13)+AC403,0)</f>
        <v>227773502.01781905</v>
      </c>
      <c r="AE403" s="230">
        <f>MAX(AE402*(1+'Model Inputs'!$B$13)+U403+AB403,0)</f>
        <v>1626098.4753426341</v>
      </c>
      <c r="AF403" s="230">
        <f t="shared" si="215"/>
        <v>229399600.49316168</v>
      </c>
      <c r="AG403" s="226" t="str">
        <f t="shared" si="224"/>
        <v/>
      </c>
      <c r="AH403" s="226" t="str">
        <f t="shared" si="225"/>
        <v/>
      </c>
      <c r="AI403" s="226" t="str">
        <f t="shared" si="226"/>
        <v/>
      </c>
      <c r="AJ403" s="226" t="str">
        <f t="shared" si="227"/>
        <v/>
      </c>
    </row>
    <row r="404" spans="1:36" ht="18" customHeight="1" x14ac:dyDescent="0.2">
      <c r="A404" s="226" t="str">
        <f t="shared" si="216"/>
        <v>4Y -&gt; PM Y7 Tail</v>
      </c>
      <c r="B404" s="226">
        <f t="shared" si="217"/>
        <v>4</v>
      </c>
      <c r="C404" s="235">
        <f t="shared" si="218"/>
        <v>3</v>
      </c>
      <c r="D404" s="226">
        <f t="shared" si="219"/>
        <v>7</v>
      </c>
      <c r="E404" s="226" t="str">
        <f t="shared" si="220"/>
        <v>Tail</v>
      </c>
      <c r="F404" s="230">
        <f t="shared" si="221"/>
        <v>100000000</v>
      </c>
      <c r="G404" s="236">
        <f t="shared" si="222"/>
        <v>0.15</v>
      </c>
      <c r="H404" s="230">
        <f t="shared" si="223"/>
        <v>300000</v>
      </c>
      <c r="I404" s="236">
        <f t="shared" si="206"/>
        <v>0</v>
      </c>
      <c r="J404" s="234">
        <v>25</v>
      </c>
      <c r="K404" s="234">
        <f t="shared" si="207"/>
        <v>2050</v>
      </c>
      <c r="L404" s="230">
        <f>IF(J404=1,'Model Inputs'!$B$25*(13-'Model Inputs'!$B$23)/12,'Model Inputs'!$B$25)</f>
        <v>300000</v>
      </c>
      <c r="M404" s="230">
        <f>IF(J404=1,'Model Inputs'!$B$27*(13-'Model Inputs'!$B$23)/12,IF(J404=2,'Model Inputs'!$B$27,IF(J404&lt;=MAX(3,'Model Inputs'!$B$30+1),'Model Inputs'!$B$27*(1+'Model Inputs'!$B$28)^(J404-3),'Model Inputs'!$B$27*(1+'Model Inputs'!$B$28)^(MAX(3,'Model Inputs'!$B$30+1)-3)*(1+'Model Inputs'!$B$29)^(J404-MAX(3,'Model Inputs'!$B$30+1)))))</f>
        <v>114761701.62653697</v>
      </c>
      <c r="N404" s="236">
        <f>IF(J404&lt;=2,0,'Model Inputs'!$B$32*SIN(2*PI()*(J404-3+'Model Inputs'!$B$34)/MAX(1,'Model Inputs'!$B$33)))</f>
        <v>0.10392304845413287</v>
      </c>
      <c r="O404" s="230">
        <f t="shared" si="208"/>
        <v>126688087.50535031</v>
      </c>
      <c r="P404" s="230">
        <f t="shared" si="228"/>
        <v>83643370.677900568</v>
      </c>
      <c r="Q404" s="230">
        <f>L404+P404+IF(J404=1,'Model Inputs'!$B$26,0)</f>
        <v>83943370.677900568</v>
      </c>
      <c r="R404" s="230">
        <f t="shared" si="209"/>
        <v>251830112.03370172</v>
      </c>
      <c r="S404" s="230">
        <f t="shared" si="210"/>
        <v>15300000</v>
      </c>
      <c r="T404" s="230">
        <f t="shared" si="211"/>
        <v>15300000</v>
      </c>
      <c r="U404" s="230">
        <f>MIN(T404,'Tax Assumptions'!$B$19)</f>
        <v>24500</v>
      </c>
      <c r="V404" s="230">
        <f>MAX(T404-U404-'Tax Assumptions'!$B$8,0)</f>
        <v>15259400</v>
      </c>
      <c r="W404" s="230">
        <f>MAX(T404-U404-'Tax Assumptions'!$B$9,0)</f>
        <v>15267500</v>
      </c>
      <c r="X404" s="230">
        <f>IF(V404=0,0,LOOKUP(V404,'Tax Assumptions'!$F$9:$F$15,'Tax Assumptions'!$I$9:$I$15)+(V404-LOOKUP(V404,'Tax Assumptions'!$F$9:$F$15,'Tax Assumptions'!$F$9:$F$15))*LOOKUP(V404,'Tax Assumptions'!$F$9:$F$15,'Tax Assumptions'!$H$9:$H$15))+MIN(MAX(T404,0),'Tax Assumptions'!$B$11)*'Tax Assumptions'!$B$10+MAX(T404,0)*'Tax Assumptions'!$B$12+MAX(MAX(T404,0)-'Tax Assumptions'!$B$14,0)*'Tax Assumptions'!$B$13+MIN(T404*'Tax Assumptions'!$B$15,'Tax Assumptions'!$B$16)+MIN(T404*'Tax Assumptions'!$B$17,'Tax Assumptions'!$B$18)+IF(W404=0,0,LOOKUP(W404,'Tax Assumptions'!$K$9:$K$17,'Tax Assumptions'!$N$9:$N$17)+(W404-LOOKUP(W404,'Tax Assumptions'!$K$9:$K$17,'Tax Assumptions'!$K$9:$K$17))*LOOKUP(W404,'Tax Assumptions'!$K$9:$K$17,'Tax Assumptions'!$M$9:$M$17))+IF(W404=0,0,LOOKUP(W404,'Tax Assumptions'!$P$9:$P$12,'Tax Assumptions'!$S$9:$S$12)+(W404-LOOKUP(W404,'Tax Assumptions'!$P$9:$P$12,'Tax Assumptions'!$P$9:$P$12))*LOOKUP(W404,'Tax Assumptions'!$P$9:$P$12,'Tax Assumptions'!$R$9:$R$12))</f>
        <v>8070480.54</v>
      </c>
      <c r="Y404" s="230">
        <f t="shared" si="212"/>
        <v>7205019.46</v>
      </c>
      <c r="Z404" s="230">
        <f>IF(J404&lt;=10,INDEX('Savings Projection'!$BL$19:$BL$28,J404),LOOKUP(2,1/('Savings Projection'!$BL$19:$BL$28&lt;&gt;""),'Savings Projection'!$BL$19:$BL$28))*(1+'Model Inputs'!$B$35)^(J404-1)+IF(J404&lt;=10,INDEX('Savings Projection'!$BM$19:$BM$28,J404),LOOKUP(2,1/('Savings Projection'!$BM$19:$BM$28&lt;&gt;""),'Savings Projection'!$BM$19:$BM$28))*(1+'Model Inputs'!$B$36)^(J404-1)</f>
        <v>264263.23383985227</v>
      </c>
      <c r="AA404" s="230">
        <f t="shared" si="213"/>
        <v>6940756.2261601482</v>
      </c>
      <c r="AB404" s="230">
        <f>MIN(MAX(AA404,0),'Tax Assumptions'!$B$20)</f>
        <v>7500</v>
      </c>
      <c r="AC404" s="230">
        <f t="shared" si="214"/>
        <v>6933256.2261601482</v>
      </c>
      <c r="AD404" s="230">
        <f>MAX(AD403*(1+'Model Inputs'!$B$13)+AC404,0)</f>
        <v>248373168.36504835</v>
      </c>
      <c r="AE404" s="230">
        <f>MAX(AE403*(1+'Model Inputs'!$B$13)+U404+AB404,0)</f>
        <v>1755664.3838631923</v>
      </c>
      <c r="AF404" s="230">
        <f t="shared" si="215"/>
        <v>250128832.74891153</v>
      </c>
      <c r="AG404" s="226" t="str">
        <f t="shared" si="224"/>
        <v/>
      </c>
      <c r="AH404" s="226" t="str">
        <f t="shared" si="225"/>
        <v/>
      </c>
      <c r="AI404" s="226" t="str">
        <f t="shared" si="226"/>
        <v/>
      </c>
      <c r="AJ404" s="226" t="str">
        <f t="shared" si="227"/>
        <v/>
      </c>
    </row>
    <row r="405" spans="1:36" ht="18" customHeight="1" x14ac:dyDescent="0.2">
      <c r="A405" s="226" t="str">
        <f t="shared" si="216"/>
        <v>4Y -&gt; PM Y7 Tail</v>
      </c>
      <c r="B405" s="226">
        <f t="shared" si="217"/>
        <v>4</v>
      </c>
      <c r="C405" s="235">
        <f t="shared" si="218"/>
        <v>3</v>
      </c>
      <c r="D405" s="226">
        <f t="shared" si="219"/>
        <v>7</v>
      </c>
      <c r="E405" s="226" t="str">
        <f t="shared" si="220"/>
        <v>Tail</v>
      </c>
      <c r="F405" s="230">
        <f t="shared" si="221"/>
        <v>100000000</v>
      </c>
      <c r="G405" s="236">
        <f t="shared" si="222"/>
        <v>0.15</v>
      </c>
      <c r="H405" s="230">
        <f t="shared" si="223"/>
        <v>300000</v>
      </c>
      <c r="I405" s="236">
        <f t="shared" si="206"/>
        <v>0</v>
      </c>
      <c r="J405" s="234">
        <v>26</v>
      </c>
      <c r="K405" s="234">
        <f t="shared" si="207"/>
        <v>2051</v>
      </c>
      <c r="L405" s="230">
        <f>IF(J405=1,'Model Inputs'!$B$25*(13-'Model Inputs'!$B$23)/12,'Model Inputs'!$B$25)</f>
        <v>300000</v>
      </c>
      <c r="M405" s="230">
        <f>IF(J405=1,'Model Inputs'!$B$27*(13-'Model Inputs'!$B$23)/12,IF(J405=2,'Model Inputs'!$B$27,IF(J405&lt;=MAX(3,'Model Inputs'!$B$30+1),'Model Inputs'!$B$27*(1+'Model Inputs'!$B$28)^(J405-3),'Model Inputs'!$B$27*(1+'Model Inputs'!$B$28)^(MAX(3,'Model Inputs'!$B$30+1)-3)*(1+'Model Inputs'!$B$29)^(J405-MAX(3,'Model Inputs'!$B$30+1)))))</f>
        <v>145848057.00524563</v>
      </c>
      <c r="N405" s="236">
        <f>IF(J405&lt;=2,0,'Model Inputs'!$B$32*SIN(2*PI()*(J405-3+'Model Inputs'!$B$34)/MAX(1,'Model Inputs'!$B$33)))</f>
        <v>-0.10392304845413224</v>
      </c>
      <c r="O405" s="230">
        <f t="shared" si="208"/>
        <v>130691082.31014845</v>
      </c>
      <c r="P405" s="230">
        <f t="shared" si="228"/>
        <v>117591354.65008041</v>
      </c>
      <c r="Q405" s="230">
        <f>L405+P405+IF(J405=1,'Model Inputs'!$B$26,0)</f>
        <v>117891354.65008041</v>
      </c>
      <c r="R405" s="230">
        <f t="shared" si="209"/>
        <v>353674063.95024121</v>
      </c>
      <c r="S405" s="230">
        <f t="shared" si="210"/>
        <v>15300000</v>
      </c>
      <c r="T405" s="230">
        <f t="shared" si="211"/>
        <v>15300000</v>
      </c>
      <c r="U405" s="230">
        <f>MIN(T405,'Tax Assumptions'!$B$19)</f>
        <v>24500</v>
      </c>
      <c r="V405" s="230">
        <f>MAX(T405-U405-'Tax Assumptions'!$B$8,0)</f>
        <v>15259400</v>
      </c>
      <c r="W405" s="230">
        <f>MAX(T405-U405-'Tax Assumptions'!$B$9,0)</f>
        <v>15267500</v>
      </c>
      <c r="X405" s="230">
        <f>IF(V405=0,0,LOOKUP(V405,'Tax Assumptions'!$F$9:$F$15,'Tax Assumptions'!$I$9:$I$15)+(V405-LOOKUP(V405,'Tax Assumptions'!$F$9:$F$15,'Tax Assumptions'!$F$9:$F$15))*LOOKUP(V405,'Tax Assumptions'!$F$9:$F$15,'Tax Assumptions'!$H$9:$H$15))+MIN(MAX(T405,0),'Tax Assumptions'!$B$11)*'Tax Assumptions'!$B$10+MAX(T405,0)*'Tax Assumptions'!$B$12+MAX(MAX(T405,0)-'Tax Assumptions'!$B$14,0)*'Tax Assumptions'!$B$13+MIN(T405*'Tax Assumptions'!$B$15,'Tax Assumptions'!$B$16)+MIN(T405*'Tax Assumptions'!$B$17,'Tax Assumptions'!$B$18)+IF(W405=0,0,LOOKUP(W405,'Tax Assumptions'!$K$9:$K$17,'Tax Assumptions'!$N$9:$N$17)+(W405-LOOKUP(W405,'Tax Assumptions'!$K$9:$K$17,'Tax Assumptions'!$K$9:$K$17))*LOOKUP(W405,'Tax Assumptions'!$K$9:$K$17,'Tax Assumptions'!$M$9:$M$17))+IF(W405=0,0,LOOKUP(W405,'Tax Assumptions'!$P$9:$P$12,'Tax Assumptions'!$S$9:$S$12)+(W405-LOOKUP(W405,'Tax Assumptions'!$P$9:$P$12,'Tax Assumptions'!$P$9:$P$12))*LOOKUP(W405,'Tax Assumptions'!$P$9:$P$12,'Tax Assumptions'!$R$9:$R$12))</f>
        <v>8070480.54</v>
      </c>
      <c r="Y405" s="230">
        <f t="shared" si="212"/>
        <v>7205019.46</v>
      </c>
      <c r="Z405" s="230">
        <f>IF(J405&lt;=10,INDEX('Savings Projection'!$BL$19:$BL$28,J405),LOOKUP(2,1/('Savings Projection'!$BL$19:$BL$28&lt;&gt;""),'Savings Projection'!$BL$19:$BL$28))*(1+'Model Inputs'!$B$35)^(J405-1)+IF(J405&lt;=10,INDEX('Savings Projection'!$BM$19:$BM$28,J405),LOOKUP(2,1/('Savings Projection'!$BM$19:$BM$28&lt;&gt;""),'Savings Projection'!$BM$19:$BM$28))*(1+'Model Inputs'!$B$36)^(J405-1)</f>
        <v>272191.13085504784</v>
      </c>
      <c r="AA405" s="230">
        <f t="shared" si="213"/>
        <v>6932828.3291449519</v>
      </c>
      <c r="AB405" s="230">
        <f>MIN(MAX(AA405,0),'Tax Assumptions'!$B$20)</f>
        <v>7500</v>
      </c>
      <c r="AC405" s="230">
        <f t="shared" si="214"/>
        <v>6925328.3291449519</v>
      </c>
      <c r="AD405" s="230">
        <f>MAX(AD404*(1+'Model Inputs'!$B$13)+AC405,0)</f>
        <v>270200886.79609621</v>
      </c>
      <c r="AE405" s="230">
        <f>MAX(AE404*(1+'Model Inputs'!$B$13)+U405+AB405,0)</f>
        <v>1893004.2468949838</v>
      </c>
      <c r="AF405" s="230">
        <f t="shared" si="215"/>
        <v>272093891.04299116</v>
      </c>
      <c r="AG405" s="226" t="str">
        <f t="shared" si="224"/>
        <v/>
      </c>
      <c r="AH405" s="226" t="str">
        <f t="shared" si="225"/>
        <v/>
      </c>
      <c r="AI405" s="226" t="str">
        <f t="shared" si="226"/>
        <v/>
      </c>
      <c r="AJ405" s="226" t="str">
        <f t="shared" si="227"/>
        <v/>
      </c>
    </row>
    <row r="406" spans="1:36" ht="18" customHeight="1" x14ac:dyDescent="0.2">
      <c r="A406" s="226" t="str">
        <f t="shared" si="216"/>
        <v>4Y -&gt; PM Y7 Tail</v>
      </c>
      <c r="B406" s="226">
        <f t="shared" si="217"/>
        <v>4</v>
      </c>
      <c r="C406" s="235">
        <f t="shared" si="218"/>
        <v>3</v>
      </c>
      <c r="D406" s="226">
        <f t="shared" si="219"/>
        <v>7</v>
      </c>
      <c r="E406" s="226" t="str">
        <f t="shared" si="220"/>
        <v>Tail</v>
      </c>
      <c r="F406" s="230">
        <f t="shared" si="221"/>
        <v>100000000</v>
      </c>
      <c r="G406" s="236">
        <f t="shared" si="222"/>
        <v>0.15</v>
      </c>
      <c r="H406" s="230">
        <f t="shared" si="223"/>
        <v>300000</v>
      </c>
      <c r="I406" s="236">
        <f t="shared" si="206"/>
        <v>0</v>
      </c>
      <c r="J406" s="234">
        <v>27</v>
      </c>
      <c r="K406" s="234">
        <f t="shared" si="207"/>
        <v>2052</v>
      </c>
      <c r="L406" s="230">
        <f>IF(J406=1,'Model Inputs'!$B$25*(13-'Model Inputs'!$B$23)/12,'Model Inputs'!$B$25)</f>
        <v>300000</v>
      </c>
      <c r="M406" s="230">
        <f>IF(J406=1,'Model Inputs'!$B$27*(13-'Model Inputs'!$B$23)/12,IF(J406=2,'Model Inputs'!$B$27,IF(J406&lt;=MAX(3,'Model Inputs'!$B$30+1),'Model Inputs'!$B$27*(1+'Model Inputs'!$B$28)^(J406-3),'Model Inputs'!$B$27*(1+'Model Inputs'!$B$28)^(MAX(3,'Model Inputs'!$B$30+1)-3)*(1+'Model Inputs'!$B$29)^(J406-MAX(3,'Model Inputs'!$B$30+1)))))</f>
        <v>185355004.59402937</v>
      </c>
      <c r="N406" s="236">
        <f>IF(J406&lt;=2,0,'Model Inputs'!$B$32*SIN(2*PI()*(J406-3+'Model Inputs'!$B$34)/MAX(1,'Model Inputs'!$B$33)))</f>
        <v>-2.3513218543629179E-16</v>
      </c>
      <c r="O406" s="230">
        <f t="shared" si="208"/>
        <v>185355004.59402934</v>
      </c>
      <c r="P406" s="230">
        <f t="shared" si="228"/>
        <v>129690333.6089489</v>
      </c>
      <c r="Q406" s="230">
        <f>L406+P406+IF(J406=1,'Model Inputs'!$B$26,0)</f>
        <v>129990333.6089489</v>
      </c>
      <c r="R406" s="230">
        <f t="shared" si="209"/>
        <v>389971000.82684672</v>
      </c>
      <c r="S406" s="230">
        <f t="shared" si="210"/>
        <v>15300000</v>
      </c>
      <c r="T406" s="230">
        <f t="shared" si="211"/>
        <v>15300000</v>
      </c>
      <c r="U406" s="230">
        <f>MIN(T406,'Tax Assumptions'!$B$19)</f>
        <v>24500</v>
      </c>
      <c r="V406" s="230">
        <f>MAX(T406-U406-'Tax Assumptions'!$B$8,0)</f>
        <v>15259400</v>
      </c>
      <c r="W406" s="230">
        <f>MAX(T406-U406-'Tax Assumptions'!$B$9,0)</f>
        <v>15267500</v>
      </c>
      <c r="X406" s="230">
        <f>IF(V406=0,0,LOOKUP(V406,'Tax Assumptions'!$F$9:$F$15,'Tax Assumptions'!$I$9:$I$15)+(V406-LOOKUP(V406,'Tax Assumptions'!$F$9:$F$15,'Tax Assumptions'!$F$9:$F$15))*LOOKUP(V406,'Tax Assumptions'!$F$9:$F$15,'Tax Assumptions'!$H$9:$H$15))+MIN(MAX(T406,0),'Tax Assumptions'!$B$11)*'Tax Assumptions'!$B$10+MAX(T406,0)*'Tax Assumptions'!$B$12+MAX(MAX(T406,0)-'Tax Assumptions'!$B$14,0)*'Tax Assumptions'!$B$13+MIN(T406*'Tax Assumptions'!$B$15,'Tax Assumptions'!$B$16)+MIN(T406*'Tax Assumptions'!$B$17,'Tax Assumptions'!$B$18)+IF(W406=0,0,LOOKUP(W406,'Tax Assumptions'!$K$9:$K$17,'Tax Assumptions'!$N$9:$N$17)+(W406-LOOKUP(W406,'Tax Assumptions'!$K$9:$K$17,'Tax Assumptions'!$K$9:$K$17))*LOOKUP(W406,'Tax Assumptions'!$K$9:$K$17,'Tax Assumptions'!$M$9:$M$17))+IF(W406=0,0,LOOKUP(W406,'Tax Assumptions'!$P$9:$P$12,'Tax Assumptions'!$S$9:$S$12)+(W406-LOOKUP(W406,'Tax Assumptions'!$P$9:$P$12,'Tax Assumptions'!$P$9:$P$12))*LOOKUP(W406,'Tax Assumptions'!$P$9:$P$12,'Tax Assumptions'!$R$9:$R$12))</f>
        <v>8070480.54</v>
      </c>
      <c r="Y406" s="230">
        <f t="shared" si="212"/>
        <v>7205019.46</v>
      </c>
      <c r="Z406" s="230">
        <f>IF(J406&lt;=10,INDEX('Savings Projection'!$BL$19:$BL$28,J406),LOOKUP(2,1/('Savings Projection'!$BL$19:$BL$28&lt;&gt;""),'Savings Projection'!$BL$19:$BL$28))*(1+'Model Inputs'!$B$35)^(J406-1)+IF(J406&lt;=10,INDEX('Savings Projection'!$BM$19:$BM$28,J406),LOOKUP(2,1/('Savings Projection'!$BM$19:$BM$28&lt;&gt;""),'Savings Projection'!$BM$19:$BM$28))*(1+'Model Inputs'!$B$36)^(J406-1)</f>
        <v>280356.86478069925</v>
      </c>
      <c r="AA406" s="230">
        <f t="shared" si="213"/>
        <v>6924662.5952193011</v>
      </c>
      <c r="AB406" s="230">
        <f>MIN(MAX(AA406,0),'Tax Assumptions'!$B$20)</f>
        <v>7500</v>
      </c>
      <c r="AC406" s="230">
        <f t="shared" si="214"/>
        <v>6917162.5952193011</v>
      </c>
      <c r="AD406" s="230">
        <f>MAX(AD405*(1+'Model Inputs'!$B$13)+AC406,0)</f>
        <v>293330102.59908128</v>
      </c>
      <c r="AE406" s="230">
        <f>MAX(AE405*(1+'Model Inputs'!$B$13)+U406+AB406,0)</f>
        <v>2038584.5017086829</v>
      </c>
      <c r="AF406" s="230">
        <f t="shared" si="215"/>
        <v>295368687.10078996</v>
      </c>
      <c r="AG406" s="226" t="str">
        <f t="shared" si="224"/>
        <v/>
      </c>
      <c r="AH406" s="226" t="str">
        <f t="shared" si="225"/>
        <v/>
      </c>
      <c r="AI406" s="226" t="str">
        <f t="shared" si="226"/>
        <v/>
      </c>
      <c r="AJ406" s="226" t="str">
        <f t="shared" si="227"/>
        <v/>
      </c>
    </row>
    <row r="407" spans="1:36" ht="18" customHeight="1" x14ac:dyDescent="0.2">
      <c r="A407" s="226" t="str">
        <f t="shared" si="216"/>
        <v>4Y -&gt; PM Y7 Tail</v>
      </c>
      <c r="B407" s="226">
        <f t="shared" si="217"/>
        <v>4</v>
      </c>
      <c r="C407" s="235">
        <f t="shared" si="218"/>
        <v>3</v>
      </c>
      <c r="D407" s="226">
        <f t="shared" si="219"/>
        <v>7</v>
      </c>
      <c r="E407" s="226" t="str">
        <f t="shared" si="220"/>
        <v>Tail</v>
      </c>
      <c r="F407" s="230">
        <f t="shared" si="221"/>
        <v>100000000</v>
      </c>
      <c r="G407" s="236">
        <f t="shared" si="222"/>
        <v>0.15</v>
      </c>
      <c r="H407" s="230">
        <f t="shared" si="223"/>
        <v>300000</v>
      </c>
      <c r="I407" s="236">
        <f t="shared" si="206"/>
        <v>0</v>
      </c>
      <c r="J407" s="234">
        <v>28</v>
      </c>
      <c r="K407" s="234">
        <f t="shared" si="207"/>
        <v>2053</v>
      </c>
      <c r="L407" s="230">
        <f>IF(J407=1,'Model Inputs'!$B$25*(13-'Model Inputs'!$B$23)/12,'Model Inputs'!$B$25)</f>
        <v>300000</v>
      </c>
      <c r="M407" s="230">
        <f>IF(J407=1,'Model Inputs'!$B$27*(13-'Model Inputs'!$B$23)/12,IF(J407=2,'Model Inputs'!$B$27,IF(J407&lt;=MAX(3,'Model Inputs'!$B$30+1),'Model Inputs'!$B$27*(1+'Model Inputs'!$B$28)^(J407-3),'Model Inputs'!$B$27*(1+'Model Inputs'!$B$28)^(MAX(3,'Model Inputs'!$B$30+1)-3)*(1+'Model Inputs'!$B$29)^(J407-MAX(3,'Model Inputs'!$B$30+1)))))</f>
        <v>235563492.81236541</v>
      </c>
      <c r="N407" s="236">
        <f>IF(J407&lt;=2,0,'Model Inputs'!$B$32*SIN(2*PI()*(J407-3+'Model Inputs'!$B$34)/MAX(1,'Model Inputs'!$B$33)))</f>
        <v>0.10392304845413247</v>
      </c>
      <c r="O407" s="230">
        <f t="shared" si="208"/>
        <v>260043969.08992955</v>
      </c>
      <c r="P407" s="230">
        <f t="shared" si="228"/>
        <v>171689024.02305913</v>
      </c>
      <c r="Q407" s="230">
        <f>L407+P407+IF(J407=1,'Model Inputs'!$B$26,0)</f>
        <v>171989024.02305913</v>
      </c>
      <c r="R407" s="230">
        <f t="shared" si="209"/>
        <v>515967072.06917739</v>
      </c>
      <c r="S407" s="230">
        <f t="shared" si="210"/>
        <v>15300000</v>
      </c>
      <c r="T407" s="230">
        <f t="shared" si="211"/>
        <v>15300000</v>
      </c>
      <c r="U407" s="230">
        <f>MIN(T407,'Tax Assumptions'!$B$19)</f>
        <v>24500</v>
      </c>
      <c r="V407" s="230">
        <f>MAX(T407-U407-'Tax Assumptions'!$B$8,0)</f>
        <v>15259400</v>
      </c>
      <c r="W407" s="230">
        <f>MAX(T407-U407-'Tax Assumptions'!$B$9,0)</f>
        <v>15267500</v>
      </c>
      <c r="X407" s="230">
        <f>IF(V407=0,0,LOOKUP(V407,'Tax Assumptions'!$F$9:$F$15,'Tax Assumptions'!$I$9:$I$15)+(V407-LOOKUP(V407,'Tax Assumptions'!$F$9:$F$15,'Tax Assumptions'!$F$9:$F$15))*LOOKUP(V407,'Tax Assumptions'!$F$9:$F$15,'Tax Assumptions'!$H$9:$H$15))+MIN(MAX(T407,0),'Tax Assumptions'!$B$11)*'Tax Assumptions'!$B$10+MAX(T407,0)*'Tax Assumptions'!$B$12+MAX(MAX(T407,0)-'Tax Assumptions'!$B$14,0)*'Tax Assumptions'!$B$13+MIN(T407*'Tax Assumptions'!$B$15,'Tax Assumptions'!$B$16)+MIN(T407*'Tax Assumptions'!$B$17,'Tax Assumptions'!$B$18)+IF(W407=0,0,LOOKUP(W407,'Tax Assumptions'!$K$9:$K$17,'Tax Assumptions'!$N$9:$N$17)+(W407-LOOKUP(W407,'Tax Assumptions'!$K$9:$K$17,'Tax Assumptions'!$K$9:$K$17))*LOOKUP(W407,'Tax Assumptions'!$K$9:$K$17,'Tax Assumptions'!$M$9:$M$17))+IF(W407=0,0,LOOKUP(W407,'Tax Assumptions'!$P$9:$P$12,'Tax Assumptions'!$S$9:$S$12)+(W407-LOOKUP(W407,'Tax Assumptions'!$P$9:$P$12,'Tax Assumptions'!$P$9:$P$12))*LOOKUP(W407,'Tax Assumptions'!$P$9:$P$12,'Tax Assumptions'!$R$9:$R$12))</f>
        <v>8070480.54</v>
      </c>
      <c r="Y407" s="230">
        <f t="shared" si="212"/>
        <v>7205019.46</v>
      </c>
      <c r="Z407" s="230">
        <f>IF(J407&lt;=10,INDEX('Savings Projection'!$BL$19:$BL$28,J407),LOOKUP(2,1/('Savings Projection'!$BL$19:$BL$28&lt;&gt;""),'Savings Projection'!$BL$19:$BL$28))*(1+'Model Inputs'!$B$35)^(J407-1)+IF(J407&lt;=10,INDEX('Savings Projection'!$BM$19:$BM$28,J407),LOOKUP(2,1/('Savings Projection'!$BM$19:$BM$28&lt;&gt;""),'Savings Projection'!$BM$19:$BM$28))*(1+'Model Inputs'!$B$36)^(J407-1)</f>
        <v>288767.57072412025</v>
      </c>
      <c r="AA407" s="230">
        <f t="shared" si="213"/>
        <v>6916251.8892758796</v>
      </c>
      <c r="AB407" s="230">
        <f>MIN(MAX(AA407,0),'Tax Assumptions'!$B$20)</f>
        <v>7500</v>
      </c>
      <c r="AC407" s="230">
        <f t="shared" si="214"/>
        <v>6908751.8892758796</v>
      </c>
      <c r="AD407" s="230">
        <f>MAX(AD406*(1+'Model Inputs'!$B$13)+AC407,0)</f>
        <v>317838660.64430207</v>
      </c>
      <c r="AE407" s="230">
        <f>MAX(AE406*(1+'Model Inputs'!$B$13)+U407+AB407,0)</f>
        <v>2192899.5718112038</v>
      </c>
      <c r="AF407" s="230">
        <f t="shared" si="215"/>
        <v>320031560.21611327</v>
      </c>
      <c r="AG407" s="226" t="str">
        <f t="shared" si="224"/>
        <v/>
      </c>
      <c r="AH407" s="226" t="str">
        <f t="shared" si="225"/>
        <v/>
      </c>
      <c r="AI407" s="226" t="str">
        <f t="shared" si="226"/>
        <v/>
      </c>
      <c r="AJ407" s="226" t="str">
        <f t="shared" si="227"/>
        <v/>
      </c>
    </row>
    <row r="408" spans="1:36" ht="18" customHeight="1" x14ac:dyDescent="0.2">
      <c r="A408" s="226" t="str">
        <f t="shared" si="216"/>
        <v>4Y -&gt; PM Y7 Tail</v>
      </c>
      <c r="B408" s="226">
        <f t="shared" si="217"/>
        <v>4</v>
      </c>
      <c r="C408" s="235">
        <f t="shared" si="218"/>
        <v>3</v>
      </c>
      <c r="D408" s="226">
        <f t="shared" si="219"/>
        <v>7</v>
      </c>
      <c r="E408" s="226" t="str">
        <f t="shared" si="220"/>
        <v>Tail</v>
      </c>
      <c r="F408" s="230">
        <f t="shared" si="221"/>
        <v>100000000</v>
      </c>
      <c r="G408" s="236">
        <f t="shared" si="222"/>
        <v>0.15</v>
      </c>
      <c r="H408" s="230">
        <f t="shared" si="223"/>
        <v>300000</v>
      </c>
      <c r="I408" s="236">
        <f t="shared" si="206"/>
        <v>0</v>
      </c>
      <c r="J408" s="234">
        <v>29</v>
      </c>
      <c r="K408" s="234">
        <f t="shared" si="207"/>
        <v>2054</v>
      </c>
      <c r="L408" s="230">
        <f>IF(J408=1,'Model Inputs'!$B$25*(13-'Model Inputs'!$B$23)/12,'Model Inputs'!$B$25)</f>
        <v>300000</v>
      </c>
      <c r="M408" s="230">
        <f>IF(J408=1,'Model Inputs'!$B$27*(13-'Model Inputs'!$B$23)/12,IF(J408=2,'Model Inputs'!$B$27,IF(J408&lt;=MAX(3,'Model Inputs'!$B$30+1),'Model Inputs'!$B$27*(1+'Model Inputs'!$B$28)^(J408-3),'Model Inputs'!$B$27*(1+'Model Inputs'!$B$28)^(MAX(3,'Model Inputs'!$B$30+1)-3)*(1+'Model Inputs'!$B$29)^(J408-MAX(3,'Model Inputs'!$B$30+1)))))</f>
        <v>299372327.53708321</v>
      </c>
      <c r="N408" s="236">
        <f>IF(J408&lt;=2,0,'Model Inputs'!$B$32*SIN(2*PI()*(J408-3+'Model Inputs'!$B$34)/MAX(1,'Model Inputs'!$B$33)))</f>
        <v>-0.10392304845413265</v>
      </c>
      <c r="O408" s="230">
        <f t="shared" si="208"/>
        <v>268260642.63662043</v>
      </c>
      <c r="P408" s="230">
        <f t="shared" si="228"/>
        <v>241371727.96595448</v>
      </c>
      <c r="Q408" s="230">
        <f>L408+P408+IF(J408=1,'Model Inputs'!$B$26,0)</f>
        <v>241671727.96595448</v>
      </c>
      <c r="R408" s="230">
        <f t="shared" si="209"/>
        <v>725015183.89786339</v>
      </c>
      <c r="S408" s="230">
        <f t="shared" si="210"/>
        <v>15300000</v>
      </c>
      <c r="T408" s="230">
        <f t="shared" si="211"/>
        <v>15300000</v>
      </c>
      <c r="U408" s="230">
        <f>MIN(T408,'Tax Assumptions'!$B$19)</f>
        <v>24500</v>
      </c>
      <c r="V408" s="230">
        <f>MAX(T408-U408-'Tax Assumptions'!$B$8,0)</f>
        <v>15259400</v>
      </c>
      <c r="W408" s="230">
        <f>MAX(T408-U408-'Tax Assumptions'!$B$9,0)</f>
        <v>15267500</v>
      </c>
      <c r="X408" s="230">
        <f>IF(V408=0,0,LOOKUP(V408,'Tax Assumptions'!$F$9:$F$15,'Tax Assumptions'!$I$9:$I$15)+(V408-LOOKUP(V408,'Tax Assumptions'!$F$9:$F$15,'Tax Assumptions'!$F$9:$F$15))*LOOKUP(V408,'Tax Assumptions'!$F$9:$F$15,'Tax Assumptions'!$H$9:$H$15))+MIN(MAX(T408,0),'Tax Assumptions'!$B$11)*'Tax Assumptions'!$B$10+MAX(T408,0)*'Tax Assumptions'!$B$12+MAX(MAX(T408,0)-'Tax Assumptions'!$B$14,0)*'Tax Assumptions'!$B$13+MIN(T408*'Tax Assumptions'!$B$15,'Tax Assumptions'!$B$16)+MIN(T408*'Tax Assumptions'!$B$17,'Tax Assumptions'!$B$18)+IF(W408=0,0,LOOKUP(W408,'Tax Assumptions'!$K$9:$K$17,'Tax Assumptions'!$N$9:$N$17)+(W408-LOOKUP(W408,'Tax Assumptions'!$K$9:$K$17,'Tax Assumptions'!$K$9:$K$17))*LOOKUP(W408,'Tax Assumptions'!$K$9:$K$17,'Tax Assumptions'!$M$9:$M$17))+IF(W408=0,0,LOOKUP(W408,'Tax Assumptions'!$P$9:$P$12,'Tax Assumptions'!$S$9:$S$12)+(W408-LOOKUP(W408,'Tax Assumptions'!$P$9:$P$12,'Tax Assumptions'!$P$9:$P$12))*LOOKUP(W408,'Tax Assumptions'!$P$9:$P$12,'Tax Assumptions'!$R$9:$R$12))</f>
        <v>8070480.54</v>
      </c>
      <c r="Y408" s="230">
        <f t="shared" si="212"/>
        <v>7205019.46</v>
      </c>
      <c r="Z408" s="230">
        <f>IF(J408&lt;=10,INDEX('Savings Projection'!$BL$19:$BL$28,J408),LOOKUP(2,1/('Savings Projection'!$BL$19:$BL$28&lt;&gt;""),'Savings Projection'!$BL$19:$BL$28))*(1+'Model Inputs'!$B$35)^(J408-1)+IF(J408&lt;=10,INDEX('Savings Projection'!$BM$19:$BM$28,J408),LOOKUP(2,1/('Savings Projection'!$BM$19:$BM$28&lt;&gt;""),'Savings Projection'!$BM$19:$BM$28))*(1+'Model Inputs'!$B$36)^(J408-1)</f>
        <v>297430.59784584382</v>
      </c>
      <c r="AA408" s="230">
        <f t="shared" si="213"/>
        <v>6907588.862154156</v>
      </c>
      <c r="AB408" s="230">
        <f>MIN(MAX(AA408,0),'Tax Assumptions'!$B$20)</f>
        <v>7500</v>
      </c>
      <c r="AC408" s="230">
        <f t="shared" si="214"/>
        <v>6900088.862154156</v>
      </c>
      <c r="AD408" s="230">
        <f>MAX(AD407*(1+'Model Inputs'!$B$13)+AC408,0)</f>
        <v>343809069.14511442</v>
      </c>
      <c r="AE408" s="230">
        <f>MAX(AE407*(1+'Model Inputs'!$B$13)+U408+AB408,0)</f>
        <v>2356473.5461198762</v>
      </c>
      <c r="AF408" s="230">
        <f t="shared" si="215"/>
        <v>346165542.69123429</v>
      </c>
      <c r="AG408" s="226" t="str">
        <f t="shared" si="224"/>
        <v/>
      </c>
      <c r="AH408" s="226" t="str">
        <f t="shared" si="225"/>
        <v/>
      </c>
      <c r="AI408" s="226" t="str">
        <f t="shared" si="226"/>
        <v/>
      </c>
      <c r="AJ408" s="226" t="str">
        <f t="shared" si="227"/>
        <v/>
      </c>
    </row>
    <row r="409" spans="1:36" ht="18" customHeight="1" x14ac:dyDescent="0.2">
      <c r="A409" s="226" t="str">
        <f t="shared" si="216"/>
        <v>4Y -&gt; PM Y7 Tail</v>
      </c>
      <c r="B409" s="226">
        <f t="shared" si="217"/>
        <v>4</v>
      </c>
      <c r="C409" s="235">
        <f t="shared" si="218"/>
        <v>3</v>
      </c>
      <c r="D409" s="226">
        <f t="shared" si="219"/>
        <v>7</v>
      </c>
      <c r="E409" s="226" t="str">
        <f t="shared" si="220"/>
        <v>Tail</v>
      </c>
      <c r="F409" s="230">
        <f t="shared" si="221"/>
        <v>100000000</v>
      </c>
      <c r="G409" s="236">
        <f t="shared" si="222"/>
        <v>0.15</v>
      </c>
      <c r="H409" s="230">
        <f t="shared" si="223"/>
        <v>300000</v>
      </c>
      <c r="I409" s="236">
        <f t="shared" si="206"/>
        <v>0</v>
      </c>
      <c r="J409" s="234">
        <v>30</v>
      </c>
      <c r="K409" s="234">
        <f t="shared" si="207"/>
        <v>2055</v>
      </c>
      <c r="L409" s="230">
        <f>IF(J409=1,'Model Inputs'!$B$25*(13-'Model Inputs'!$B$23)/12,'Model Inputs'!$B$25)</f>
        <v>300000</v>
      </c>
      <c r="M409" s="230">
        <f>IF(J409=1,'Model Inputs'!$B$27*(13-'Model Inputs'!$B$23)/12,IF(J409=2,'Model Inputs'!$B$27,IF(J409&lt;=MAX(3,'Model Inputs'!$B$30+1),'Model Inputs'!$B$27*(1+'Model Inputs'!$B$28)^(J409-3),'Model Inputs'!$B$27*(1+'Model Inputs'!$B$28)^(MAX(3,'Model Inputs'!$B$30+1)-3)*(1+'Model Inputs'!$B$29)^(J409-MAX(3,'Model Inputs'!$B$30+1)))))</f>
        <v>380465535.74563926</v>
      </c>
      <c r="N409" s="236">
        <f>IF(J409&lt;=2,0,'Model Inputs'!$B$32*SIN(2*PI()*(J409-3+'Model Inputs'!$B$34)/MAX(1,'Model Inputs'!$B$33)))</f>
        <v>-2.645237086158283E-16</v>
      </c>
      <c r="O409" s="230">
        <f t="shared" si="208"/>
        <v>380465535.7456392</v>
      </c>
      <c r="P409" s="230">
        <f t="shared" si="228"/>
        <v>266206474.24994773</v>
      </c>
      <c r="Q409" s="230">
        <f>L409+P409+IF(J409=1,'Model Inputs'!$B$26,0)</f>
        <v>266506474.24994773</v>
      </c>
      <c r="R409" s="230">
        <f t="shared" si="209"/>
        <v>799519422.74984312</v>
      </c>
      <c r="S409" s="230">
        <f t="shared" si="210"/>
        <v>15300000</v>
      </c>
      <c r="T409" s="230">
        <f t="shared" si="211"/>
        <v>15300000</v>
      </c>
      <c r="U409" s="230">
        <f>MIN(T409,'Tax Assumptions'!$B$19)</f>
        <v>24500</v>
      </c>
      <c r="V409" s="230">
        <f>MAX(T409-U409-'Tax Assumptions'!$B$8,0)</f>
        <v>15259400</v>
      </c>
      <c r="W409" s="230">
        <f>MAX(T409-U409-'Tax Assumptions'!$B$9,0)</f>
        <v>15267500</v>
      </c>
      <c r="X409" s="230">
        <f>IF(V409=0,0,LOOKUP(V409,'Tax Assumptions'!$F$9:$F$15,'Tax Assumptions'!$I$9:$I$15)+(V409-LOOKUP(V409,'Tax Assumptions'!$F$9:$F$15,'Tax Assumptions'!$F$9:$F$15))*LOOKUP(V409,'Tax Assumptions'!$F$9:$F$15,'Tax Assumptions'!$H$9:$H$15))+MIN(MAX(T409,0),'Tax Assumptions'!$B$11)*'Tax Assumptions'!$B$10+MAX(T409,0)*'Tax Assumptions'!$B$12+MAX(MAX(T409,0)-'Tax Assumptions'!$B$14,0)*'Tax Assumptions'!$B$13+MIN(T409*'Tax Assumptions'!$B$15,'Tax Assumptions'!$B$16)+MIN(T409*'Tax Assumptions'!$B$17,'Tax Assumptions'!$B$18)+IF(W409=0,0,LOOKUP(W409,'Tax Assumptions'!$K$9:$K$17,'Tax Assumptions'!$N$9:$N$17)+(W409-LOOKUP(W409,'Tax Assumptions'!$K$9:$K$17,'Tax Assumptions'!$K$9:$K$17))*LOOKUP(W409,'Tax Assumptions'!$K$9:$K$17,'Tax Assumptions'!$M$9:$M$17))+IF(W409=0,0,LOOKUP(W409,'Tax Assumptions'!$P$9:$P$12,'Tax Assumptions'!$S$9:$S$12)+(W409-LOOKUP(W409,'Tax Assumptions'!$P$9:$P$12,'Tax Assumptions'!$P$9:$P$12))*LOOKUP(W409,'Tax Assumptions'!$P$9:$P$12,'Tax Assumptions'!$R$9:$R$12))</f>
        <v>8070480.54</v>
      </c>
      <c r="Y409" s="230">
        <f t="shared" si="212"/>
        <v>7205019.46</v>
      </c>
      <c r="Z409" s="230">
        <f>IF(J409&lt;=10,INDEX('Savings Projection'!$BL$19:$BL$28,J409),LOOKUP(2,1/('Savings Projection'!$BL$19:$BL$28&lt;&gt;""),'Savings Projection'!$BL$19:$BL$28))*(1+'Model Inputs'!$B$35)^(J409-1)+IF(J409&lt;=10,INDEX('Savings Projection'!$BM$19:$BM$28,J409),LOOKUP(2,1/('Savings Projection'!$BM$19:$BM$28&lt;&gt;""),'Savings Projection'!$BM$19:$BM$28))*(1+'Model Inputs'!$B$36)^(J409-1)</f>
        <v>306353.51578121912</v>
      </c>
      <c r="AA409" s="230">
        <f t="shared" si="213"/>
        <v>6898665.9442187808</v>
      </c>
      <c r="AB409" s="230">
        <f>MIN(MAX(AA409,0),'Tax Assumptions'!$B$20)</f>
        <v>7500</v>
      </c>
      <c r="AC409" s="230">
        <f t="shared" si="214"/>
        <v>6891165.9442187808</v>
      </c>
      <c r="AD409" s="230">
        <f>MAX(AD408*(1+'Model Inputs'!$B$13)+AC409,0)</f>
        <v>371328779.23804009</v>
      </c>
      <c r="AE409" s="230">
        <f>MAX(AE408*(1+'Model Inputs'!$B$13)+U409+AB409,0)</f>
        <v>2529861.958887069</v>
      </c>
      <c r="AF409" s="230">
        <f t="shared" si="215"/>
        <v>373858641.19692713</v>
      </c>
      <c r="AG409" s="226" t="str">
        <f t="shared" si="224"/>
        <v/>
      </c>
      <c r="AH409" s="226" t="str">
        <f t="shared" si="225"/>
        <v/>
      </c>
      <c r="AI409" s="226" t="str">
        <f t="shared" si="226"/>
        <v/>
      </c>
      <c r="AJ409" s="226" t="str">
        <f t="shared" si="227"/>
        <v/>
      </c>
    </row>
    <row r="410" spans="1:36" ht="18" customHeight="1" x14ac:dyDescent="0.2">
      <c r="A410" s="226" t="str">
        <f t="shared" ref="A410:A439" si="229">$A$34</f>
        <v>4Y -&gt; PM Y8 Starter</v>
      </c>
      <c r="B410" s="226">
        <f t="shared" ref="B410:B439" si="230">$B$34</f>
        <v>4</v>
      </c>
      <c r="C410" s="235">
        <f t="shared" ref="C410:C439" si="231">$C$34</f>
        <v>3</v>
      </c>
      <c r="D410" s="226">
        <f t="shared" ref="D410:D439" si="232">$D$34</f>
        <v>8</v>
      </c>
      <c r="E410" s="226" t="str">
        <f t="shared" ref="E410:E439" si="233">$E$34</f>
        <v>Starter</v>
      </c>
      <c r="F410" s="230">
        <f t="shared" ref="F410:F439" si="234">$F$34</f>
        <v>10000000</v>
      </c>
      <c r="G410" s="236">
        <f t="shared" ref="G410:G439" si="235">$G$34</f>
        <v>0.15</v>
      </c>
      <c r="H410" s="230">
        <f t="shared" ref="H410:H439" si="236">$H$34</f>
        <v>300000</v>
      </c>
      <c r="I410" s="236">
        <f t="shared" si="206"/>
        <v>0</v>
      </c>
      <c r="J410" s="234">
        <v>1</v>
      </c>
      <c r="K410" s="234">
        <f t="shared" si="207"/>
        <v>2026</v>
      </c>
      <c r="L410" s="230">
        <f>IF(J410=1,'Model Inputs'!$B$25*(13-'Model Inputs'!$B$23)/12,'Model Inputs'!$B$25)</f>
        <v>100000</v>
      </c>
      <c r="M410" s="230">
        <f>IF(J410=1,'Model Inputs'!$B$27*(13-'Model Inputs'!$B$23)/12,IF(J410=2,'Model Inputs'!$B$27,IF(J410&lt;=MAX(3,'Model Inputs'!$B$30+1),'Model Inputs'!$B$27*(1+'Model Inputs'!$B$28)^(J410-3),'Model Inputs'!$B$27*(1+'Model Inputs'!$B$28)^(MAX(3,'Model Inputs'!$B$30+1)-3)*(1+'Model Inputs'!$B$29)^(J410-MAX(3,'Model Inputs'!$B$30+1)))))</f>
        <v>150000</v>
      </c>
      <c r="N410" s="236">
        <f>IF(J410&lt;=2,0,'Model Inputs'!$B$32*SIN(2*PI()*(J410-3+'Model Inputs'!$B$34)/MAX(1,'Model Inputs'!$B$33)))</f>
        <v>0</v>
      </c>
      <c r="O410" s="230">
        <f t="shared" si="208"/>
        <v>150000</v>
      </c>
      <c r="P410" s="230">
        <f>0</f>
        <v>0</v>
      </c>
      <c r="Q410" s="230">
        <f>L410+P410+IF(J410=1,'Model Inputs'!$B$26,0)</f>
        <v>550000</v>
      </c>
      <c r="R410" s="230">
        <f t="shared" si="209"/>
        <v>550000</v>
      </c>
      <c r="S410" s="230">
        <f t="shared" si="210"/>
        <v>1800000</v>
      </c>
      <c r="T410" s="230">
        <f t="shared" si="211"/>
        <v>550000</v>
      </c>
      <c r="U410" s="230">
        <f>MIN(T410,'Tax Assumptions'!$B$19)</f>
        <v>24500</v>
      </c>
      <c r="V410" s="230">
        <f>MAX(T410-U410-'Tax Assumptions'!$B$8,0)</f>
        <v>509400</v>
      </c>
      <c r="W410" s="230">
        <f>MAX(T410-U410-'Tax Assumptions'!$B$9,0)</f>
        <v>517500</v>
      </c>
      <c r="X410" s="230">
        <f>IF(V410=0,0,LOOKUP(V410,'Tax Assumptions'!$F$9:$F$15,'Tax Assumptions'!$I$9:$I$15)+(V410-LOOKUP(V410,'Tax Assumptions'!$F$9:$F$15,'Tax Assumptions'!$F$9:$F$15))*LOOKUP(V410,'Tax Assumptions'!$F$9:$F$15,'Tax Assumptions'!$H$9:$H$15))+MIN(MAX(T410,0),'Tax Assumptions'!$B$11)*'Tax Assumptions'!$B$10+MAX(T410,0)*'Tax Assumptions'!$B$12+MAX(MAX(T410,0)-'Tax Assumptions'!$B$14,0)*'Tax Assumptions'!$B$13+MIN(T410*'Tax Assumptions'!$B$15,'Tax Assumptions'!$B$16)+MIN(T410*'Tax Assumptions'!$B$17,'Tax Assumptions'!$B$18)+IF(W410=0,0,LOOKUP(W410,'Tax Assumptions'!$K$9:$K$17,'Tax Assumptions'!$N$9:$N$17)+(W410-LOOKUP(W410,'Tax Assumptions'!$K$9:$K$17,'Tax Assumptions'!$K$9:$K$17))*LOOKUP(W410,'Tax Assumptions'!$K$9:$K$17,'Tax Assumptions'!$M$9:$M$17))+IF(W410=0,0,LOOKUP(W410,'Tax Assumptions'!$P$9:$P$12,'Tax Assumptions'!$S$9:$S$12)+(W410-LOOKUP(W410,'Tax Assumptions'!$P$9:$P$12,'Tax Assumptions'!$P$9:$P$12))*LOOKUP(W410,'Tax Assumptions'!$P$9:$P$12,'Tax Assumptions'!$R$9:$R$12))</f>
        <v>222834.53000000003</v>
      </c>
      <c r="Y410" s="230">
        <f t="shared" si="212"/>
        <v>302665.46999999997</v>
      </c>
      <c r="Z410" s="230">
        <f>IF(J410&lt;=10,INDEX('Savings Projection'!$BL$19:$BL$28,J410),LOOKUP(2,1/('Savings Projection'!$BL$19:$BL$28&lt;&gt;""),'Savings Projection'!$BL$19:$BL$28))*(1+'Model Inputs'!$B$35)^(J410-1)+IF(J410&lt;=10,INDEX('Savings Projection'!$BM$19:$BM$28,J410),LOOKUP(2,1/('Savings Projection'!$BM$19:$BM$28&lt;&gt;""),'Savings Projection'!$BM$19:$BM$28))*(1+'Model Inputs'!$B$36)^(J410-1)</f>
        <v>118000</v>
      </c>
      <c r="AA410" s="230">
        <f t="shared" si="213"/>
        <v>184665.46999999997</v>
      </c>
      <c r="AB410" s="230">
        <f>MIN(MAX(AA410,0),'Tax Assumptions'!$B$20)</f>
        <v>7500</v>
      </c>
      <c r="AC410" s="230">
        <f t="shared" si="214"/>
        <v>177165.46999999997</v>
      </c>
      <c r="AD410" s="230">
        <f>MAX('Model Inputs'!$B$7*(1+'Model Inputs'!$B$13)+AC410,0)</f>
        <v>336165.47</v>
      </c>
      <c r="AE410" s="230">
        <f>MAX(('Model Inputs'!$B$8+'Model Inputs'!$B$9+'Model Inputs'!$B$10)*(1+'Model Inputs'!$B$13)+U410+AB410,0)</f>
        <v>32000</v>
      </c>
      <c r="AF410" s="230">
        <f t="shared" si="215"/>
        <v>368165.47</v>
      </c>
      <c r="AG410" s="226" t="str">
        <f>IF(AND(AF410&gt;=$F$14,0&lt;$F$14),J410,"")</f>
        <v/>
      </c>
      <c r="AH410" s="226" t="str">
        <f>IF(AND(AF410&gt;=$F$15,0&lt;$F$15),J410,"")</f>
        <v/>
      </c>
      <c r="AI410" s="226" t="str">
        <f>IF(AND(AF410&gt;=$F$16,0&lt;$F$16),J410,"")</f>
        <v/>
      </c>
      <c r="AJ410" s="226" t="str">
        <f>IF(AND(AF410&gt;=$F$17,0&lt;$F$17),J410,"")</f>
        <v/>
      </c>
    </row>
    <row r="411" spans="1:36" ht="18" customHeight="1" x14ac:dyDescent="0.2">
      <c r="A411" s="226" t="str">
        <f t="shared" si="229"/>
        <v>4Y -&gt; PM Y8 Starter</v>
      </c>
      <c r="B411" s="226">
        <f t="shared" si="230"/>
        <v>4</v>
      </c>
      <c r="C411" s="235">
        <f t="shared" si="231"/>
        <v>3</v>
      </c>
      <c r="D411" s="226">
        <f t="shared" si="232"/>
        <v>8</v>
      </c>
      <c r="E411" s="226" t="str">
        <f t="shared" si="233"/>
        <v>Starter</v>
      </c>
      <c r="F411" s="230">
        <f t="shared" si="234"/>
        <v>10000000</v>
      </c>
      <c r="G411" s="236">
        <f t="shared" si="235"/>
        <v>0.15</v>
      </c>
      <c r="H411" s="230">
        <f t="shared" si="236"/>
        <v>300000</v>
      </c>
      <c r="I411" s="236">
        <f t="shared" si="206"/>
        <v>0</v>
      </c>
      <c r="J411" s="234">
        <v>2</v>
      </c>
      <c r="K411" s="234">
        <f t="shared" si="207"/>
        <v>2027</v>
      </c>
      <c r="L411" s="230">
        <f>IF(J411=1,'Model Inputs'!$B$25*(13-'Model Inputs'!$B$23)/12,'Model Inputs'!$B$25)</f>
        <v>300000</v>
      </c>
      <c r="M411" s="230">
        <f>IF(J411=1,'Model Inputs'!$B$27*(13-'Model Inputs'!$B$23)/12,IF(J411=2,'Model Inputs'!$B$27,IF(J411&lt;=MAX(3,'Model Inputs'!$B$30+1),'Model Inputs'!$B$27*(1+'Model Inputs'!$B$28)^(J411-3),'Model Inputs'!$B$27*(1+'Model Inputs'!$B$28)^(MAX(3,'Model Inputs'!$B$30+1)-3)*(1+'Model Inputs'!$B$29)^(J411-MAX(3,'Model Inputs'!$B$30+1)))))</f>
        <v>450000</v>
      </c>
      <c r="N411" s="236">
        <f>IF(J411&lt;=2,0,'Model Inputs'!$B$32*SIN(2*PI()*(J411-3+'Model Inputs'!$B$34)/MAX(1,'Model Inputs'!$B$33)))</f>
        <v>0</v>
      </c>
      <c r="O411" s="230">
        <f t="shared" si="208"/>
        <v>450000</v>
      </c>
      <c r="P411" s="230">
        <f>0.75*O410</f>
        <v>112500</v>
      </c>
      <c r="Q411" s="230">
        <f>L411+P411+IF(J411=1,'Model Inputs'!$B$26,0)</f>
        <v>412500</v>
      </c>
      <c r="R411" s="230">
        <f t="shared" si="209"/>
        <v>412500</v>
      </c>
      <c r="S411" s="230">
        <f t="shared" si="210"/>
        <v>1800000</v>
      </c>
      <c r="T411" s="230">
        <f t="shared" si="211"/>
        <v>412500</v>
      </c>
      <c r="U411" s="230">
        <f>MIN(T411,'Tax Assumptions'!$B$19)</f>
        <v>24500</v>
      </c>
      <c r="V411" s="230">
        <f>MAX(T411-U411-'Tax Assumptions'!$B$8,0)</f>
        <v>371900</v>
      </c>
      <c r="W411" s="230">
        <f>MAX(T411-U411-'Tax Assumptions'!$B$9,0)</f>
        <v>380000</v>
      </c>
      <c r="X411" s="230">
        <f>IF(V411=0,0,LOOKUP(V411,'Tax Assumptions'!$F$9:$F$15,'Tax Assumptions'!$I$9:$I$15)+(V411-LOOKUP(V411,'Tax Assumptions'!$F$9:$F$15,'Tax Assumptions'!$F$9:$F$15))*LOOKUP(V411,'Tax Assumptions'!$F$9:$F$15,'Tax Assumptions'!$H$9:$H$15))+MIN(MAX(T411,0),'Tax Assumptions'!$B$11)*'Tax Assumptions'!$B$10+MAX(T411,0)*'Tax Assumptions'!$B$12+MAX(MAX(T411,0)-'Tax Assumptions'!$B$14,0)*'Tax Assumptions'!$B$13+MIN(T411*'Tax Assumptions'!$B$15,'Tax Assumptions'!$B$16)+MIN(T411*'Tax Assumptions'!$B$17,'Tax Assumptions'!$B$18)+IF(W411=0,0,LOOKUP(W411,'Tax Assumptions'!$K$9:$K$17,'Tax Assumptions'!$N$9:$N$17)+(W411-LOOKUP(W411,'Tax Assumptions'!$K$9:$K$17,'Tax Assumptions'!$K$9:$K$17))*LOOKUP(W411,'Tax Assumptions'!$K$9:$K$17,'Tax Assumptions'!$M$9:$M$17))+IF(W411=0,0,LOOKUP(W411,'Tax Assumptions'!$P$9:$P$12,'Tax Assumptions'!$S$9:$S$12)+(W411-LOOKUP(W411,'Tax Assumptions'!$P$9:$P$12,'Tax Assumptions'!$P$9:$P$12))*LOOKUP(W411,'Tax Assumptions'!$P$9:$P$12,'Tax Assumptions'!$R$9:$R$12))</f>
        <v>156730.03</v>
      </c>
      <c r="Y411" s="230">
        <f t="shared" si="212"/>
        <v>231269.97</v>
      </c>
      <c r="Z411" s="230">
        <f>IF(J411&lt;=10,INDEX('Savings Projection'!$BL$19:$BL$28,J411),LOOKUP(2,1/('Savings Projection'!$BL$19:$BL$28&lt;&gt;""),'Savings Projection'!$BL$19:$BL$28))*(1+'Model Inputs'!$B$35)^(J411-1)+IF(J411&lt;=10,INDEX('Savings Projection'!$BM$19:$BM$28,J411),LOOKUP(2,1/('Savings Projection'!$BM$19:$BM$28&lt;&gt;""),'Savings Projection'!$BM$19:$BM$28))*(1+'Model Inputs'!$B$36)^(J411-1)</f>
        <v>121540</v>
      </c>
      <c r="AA411" s="230">
        <f t="shared" si="213"/>
        <v>109729.97</v>
      </c>
      <c r="AB411" s="230">
        <f>MIN(MAX(AA411,0),'Tax Assumptions'!$B$20)</f>
        <v>7500</v>
      </c>
      <c r="AC411" s="230">
        <f t="shared" si="214"/>
        <v>102229.97</v>
      </c>
      <c r="AD411" s="230">
        <f>MAX(AD410*(1+'Model Inputs'!$B$13)+AC411,0)</f>
        <v>458565.36820000003</v>
      </c>
      <c r="AE411" s="230">
        <f>MAX(AE410*(1+'Model Inputs'!$B$13)+U411+AB411,0)</f>
        <v>65920</v>
      </c>
      <c r="AF411" s="230">
        <f t="shared" si="215"/>
        <v>524485.36820000003</v>
      </c>
      <c r="AG411" s="226" t="str">
        <f t="shared" ref="AG411:AG439" si="237">IF(AND(AF411&gt;=$F$14,AF410&lt;$F$14),J411,"")</f>
        <v/>
      </c>
      <c r="AH411" s="226" t="str">
        <f t="shared" ref="AH411:AH439" si="238">IF(AND(AF411&gt;=$F$15,AF410&lt;$F$15),J411,"")</f>
        <v/>
      </c>
      <c r="AI411" s="226" t="str">
        <f t="shared" ref="AI411:AI439" si="239">IF(AND(AF411&gt;=$F$16,AF410&lt;$F$16),J411,"")</f>
        <v/>
      </c>
      <c r="AJ411" s="226" t="str">
        <f t="shared" ref="AJ411:AJ439" si="240">IF(AND(AF411&gt;=$F$17,AF410&lt;$F$17),J411,"")</f>
        <v/>
      </c>
    </row>
    <row r="412" spans="1:36" ht="18" customHeight="1" x14ac:dyDescent="0.2">
      <c r="A412" s="226" t="str">
        <f t="shared" si="229"/>
        <v>4Y -&gt; PM Y8 Starter</v>
      </c>
      <c r="B412" s="226">
        <f t="shared" si="230"/>
        <v>4</v>
      </c>
      <c r="C412" s="235">
        <f t="shared" si="231"/>
        <v>3</v>
      </c>
      <c r="D412" s="226">
        <f t="shared" si="232"/>
        <v>8</v>
      </c>
      <c r="E412" s="226" t="str">
        <f t="shared" si="233"/>
        <v>Starter</v>
      </c>
      <c r="F412" s="230">
        <f t="shared" si="234"/>
        <v>10000000</v>
      </c>
      <c r="G412" s="236">
        <f t="shared" si="235"/>
        <v>0.15</v>
      </c>
      <c r="H412" s="230">
        <f t="shared" si="236"/>
        <v>300000</v>
      </c>
      <c r="I412" s="236">
        <f t="shared" si="206"/>
        <v>0</v>
      </c>
      <c r="J412" s="234">
        <v>3</v>
      </c>
      <c r="K412" s="234">
        <f t="shared" si="207"/>
        <v>2028</v>
      </c>
      <c r="L412" s="230">
        <f>IF(J412=1,'Model Inputs'!$B$25*(13-'Model Inputs'!$B$23)/12,'Model Inputs'!$B$25)</f>
        <v>300000</v>
      </c>
      <c r="M412" s="230">
        <f>IF(J412=1,'Model Inputs'!$B$27*(13-'Model Inputs'!$B$23)/12,IF(J412=2,'Model Inputs'!$B$27,IF(J412&lt;=MAX(3,'Model Inputs'!$B$30+1),'Model Inputs'!$B$27*(1+'Model Inputs'!$B$28)^(J412-3),'Model Inputs'!$B$27*(1+'Model Inputs'!$B$28)^(MAX(3,'Model Inputs'!$B$30+1)-3)*(1+'Model Inputs'!$B$29)^(J412-MAX(3,'Model Inputs'!$B$30+1)))))</f>
        <v>450000</v>
      </c>
      <c r="N412" s="236">
        <f>IF(J412&lt;=2,0,'Model Inputs'!$B$32*SIN(2*PI()*(J412-3+'Model Inputs'!$B$34)/MAX(1,'Model Inputs'!$B$33)))</f>
        <v>0</v>
      </c>
      <c r="O412" s="230">
        <f t="shared" si="208"/>
        <v>450000</v>
      </c>
      <c r="P412" s="230">
        <f t="shared" ref="P412:P439" si="241">0.75*O411+0.25*O410</f>
        <v>375000</v>
      </c>
      <c r="Q412" s="230">
        <f>L412+P412+IF(J412=1,'Model Inputs'!$B$26,0)</f>
        <v>675000</v>
      </c>
      <c r="R412" s="230">
        <f t="shared" si="209"/>
        <v>675000</v>
      </c>
      <c r="S412" s="230">
        <f t="shared" si="210"/>
        <v>1800000</v>
      </c>
      <c r="T412" s="230">
        <f t="shared" si="211"/>
        <v>675000</v>
      </c>
      <c r="U412" s="230">
        <f>MIN(T412,'Tax Assumptions'!$B$19)</f>
        <v>24500</v>
      </c>
      <c r="V412" s="230">
        <f>MAX(T412-U412-'Tax Assumptions'!$B$8,0)</f>
        <v>634400</v>
      </c>
      <c r="W412" s="230">
        <f>MAX(T412-U412-'Tax Assumptions'!$B$9,0)</f>
        <v>642500</v>
      </c>
      <c r="X412" s="230">
        <f>IF(V412=0,0,LOOKUP(V412,'Tax Assumptions'!$F$9:$F$15,'Tax Assumptions'!$I$9:$I$15)+(V412-LOOKUP(V412,'Tax Assumptions'!$F$9:$F$15,'Tax Assumptions'!$F$9:$F$15))*LOOKUP(V412,'Tax Assumptions'!$F$9:$F$15,'Tax Assumptions'!$H$9:$H$15))+MIN(MAX(T412,0),'Tax Assumptions'!$B$11)*'Tax Assumptions'!$B$10+MAX(T412,0)*'Tax Assumptions'!$B$12+MAX(MAX(T412,0)-'Tax Assumptions'!$B$14,0)*'Tax Assumptions'!$B$13+MIN(T412*'Tax Assumptions'!$B$15,'Tax Assumptions'!$B$16)+MIN(T412*'Tax Assumptions'!$B$17,'Tax Assumptions'!$B$18)+IF(W412=0,0,LOOKUP(W412,'Tax Assumptions'!$K$9:$K$17,'Tax Assumptions'!$N$9:$N$17)+(W412-LOOKUP(W412,'Tax Assumptions'!$K$9:$K$17,'Tax Assumptions'!$K$9:$K$17))*LOOKUP(W412,'Tax Assumptions'!$K$9:$K$17,'Tax Assumptions'!$M$9:$M$17))+IF(W412=0,0,LOOKUP(W412,'Tax Assumptions'!$P$9:$P$12,'Tax Assumptions'!$S$9:$S$12)+(W412-LOOKUP(W412,'Tax Assumptions'!$P$9:$P$12,'Tax Assumptions'!$P$9:$P$12))*LOOKUP(W412,'Tax Assumptions'!$P$9:$P$12,'Tax Assumptions'!$R$9:$R$12))</f>
        <v>282929.53000000003</v>
      </c>
      <c r="Y412" s="230">
        <f t="shared" si="212"/>
        <v>367570.47</v>
      </c>
      <c r="Z412" s="230">
        <f>IF(J412&lt;=10,INDEX('Savings Projection'!$BL$19:$BL$28,J412),LOOKUP(2,1/('Savings Projection'!$BL$19:$BL$28&lt;&gt;""),'Savings Projection'!$BL$19:$BL$28))*(1+'Model Inputs'!$B$35)^(J412-1)+IF(J412&lt;=10,INDEX('Savings Projection'!$BM$19:$BM$28,J412),LOOKUP(2,1/('Savings Projection'!$BM$19:$BM$28&lt;&gt;""),'Savings Projection'!$BM$19:$BM$28))*(1+'Model Inputs'!$B$36)^(J412-1)</f>
        <v>135795.20000000001</v>
      </c>
      <c r="AA412" s="230">
        <f t="shared" si="213"/>
        <v>231775.26999999996</v>
      </c>
      <c r="AB412" s="230">
        <f>MIN(MAX(AA412,0),'Tax Assumptions'!$B$20)</f>
        <v>7500</v>
      </c>
      <c r="AC412" s="230">
        <f t="shared" si="214"/>
        <v>224275.26999999996</v>
      </c>
      <c r="AD412" s="230">
        <f>MAX(AD411*(1+'Model Inputs'!$B$13)+AC412,0)</f>
        <v>710354.56029199995</v>
      </c>
      <c r="AE412" s="230">
        <f>MAX(AE411*(1+'Model Inputs'!$B$13)+U412+AB412,0)</f>
        <v>101875.2</v>
      </c>
      <c r="AF412" s="230">
        <f t="shared" si="215"/>
        <v>812229.7602919999</v>
      </c>
      <c r="AG412" s="226" t="str">
        <f t="shared" si="237"/>
        <v/>
      </c>
      <c r="AH412" s="226" t="str">
        <f t="shared" si="238"/>
        <v/>
      </c>
      <c r="AI412" s="226" t="str">
        <f t="shared" si="239"/>
        <v/>
      </c>
      <c r="AJ412" s="226" t="str">
        <f t="shared" si="240"/>
        <v/>
      </c>
    </row>
    <row r="413" spans="1:36" ht="18" customHeight="1" x14ac:dyDescent="0.2">
      <c r="A413" s="226" t="str">
        <f t="shared" si="229"/>
        <v>4Y -&gt; PM Y8 Starter</v>
      </c>
      <c r="B413" s="226">
        <f t="shared" si="230"/>
        <v>4</v>
      </c>
      <c r="C413" s="235">
        <f t="shared" si="231"/>
        <v>3</v>
      </c>
      <c r="D413" s="226">
        <f t="shared" si="232"/>
        <v>8</v>
      </c>
      <c r="E413" s="226" t="str">
        <f t="shared" si="233"/>
        <v>Starter</v>
      </c>
      <c r="F413" s="230">
        <f t="shared" si="234"/>
        <v>10000000</v>
      </c>
      <c r="G413" s="236">
        <f t="shared" si="235"/>
        <v>0.15</v>
      </c>
      <c r="H413" s="230">
        <f t="shared" si="236"/>
        <v>300000</v>
      </c>
      <c r="I413" s="236">
        <f t="shared" si="206"/>
        <v>0</v>
      </c>
      <c r="J413" s="234">
        <v>4</v>
      </c>
      <c r="K413" s="234">
        <f t="shared" si="207"/>
        <v>2029</v>
      </c>
      <c r="L413" s="230">
        <f>IF(J413=1,'Model Inputs'!$B$25*(13-'Model Inputs'!$B$23)/12,'Model Inputs'!$B$25)</f>
        <v>300000</v>
      </c>
      <c r="M413" s="230">
        <f>IF(J413=1,'Model Inputs'!$B$27*(13-'Model Inputs'!$B$23)/12,IF(J413=2,'Model Inputs'!$B$27,IF(J413&lt;=MAX(3,'Model Inputs'!$B$30+1),'Model Inputs'!$B$27*(1+'Model Inputs'!$B$28)^(J413-3),'Model Inputs'!$B$27*(1+'Model Inputs'!$B$28)^(MAX(3,'Model Inputs'!$B$30+1)-3)*(1+'Model Inputs'!$B$29)^(J413-MAX(3,'Model Inputs'!$B$30+1)))))</f>
        <v>653834.84153110103</v>
      </c>
      <c r="N413" s="236">
        <f>IF(J413&lt;=2,0,'Model Inputs'!$B$32*SIN(2*PI()*(J413-3+'Model Inputs'!$B$34)/MAX(1,'Model Inputs'!$B$33)))</f>
        <v>0.10392304845413264</v>
      </c>
      <c r="O413" s="230">
        <f t="shared" si="208"/>
        <v>721783.35144853778</v>
      </c>
      <c r="P413" s="230">
        <f t="shared" si="241"/>
        <v>450000</v>
      </c>
      <c r="Q413" s="230">
        <f>L413+P413+IF(J413=1,'Model Inputs'!$B$26,0)</f>
        <v>750000</v>
      </c>
      <c r="R413" s="230">
        <f t="shared" si="209"/>
        <v>750000</v>
      </c>
      <c r="S413" s="230">
        <f t="shared" si="210"/>
        <v>1800000</v>
      </c>
      <c r="T413" s="230">
        <f t="shared" si="211"/>
        <v>750000</v>
      </c>
      <c r="U413" s="230">
        <f>MIN(T413,'Tax Assumptions'!$B$19)</f>
        <v>24500</v>
      </c>
      <c r="V413" s="230">
        <f>MAX(T413-U413-'Tax Assumptions'!$B$8,0)</f>
        <v>709400</v>
      </c>
      <c r="W413" s="230">
        <f>MAX(T413-U413-'Tax Assumptions'!$B$9,0)</f>
        <v>717500</v>
      </c>
      <c r="X413" s="230">
        <f>IF(V413=0,0,LOOKUP(V413,'Tax Assumptions'!$F$9:$F$15,'Tax Assumptions'!$I$9:$I$15)+(V413-LOOKUP(V413,'Tax Assumptions'!$F$9:$F$15,'Tax Assumptions'!$F$9:$F$15))*LOOKUP(V413,'Tax Assumptions'!$F$9:$F$15,'Tax Assumptions'!$H$9:$H$15))+MIN(MAX(T413,0),'Tax Assumptions'!$B$11)*'Tax Assumptions'!$B$10+MAX(T413,0)*'Tax Assumptions'!$B$12+MAX(MAX(T413,0)-'Tax Assumptions'!$B$14,0)*'Tax Assumptions'!$B$13+MIN(T413*'Tax Assumptions'!$B$15,'Tax Assumptions'!$B$16)+MIN(T413*'Tax Assumptions'!$B$17,'Tax Assumptions'!$B$18)+IF(W413=0,0,LOOKUP(W413,'Tax Assumptions'!$K$9:$K$17,'Tax Assumptions'!$N$9:$N$17)+(W413-LOOKUP(W413,'Tax Assumptions'!$K$9:$K$17,'Tax Assumptions'!$K$9:$K$17))*LOOKUP(W413,'Tax Assumptions'!$K$9:$K$17,'Tax Assumptions'!$M$9:$M$17))+IF(W413=0,0,LOOKUP(W413,'Tax Assumptions'!$P$9:$P$12,'Tax Assumptions'!$S$9:$S$12)+(W413-LOOKUP(W413,'Tax Assumptions'!$P$9:$P$12,'Tax Assumptions'!$P$9:$P$12))*LOOKUP(W413,'Tax Assumptions'!$P$9:$P$12,'Tax Assumptions'!$R$9:$R$12))</f>
        <v>320362.53000000003</v>
      </c>
      <c r="Y413" s="230">
        <f t="shared" si="212"/>
        <v>405137.47</v>
      </c>
      <c r="Z413" s="230">
        <f>IF(J413&lt;=10,INDEX('Savings Projection'!$BL$19:$BL$28,J413),LOOKUP(2,1/('Savings Projection'!$BL$19:$BL$28&lt;&gt;""),'Savings Projection'!$BL$19:$BL$28))*(1+'Model Inputs'!$B$35)^(J413-1)+IF(J413&lt;=10,INDEX('Savings Projection'!$BM$19:$BM$28,J413),LOOKUP(2,1/('Savings Projection'!$BM$19:$BM$28&lt;&gt;""),'Savings Projection'!$BM$19:$BM$28))*(1+'Model Inputs'!$B$36)^(J413-1)</f>
        <v>139869.05600000001</v>
      </c>
      <c r="AA413" s="230">
        <f t="shared" si="213"/>
        <v>265268.41399999999</v>
      </c>
      <c r="AB413" s="230">
        <f>MIN(MAX(AA413,0),'Tax Assumptions'!$B$20)</f>
        <v>7500</v>
      </c>
      <c r="AC413" s="230">
        <f t="shared" si="214"/>
        <v>257768.41399999999</v>
      </c>
      <c r="AD413" s="230">
        <f>MAX(AD412*(1+'Model Inputs'!$B$13)+AC413,0)</f>
        <v>1010744.2479095199</v>
      </c>
      <c r="AE413" s="230">
        <f>MAX(AE412*(1+'Model Inputs'!$B$13)+U413+AB413,0)</f>
        <v>139987.712</v>
      </c>
      <c r="AF413" s="230">
        <f t="shared" si="215"/>
        <v>1150731.9599095199</v>
      </c>
      <c r="AG413" s="226" t="str">
        <f t="shared" si="237"/>
        <v/>
      </c>
      <c r="AH413" s="226" t="str">
        <f t="shared" si="238"/>
        <v/>
      </c>
      <c r="AI413" s="226" t="str">
        <f t="shared" si="239"/>
        <v/>
      </c>
      <c r="AJ413" s="226" t="str">
        <f t="shared" si="240"/>
        <v/>
      </c>
    </row>
    <row r="414" spans="1:36" ht="18" customHeight="1" x14ac:dyDescent="0.2">
      <c r="A414" s="226" t="str">
        <f t="shared" si="229"/>
        <v>4Y -&gt; PM Y8 Starter</v>
      </c>
      <c r="B414" s="226">
        <f t="shared" si="230"/>
        <v>4</v>
      </c>
      <c r="C414" s="235">
        <f t="shared" si="231"/>
        <v>3</v>
      </c>
      <c r="D414" s="226">
        <f t="shared" si="232"/>
        <v>8</v>
      </c>
      <c r="E414" s="226" t="str">
        <f t="shared" si="233"/>
        <v>Starter</v>
      </c>
      <c r="F414" s="230">
        <f t="shared" si="234"/>
        <v>10000000</v>
      </c>
      <c r="G414" s="236">
        <f t="shared" si="235"/>
        <v>0.15</v>
      </c>
      <c r="H414" s="230">
        <f t="shared" si="236"/>
        <v>300000</v>
      </c>
      <c r="I414" s="236">
        <f t="shared" si="206"/>
        <v>0</v>
      </c>
      <c r="J414" s="234">
        <v>5</v>
      </c>
      <c r="K414" s="234">
        <f t="shared" si="207"/>
        <v>2030</v>
      </c>
      <c r="L414" s="230">
        <f>IF(J414=1,'Model Inputs'!$B$25*(13-'Model Inputs'!$B$23)/12,'Model Inputs'!$B$25)</f>
        <v>300000</v>
      </c>
      <c r="M414" s="230">
        <f>IF(J414=1,'Model Inputs'!$B$27*(13-'Model Inputs'!$B$23)/12,IF(J414=2,'Model Inputs'!$B$27,IF(J414&lt;=MAX(3,'Model Inputs'!$B$30+1),'Model Inputs'!$B$27*(1+'Model Inputs'!$B$28)^(J414-3),'Model Inputs'!$B$27*(1+'Model Inputs'!$B$28)^(MAX(3,'Model Inputs'!$B$30+1)-3)*(1+'Model Inputs'!$B$29)^(J414-MAX(3,'Model Inputs'!$B$30+1)))))</f>
        <v>950000</v>
      </c>
      <c r="N414" s="236">
        <f>IF(J414&lt;=2,0,'Model Inputs'!$B$32*SIN(2*PI()*(J414-3+'Model Inputs'!$B$34)/MAX(1,'Model Inputs'!$B$33)))</f>
        <v>-0.1039230484541326</v>
      </c>
      <c r="O414" s="230">
        <f t="shared" si="208"/>
        <v>851273.10396857408</v>
      </c>
      <c r="P414" s="230">
        <f t="shared" si="241"/>
        <v>653837.51358640334</v>
      </c>
      <c r="Q414" s="230">
        <f>L414+P414+IF(J414=1,'Model Inputs'!$B$26,0)</f>
        <v>953837.51358640334</v>
      </c>
      <c r="R414" s="230">
        <f t="shared" si="209"/>
        <v>2861512.54075921</v>
      </c>
      <c r="S414" s="230">
        <f t="shared" si="210"/>
        <v>1800000</v>
      </c>
      <c r="T414" s="230">
        <f t="shared" si="211"/>
        <v>2861512.54075921</v>
      </c>
      <c r="U414" s="230">
        <f>MIN(T414,'Tax Assumptions'!$B$19)</f>
        <v>24500</v>
      </c>
      <c r="V414" s="230">
        <f>MAX(T414-U414-'Tax Assumptions'!$B$8,0)</f>
        <v>2820912.54075921</v>
      </c>
      <c r="W414" s="230">
        <f>MAX(T414-U414-'Tax Assumptions'!$B$9,0)</f>
        <v>2829012.54075921</v>
      </c>
      <c r="X414" s="230">
        <f>IF(V414=0,0,LOOKUP(V414,'Tax Assumptions'!$F$9:$F$15,'Tax Assumptions'!$I$9:$I$15)+(V414-LOOKUP(V414,'Tax Assumptions'!$F$9:$F$15,'Tax Assumptions'!$F$9:$F$15))*LOOKUP(V414,'Tax Assumptions'!$F$9:$F$15,'Tax Assumptions'!$H$9:$H$15))+MIN(MAX(T414,0),'Tax Assumptions'!$B$11)*'Tax Assumptions'!$B$10+MAX(T414,0)*'Tax Assumptions'!$B$12+MAX(MAX(T414,0)-'Tax Assumptions'!$B$14,0)*'Tax Assumptions'!$B$13+MIN(T414*'Tax Assumptions'!$B$15,'Tax Assumptions'!$B$16)+MIN(T414*'Tax Assumptions'!$B$17,'Tax Assumptions'!$B$18)+IF(W414=0,0,LOOKUP(W414,'Tax Assumptions'!$K$9:$K$17,'Tax Assumptions'!$N$9:$N$17)+(W414-LOOKUP(W414,'Tax Assumptions'!$K$9:$K$17,'Tax Assumptions'!$K$9:$K$17))*LOOKUP(W414,'Tax Assumptions'!$K$9:$K$17,'Tax Assumptions'!$M$9:$M$17))+IF(W414=0,0,LOOKUP(W414,'Tax Assumptions'!$P$9:$P$12,'Tax Assumptions'!$S$9:$S$12)+(W414-LOOKUP(W414,'Tax Assumptions'!$P$9:$P$12,'Tax Assumptions'!$P$9:$P$12))*LOOKUP(W414,'Tax Assumptions'!$P$9:$P$12,'Tax Assumptions'!$R$9:$R$12))</f>
        <v>1426764.0060518396</v>
      </c>
      <c r="Y414" s="230">
        <f t="shared" si="212"/>
        <v>1410248.5347073704</v>
      </c>
      <c r="Z414" s="230">
        <f>IF(J414&lt;=10,INDEX('Savings Projection'!$BL$19:$BL$28,J414),LOOKUP(2,1/('Savings Projection'!$BL$19:$BL$28&lt;&gt;""),'Savings Projection'!$BL$19:$BL$28))*(1+'Model Inputs'!$B$35)^(J414-1)+IF(J414&lt;=10,INDEX('Savings Projection'!$BM$19:$BM$28,J414),LOOKUP(2,1/('Savings Projection'!$BM$19:$BM$28&lt;&gt;""),'Savings Projection'!$BM$19:$BM$28))*(1+'Model Inputs'!$B$36)^(J414-1)</f>
        <v>144065.12767999998</v>
      </c>
      <c r="AA414" s="230">
        <f t="shared" si="213"/>
        <v>1266183.4070273705</v>
      </c>
      <c r="AB414" s="230">
        <f>MIN(MAX(AA414,0),'Tax Assumptions'!$B$20)</f>
        <v>7500</v>
      </c>
      <c r="AC414" s="230">
        <f t="shared" si="214"/>
        <v>1258683.4070273705</v>
      </c>
      <c r="AD414" s="230">
        <f>MAX(AD413*(1+'Model Inputs'!$B$13)+AC414,0)</f>
        <v>2330072.3098114617</v>
      </c>
      <c r="AE414" s="230">
        <f>MAX(AE413*(1+'Model Inputs'!$B$13)+U414+AB414,0)</f>
        <v>180386.97472</v>
      </c>
      <c r="AF414" s="230">
        <f t="shared" si="215"/>
        <v>2510459.2845314615</v>
      </c>
      <c r="AG414" s="226" t="str">
        <f t="shared" si="237"/>
        <v/>
      </c>
      <c r="AH414" s="226" t="str">
        <f t="shared" si="238"/>
        <v/>
      </c>
      <c r="AI414" s="226" t="str">
        <f t="shared" si="239"/>
        <v/>
      </c>
      <c r="AJ414" s="226" t="str">
        <f t="shared" si="240"/>
        <v/>
      </c>
    </row>
    <row r="415" spans="1:36" ht="18" customHeight="1" x14ac:dyDescent="0.2">
      <c r="A415" s="226" t="str">
        <f t="shared" si="229"/>
        <v>4Y -&gt; PM Y8 Starter</v>
      </c>
      <c r="B415" s="226">
        <f t="shared" si="230"/>
        <v>4</v>
      </c>
      <c r="C415" s="235">
        <f t="shared" si="231"/>
        <v>3</v>
      </c>
      <c r="D415" s="226">
        <f t="shared" si="232"/>
        <v>8</v>
      </c>
      <c r="E415" s="226" t="str">
        <f t="shared" si="233"/>
        <v>Starter</v>
      </c>
      <c r="F415" s="230">
        <f t="shared" si="234"/>
        <v>10000000</v>
      </c>
      <c r="G415" s="236">
        <f t="shared" si="235"/>
        <v>0.15</v>
      </c>
      <c r="H415" s="230">
        <f t="shared" si="236"/>
        <v>300000</v>
      </c>
      <c r="I415" s="236">
        <f t="shared" si="206"/>
        <v>0</v>
      </c>
      <c r="J415" s="234">
        <v>6</v>
      </c>
      <c r="K415" s="234">
        <f t="shared" si="207"/>
        <v>2031</v>
      </c>
      <c r="L415" s="230">
        <f>IF(J415=1,'Model Inputs'!$B$25*(13-'Model Inputs'!$B$23)/12,'Model Inputs'!$B$25)</f>
        <v>300000</v>
      </c>
      <c r="M415" s="230">
        <f>IF(J415=1,'Model Inputs'!$B$27*(13-'Model Inputs'!$B$23)/12,IF(J415=2,'Model Inputs'!$B$27,IF(J415&lt;=MAX(3,'Model Inputs'!$B$30+1),'Model Inputs'!$B$27*(1+'Model Inputs'!$B$28)^(J415-3),'Model Inputs'!$B$27*(1+'Model Inputs'!$B$28)^(MAX(3,'Model Inputs'!$B$30+1)-3)*(1+'Model Inputs'!$B$29)^(J415-MAX(3,'Model Inputs'!$B$30+1)))))</f>
        <v>1207333.5632986501</v>
      </c>
      <c r="N415" s="236">
        <f>IF(J415&lt;=2,0,'Model Inputs'!$B$32*SIN(2*PI()*(J415-3+'Model Inputs'!$B$34)/MAX(1,'Model Inputs'!$B$33)))</f>
        <v>-2.9391523179536474E-17</v>
      </c>
      <c r="O415" s="230">
        <f t="shared" si="208"/>
        <v>1207333.5632986501</v>
      </c>
      <c r="P415" s="230">
        <f t="shared" si="241"/>
        <v>818900.66583856498</v>
      </c>
      <c r="Q415" s="230">
        <f>L415+P415+IF(J415=1,'Model Inputs'!$B$26,0)</f>
        <v>1118900.665838565</v>
      </c>
      <c r="R415" s="230">
        <f t="shared" si="209"/>
        <v>3356701.9975156952</v>
      </c>
      <c r="S415" s="230">
        <f t="shared" si="210"/>
        <v>1800000</v>
      </c>
      <c r="T415" s="230">
        <f t="shared" si="211"/>
        <v>3356701.9975156952</v>
      </c>
      <c r="U415" s="230">
        <f>MIN(T415,'Tax Assumptions'!$B$19)</f>
        <v>24500</v>
      </c>
      <c r="V415" s="230">
        <f>MAX(T415-U415-'Tax Assumptions'!$B$8,0)</f>
        <v>3316101.9975156952</v>
      </c>
      <c r="W415" s="230">
        <f>MAX(T415-U415-'Tax Assumptions'!$B$9,0)</f>
        <v>3324201.9975156952</v>
      </c>
      <c r="X415" s="230">
        <f>IF(V415=0,0,LOOKUP(V415,'Tax Assumptions'!$F$9:$F$15,'Tax Assumptions'!$I$9:$I$15)+(V415-LOOKUP(V415,'Tax Assumptions'!$F$9:$F$15,'Tax Assumptions'!$F$9:$F$15))*LOOKUP(V415,'Tax Assumptions'!$F$9:$F$15,'Tax Assumptions'!$H$9:$H$15))+MIN(MAX(T415,0),'Tax Assumptions'!$B$11)*'Tax Assumptions'!$B$10+MAX(T415,0)*'Tax Assumptions'!$B$12+MAX(MAX(T415,0)-'Tax Assumptions'!$B$14,0)*'Tax Assumptions'!$B$13+MIN(T415*'Tax Assumptions'!$B$15,'Tax Assumptions'!$B$16)+MIN(T415*'Tax Assumptions'!$B$17,'Tax Assumptions'!$B$18)+IF(W415=0,0,LOOKUP(W415,'Tax Assumptions'!$K$9:$K$17,'Tax Assumptions'!$N$9:$N$17)+(W415-LOOKUP(W415,'Tax Assumptions'!$K$9:$K$17,'Tax Assumptions'!$K$9:$K$17))*LOOKUP(W415,'Tax Assumptions'!$K$9:$K$17,'Tax Assumptions'!$M$9:$M$17))+IF(W415=0,0,LOOKUP(W415,'Tax Assumptions'!$P$9:$P$12,'Tax Assumptions'!$S$9:$S$12)+(W415-LOOKUP(W415,'Tax Assumptions'!$P$9:$P$12,'Tax Assumptions'!$P$9:$P$12))*LOOKUP(W415,'Tax Assumptions'!$P$9:$P$12,'Tax Assumptions'!$R$9:$R$12))</f>
        <v>1688600.3832063989</v>
      </c>
      <c r="Y415" s="230">
        <f t="shared" si="212"/>
        <v>1643601.6143092962</v>
      </c>
      <c r="Z415" s="230">
        <f>IF(J415&lt;=10,INDEX('Savings Projection'!$BL$19:$BL$28,J415),LOOKUP(2,1/('Savings Projection'!$BL$19:$BL$28&lt;&gt;""),'Savings Projection'!$BL$19:$BL$28))*(1+'Model Inputs'!$B$35)^(J415-1)+IF(J415&lt;=10,INDEX('Savings Projection'!$BM$19:$BM$28,J415),LOOKUP(2,1/('Savings Projection'!$BM$19:$BM$28&lt;&gt;""),'Savings Projection'!$BM$19:$BM$28))*(1+'Model Inputs'!$B$36)^(J415-1)</f>
        <v>150705.62965899997</v>
      </c>
      <c r="AA415" s="230">
        <f t="shared" si="213"/>
        <v>1492895.9846502962</v>
      </c>
      <c r="AB415" s="230">
        <f>MIN(MAX(AA415,0),'Tax Assumptions'!$B$20)</f>
        <v>7500</v>
      </c>
      <c r="AC415" s="230">
        <f t="shared" si="214"/>
        <v>1485395.9846502962</v>
      </c>
      <c r="AD415" s="230">
        <f>MAX(AD414*(1+'Model Inputs'!$B$13)+AC415,0)</f>
        <v>3955272.6330504459</v>
      </c>
      <c r="AE415" s="230">
        <f>MAX(AE414*(1+'Model Inputs'!$B$13)+U415+AB415,0)</f>
        <v>223210.1932032</v>
      </c>
      <c r="AF415" s="230">
        <f t="shared" si="215"/>
        <v>4178482.8262536461</v>
      </c>
      <c r="AG415" s="226" t="str">
        <f t="shared" si="237"/>
        <v/>
      </c>
      <c r="AH415" s="226" t="str">
        <f t="shared" si="238"/>
        <v/>
      </c>
      <c r="AI415" s="226" t="str">
        <f t="shared" si="239"/>
        <v/>
      </c>
      <c r="AJ415" s="226" t="str">
        <f t="shared" si="240"/>
        <v/>
      </c>
    </row>
    <row r="416" spans="1:36" ht="18" customHeight="1" x14ac:dyDescent="0.2">
      <c r="A416" s="226" t="str">
        <f t="shared" si="229"/>
        <v>4Y -&gt; PM Y8 Starter</v>
      </c>
      <c r="B416" s="226">
        <f t="shared" si="230"/>
        <v>4</v>
      </c>
      <c r="C416" s="235">
        <f t="shared" si="231"/>
        <v>3</v>
      </c>
      <c r="D416" s="226">
        <f t="shared" si="232"/>
        <v>8</v>
      </c>
      <c r="E416" s="226" t="str">
        <f t="shared" si="233"/>
        <v>Starter</v>
      </c>
      <c r="F416" s="230">
        <f t="shared" si="234"/>
        <v>10000000</v>
      </c>
      <c r="G416" s="236">
        <f t="shared" si="235"/>
        <v>0.15</v>
      </c>
      <c r="H416" s="230">
        <f t="shared" si="236"/>
        <v>300000</v>
      </c>
      <c r="I416" s="236">
        <f t="shared" si="206"/>
        <v>0</v>
      </c>
      <c r="J416" s="234">
        <v>7</v>
      </c>
      <c r="K416" s="234">
        <f t="shared" si="207"/>
        <v>2032</v>
      </c>
      <c r="L416" s="230">
        <f>IF(J416=1,'Model Inputs'!$B$25*(13-'Model Inputs'!$B$23)/12,'Model Inputs'!$B$25)</f>
        <v>300000</v>
      </c>
      <c r="M416" s="230">
        <f>IF(J416=1,'Model Inputs'!$B$27*(13-'Model Inputs'!$B$23)/12,IF(J416=2,'Model Inputs'!$B$27,IF(J416&lt;=MAX(3,'Model Inputs'!$B$30+1),'Model Inputs'!$B$27*(1+'Model Inputs'!$B$28)^(J416-3),'Model Inputs'!$B$27*(1+'Model Inputs'!$B$28)^(MAX(3,'Model Inputs'!$B$30+1)-3)*(1+'Model Inputs'!$B$29)^(J416-MAX(3,'Model Inputs'!$B$30+1)))))</f>
        <v>1534372.9821762268</v>
      </c>
      <c r="N416" s="236">
        <f>IF(J416&lt;=2,0,'Model Inputs'!$B$32*SIN(2*PI()*(J416-3+'Model Inputs'!$B$34)/MAX(1,'Model Inputs'!$B$33)))</f>
        <v>0.10392304845413269</v>
      </c>
      <c r="O416" s="230">
        <f t="shared" si="208"/>
        <v>1693829.6999496389</v>
      </c>
      <c r="P416" s="230">
        <f t="shared" si="241"/>
        <v>1118318.448466131</v>
      </c>
      <c r="Q416" s="230">
        <f>L416+P416+IF(J416=1,'Model Inputs'!$B$26,0)</f>
        <v>1418318.448466131</v>
      </c>
      <c r="R416" s="230">
        <f t="shared" si="209"/>
        <v>4254955.3453983925</v>
      </c>
      <c r="S416" s="230">
        <f t="shared" si="210"/>
        <v>1800000</v>
      </c>
      <c r="T416" s="230">
        <f t="shared" si="211"/>
        <v>4254955.3453983925</v>
      </c>
      <c r="U416" s="230">
        <f>MIN(T416,'Tax Assumptions'!$B$19)</f>
        <v>24500</v>
      </c>
      <c r="V416" s="230">
        <f>MAX(T416-U416-'Tax Assumptions'!$B$8,0)</f>
        <v>4214355.3453983925</v>
      </c>
      <c r="W416" s="230">
        <f>MAX(T416-U416-'Tax Assumptions'!$B$9,0)</f>
        <v>4222455.3453983925</v>
      </c>
      <c r="X416" s="230">
        <f>IF(V416=0,0,LOOKUP(V416,'Tax Assumptions'!$F$9:$F$15,'Tax Assumptions'!$I$9:$I$15)+(V416-LOOKUP(V416,'Tax Assumptions'!$F$9:$F$15,'Tax Assumptions'!$F$9:$F$15))*LOOKUP(V416,'Tax Assumptions'!$F$9:$F$15,'Tax Assumptions'!$H$9:$H$15))+MIN(MAX(T416,0),'Tax Assumptions'!$B$11)*'Tax Assumptions'!$B$10+MAX(T416,0)*'Tax Assumptions'!$B$12+MAX(MAX(T416,0)-'Tax Assumptions'!$B$14,0)*'Tax Assumptions'!$B$13+MIN(T416*'Tax Assumptions'!$B$15,'Tax Assumptions'!$B$16)+MIN(T416*'Tax Assumptions'!$B$17,'Tax Assumptions'!$B$18)+IF(W416=0,0,LOOKUP(W416,'Tax Assumptions'!$K$9:$K$17,'Tax Assumptions'!$N$9:$N$17)+(W416-LOOKUP(W416,'Tax Assumptions'!$K$9:$K$17,'Tax Assumptions'!$K$9:$K$17))*LOOKUP(W416,'Tax Assumptions'!$K$9:$K$17,'Tax Assumptions'!$M$9:$M$17))+IF(W416=0,0,LOOKUP(W416,'Tax Assumptions'!$P$9:$P$12,'Tax Assumptions'!$S$9:$S$12)+(W416-LOOKUP(W416,'Tax Assumptions'!$P$9:$P$12,'Tax Assumptions'!$P$9:$P$12))*LOOKUP(W416,'Tax Assumptions'!$P$9:$P$12,'Tax Assumptions'!$R$9:$R$12))</f>
        <v>2163560.8234328539</v>
      </c>
      <c r="Y416" s="230">
        <f t="shared" si="212"/>
        <v>2066894.5219655386</v>
      </c>
      <c r="Z416" s="230">
        <f>IF(J416&lt;=10,INDEX('Savings Projection'!$BL$19:$BL$28,J416),LOOKUP(2,1/('Savings Projection'!$BL$19:$BL$28&lt;&gt;""),'Savings Projection'!$BL$19:$BL$28))*(1+'Model Inputs'!$B$35)^(J416-1)+IF(J416&lt;=10,INDEX('Savings Projection'!$BM$19:$BM$28,J416),LOOKUP(2,1/('Savings Projection'!$BM$19:$BM$28&lt;&gt;""),'Savings Projection'!$BM$19:$BM$28))*(1+'Model Inputs'!$B$36)^(J416-1)</f>
        <v>155226.79854876999</v>
      </c>
      <c r="AA416" s="230">
        <f t="shared" si="213"/>
        <v>1911667.7234167687</v>
      </c>
      <c r="AB416" s="230">
        <f>MIN(MAX(AA416,0),'Tax Assumptions'!$B$20)</f>
        <v>7500</v>
      </c>
      <c r="AC416" s="230">
        <f t="shared" si="214"/>
        <v>1904167.7234167687</v>
      </c>
      <c r="AD416" s="230">
        <f>MAX(AD415*(1+'Model Inputs'!$B$13)+AC416,0)</f>
        <v>6096756.714450242</v>
      </c>
      <c r="AE416" s="230">
        <f>MAX(AE415*(1+'Model Inputs'!$B$13)+U416+AB416,0)</f>
        <v>268602.80479539197</v>
      </c>
      <c r="AF416" s="230">
        <f t="shared" si="215"/>
        <v>6365359.5192456339</v>
      </c>
      <c r="AG416" s="226" t="str">
        <f t="shared" si="237"/>
        <v/>
      </c>
      <c r="AH416" s="226" t="str">
        <f t="shared" si="238"/>
        <v/>
      </c>
      <c r="AI416" s="226" t="str">
        <f t="shared" si="239"/>
        <v/>
      </c>
      <c r="AJ416" s="226" t="str">
        <f t="shared" si="240"/>
        <v/>
      </c>
    </row>
    <row r="417" spans="1:36" ht="18" customHeight="1" x14ac:dyDescent="0.2">
      <c r="A417" s="226" t="str">
        <f t="shared" si="229"/>
        <v>4Y -&gt; PM Y8 Starter</v>
      </c>
      <c r="B417" s="226">
        <f t="shared" si="230"/>
        <v>4</v>
      </c>
      <c r="C417" s="235">
        <f t="shared" si="231"/>
        <v>3</v>
      </c>
      <c r="D417" s="226">
        <f t="shared" si="232"/>
        <v>8</v>
      </c>
      <c r="E417" s="226" t="str">
        <f t="shared" si="233"/>
        <v>Starter</v>
      </c>
      <c r="F417" s="230">
        <f t="shared" si="234"/>
        <v>10000000</v>
      </c>
      <c r="G417" s="236">
        <f t="shared" si="235"/>
        <v>0.15</v>
      </c>
      <c r="H417" s="230">
        <f t="shared" si="236"/>
        <v>300000</v>
      </c>
      <c r="I417" s="236">
        <f t="shared" si="206"/>
        <v>0</v>
      </c>
      <c r="J417" s="234">
        <v>8</v>
      </c>
      <c r="K417" s="234">
        <f t="shared" si="207"/>
        <v>2033</v>
      </c>
      <c r="L417" s="230">
        <f>IF(J417=1,'Model Inputs'!$B$25*(13-'Model Inputs'!$B$23)/12,'Model Inputs'!$B$25)</f>
        <v>300000</v>
      </c>
      <c r="M417" s="230">
        <f>IF(J417=1,'Model Inputs'!$B$27*(13-'Model Inputs'!$B$23)/12,IF(J417=2,'Model Inputs'!$B$27,IF(J417&lt;=MAX(3,'Model Inputs'!$B$30+1),'Model Inputs'!$B$27*(1+'Model Inputs'!$B$28)^(J417-3),'Model Inputs'!$B$27*(1+'Model Inputs'!$B$28)^(MAX(3,'Model Inputs'!$B$30+1)-3)*(1+'Model Inputs'!$B$29)^(J417-MAX(3,'Model Inputs'!$B$30+1)))))</f>
        <v>1950000.0000000002</v>
      </c>
      <c r="N417" s="236">
        <f>IF(J417&lt;=2,0,'Model Inputs'!$B$32*SIN(2*PI()*(J417-3+'Model Inputs'!$B$34)/MAX(1,'Model Inputs'!$B$33)))</f>
        <v>-0.10392304845413264</v>
      </c>
      <c r="O417" s="230">
        <f t="shared" si="208"/>
        <v>1747350.0555144416</v>
      </c>
      <c r="P417" s="230">
        <f t="shared" si="241"/>
        <v>1572205.6657868917</v>
      </c>
      <c r="Q417" s="230">
        <f>L417+P417+IF(J417=1,'Model Inputs'!$B$26,0)</f>
        <v>1872205.6657868917</v>
      </c>
      <c r="R417" s="230">
        <f t="shared" si="209"/>
        <v>5616616.9973606747</v>
      </c>
      <c r="S417" s="230">
        <f t="shared" si="210"/>
        <v>1800000</v>
      </c>
      <c r="T417" s="230">
        <f t="shared" si="211"/>
        <v>1800000</v>
      </c>
      <c r="U417" s="230">
        <f>MIN(T417,'Tax Assumptions'!$B$19)</f>
        <v>24500</v>
      </c>
      <c r="V417" s="230">
        <f>MAX(T417-U417-'Tax Assumptions'!$B$8,0)</f>
        <v>1759400</v>
      </c>
      <c r="W417" s="230">
        <f>MAX(T417-U417-'Tax Assumptions'!$B$9,0)</f>
        <v>1767500</v>
      </c>
      <c r="X417" s="230">
        <f>IF(V417=0,0,LOOKUP(V417,'Tax Assumptions'!$F$9:$F$15,'Tax Assumptions'!$I$9:$I$15)+(V417-LOOKUP(V417,'Tax Assumptions'!$F$9:$F$15,'Tax Assumptions'!$F$9:$F$15))*LOOKUP(V417,'Tax Assumptions'!$F$9:$F$15,'Tax Assumptions'!$H$9:$H$15))+MIN(MAX(T417,0),'Tax Assumptions'!$B$11)*'Tax Assumptions'!$B$10+MAX(T417,0)*'Tax Assumptions'!$B$12+MAX(MAX(T417,0)-'Tax Assumptions'!$B$14,0)*'Tax Assumptions'!$B$13+MIN(T417*'Tax Assumptions'!$B$15,'Tax Assumptions'!$B$16)+MIN(T417*'Tax Assumptions'!$B$17,'Tax Assumptions'!$B$18)+IF(W417=0,0,LOOKUP(W417,'Tax Assumptions'!$K$9:$K$17,'Tax Assumptions'!$N$9:$N$17)+(W417-LOOKUP(W417,'Tax Assumptions'!$K$9:$K$17,'Tax Assumptions'!$K$9:$K$17))*LOOKUP(W417,'Tax Assumptions'!$K$9:$K$17,'Tax Assumptions'!$M$9:$M$17))+IF(W417=0,0,LOOKUP(W417,'Tax Assumptions'!$P$9:$P$12,'Tax Assumptions'!$S$9:$S$12)+(W417-LOOKUP(W417,'Tax Assumptions'!$P$9:$P$12,'Tax Assumptions'!$P$9:$P$12))*LOOKUP(W417,'Tax Assumptions'!$P$9:$P$12,'Tax Assumptions'!$R$9:$R$12))</f>
        <v>865478.63500000001</v>
      </c>
      <c r="Y417" s="230">
        <f t="shared" si="212"/>
        <v>910021.36499999999</v>
      </c>
      <c r="Z417" s="230">
        <f>IF(J417&lt;=10,INDEX('Savings Projection'!$BL$19:$BL$28,J417),LOOKUP(2,1/('Savings Projection'!$BL$19:$BL$28&lt;&gt;""),'Savings Projection'!$BL$19:$BL$28))*(1+'Model Inputs'!$B$35)^(J417-1)+IF(J417&lt;=10,INDEX('Savings Projection'!$BM$19:$BM$28,J417),LOOKUP(2,1/('Savings Projection'!$BM$19:$BM$28&lt;&gt;""),'Savings Projection'!$BM$19:$BM$28))*(1+'Model Inputs'!$B$36)^(J417-1)</f>
        <v>159883.60250523311</v>
      </c>
      <c r="AA417" s="230">
        <f t="shared" si="213"/>
        <v>750137.76249476685</v>
      </c>
      <c r="AB417" s="230">
        <f>MIN(MAX(AA417,0),'Tax Assumptions'!$B$20)</f>
        <v>7500</v>
      </c>
      <c r="AC417" s="230">
        <f t="shared" si="214"/>
        <v>742637.76249476685</v>
      </c>
      <c r="AD417" s="230">
        <f>MAX(AD416*(1+'Model Inputs'!$B$13)+AC417,0)</f>
        <v>7205199.8798120236</v>
      </c>
      <c r="AE417" s="230">
        <f>MAX(AE416*(1+'Model Inputs'!$B$13)+U417+AB417,0)</f>
        <v>316718.97308311553</v>
      </c>
      <c r="AF417" s="230">
        <f t="shared" si="215"/>
        <v>7521918.8528951388</v>
      </c>
      <c r="AG417" s="226" t="str">
        <f t="shared" si="237"/>
        <v/>
      </c>
      <c r="AH417" s="226" t="str">
        <f t="shared" si="238"/>
        <v/>
      </c>
      <c r="AI417" s="226" t="str">
        <f t="shared" si="239"/>
        <v/>
      </c>
      <c r="AJ417" s="226" t="str">
        <f t="shared" si="240"/>
        <v/>
      </c>
    </row>
    <row r="418" spans="1:36" ht="18" customHeight="1" x14ac:dyDescent="0.2">
      <c r="A418" s="226" t="str">
        <f t="shared" si="229"/>
        <v>4Y -&gt; PM Y8 Starter</v>
      </c>
      <c r="B418" s="226">
        <f t="shared" si="230"/>
        <v>4</v>
      </c>
      <c r="C418" s="235">
        <f t="shared" si="231"/>
        <v>3</v>
      </c>
      <c r="D418" s="226">
        <f t="shared" si="232"/>
        <v>8</v>
      </c>
      <c r="E418" s="226" t="str">
        <f t="shared" si="233"/>
        <v>Starter</v>
      </c>
      <c r="F418" s="230">
        <f t="shared" si="234"/>
        <v>10000000</v>
      </c>
      <c r="G418" s="236">
        <f t="shared" si="235"/>
        <v>0.15</v>
      </c>
      <c r="H418" s="230">
        <f t="shared" si="236"/>
        <v>300000</v>
      </c>
      <c r="I418" s="236">
        <f t="shared" si="206"/>
        <v>0</v>
      </c>
      <c r="J418" s="234">
        <v>9</v>
      </c>
      <c r="K418" s="234">
        <f t="shared" si="207"/>
        <v>2034</v>
      </c>
      <c r="L418" s="230">
        <f>IF(J418=1,'Model Inputs'!$B$25*(13-'Model Inputs'!$B$23)/12,'Model Inputs'!$B$25)</f>
        <v>300000</v>
      </c>
      <c r="M418" s="230">
        <f>IF(J418=1,'Model Inputs'!$B$27*(13-'Model Inputs'!$B$23)/12,IF(J418=2,'Model Inputs'!$B$27,IF(J418&lt;=MAX(3,'Model Inputs'!$B$30+1),'Model Inputs'!$B$27*(1+'Model Inputs'!$B$28)^(J418-3),'Model Inputs'!$B$27*(1+'Model Inputs'!$B$28)^(MAX(3,'Model Inputs'!$B$30+1)-3)*(1+'Model Inputs'!$B$29)^(J418-MAX(3,'Model Inputs'!$B$30+1)))))</f>
        <v>2478210.9983498608</v>
      </c>
      <c r="N418" s="236">
        <f>IF(J418&lt;=2,0,'Model Inputs'!$B$32*SIN(2*PI()*(J418-3+'Model Inputs'!$B$34)/MAX(1,'Model Inputs'!$B$33)))</f>
        <v>-5.8783046359072947E-17</v>
      </c>
      <c r="O418" s="230">
        <f t="shared" si="208"/>
        <v>2478210.9983498603</v>
      </c>
      <c r="P418" s="230">
        <f t="shared" si="241"/>
        <v>1733969.9666232408</v>
      </c>
      <c r="Q418" s="230">
        <f>L418+P418+IF(J418=1,'Model Inputs'!$B$26,0)</f>
        <v>2033969.9666232408</v>
      </c>
      <c r="R418" s="230">
        <f t="shared" si="209"/>
        <v>6101909.8998697223</v>
      </c>
      <c r="S418" s="230">
        <f t="shared" si="210"/>
        <v>1800000</v>
      </c>
      <c r="T418" s="230">
        <f t="shared" si="211"/>
        <v>1800000</v>
      </c>
      <c r="U418" s="230">
        <f>MIN(T418,'Tax Assumptions'!$B$19)</f>
        <v>24500</v>
      </c>
      <c r="V418" s="230">
        <f>MAX(T418-U418-'Tax Assumptions'!$B$8,0)</f>
        <v>1759400</v>
      </c>
      <c r="W418" s="230">
        <f>MAX(T418-U418-'Tax Assumptions'!$B$9,0)</f>
        <v>1767500</v>
      </c>
      <c r="X418" s="230">
        <f>IF(V418=0,0,LOOKUP(V418,'Tax Assumptions'!$F$9:$F$15,'Tax Assumptions'!$I$9:$I$15)+(V418-LOOKUP(V418,'Tax Assumptions'!$F$9:$F$15,'Tax Assumptions'!$F$9:$F$15))*LOOKUP(V418,'Tax Assumptions'!$F$9:$F$15,'Tax Assumptions'!$H$9:$H$15))+MIN(MAX(T418,0),'Tax Assumptions'!$B$11)*'Tax Assumptions'!$B$10+MAX(T418,0)*'Tax Assumptions'!$B$12+MAX(MAX(T418,0)-'Tax Assumptions'!$B$14,0)*'Tax Assumptions'!$B$13+MIN(T418*'Tax Assumptions'!$B$15,'Tax Assumptions'!$B$16)+MIN(T418*'Tax Assumptions'!$B$17,'Tax Assumptions'!$B$18)+IF(W418=0,0,LOOKUP(W418,'Tax Assumptions'!$K$9:$K$17,'Tax Assumptions'!$N$9:$N$17)+(W418-LOOKUP(W418,'Tax Assumptions'!$K$9:$K$17,'Tax Assumptions'!$K$9:$K$17))*LOOKUP(W418,'Tax Assumptions'!$K$9:$K$17,'Tax Assumptions'!$M$9:$M$17))+IF(W418=0,0,LOOKUP(W418,'Tax Assumptions'!$P$9:$P$12,'Tax Assumptions'!$S$9:$S$12)+(W418-LOOKUP(W418,'Tax Assumptions'!$P$9:$P$12,'Tax Assumptions'!$P$9:$P$12))*LOOKUP(W418,'Tax Assumptions'!$P$9:$P$12,'Tax Assumptions'!$R$9:$R$12))</f>
        <v>865478.63500000001</v>
      </c>
      <c r="Y418" s="230">
        <f t="shared" si="212"/>
        <v>910021.36499999999</v>
      </c>
      <c r="Z418" s="230">
        <f>IF(J418&lt;=10,INDEX('Savings Projection'!$BL$19:$BL$28,J418),LOOKUP(2,1/('Savings Projection'!$BL$19:$BL$28&lt;&gt;""),'Savings Projection'!$BL$19:$BL$28))*(1+'Model Inputs'!$B$35)^(J418-1)+IF(J418&lt;=10,INDEX('Savings Projection'!$BM$19:$BM$28,J418),LOOKUP(2,1/('Savings Projection'!$BM$19:$BM$28&lt;&gt;""),'Savings Projection'!$BM$19:$BM$28))*(1+'Model Inputs'!$B$36)^(J418-1)</f>
        <v>164680.11058039009</v>
      </c>
      <c r="AA418" s="230">
        <f t="shared" si="213"/>
        <v>745341.2544196099</v>
      </c>
      <c r="AB418" s="230">
        <f>MIN(MAX(AA418,0),'Tax Assumptions'!$B$20)</f>
        <v>7500</v>
      </c>
      <c r="AC418" s="230">
        <f t="shared" si="214"/>
        <v>737841.2544196099</v>
      </c>
      <c r="AD418" s="230">
        <f>MAX(AD417*(1+'Model Inputs'!$B$13)+AC418,0)</f>
        <v>8375353.1270203553</v>
      </c>
      <c r="AE418" s="230">
        <f>MAX(AE417*(1+'Model Inputs'!$B$13)+U418+AB418,0)</f>
        <v>367722.11146810249</v>
      </c>
      <c r="AF418" s="230">
        <f t="shared" si="215"/>
        <v>8743075.2384884581</v>
      </c>
      <c r="AG418" s="226" t="str">
        <f t="shared" si="237"/>
        <v/>
      </c>
      <c r="AH418" s="226" t="str">
        <f t="shared" si="238"/>
        <v/>
      </c>
      <c r="AI418" s="226" t="str">
        <f t="shared" si="239"/>
        <v/>
      </c>
      <c r="AJ418" s="226" t="str">
        <f t="shared" si="240"/>
        <v/>
      </c>
    </row>
    <row r="419" spans="1:36" ht="18" customHeight="1" x14ac:dyDescent="0.2">
      <c r="A419" s="226" t="str">
        <f t="shared" si="229"/>
        <v>4Y -&gt; PM Y8 Starter</v>
      </c>
      <c r="B419" s="226">
        <f t="shared" si="230"/>
        <v>4</v>
      </c>
      <c r="C419" s="235">
        <f t="shared" si="231"/>
        <v>3</v>
      </c>
      <c r="D419" s="226">
        <f t="shared" si="232"/>
        <v>8</v>
      </c>
      <c r="E419" s="226" t="str">
        <f t="shared" si="233"/>
        <v>Starter</v>
      </c>
      <c r="F419" s="230">
        <f t="shared" si="234"/>
        <v>10000000</v>
      </c>
      <c r="G419" s="236">
        <f t="shared" si="235"/>
        <v>0.15</v>
      </c>
      <c r="H419" s="230">
        <f t="shared" si="236"/>
        <v>300000</v>
      </c>
      <c r="I419" s="236">
        <f t="shared" si="206"/>
        <v>0</v>
      </c>
      <c r="J419" s="234">
        <v>10</v>
      </c>
      <c r="K419" s="234">
        <f t="shared" si="207"/>
        <v>2035</v>
      </c>
      <c r="L419" s="230">
        <f>IF(J419=1,'Model Inputs'!$B$25*(13-'Model Inputs'!$B$23)/12,'Model Inputs'!$B$25)</f>
        <v>300000</v>
      </c>
      <c r="M419" s="230">
        <f>IF(J419=1,'Model Inputs'!$B$27*(13-'Model Inputs'!$B$23)/12,IF(J419=2,'Model Inputs'!$B$27,IF(J419&lt;=MAX(3,'Model Inputs'!$B$30+1),'Model Inputs'!$B$27*(1+'Model Inputs'!$B$28)^(J419-3),'Model Inputs'!$B$27*(1+'Model Inputs'!$B$28)^(MAX(3,'Model Inputs'!$B$30+1)-3)*(1+'Model Inputs'!$B$29)^(J419-MAX(3,'Model Inputs'!$B$30+1)))))</f>
        <v>3149502.4370985711</v>
      </c>
      <c r="N419" s="236">
        <f>IF(J419&lt;=2,0,'Model Inputs'!$B$32*SIN(2*PI()*(J419-3+'Model Inputs'!$B$34)/MAX(1,'Model Inputs'!$B$33)))</f>
        <v>0.10392304845413271</v>
      </c>
      <c r="O419" s="230">
        <f t="shared" si="208"/>
        <v>3476808.331475575</v>
      </c>
      <c r="P419" s="230">
        <f t="shared" si="241"/>
        <v>2295495.7626410057</v>
      </c>
      <c r="Q419" s="230">
        <f>L419+P419+IF(J419=1,'Model Inputs'!$B$26,0)</f>
        <v>2595495.7626410057</v>
      </c>
      <c r="R419" s="230">
        <f t="shared" si="209"/>
        <v>7786487.2879230175</v>
      </c>
      <c r="S419" s="230">
        <f t="shared" si="210"/>
        <v>1800000</v>
      </c>
      <c r="T419" s="230">
        <f t="shared" si="211"/>
        <v>1800000</v>
      </c>
      <c r="U419" s="230">
        <f>MIN(T419,'Tax Assumptions'!$B$19)</f>
        <v>24500</v>
      </c>
      <c r="V419" s="230">
        <f>MAX(T419-U419-'Tax Assumptions'!$B$8,0)</f>
        <v>1759400</v>
      </c>
      <c r="W419" s="230">
        <f>MAX(T419-U419-'Tax Assumptions'!$B$9,0)</f>
        <v>1767500</v>
      </c>
      <c r="X419" s="230">
        <f>IF(V419=0,0,LOOKUP(V419,'Tax Assumptions'!$F$9:$F$15,'Tax Assumptions'!$I$9:$I$15)+(V419-LOOKUP(V419,'Tax Assumptions'!$F$9:$F$15,'Tax Assumptions'!$F$9:$F$15))*LOOKUP(V419,'Tax Assumptions'!$F$9:$F$15,'Tax Assumptions'!$H$9:$H$15))+MIN(MAX(T419,0),'Tax Assumptions'!$B$11)*'Tax Assumptions'!$B$10+MAX(T419,0)*'Tax Assumptions'!$B$12+MAX(MAX(T419,0)-'Tax Assumptions'!$B$14,0)*'Tax Assumptions'!$B$13+MIN(T419*'Tax Assumptions'!$B$15,'Tax Assumptions'!$B$16)+MIN(T419*'Tax Assumptions'!$B$17,'Tax Assumptions'!$B$18)+IF(W419=0,0,LOOKUP(W419,'Tax Assumptions'!$K$9:$K$17,'Tax Assumptions'!$N$9:$N$17)+(W419-LOOKUP(W419,'Tax Assumptions'!$K$9:$K$17,'Tax Assumptions'!$K$9:$K$17))*LOOKUP(W419,'Tax Assumptions'!$K$9:$K$17,'Tax Assumptions'!$M$9:$M$17))+IF(W419=0,0,LOOKUP(W419,'Tax Assumptions'!$P$9:$P$12,'Tax Assumptions'!$S$9:$S$12)+(W419-LOOKUP(W419,'Tax Assumptions'!$P$9:$P$12,'Tax Assumptions'!$P$9:$P$12))*LOOKUP(W419,'Tax Assumptions'!$P$9:$P$12,'Tax Assumptions'!$R$9:$R$12))</f>
        <v>865478.63500000001</v>
      </c>
      <c r="Y419" s="230">
        <f t="shared" si="212"/>
        <v>910021.36499999999</v>
      </c>
      <c r="Z419" s="230">
        <f>IF(J419&lt;=10,INDEX('Savings Projection'!$BL$19:$BL$28,J419),LOOKUP(2,1/('Savings Projection'!$BL$19:$BL$28&lt;&gt;""),'Savings Projection'!$BL$19:$BL$28))*(1+'Model Inputs'!$B$35)^(J419-1)+IF(J419&lt;=10,INDEX('Savings Projection'!$BM$19:$BM$28,J419),LOOKUP(2,1/('Savings Projection'!$BM$19:$BM$28&lt;&gt;""),'Savings Projection'!$BM$19:$BM$28))*(1+'Model Inputs'!$B$36)^(J419-1)</f>
        <v>169620.51389780178</v>
      </c>
      <c r="AA419" s="230">
        <f t="shared" si="213"/>
        <v>740400.85110219824</v>
      </c>
      <c r="AB419" s="230">
        <f>MIN(MAX(AA419,0),'Tax Assumptions'!$B$20)</f>
        <v>7500</v>
      </c>
      <c r="AC419" s="230">
        <f t="shared" si="214"/>
        <v>732900.85110219824</v>
      </c>
      <c r="AD419" s="230">
        <f>MAX(AD418*(1+'Model Inputs'!$B$13)+AC419,0)</f>
        <v>9610775.1657437738</v>
      </c>
      <c r="AE419" s="230">
        <f>MAX(AE418*(1+'Model Inputs'!$B$13)+U419+AB419,0)</f>
        <v>421785.43815618864</v>
      </c>
      <c r="AF419" s="230">
        <f t="shared" si="215"/>
        <v>10032560.603899963</v>
      </c>
      <c r="AG419" s="226" t="str">
        <f t="shared" si="237"/>
        <v/>
      </c>
      <c r="AH419" s="226" t="str">
        <f t="shared" si="238"/>
        <v/>
      </c>
      <c r="AI419" s="226" t="str">
        <f t="shared" si="239"/>
        <v/>
      </c>
      <c r="AJ419" s="226" t="str">
        <f t="shared" si="240"/>
        <v/>
      </c>
    </row>
    <row r="420" spans="1:36" ht="18" customHeight="1" x14ac:dyDescent="0.2">
      <c r="A420" s="226" t="str">
        <f t="shared" si="229"/>
        <v>4Y -&gt; PM Y8 Starter</v>
      </c>
      <c r="B420" s="226">
        <f t="shared" si="230"/>
        <v>4</v>
      </c>
      <c r="C420" s="235">
        <f t="shared" si="231"/>
        <v>3</v>
      </c>
      <c r="D420" s="226">
        <f t="shared" si="232"/>
        <v>8</v>
      </c>
      <c r="E420" s="226" t="str">
        <f t="shared" si="233"/>
        <v>Starter</v>
      </c>
      <c r="F420" s="230">
        <f t="shared" si="234"/>
        <v>10000000</v>
      </c>
      <c r="G420" s="236">
        <f t="shared" si="235"/>
        <v>0.15</v>
      </c>
      <c r="H420" s="230">
        <f t="shared" si="236"/>
        <v>300000</v>
      </c>
      <c r="I420" s="236">
        <f t="shared" si="206"/>
        <v>0</v>
      </c>
      <c r="J420" s="234">
        <v>11</v>
      </c>
      <c r="K420" s="234">
        <f t="shared" si="207"/>
        <v>2036</v>
      </c>
      <c r="L420" s="230">
        <f>IF(J420=1,'Model Inputs'!$B$25*(13-'Model Inputs'!$B$23)/12,'Model Inputs'!$B$25)</f>
        <v>300000</v>
      </c>
      <c r="M420" s="230">
        <f>IF(J420=1,'Model Inputs'!$B$27*(13-'Model Inputs'!$B$23)/12,IF(J420=2,'Model Inputs'!$B$27,IF(J420&lt;=MAX(3,'Model Inputs'!$B$30+1),'Model Inputs'!$B$27*(1+'Model Inputs'!$B$28)^(J420-3),'Model Inputs'!$B$27*(1+'Model Inputs'!$B$28)^(MAX(3,'Model Inputs'!$B$30+1)-3)*(1+'Model Inputs'!$B$29)^(J420-MAX(3,'Model Inputs'!$B$30+1)))))</f>
        <v>4002631.578947369</v>
      </c>
      <c r="N420" s="236">
        <f>IF(J420&lt;=2,0,'Model Inputs'!$B$32*SIN(2*PI()*(J420-3+'Model Inputs'!$B$34)/MAX(1,'Model Inputs'!$B$33)))</f>
        <v>-0.10392304845413253</v>
      </c>
      <c r="O420" s="230">
        <f t="shared" si="208"/>
        <v>3586665.9034243808</v>
      </c>
      <c r="P420" s="230">
        <f t="shared" si="241"/>
        <v>3227158.9981941464</v>
      </c>
      <c r="Q420" s="230">
        <f>L420+P420+IF(J420=1,'Model Inputs'!$B$26,0)</f>
        <v>3527158.9981941464</v>
      </c>
      <c r="R420" s="230">
        <f t="shared" si="209"/>
        <v>10581476.994582439</v>
      </c>
      <c r="S420" s="230">
        <f t="shared" si="210"/>
        <v>1800000</v>
      </c>
      <c r="T420" s="230">
        <f t="shared" si="211"/>
        <v>1800000</v>
      </c>
      <c r="U420" s="230">
        <f>MIN(T420,'Tax Assumptions'!$B$19)</f>
        <v>24500</v>
      </c>
      <c r="V420" s="230">
        <f>MAX(T420-U420-'Tax Assumptions'!$B$8,0)</f>
        <v>1759400</v>
      </c>
      <c r="W420" s="230">
        <f>MAX(T420-U420-'Tax Assumptions'!$B$9,0)</f>
        <v>1767500</v>
      </c>
      <c r="X420" s="230">
        <f>IF(V420=0,0,LOOKUP(V420,'Tax Assumptions'!$F$9:$F$15,'Tax Assumptions'!$I$9:$I$15)+(V420-LOOKUP(V420,'Tax Assumptions'!$F$9:$F$15,'Tax Assumptions'!$F$9:$F$15))*LOOKUP(V420,'Tax Assumptions'!$F$9:$F$15,'Tax Assumptions'!$H$9:$H$15))+MIN(MAX(T420,0),'Tax Assumptions'!$B$11)*'Tax Assumptions'!$B$10+MAX(T420,0)*'Tax Assumptions'!$B$12+MAX(MAX(T420,0)-'Tax Assumptions'!$B$14,0)*'Tax Assumptions'!$B$13+MIN(T420*'Tax Assumptions'!$B$15,'Tax Assumptions'!$B$16)+MIN(T420*'Tax Assumptions'!$B$17,'Tax Assumptions'!$B$18)+IF(W420=0,0,LOOKUP(W420,'Tax Assumptions'!$K$9:$K$17,'Tax Assumptions'!$N$9:$N$17)+(W420-LOOKUP(W420,'Tax Assumptions'!$K$9:$K$17,'Tax Assumptions'!$K$9:$K$17))*LOOKUP(W420,'Tax Assumptions'!$K$9:$K$17,'Tax Assumptions'!$M$9:$M$17))+IF(W420=0,0,LOOKUP(W420,'Tax Assumptions'!$P$9:$P$12,'Tax Assumptions'!$S$9:$S$12)+(W420-LOOKUP(W420,'Tax Assumptions'!$P$9:$P$12,'Tax Assumptions'!$P$9:$P$12))*LOOKUP(W420,'Tax Assumptions'!$P$9:$P$12,'Tax Assumptions'!$R$9:$R$12))</f>
        <v>865478.63500000001</v>
      </c>
      <c r="Y420" s="230">
        <f t="shared" si="212"/>
        <v>910021.36499999999</v>
      </c>
      <c r="Z420" s="230">
        <f>IF(J420&lt;=10,INDEX('Savings Projection'!$BL$19:$BL$28,J420),LOOKUP(2,1/('Savings Projection'!$BL$19:$BL$28&lt;&gt;""),'Savings Projection'!$BL$19:$BL$28))*(1+'Model Inputs'!$B$35)^(J420-1)+IF(J420&lt;=10,INDEX('Savings Projection'!$BM$19:$BM$28,J420),LOOKUP(2,1/('Savings Projection'!$BM$19:$BM$28&lt;&gt;""),'Savings Projection'!$BM$19:$BM$28))*(1+'Model Inputs'!$B$36)^(J420-1)</f>
        <v>174709.12931473582</v>
      </c>
      <c r="AA420" s="230">
        <f t="shared" si="213"/>
        <v>735312.23568526423</v>
      </c>
      <c r="AB420" s="230">
        <f>MIN(MAX(AA420,0),'Tax Assumptions'!$B$20)</f>
        <v>7500</v>
      </c>
      <c r="AC420" s="230">
        <f t="shared" si="214"/>
        <v>727812.23568526423</v>
      </c>
      <c r="AD420" s="230">
        <f>MAX(AD419*(1+'Model Inputs'!$B$13)+AC420,0)</f>
        <v>10915233.911373666</v>
      </c>
      <c r="AE420" s="230">
        <f>MAX(AE419*(1+'Model Inputs'!$B$13)+U420+AB420,0)</f>
        <v>479092.56444555998</v>
      </c>
      <c r="AF420" s="230">
        <f t="shared" si="215"/>
        <v>11394326.475819226</v>
      </c>
      <c r="AG420" s="226" t="str">
        <f t="shared" si="237"/>
        <v/>
      </c>
      <c r="AH420" s="226" t="str">
        <f t="shared" si="238"/>
        <v/>
      </c>
      <c r="AI420" s="226" t="str">
        <f t="shared" si="239"/>
        <v/>
      </c>
      <c r="AJ420" s="226" t="str">
        <f t="shared" si="240"/>
        <v/>
      </c>
    </row>
    <row r="421" spans="1:36" ht="18" customHeight="1" x14ac:dyDescent="0.2">
      <c r="A421" s="226" t="str">
        <f t="shared" si="229"/>
        <v>4Y -&gt; PM Y8 Starter</v>
      </c>
      <c r="B421" s="226">
        <f t="shared" si="230"/>
        <v>4</v>
      </c>
      <c r="C421" s="235">
        <f t="shared" si="231"/>
        <v>3</v>
      </c>
      <c r="D421" s="226">
        <f t="shared" si="232"/>
        <v>8</v>
      </c>
      <c r="E421" s="226" t="str">
        <f t="shared" si="233"/>
        <v>Starter</v>
      </c>
      <c r="F421" s="230">
        <f t="shared" si="234"/>
        <v>10000000</v>
      </c>
      <c r="G421" s="236">
        <f t="shared" si="235"/>
        <v>0.15</v>
      </c>
      <c r="H421" s="230">
        <f t="shared" si="236"/>
        <v>300000</v>
      </c>
      <c r="I421" s="236">
        <f t="shared" si="206"/>
        <v>0</v>
      </c>
      <c r="J421" s="234">
        <v>12</v>
      </c>
      <c r="K421" s="234">
        <f t="shared" si="207"/>
        <v>2037</v>
      </c>
      <c r="L421" s="230">
        <f>IF(J421=1,'Model Inputs'!$B$25*(13-'Model Inputs'!$B$23)/12,'Model Inputs'!$B$25)</f>
        <v>300000</v>
      </c>
      <c r="M421" s="230">
        <f>IF(J421=1,'Model Inputs'!$B$27*(13-'Model Inputs'!$B$23)/12,IF(J421=2,'Model Inputs'!$B$27,IF(J421&lt;=MAX(3,'Model Inputs'!$B$30+1),'Model Inputs'!$B$27*(1+'Model Inputs'!$B$28)^(J421-3),'Model Inputs'!$B$27*(1+'Model Inputs'!$B$28)^(MAX(3,'Model Inputs'!$B$30+1)-3)*(1+'Model Inputs'!$B$29)^(J421-MAX(3,'Model Inputs'!$B$30+1)))))</f>
        <v>5086854.15450761</v>
      </c>
      <c r="N421" s="236">
        <f>IF(J421&lt;=2,0,'Model Inputs'!$B$32*SIN(2*PI()*(J421-3+'Model Inputs'!$B$34)/MAX(1,'Model Inputs'!$B$33)))</f>
        <v>-8.8174569538609421E-17</v>
      </c>
      <c r="O421" s="230">
        <f t="shared" si="208"/>
        <v>5086854.1545076091</v>
      </c>
      <c r="P421" s="230">
        <f t="shared" si="241"/>
        <v>3559201.5104371794</v>
      </c>
      <c r="Q421" s="230">
        <f>L421+P421+IF(J421=1,'Model Inputs'!$B$26,0)</f>
        <v>3859201.5104371794</v>
      </c>
      <c r="R421" s="230">
        <f t="shared" si="209"/>
        <v>11577604.531311538</v>
      </c>
      <c r="S421" s="230">
        <f t="shared" si="210"/>
        <v>1800000</v>
      </c>
      <c r="T421" s="230">
        <f t="shared" si="211"/>
        <v>1800000</v>
      </c>
      <c r="U421" s="230">
        <f>MIN(T421,'Tax Assumptions'!$B$19)</f>
        <v>24500</v>
      </c>
      <c r="V421" s="230">
        <f>MAX(T421-U421-'Tax Assumptions'!$B$8,0)</f>
        <v>1759400</v>
      </c>
      <c r="W421" s="230">
        <f>MAX(T421-U421-'Tax Assumptions'!$B$9,0)</f>
        <v>1767500</v>
      </c>
      <c r="X421" s="230">
        <f>IF(V421=0,0,LOOKUP(V421,'Tax Assumptions'!$F$9:$F$15,'Tax Assumptions'!$I$9:$I$15)+(V421-LOOKUP(V421,'Tax Assumptions'!$F$9:$F$15,'Tax Assumptions'!$F$9:$F$15))*LOOKUP(V421,'Tax Assumptions'!$F$9:$F$15,'Tax Assumptions'!$H$9:$H$15))+MIN(MAX(T421,0),'Tax Assumptions'!$B$11)*'Tax Assumptions'!$B$10+MAX(T421,0)*'Tax Assumptions'!$B$12+MAX(MAX(T421,0)-'Tax Assumptions'!$B$14,0)*'Tax Assumptions'!$B$13+MIN(T421*'Tax Assumptions'!$B$15,'Tax Assumptions'!$B$16)+MIN(T421*'Tax Assumptions'!$B$17,'Tax Assumptions'!$B$18)+IF(W421=0,0,LOOKUP(W421,'Tax Assumptions'!$K$9:$K$17,'Tax Assumptions'!$N$9:$N$17)+(W421-LOOKUP(W421,'Tax Assumptions'!$K$9:$K$17,'Tax Assumptions'!$K$9:$K$17))*LOOKUP(W421,'Tax Assumptions'!$K$9:$K$17,'Tax Assumptions'!$M$9:$M$17))+IF(W421=0,0,LOOKUP(W421,'Tax Assumptions'!$P$9:$P$12,'Tax Assumptions'!$S$9:$S$12)+(W421-LOOKUP(W421,'Tax Assumptions'!$P$9:$P$12,'Tax Assumptions'!$P$9:$P$12))*LOOKUP(W421,'Tax Assumptions'!$P$9:$P$12,'Tax Assumptions'!$R$9:$R$12))</f>
        <v>865478.63500000001</v>
      </c>
      <c r="Y421" s="230">
        <f t="shared" si="212"/>
        <v>910021.36499999999</v>
      </c>
      <c r="Z421" s="230">
        <f>IF(J421&lt;=10,INDEX('Savings Projection'!$BL$19:$BL$28,J421),LOOKUP(2,1/('Savings Projection'!$BL$19:$BL$28&lt;&gt;""),'Savings Projection'!$BL$19:$BL$28))*(1+'Model Inputs'!$B$35)^(J421-1)+IF(J421&lt;=10,INDEX('Savings Projection'!$BM$19:$BM$28,J421),LOOKUP(2,1/('Savings Projection'!$BM$19:$BM$28&lt;&gt;""),'Savings Projection'!$BM$19:$BM$28))*(1+'Model Inputs'!$B$36)^(J421-1)</f>
        <v>179950.4031941779</v>
      </c>
      <c r="AA421" s="230">
        <f t="shared" si="213"/>
        <v>730070.96180582209</v>
      </c>
      <c r="AB421" s="230">
        <f>MIN(MAX(AA421,0),'Tax Assumptions'!$B$20)</f>
        <v>7500</v>
      </c>
      <c r="AC421" s="230">
        <f t="shared" si="214"/>
        <v>722570.96180582209</v>
      </c>
      <c r="AD421" s="230">
        <f>MAX(AD420*(1+'Model Inputs'!$B$13)+AC421,0)</f>
        <v>12292718.907861909</v>
      </c>
      <c r="AE421" s="230">
        <f>MAX(AE420*(1+'Model Inputs'!$B$13)+U421+AB421,0)</f>
        <v>539838.11831229366</v>
      </c>
      <c r="AF421" s="230">
        <f t="shared" si="215"/>
        <v>12832557.026174203</v>
      </c>
      <c r="AG421" s="226" t="str">
        <f t="shared" si="237"/>
        <v/>
      </c>
      <c r="AH421" s="226" t="str">
        <f t="shared" si="238"/>
        <v/>
      </c>
      <c r="AI421" s="226" t="str">
        <f t="shared" si="239"/>
        <v/>
      </c>
      <c r="AJ421" s="226" t="str">
        <f t="shared" si="240"/>
        <v/>
      </c>
    </row>
    <row r="422" spans="1:36" ht="18" customHeight="1" x14ac:dyDescent="0.2">
      <c r="A422" s="226" t="str">
        <f t="shared" si="229"/>
        <v>4Y -&gt; PM Y8 Starter</v>
      </c>
      <c r="B422" s="226">
        <f t="shared" si="230"/>
        <v>4</v>
      </c>
      <c r="C422" s="235">
        <f t="shared" si="231"/>
        <v>3</v>
      </c>
      <c r="D422" s="226">
        <f t="shared" si="232"/>
        <v>8</v>
      </c>
      <c r="E422" s="226" t="str">
        <f t="shared" si="233"/>
        <v>Starter</v>
      </c>
      <c r="F422" s="230">
        <f t="shared" si="234"/>
        <v>10000000</v>
      </c>
      <c r="G422" s="236">
        <f t="shared" si="235"/>
        <v>0.15</v>
      </c>
      <c r="H422" s="230">
        <f t="shared" si="236"/>
        <v>300000</v>
      </c>
      <c r="I422" s="236">
        <f t="shared" si="206"/>
        <v>0</v>
      </c>
      <c r="J422" s="234">
        <v>13</v>
      </c>
      <c r="K422" s="234">
        <f t="shared" si="207"/>
        <v>2038</v>
      </c>
      <c r="L422" s="230">
        <f>IF(J422=1,'Model Inputs'!$B$25*(13-'Model Inputs'!$B$23)/12,'Model Inputs'!$B$25)</f>
        <v>300000</v>
      </c>
      <c r="M422" s="230">
        <f>IF(J422=1,'Model Inputs'!$B$27*(13-'Model Inputs'!$B$23)/12,IF(J422=2,'Model Inputs'!$B$27,IF(J422&lt;=MAX(3,'Model Inputs'!$B$30+1),'Model Inputs'!$B$27*(1+'Model Inputs'!$B$28)^(J422-3),'Model Inputs'!$B$27*(1+'Model Inputs'!$B$28)^(MAX(3,'Model Inputs'!$B$30+1)-3)*(1+'Model Inputs'!$B$29)^(J422-MAX(3,'Model Inputs'!$B$30+1)))))</f>
        <v>6464768.1603602255</v>
      </c>
      <c r="N422" s="236">
        <f>IF(J422&lt;=2,0,'Model Inputs'!$B$32*SIN(2*PI()*(J422-3+'Model Inputs'!$B$34)/MAX(1,'Model Inputs'!$B$33)))</f>
        <v>0.10392304845413261</v>
      </c>
      <c r="O422" s="230">
        <f t="shared" si="208"/>
        <v>7136606.5751340752</v>
      </c>
      <c r="P422" s="230">
        <f t="shared" si="241"/>
        <v>4711807.0917368019</v>
      </c>
      <c r="Q422" s="230">
        <f>L422+P422+IF(J422=1,'Model Inputs'!$B$26,0)</f>
        <v>5011807.0917368019</v>
      </c>
      <c r="R422" s="230">
        <f t="shared" si="209"/>
        <v>15035421.275210407</v>
      </c>
      <c r="S422" s="230">
        <f t="shared" si="210"/>
        <v>1800000</v>
      </c>
      <c r="T422" s="230">
        <f t="shared" si="211"/>
        <v>1800000</v>
      </c>
      <c r="U422" s="230">
        <f>MIN(T422,'Tax Assumptions'!$B$19)</f>
        <v>24500</v>
      </c>
      <c r="V422" s="230">
        <f>MAX(T422-U422-'Tax Assumptions'!$B$8,0)</f>
        <v>1759400</v>
      </c>
      <c r="W422" s="230">
        <f>MAX(T422-U422-'Tax Assumptions'!$B$9,0)</f>
        <v>1767500</v>
      </c>
      <c r="X422" s="230">
        <f>IF(V422=0,0,LOOKUP(V422,'Tax Assumptions'!$F$9:$F$15,'Tax Assumptions'!$I$9:$I$15)+(V422-LOOKUP(V422,'Tax Assumptions'!$F$9:$F$15,'Tax Assumptions'!$F$9:$F$15))*LOOKUP(V422,'Tax Assumptions'!$F$9:$F$15,'Tax Assumptions'!$H$9:$H$15))+MIN(MAX(T422,0),'Tax Assumptions'!$B$11)*'Tax Assumptions'!$B$10+MAX(T422,0)*'Tax Assumptions'!$B$12+MAX(MAX(T422,0)-'Tax Assumptions'!$B$14,0)*'Tax Assumptions'!$B$13+MIN(T422*'Tax Assumptions'!$B$15,'Tax Assumptions'!$B$16)+MIN(T422*'Tax Assumptions'!$B$17,'Tax Assumptions'!$B$18)+IF(W422=0,0,LOOKUP(W422,'Tax Assumptions'!$K$9:$K$17,'Tax Assumptions'!$N$9:$N$17)+(W422-LOOKUP(W422,'Tax Assumptions'!$K$9:$K$17,'Tax Assumptions'!$K$9:$K$17))*LOOKUP(W422,'Tax Assumptions'!$K$9:$K$17,'Tax Assumptions'!$M$9:$M$17))+IF(W422=0,0,LOOKUP(W422,'Tax Assumptions'!$P$9:$P$12,'Tax Assumptions'!$S$9:$S$12)+(W422-LOOKUP(W422,'Tax Assumptions'!$P$9:$P$12,'Tax Assumptions'!$P$9:$P$12))*LOOKUP(W422,'Tax Assumptions'!$P$9:$P$12,'Tax Assumptions'!$R$9:$R$12))</f>
        <v>865478.63500000001</v>
      </c>
      <c r="Y422" s="230">
        <f t="shared" si="212"/>
        <v>910021.36499999999</v>
      </c>
      <c r="Z422" s="230">
        <f>IF(J422&lt;=10,INDEX('Savings Projection'!$BL$19:$BL$28,J422),LOOKUP(2,1/('Savings Projection'!$BL$19:$BL$28&lt;&gt;""),'Savings Projection'!$BL$19:$BL$28))*(1+'Model Inputs'!$B$35)^(J422-1)+IF(J422&lt;=10,INDEX('Savings Projection'!$BM$19:$BM$28,J422),LOOKUP(2,1/('Savings Projection'!$BM$19:$BM$28&lt;&gt;""),'Savings Projection'!$BM$19:$BM$28))*(1+'Model Inputs'!$B$36)^(J422-1)</f>
        <v>185348.91529000323</v>
      </c>
      <c r="AA422" s="230">
        <f t="shared" si="213"/>
        <v>724672.44970999681</v>
      </c>
      <c r="AB422" s="230">
        <f>MIN(MAX(AA422,0),'Tax Assumptions'!$B$20)</f>
        <v>7500</v>
      </c>
      <c r="AC422" s="230">
        <f t="shared" si="214"/>
        <v>717172.44970999681</v>
      </c>
      <c r="AD422" s="230">
        <f>MAX(AD421*(1+'Model Inputs'!$B$13)+AC422,0)</f>
        <v>13747454.49204362</v>
      </c>
      <c r="AE422" s="230">
        <f>MAX(AE421*(1+'Model Inputs'!$B$13)+U422+AB422,0)</f>
        <v>604228.40541103133</v>
      </c>
      <c r="AF422" s="230">
        <f t="shared" si="215"/>
        <v>14351682.897454651</v>
      </c>
      <c r="AG422" s="226">
        <f t="shared" si="237"/>
        <v>13</v>
      </c>
      <c r="AH422" s="226" t="str">
        <f t="shared" si="238"/>
        <v/>
      </c>
      <c r="AI422" s="226" t="str">
        <f t="shared" si="239"/>
        <v/>
      </c>
      <c r="AJ422" s="226" t="str">
        <f t="shared" si="240"/>
        <v/>
      </c>
    </row>
    <row r="423" spans="1:36" ht="18" customHeight="1" x14ac:dyDescent="0.2">
      <c r="A423" s="226" t="str">
        <f t="shared" si="229"/>
        <v>4Y -&gt; PM Y8 Starter</v>
      </c>
      <c r="B423" s="226">
        <f t="shared" si="230"/>
        <v>4</v>
      </c>
      <c r="C423" s="235">
        <f t="shared" si="231"/>
        <v>3</v>
      </c>
      <c r="D423" s="226">
        <f t="shared" si="232"/>
        <v>8</v>
      </c>
      <c r="E423" s="226" t="str">
        <f t="shared" si="233"/>
        <v>Starter</v>
      </c>
      <c r="F423" s="230">
        <f t="shared" si="234"/>
        <v>10000000</v>
      </c>
      <c r="G423" s="236">
        <f t="shared" si="235"/>
        <v>0.15</v>
      </c>
      <c r="H423" s="230">
        <f t="shared" si="236"/>
        <v>300000</v>
      </c>
      <c r="I423" s="236">
        <f t="shared" si="206"/>
        <v>0</v>
      </c>
      <c r="J423" s="234">
        <v>14</v>
      </c>
      <c r="K423" s="234">
        <f t="shared" si="207"/>
        <v>2039</v>
      </c>
      <c r="L423" s="230">
        <f>IF(J423=1,'Model Inputs'!$B$25*(13-'Model Inputs'!$B$23)/12,'Model Inputs'!$B$25)</f>
        <v>300000</v>
      </c>
      <c r="M423" s="230">
        <f>IF(J423=1,'Model Inputs'!$B$27*(13-'Model Inputs'!$B$23)/12,IF(J423=2,'Model Inputs'!$B$27,IF(J423&lt;=MAX(3,'Model Inputs'!$B$30+1),'Model Inputs'!$B$27*(1+'Model Inputs'!$B$28)^(J423-3),'Model Inputs'!$B$27*(1+'Model Inputs'!$B$28)^(MAX(3,'Model Inputs'!$B$30+1)-3)*(1+'Model Inputs'!$B$29)^(J423-MAX(3,'Model Inputs'!$B$30+1)))))</f>
        <v>8215927.9778393377</v>
      </c>
      <c r="N423" s="236">
        <f>IF(J423&lt;=2,0,'Model Inputs'!$B$32*SIN(2*PI()*(J423-3+'Model Inputs'!$B$34)/MAX(1,'Model Inputs'!$B$33)))</f>
        <v>-0.10392304845413251</v>
      </c>
      <c r="O423" s="230">
        <f t="shared" si="208"/>
        <v>7362103.6965026772</v>
      </c>
      <c r="P423" s="230">
        <f t="shared" si="241"/>
        <v>6624168.4699774589</v>
      </c>
      <c r="Q423" s="230">
        <f>L423+P423+IF(J423=1,'Model Inputs'!$B$26,0)</f>
        <v>6924168.4699774589</v>
      </c>
      <c r="R423" s="230">
        <f t="shared" si="209"/>
        <v>20772505.409932375</v>
      </c>
      <c r="S423" s="230">
        <f t="shared" si="210"/>
        <v>1800000</v>
      </c>
      <c r="T423" s="230">
        <f t="shared" si="211"/>
        <v>1800000</v>
      </c>
      <c r="U423" s="230">
        <f>MIN(T423,'Tax Assumptions'!$B$19)</f>
        <v>24500</v>
      </c>
      <c r="V423" s="230">
        <f>MAX(T423-U423-'Tax Assumptions'!$B$8,0)</f>
        <v>1759400</v>
      </c>
      <c r="W423" s="230">
        <f>MAX(T423-U423-'Tax Assumptions'!$B$9,0)</f>
        <v>1767500</v>
      </c>
      <c r="X423" s="230">
        <f>IF(V423=0,0,LOOKUP(V423,'Tax Assumptions'!$F$9:$F$15,'Tax Assumptions'!$I$9:$I$15)+(V423-LOOKUP(V423,'Tax Assumptions'!$F$9:$F$15,'Tax Assumptions'!$F$9:$F$15))*LOOKUP(V423,'Tax Assumptions'!$F$9:$F$15,'Tax Assumptions'!$H$9:$H$15))+MIN(MAX(T423,0),'Tax Assumptions'!$B$11)*'Tax Assumptions'!$B$10+MAX(T423,0)*'Tax Assumptions'!$B$12+MAX(MAX(T423,0)-'Tax Assumptions'!$B$14,0)*'Tax Assumptions'!$B$13+MIN(T423*'Tax Assumptions'!$B$15,'Tax Assumptions'!$B$16)+MIN(T423*'Tax Assumptions'!$B$17,'Tax Assumptions'!$B$18)+IF(W423=0,0,LOOKUP(W423,'Tax Assumptions'!$K$9:$K$17,'Tax Assumptions'!$N$9:$N$17)+(W423-LOOKUP(W423,'Tax Assumptions'!$K$9:$K$17,'Tax Assumptions'!$K$9:$K$17))*LOOKUP(W423,'Tax Assumptions'!$K$9:$K$17,'Tax Assumptions'!$M$9:$M$17))+IF(W423=0,0,LOOKUP(W423,'Tax Assumptions'!$P$9:$P$12,'Tax Assumptions'!$S$9:$S$12)+(W423-LOOKUP(W423,'Tax Assumptions'!$P$9:$P$12,'Tax Assumptions'!$P$9:$P$12))*LOOKUP(W423,'Tax Assumptions'!$P$9:$P$12,'Tax Assumptions'!$R$9:$R$12))</f>
        <v>865478.63500000001</v>
      </c>
      <c r="Y423" s="230">
        <f t="shared" si="212"/>
        <v>910021.36499999999</v>
      </c>
      <c r="Z423" s="230">
        <f>IF(J423&lt;=10,INDEX('Savings Projection'!$BL$19:$BL$28,J423),LOOKUP(2,1/('Savings Projection'!$BL$19:$BL$28&lt;&gt;""),'Savings Projection'!$BL$19:$BL$28))*(1+'Model Inputs'!$B$35)^(J423-1)+IF(J423&lt;=10,INDEX('Savings Projection'!$BM$19:$BM$28,J423),LOOKUP(2,1/('Savings Projection'!$BM$19:$BM$28&lt;&gt;""),'Savings Projection'!$BM$19:$BM$28))*(1+'Model Inputs'!$B$36)^(J423-1)</f>
        <v>190909.3827487033</v>
      </c>
      <c r="AA423" s="230">
        <f t="shared" si="213"/>
        <v>719111.98225129675</v>
      </c>
      <c r="AB423" s="230">
        <f>MIN(MAX(AA423,0),'Tax Assumptions'!$B$20)</f>
        <v>7500</v>
      </c>
      <c r="AC423" s="230">
        <f t="shared" si="214"/>
        <v>711611.98225129675</v>
      </c>
      <c r="AD423" s="230">
        <f>MAX(AD422*(1+'Model Inputs'!$B$13)+AC423,0)</f>
        <v>15283913.743817534</v>
      </c>
      <c r="AE423" s="230">
        <f>MAX(AE422*(1+'Model Inputs'!$B$13)+U423+AB423,0)</f>
        <v>672482.1097356932</v>
      </c>
      <c r="AF423" s="230">
        <f t="shared" si="215"/>
        <v>15956395.853553228</v>
      </c>
      <c r="AG423" s="226" t="str">
        <f t="shared" si="237"/>
        <v/>
      </c>
      <c r="AH423" s="226" t="str">
        <f t="shared" si="238"/>
        <v/>
      </c>
      <c r="AI423" s="226" t="str">
        <f t="shared" si="239"/>
        <v/>
      </c>
      <c r="AJ423" s="226" t="str">
        <f t="shared" si="240"/>
        <v/>
      </c>
    </row>
    <row r="424" spans="1:36" ht="18" customHeight="1" x14ac:dyDescent="0.2">
      <c r="A424" s="226" t="str">
        <f t="shared" si="229"/>
        <v>4Y -&gt; PM Y8 Starter</v>
      </c>
      <c r="B424" s="226">
        <f t="shared" si="230"/>
        <v>4</v>
      </c>
      <c r="C424" s="235">
        <f t="shared" si="231"/>
        <v>3</v>
      </c>
      <c r="D424" s="226">
        <f t="shared" si="232"/>
        <v>8</v>
      </c>
      <c r="E424" s="226" t="str">
        <f t="shared" si="233"/>
        <v>Starter</v>
      </c>
      <c r="F424" s="230">
        <f t="shared" si="234"/>
        <v>10000000</v>
      </c>
      <c r="G424" s="236">
        <f t="shared" si="235"/>
        <v>0.15</v>
      </c>
      <c r="H424" s="230">
        <f t="shared" si="236"/>
        <v>300000</v>
      </c>
      <c r="I424" s="236">
        <f t="shared" si="206"/>
        <v>0</v>
      </c>
      <c r="J424" s="234">
        <v>15</v>
      </c>
      <c r="K424" s="234">
        <f t="shared" si="207"/>
        <v>2040</v>
      </c>
      <c r="L424" s="230">
        <f>IF(J424=1,'Model Inputs'!$B$25*(13-'Model Inputs'!$B$23)/12,'Model Inputs'!$B$25)</f>
        <v>300000</v>
      </c>
      <c r="M424" s="230">
        <f>IF(J424=1,'Model Inputs'!$B$27*(13-'Model Inputs'!$B$23)/12,IF(J424=2,'Model Inputs'!$B$27,IF(J424&lt;=MAX(3,'Model Inputs'!$B$30+1),'Model Inputs'!$B$27*(1+'Model Inputs'!$B$28)^(J424-3),'Model Inputs'!$B$27*(1+'Model Inputs'!$B$28)^(MAX(3,'Model Inputs'!$B$30+1)-3)*(1+'Model Inputs'!$B$29)^(J424-MAX(3,'Model Inputs'!$B$30+1)))))</f>
        <v>10441437.475041937</v>
      </c>
      <c r="N424" s="236">
        <f>IF(J424&lt;=2,0,'Model Inputs'!$B$32*SIN(2*PI()*(J424-3+'Model Inputs'!$B$34)/MAX(1,'Model Inputs'!$B$33)))</f>
        <v>-1.1756609271814589E-16</v>
      </c>
      <c r="O424" s="230">
        <f t="shared" si="208"/>
        <v>10441437.475041935</v>
      </c>
      <c r="P424" s="230">
        <f t="shared" si="241"/>
        <v>7305729.4161605267</v>
      </c>
      <c r="Q424" s="230">
        <f>L424+P424+IF(J424=1,'Model Inputs'!$B$26,0)</f>
        <v>7605729.4161605267</v>
      </c>
      <c r="R424" s="230">
        <f t="shared" si="209"/>
        <v>22817188.248481579</v>
      </c>
      <c r="S424" s="230">
        <f t="shared" si="210"/>
        <v>1800000</v>
      </c>
      <c r="T424" s="230">
        <f t="shared" si="211"/>
        <v>1800000</v>
      </c>
      <c r="U424" s="230">
        <f>MIN(T424,'Tax Assumptions'!$B$19)</f>
        <v>24500</v>
      </c>
      <c r="V424" s="230">
        <f>MAX(T424-U424-'Tax Assumptions'!$B$8,0)</f>
        <v>1759400</v>
      </c>
      <c r="W424" s="230">
        <f>MAX(T424-U424-'Tax Assumptions'!$B$9,0)</f>
        <v>1767500</v>
      </c>
      <c r="X424" s="230">
        <f>IF(V424=0,0,LOOKUP(V424,'Tax Assumptions'!$F$9:$F$15,'Tax Assumptions'!$I$9:$I$15)+(V424-LOOKUP(V424,'Tax Assumptions'!$F$9:$F$15,'Tax Assumptions'!$F$9:$F$15))*LOOKUP(V424,'Tax Assumptions'!$F$9:$F$15,'Tax Assumptions'!$H$9:$H$15))+MIN(MAX(T424,0),'Tax Assumptions'!$B$11)*'Tax Assumptions'!$B$10+MAX(T424,0)*'Tax Assumptions'!$B$12+MAX(MAX(T424,0)-'Tax Assumptions'!$B$14,0)*'Tax Assumptions'!$B$13+MIN(T424*'Tax Assumptions'!$B$15,'Tax Assumptions'!$B$16)+MIN(T424*'Tax Assumptions'!$B$17,'Tax Assumptions'!$B$18)+IF(W424=0,0,LOOKUP(W424,'Tax Assumptions'!$K$9:$K$17,'Tax Assumptions'!$N$9:$N$17)+(W424-LOOKUP(W424,'Tax Assumptions'!$K$9:$K$17,'Tax Assumptions'!$K$9:$K$17))*LOOKUP(W424,'Tax Assumptions'!$K$9:$K$17,'Tax Assumptions'!$M$9:$M$17))+IF(W424=0,0,LOOKUP(W424,'Tax Assumptions'!$P$9:$P$12,'Tax Assumptions'!$S$9:$S$12)+(W424-LOOKUP(W424,'Tax Assumptions'!$P$9:$P$12,'Tax Assumptions'!$P$9:$P$12))*LOOKUP(W424,'Tax Assumptions'!$P$9:$P$12,'Tax Assumptions'!$R$9:$R$12))</f>
        <v>865478.63500000001</v>
      </c>
      <c r="Y424" s="230">
        <f t="shared" si="212"/>
        <v>910021.36499999999</v>
      </c>
      <c r="Z424" s="230">
        <f>IF(J424&lt;=10,INDEX('Savings Projection'!$BL$19:$BL$28,J424),LOOKUP(2,1/('Savings Projection'!$BL$19:$BL$28&lt;&gt;""),'Savings Projection'!$BL$19:$BL$28))*(1+'Model Inputs'!$B$35)^(J424-1)+IF(J424&lt;=10,INDEX('Savings Projection'!$BM$19:$BM$28,J424),LOOKUP(2,1/('Savings Projection'!$BM$19:$BM$28&lt;&gt;""),'Savings Projection'!$BM$19:$BM$28))*(1+'Model Inputs'!$B$36)^(J424-1)</f>
        <v>196636.66423116444</v>
      </c>
      <c r="AA424" s="230">
        <f t="shared" si="213"/>
        <v>713384.70076883561</v>
      </c>
      <c r="AB424" s="230">
        <f>MIN(MAX(AA424,0),'Tax Assumptions'!$B$20)</f>
        <v>7500</v>
      </c>
      <c r="AC424" s="230">
        <f t="shared" si="214"/>
        <v>705884.70076883561</v>
      </c>
      <c r="AD424" s="230">
        <f>MAX(AD423*(1+'Model Inputs'!$B$13)+AC424,0)</f>
        <v>16906833.269215424</v>
      </c>
      <c r="AE424" s="230">
        <f>MAX(AE423*(1+'Model Inputs'!$B$13)+U424+AB424,0)</f>
        <v>744831.03631983488</v>
      </c>
      <c r="AF424" s="230">
        <f t="shared" si="215"/>
        <v>17651664.305535257</v>
      </c>
      <c r="AG424" s="226" t="str">
        <f t="shared" si="237"/>
        <v/>
      </c>
      <c r="AH424" s="226">
        <f t="shared" si="238"/>
        <v>15</v>
      </c>
      <c r="AI424" s="226">
        <f t="shared" si="239"/>
        <v>15</v>
      </c>
      <c r="AJ424" s="226" t="str">
        <f t="shared" si="240"/>
        <v/>
      </c>
    </row>
    <row r="425" spans="1:36" ht="18" customHeight="1" x14ac:dyDescent="0.2">
      <c r="A425" s="226" t="str">
        <f t="shared" si="229"/>
        <v>4Y -&gt; PM Y8 Starter</v>
      </c>
      <c r="B425" s="226">
        <f t="shared" si="230"/>
        <v>4</v>
      </c>
      <c r="C425" s="235">
        <f t="shared" si="231"/>
        <v>3</v>
      </c>
      <c r="D425" s="226">
        <f t="shared" si="232"/>
        <v>8</v>
      </c>
      <c r="E425" s="226" t="str">
        <f t="shared" si="233"/>
        <v>Starter</v>
      </c>
      <c r="F425" s="230">
        <f t="shared" si="234"/>
        <v>10000000</v>
      </c>
      <c r="G425" s="236">
        <f t="shared" si="235"/>
        <v>0.15</v>
      </c>
      <c r="H425" s="230">
        <f t="shared" si="236"/>
        <v>300000</v>
      </c>
      <c r="I425" s="236">
        <f t="shared" si="206"/>
        <v>0</v>
      </c>
      <c r="J425" s="234">
        <v>16</v>
      </c>
      <c r="K425" s="234">
        <f t="shared" si="207"/>
        <v>2041</v>
      </c>
      <c r="L425" s="230">
        <f>IF(J425=1,'Model Inputs'!$B$25*(13-'Model Inputs'!$B$23)/12,'Model Inputs'!$B$25)</f>
        <v>300000</v>
      </c>
      <c r="M425" s="230">
        <f>IF(J425=1,'Model Inputs'!$B$27*(13-'Model Inputs'!$B$23)/12,IF(J425=2,'Model Inputs'!$B$27,IF(J425&lt;=MAX(3,'Model Inputs'!$B$30+1),'Model Inputs'!$B$27*(1+'Model Inputs'!$B$28)^(J425-3),'Model Inputs'!$B$27*(1+'Model Inputs'!$B$28)^(MAX(3,'Model Inputs'!$B$30+1)-3)*(1+'Model Inputs'!$B$29)^(J425-MAX(3,'Model Inputs'!$B$30+1)))))</f>
        <v>13269787.276528884</v>
      </c>
      <c r="N425" s="236">
        <f>IF(J425&lt;=2,0,'Model Inputs'!$B$32*SIN(2*PI()*(J425-3+'Model Inputs'!$B$34)/MAX(1,'Model Inputs'!$B$33)))</f>
        <v>0.10392304845413262</v>
      </c>
      <c r="O425" s="230">
        <f t="shared" si="208"/>
        <v>14648824.022643628</v>
      </c>
      <c r="P425" s="230">
        <f t="shared" si="241"/>
        <v>9671604.0304071214</v>
      </c>
      <c r="Q425" s="230">
        <f>L425+P425+IF(J425=1,'Model Inputs'!$B$26,0)</f>
        <v>9971604.0304071214</v>
      </c>
      <c r="R425" s="230">
        <f t="shared" si="209"/>
        <v>29914812.091221362</v>
      </c>
      <c r="S425" s="230">
        <f t="shared" si="210"/>
        <v>1800000</v>
      </c>
      <c r="T425" s="230">
        <f t="shared" si="211"/>
        <v>1800000</v>
      </c>
      <c r="U425" s="230">
        <f>MIN(T425,'Tax Assumptions'!$B$19)</f>
        <v>24500</v>
      </c>
      <c r="V425" s="230">
        <f>MAX(T425-U425-'Tax Assumptions'!$B$8,0)</f>
        <v>1759400</v>
      </c>
      <c r="W425" s="230">
        <f>MAX(T425-U425-'Tax Assumptions'!$B$9,0)</f>
        <v>1767500</v>
      </c>
      <c r="X425" s="230">
        <f>IF(V425=0,0,LOOKUP(V425,'Tax Assumptions'!$F$9:$F$15,'Tax Assumptions'!$I$9:$I$15)+(V425-LOOKUP(V425,'Tax Assumptions'!$F$9:$F$15,'Tax Assumptions'!$F$9:$F$15))*LOOKUP(V425,'Tax Assumptions'!$F$9:$F$15,'Tax Assumptions'!$H$9:$H$15))+MIN(MAX(T425,0),'Tax Assumptions'!$B$11)*'Tax Assumptions'!$B$10+MAX(T425,0)*'Tax Assumptions'!$B$12+MAX(MAX(T425,0)-'Tax Assumptions'!$B$14,0)*'Tax Assumptions'!$B$13+MIN(T425*'Tax Assumptions'!$B$15,'Tax Assumptions'!$B$16)+MIN(T425*'Tax Assumptions'!$B$17,'Tax Assumptions'!$B$18)+IF(W425=0,0,LOOKUP(W425,'Tax Assumptions'!$K$9:$K$17,'Tax Assumptions'!$N$9:$N$17)+(W425-LOOKUP(W425,'Tax Assumptions'!$K$9:$K$17,'Tax Assumptions'!$K$9:$K$17))*LOOKUP(W425,'Tax Assumptions'!$K$9:$K$17,'Tax Assumptions'!$M$9:$M$17))+IF(W425=0,0,LOOKUP(W425,'Tax Assumptions'!$P$9:$P$12,'Tax Assumptions'!$S$9:$S$12)+(W425-LOOKUP(W425,'Tax Assumptions'!$P$9:$P$12,'Tax Assumptions'!$P$9:$P$12))*LOOKUP(W425,'Tax Assumptions'!$P$9:$P$12,'Tax Assumptions'!$R$9:$R$12))</f>
        <v>865478.63500000001</v>
      </c>
      <c r="Y425" s="230">
        <f t="shared" si="212"/>
        <v>910021.36499999999</v>
      </c>
      <c r="Z425" s="230">
        <f>IF(J425&lt;=10,INDEX('Savings Projection'!$BL$19:$BL$28,J425),LOOKUP(2,1/('Savings Projection'!$BL$19:$BL$28&lt;&gt;""),'Savings Projection'!$BL$19:$BL$28))*(1+'Model Inputs'!$B$35)^(J425-1)+IF(J425&lt;=10,INDEX('Savings Projection'!$BM$19:$BM$28,J425),LOOKUP(2,1/('Savings Projection'!$BM$19:$BM$28&lt;&gt;""),'Savings Projection'!$BM$19:$BM$28))*(1+'Model Inputs'!$B$36)^(J425-1)</f>
        <v>202535.76415809937</v>
      </c>
      <c r="AA425" s="230">
        <f t="shared" si="213"/>
        <v>707485.60084190057</v>
      </c>
      <c r="AB425" s="230">
        <f>MIN(MAX(AA425,0),'Tax Assumptions'!$B$20)</f>
        <v>7500</v>
      </c>
      <c r="AC425" s="230">
        <f t="shared" si="214"/>
        <v>699985.60084190057</v>
      </c>
      <c r="AD425" s="230">
        <f>MAX(AD424*(1+'Model Inputs'!$B$13)+AC425,0)</f>
        <v>18621228.866210252</v>
      </c>
      <c r="AE425" s="230">
        <f>MAX(AE424*(1+'Model Inputs'!$B$13)+U425+AB425,0)</f>
        <v>821520.89849902503</v>
      </c>
      <c r="AF425" s="230">
        <f t="shared" si="215"/>
        <v>19442749.764709279</v>
      </c>
      <c r="AG425" s="226" t="str">
        <f t="shared" si="237"/>
        <v/>
      </c>
      <c r="AH425" s="226" t="str">
        <f t="shared" si="238"/>
        <v/>
      </c>
      <c r="AI425" s="226" t="str">
        <f t="shared" si="239"/>
        <v/>
      </c>
      <c r="AJ425" s="226" t="str">
        <f t="shared" si="240"/>
        <v/>
      </c>
    </row>
    <row r="426" spans="1:36" ht="18" customHeight="1" x14ac:dyDescent="0.2">
      <c r="A426" s="226" t="str">
        <f t="shared" si="229"/>
        <v>4Y -&gt; PM Y8 Starter</v>
      </c>
      <c r="B426" s="226">
        <f t="shared" si="230"/>
        <v>4</v>
      </c>
      <c r="C426" s="235">
        <f t="shared" si="231"/>
        <v>3</v>
      </c>
      <c r="D426" s="226">
        <f t="shared" si="232"/>
        <v>8</v>
      </c>
      <c r="E426" s="226" t="str">
        <f t="shared" si="233"/>
        <v>Starter</v>
      </c>
      <c r="F426" s="230">
        <f t="shared" si="234"/>
        <v>10000000</v>
      </c>
      <c r="G426" s="236">
        <f t="shared" si="235"/>
        <v>0.15</v>
      </c>
      <c r="H426" s="230">
        <f t="shared" si="236"/>
        <v>300000</v>
      </c>
      <c r="I426" s="236">
        <f t="shared" si="206"/>
        <v>0</v>
      </c>
      <c r="J426" s="234">
        <v>17</v>
      </c>
      <c r="K426" s="234">
        <f t="shared" si="207"/>
        <v>2042</v>
      </c>
      <c r="L426" s="230">
        <f>IF(J426=1,'Model Inputs'!$B$25*(13-'Model Inputs'!$B$23)/12,'Model Inputs'!$B$25)</f>
        <v>300000</v>
      </c>
      <c r="M426" s="230">
        <f>IF(J426=1,'Model Inputs'!$B$27*(13-'Model Inputs'!$B$23)/12,IF(J426=2,'Model Inputs'!$B$27,IF(J426&lt;=MAX(3,'Model Inputs'!$B$30+1),'Model Inputs'!$B$27*(1+'Model Inputs'!$B$28)^(J426-3),'Model Inputs'!$B$27*(1+'Model Inputs'!$B$28)^(MAX(3,'Model Inputs'!$B$30+1)-3)*(1+'Model Inputs'!$B$29)^(J426-MAX(3,'Model Inputs'!$B$30+1)))))</f>
        <v>16864273.217670217</v>
      </c>
      <c r="N426" s="236">
        <f>IF(J426&lt;=2,0,'Model Inputs'!$B$32*SIN(2*PI()*(J426-3+'Model Inputs'!$B$34)/MAX(1,'Model Inputs'!$B$33)))</f>
        <v>-0.1039230484541325</v>
      </c>
      <c r="O426" s="230">
        <f t="shared" si="208"/>
        <v>15111686.534926547</v>
      </c>
      <c r="P426" s="230">
        <f t="shared" si="241"/>
        <v>13596977.385743205</v>
      </c>
      <c r="Q426" s="230">
        <f>L426+P426+IF(J426=1,'Model Inputs'!$B$26,0)</f>
        <v>13896977.385743205</v>
      </c>
      <c r="R426" s="230">
        <f t="shared" si="209"/>
        <v>41690932.157229617</v>
      </c>
      <c r="S426" s="230">
        <f t="shared" si="210"/>
        <v>1800000</v>
      </c>
      <c r="T426" s="230">
        <f t="shared" si="211"/>
        <v>1800000</v>
      </c>
      <c r="U426" s="230">
        <f>MIN(T426,'Tax Assumptions'!$B$19)</f>
        <v>24500</v>
      </c>
      <c r="V426" s="230">
        <f>MAX(T426-U426-'Tax Assumptions'!$B$8,0)</f>
        <v>1759400</v>
      </c>
      <c r="W426" s="230">
        <f>MAX(T426-U426-'Tax Assumptions'!$B$9,0)</f>
        <v>1767500</v>
      </c>
      <c r="X426" s="230">
        <f>IF(V426=0,0,LOOKUP(V426,'Tax Assumptions'!$F$9:$F$15,'Tax Assumptions'!$I$9:$I$15)+(V426-LOOKUP(V426,'Tax Assumptions'!$F$9:$F$15,'Tax Assumptions'!$F$9:$F$15))*LOOKUP(V426,'Tax Assumptions'!$F$9:$F$15,'Tax Assumptions'!$H$9:$H$15))+MIN(MAX(T426,0),'Tax Assumptions'!$B$11)*'Tax Assumptions'!$B$10+MAX(T426,0)*'Tax Assumptions'!$B$12+MAX(MAX(T426,0)-'Tax Assumptions'!$B$14,0)*'Tax Assumptions'!$B$13+MIN(T426*'Tax Assumptions'!$B$15,'Tax Assumptions'!$B$16)+MIN(T426*'Tax Assumptions'!$B$17,'Tax Assumptions'!$B$18)+IF(W426=0,0,LOOKUP(W426,'Tax Assumptions'!$K$9:$K$17,'Tax Assumptions'!$N$9:$N$17)+(W426-LOOKUP(W426,'Tax Assumptions'!$K$9:$K$17,'Tax Assumptions'!$K$9:$K$17))*LOOKUP(W426,'Tax Assumptions'!$K$9:$K$17,'Tax Assumptions'!$M$9:$M$17))+IF(W426=0,0,LOOKUP(W426,'Tax Assumptions'!$P$9:$P$12,'Tax Assumptions'!$S$9:$S$12)+(W426-LOOKUP(W426,'Tax Assumptions'!$P$9:$P$12,'Tax Assumptions'!$P$9:$P$12))*LOOKUP(W426,'Tax Assumptions'!$P$9:$P$12,'Tax Assumptions'!$R$9:$R$12))</f>
        <v>865478.63500000001</v>
      </c>
      <c r="Y426" s="230">
        <f t="shared" si="212"/>
        <v>910021.36499999999</v>
      </c>
      <c r="Z426" s="230">
        <f>IF(J426&lt;=10,INDEX('Savings Projection'!$BL$19:$BL$28,J426),LOOKUP(2,1/('Savings Projection'!$BL$19:$BL$28&lt;&gt;""),'Savings Projection'!$BL$19:$BL$28))*(1+'Model Inputs'!$B$35)^(J426-1)+IF(J426&lt;=10,INDEX('Savings Projection'!$BM$19:$BM$28,J426),LOOKUP(2,1/('Savings Projection'!$BM$19:$BM$28&lt;&gt;""),'Savings Projection'!$BM$19:$BM$28))*(1+'Model Inputs'!$B$36)^(J426-1)</f>
        <v>208611.83708284231</v>
      </c>
      <c r="AA426" s="230">
        <f t="shared" si="213"/>
        <v>701409.52791715763</v>
      </c>
      <c r="AB426" s="230">
        <f>MIN(MAX(AA426,0),'Tax Assumptions'!$B$20)</f>
        <v>7500</v>
      </c>
      <c r="AC426" s="230">
        <f t="shared" si="214"/>
        <v>693909.52791715763</v>
      </c>
      <c r="AD426" s="230">
        <f>MAX(AD425*(1+'Model Inputs'!$B$13)+AC426,0)</f>
        <v>20432412.126100026</v>
      </c>
      <c r="AE426" s="230">
        <f>MAX(AE425*(1+'Model Inputs'!$B$13)+U426+AB426,0)</f>
        <v>902812.15240896656</v>
      </c>
      <c r="AF426" s="230">
        <f t="shared" si="215"/>
        <v>21335224.278508991</v>
      </c>
      <c r="AG426" s="226" t="str">
        <f t="shared" si="237"/>
        <v/>
      </c>
      <c r="AH426" s="226" t="str">
        <f t="shared" si="238"/>
        <v/>
      </c>
      <c r="AI426" s="226" t="str">
        <f t="shared" si="239"/>
        <v/>
      </c>
      <c r="AJ426" s="226" t="str">
        <f t="shared" si="240"/>
        <v/>
      </c>
    </row>
    <row r="427" spans="1:36" ht="18" customHeight="1" x14ac:dyDescent="0.2">
      <c r="A427" s="226" t="str">
        <f t="shared" si="229"/>
        <v>4Y -&gt; PM Y8 Starter</v>
      </c>
      <c r="B427" s="226">
        <f t="shared" si="230"/>
        <v>4</v>
      </c>
      <c r="C427" s="235">
        <f t="shared" si="231"/>
        <v>3</v>
      </c>
      <c r="D427" s="226">
        <f t="shared" si="232"/>
        <v>8</v>
      </c>
      <c r="E427" s="226" t="str">
        <f t="shared" si="233"/>
        <v>Starter</v>
      </c>
      <c r="F427" s="230">
        <f t="shared" si="234"/>
        <v>10000000</v>
      </c>
      <c r="G427" s="236">
        <f t="shared" si="235"/>
        <v>0.15</v>
      </c>
      <c r="H427" s="230">
        <f t="shared" si="236"/>
        <v>300000</v>
      </c>
      <c r="I427" s="236">
        <f t="shared" si="206"/>
        <v>0</v>
      </c>
      <c r="J427" s="234">
        <v>18</v>
      </c>
      <c r="K427" s="234">
        <f t="shared" si="207"/>
        <v>2043</v>
      </c>
      <c r="L427" s="230">
        <f>IF(J427=1,'Model Inputs'!$B$25*(13-'Model Inputs'!$B$23)/12,'Model Inputs'!$B$25)</f>
        <v>300000</v>
      </c>
      <c r="M427" s="230">
        <f>IF(J427=1,'Model Inputs'!$B$27*(13-'Model Inputs'!$B$23)/12,IF(J427=2,'Model Inputs'!$B$27,IF(J427&lt;=MAX(3,'Model Inputs'!$B$30+1),'Model Inputs'!$B$27*(1+'Model Inputs'!$B$28)^(J427-3),'Model Inputs'!$B$27*(1+'Model Inputs'!$B$28)^(MAX(3,'Model Inputs'!$B$30+1)-3)*(1+'Model Inputs'!$B$29)^(J427-MAX(3,'Model Inputs'!$B$30+1)))))</f>
        <v>21432424.290875554</v>
      </c>
      <c r="N427" s="236">
        <f>IF(J427&lt;=2,0,'Model Inputs'!$B$32*SIN(2*PI()*(J427-3+'Model Inputs'!$B$34)/MAX(1,'Model Inputs'!$B$33)))</f>
        <v>-5.7328325735374245E-16</v>
      </c>
      <c r="O427" s="230">
        <f t="shared" si="208"/>
        <v>21432424.290875543</v>
      </c>
      <c r="P427" s="230">
        <f t="shared" si="241"/>
        <v>14995970.906855816</v>
      </c>
      <c r="Q427" s="230">
        <f>L427+P427+IF(J427=1,'Model Inputs'!$B$26,0)</f>
        <v>15295970.906855816</v>
      </c>
      <c r="R427" s="230">
        <f t="shared" si="209"/>
        <v>45887912.72056745</v>
      </c>
      <c r="S427" s="230">
        <f t="shared" si="210"/>
        <v>1800000</v>
      </c>
      <c r="T427" s="230">
        <f t="shared" si="211"/>
        <v>1800000</v>
      </c>
      <c r="U427" s="230">
        <f>MIN(T427,'Tax Assumptions'!$B$19)</f>
        <v>24500</v>
      </c>
      <c r="V427" s="230">
        <f>MAX(T427-U427-'Tax Assumptions'!$B$8,0)</f>
        <v>1759400</v>
      </c>
      <c r="W427" s="230">
        <f>MAX(T427-U427-'Tax Assumptions'!$B$9,0)</f>
        <v>1767500</v>
      </c>
      <c r="X427" s="230">
        <f>IF(V427=0,0,LOOKUP(V427,'Tax Assumptions'!$F$9:$F$15,'Tax Assumptions'!$I$9:$I$15)+(V427-LOOKUP(V427,'Tax Assumptions'!$F$9:$F$15,'Tax Assumptions'!$F$9:$F$15))*LOOKUP(V427,'Tax Assumptions'!$F$9:$F$15,'Tax Assumptions'!$H$9:$H$15))+MIN(MAX(T427,0),'Tax Assumptions'!$B$11)*'Tax Assumptions'!$B$10+MAX(T427,0)*'Tax Assumptions'!$B$12+MAX(MAX(T427,0)-'Tax Assumptions'!$B$14,0)*'Tax Assumptions'!$B$13+MIN(T427*'Tax Assumptions'!$B$15,'Tax Assumptions'!$B$16)+MIN(T427*'Tax Assumptions'!$B$17,'Tax Assumptions'!$B$18)+IF(W427=0,0,LOOKUP(W427,'Tax Assumptions'!$K$9:$K$17,'Tax Assumptions'!$N$9:$N$17)+(W427-LOOKUP(W427,'Tax Assumptions'!$K$9:$K$17,'Tax Assumptions'!$K$9:$K$17))*LOOKUP(W427,'Tax Assumptions'!$K$9:$K$17,'Tax Assumptions'!$M$9:$M$17))+IF(W427=0,0,LOOKUP(W427,'Tax Assumptions'!$P$9:$P$12,'Tax Assumptions'!$S$9:$S$12)+(W427-LOOKUP(W427,'Tax Assumptions'!$P$9:$P$12,'Tax Assumptions'!$P$9:$P$12))*LOOKUP(W427,'Tax Assumptions'!$P$9:$P$12,'Tax Assumptions'!$R$9:$R$12))</f>
        <v>865478.63500000001</v>
      </c>
      <c r="Y427" s="230">
        <f t="shared" si="212"/>
        <v>910021.36499999999</v>
      </c>
      <c r="Z427" s="230">
        <f>IF(J427&lt;=10,INDEX('Savings Projection'!$BL$19:$BL$28,J427),LOOKUP(2,1/('Savings Projection'!$BL$19:$BL$28&lt;&gt;""),'Savings Projection'!$BL$19:$BL$28))*(1+'Model Inputs'!$B$35)^(J427-1)+IF(J427&lt;=10,INDEX('Savings Projection'!$BM$19:$BM$28,J427),LOOKUP(2,1/('Savings Projection'!$BM$19:$BM$28&lt;&gt;""),'Savings Projection'!$BM$19:$BM$28))*(1+'Model Inputs'!$B$36)^(J427-1)</f>
        <v>214870.1921953276</v>
      </c>
      <c r="AA427" s="230">
        <f t="shared" si="213"/>
        <v>695151.17280467239</v>
      </c>
      <c r="AB427" s="230">
        <f>MIN(MAX(AA427,0),'Tax Assumptions'!$B$20)</f>
        <v>7500</v>
      </c>
      <c r="AC427" s="230">
        <f t="shared" si="214"/>
        <v>687651.17280467239</v>
      </c>
      <c r="AD427" s="230">
        <f>MAX(AD426*(1+'Model Inputs'!$B$13)+AC427,0)</f>
        <v>22346008.026470702</v>
      </c>
      <c r="AE427" s="230">
        <f>MAX(AE426*(1+'Model Inputs'!$B$13)+U427+AB427,0)</f>
        <v>988980.88155350462</v>
      </c>
      <c r="AF427" s="230">
        <f t="shared" si="215"/>
        <v>23334988.908024207</v>
      </c>
      <c r="AG427" s="226" t="str">
        <f t="shared" si="237"/>
        <v/>
      </c>
      <c r="AH427" s="226" t="str">
        <f t="shared" si="238"/>
        <v/>
      </c>
      <c r="AI427" s="226" t="str">
        <f t="shared" si="239"/>
        <v/>
      </c>
      <c r="AJ427" s="226">
        <f t="shared" si="240"/>
        <v>18</v>
      </c>
    </row>
    <row r="428" spans="1:36" ht="18" customHeight="1" x14ac:dyDescent="0.2">
      <c r="A428" s="226" t="str">
        <f t="shared" si="229"/>
        <v>4Y -&gt; PM Y8 Starter</v>
      </c>
      <c r="B428" s="226">
        <f t="shared" si="230"/>
        <v>4</v>
      </c>
      <c r="C428" s="235">
        <f t="shared" si="231"/>
        <v>3</v>
      </c>
      <c r="D428" s="226">
        <f t="shared" si="232"/>
        <v>8</v>
      </c>
      <c r="E428" s="226" t="str">
        <f t="shared" si="233"/>
        <v>Starter</v>
      </c>
      <c r="F428" s="230">
        <f t="shared" si="234"/>
        <v>10000000</v>
      </c>
      <c r="G428" s="236">
        <f t="shared" si="235"/>
        <v>0.15</v>
      </c>
      <c r="H428" s="230">
        <f t="shared" si="236"/>
        <v>300000</v>
      </c>
      <c r="I428" s="236">
        <f t="shared" si="206"/>
        <v>0</v>
      </c>
      <c r="J428" s="234">
        <v>19</v>
      </c>
      <c r="K428" s="234">
        <f t="shared" si="207"/>
        <v>2044</v>
      </c>
      <c r="L428" s="230">
        <f>IF(J428=1,'Model Inputs'!$B$25*(13-'Model Inputs'!$B$23)/12,'Model Inputs'!$B$25)</f>
        <v>300000</v>
      </c>
      <c r="M428" s="230">
        <f>IF(J428=1,'Model Inputs'!$B$27*(13-'Model Inputs'!$B$23)/12,IF(J428=2,'Model Inputs'!$B$27,IF(J428&lt;=MAX(3,'Model Inputs'!$B$30+1),'Model Inputs'!$B$27*(1+'Model Inputs'!$B$28)^(J428-3),'Model Inputs'!$B$27*(1+'Model Inputs'!$B$28)^(MAX(3,'Model Inputs'!$B$30+1)-3)*(1+'Model Inputs'!$B$29)^(J428-MAX(3,'Model Inputs'!$B$30+1)))))</f>
        <v>27237984.409717187</v>
      </c>
      <c r="N428" s="236">
        <f>IF(J428&lt;=2,0,'Model Inputs'!$B$32*SIN(2*PI()*(J428-3+'Model Inputs'!$B$34)/MAX(1,'Model Inputs'!$B$33)))</f>
        <v>0.10392304845413286</v>
      </c>
      <c r="O428" s="230">
        <f t="shared" si="208"/>
        <v>30068638.783321142</v>
      </c>
      <c r="P428" s="230">
        <f t="shared" si="241"/>
        <v>19852239.851888295</v>
      </c>
      <c r="Q428" s="230">
        <f>L428+P428+IF(J428=1,'Model Inputs'!$B$26,0)</f>
        <v>20152239.851888295</v>
      </c>
      <c r="R428" s="230">
        <f t="shared" si="209"/>
        <v>60456719.555664882</v>
      </c>
      <c r="S428" s="230">
        <f t="shared" si="210"/>
        <v>1800000</v>
      </c>
      <c r="T428" s="230">
        <f t="shared" si="211"/>
        <v>1800000</v>
      </c>
      <c r="U428" s="230">
        <f>MIN(T428,'Tax Assumptions'!$B$19)</f>
        <v>24500</v>
      </c>
      <c r="V428" s="230">
        <f>MAX(T428-U428-'Tax Assumptions'!$B$8,0)</f>
        <v>1759400</v>
      </c>
      <c r="W428" s="230">
        <f>MAX(T428-U428-'Tax Assumptions'!$B$9,0)</f>
        <v>1767500</v>
      </c>
      <c r="X428" s="230">
        <f>IF(V428=0,0,LOOKUP(V428,'Tax Assumptions'!$F$9:$F$15,'Tax Assumptions'!$I$9:$I$15)+(V428-LOOKUP(V428,'Tax Assumptions'!$F$9:$F$15,'Tax Assumptions'!$F$9:$F$15))*LOOKUP(V428,'Tax Assumptions'!$F$9:$F$15,'Tax Assumptions'!$H$9:$H$15))+MIN(MAX(T428,0),'Tax Assumptions'!$B$11)*'Tax Assumptions'!$B$10+MAX(T428,0)*'Tax Assumptions'!$B$12+MAX(MAX(T428,0)-'Tax Assumptions'!$B$14,0)*'Tax Assumptions'!$B$13+MIN(T428*'Tax Assumptions'!$B$15,'Tax Assumptions'!$B$16)+MIN(T428*'Tax Assumptions'!$B$17,'Tax Assumptions'!$B$18)+IF(W428=0,0,LOOKUP(W428,'Tax Assumptions'!$K$9:$K$17,'Tax Assumptions'!$N$9:$N$17)+(W428-LOOKUP(W428,'Tax Assumptions'!$K$9:$K$17,'Tax Assumptions'!$K$9:$K$17))*LOOKUP(W428,'Tax Assumptions'!$K$9:$K$17,'Tax Assumptions'!$M$9:$M$17))+IF(W428=0,0,LOOKUP(W428,'Tax Assumptions'!$P$9:$P$12,'Tax Assumptions'!$S$9:$S$12)+(W428-LOOKUP(W428,'Tax Assumptions'!$P$9:$P$12,'Tax Assumptions'!$P$9:$P$12))*LOOKUP(W428,'Tax Assumptions'!$P$9:$P$12,'Tax Assumptions'!$R$9:$R$12))</f>
        <v>865478.63500000001</v>
      </c>
      <c r="Y428" s="230">
        <f t="shared" si="212"/>
        <v>910021.36499999999</v>
      </c>
      <c r="Z428" s="230">
        <f>IF(J428&lt;=10,INDEX('Savings Projection'!$BL$19:$BL$28,J428),LOOKUP(2,1/('Savings Projection'!$BL$19:$BL$28&lt;&gt;""),'Savings Projection'!$BL$19:$BL$28))*(1+'Model Inputs'!$B$35)^(J428-1)+IF(J428&lt;=10,INDEX('Savings Projection'!$BM$19:$BM$28,J428),LOOKUP(2,1/('Savings Projection'!$BM$19:$BM$28&lt;&gt;""),'Savings Projection'!$BM$19:$BM$28))*(1+'Model Inputs'!$B$36)^(J428-1)</f>
        <v>221316.29796118743</v>
      </c>
      <c r="AA428" s="230">
        <f t="shared" si="213"/>
        <v>688705.06703881256</v>
      </c>
      <c r="AB428" s="230">
        <f>MIN(MAX(AA428,0),'Tax Assumptions'!$B$20)</f>
        <v>7500</v>
      </c>
      <c r="AC428" s="230">
        <f t="shared" si="214"/>
        <v>681205.06703881256</v>
      </c>
      <c r="AD428" s="230">
        <f>MAX(AD427*(1+'Model Inputs'!$B$13)+AC428,0)</f>
        <v>24367973.575097758</v>
      </c>
      <c r="AE428" s="230">
        <f>MAX(AE427*(1+'Model Inputs'!$B$13)+U428+AB428,0)</f>
        <v>1080319.7344467151</v>
      </c>
      <c r="AF428" s="230">
        <f t="shared" si="215"/>
        <v>25448293.309544474</v>
      </c>
      <c r="AG428" s="226" t="str">
        <f t="shared" si="237"/>
        <v/>
      </c>
      <c r="AH428" s="226" t="str">
        <f t="shared" si="238"/>
        <v/>
      </c>
      <c r="AI428" s="226" t="str">
        <f t="shared" si="239"/>
        <v/>
      </c>
      <c r="AJ428" s="226" t="str">
        <f t="shared" si="240"/>
        <v/>
      </c>
    </row>
    <row r="429" spans="1:36" ht="18" customHeight="1" x14ac:dyDescent="0.2">
      <c r="A429" s="226" t="str">
        <f t="shared" si="229"/>
        <v>4Y -&gt; PM Y8 Starter</v>
      </c>
      <c r="B429" s="226">
        <f t="shared" si="230"/>
        <v>4</v>
      </c>
      <c r="C429" s="235">
        <f t="shared" si="231"/>
        <v>3</v>
      </c>
      <c r="D429" s="226">
        <f t="shared" si="232"/>
        <v>8</v>
      </c>
      <c r="E429" s="226" t="str">
        <f t="shared" si="233"/>
        <v>Starter</v>
      </c>
      <c r="F429" s="230">
        <f t="shared" si="234"/>
        <v>10000000</v>
      </c>
      <c r="G429" s="236">
        <f t="shared" si="235"/>
        <v>0.15</v>
      </c>
      <c r="H429" s="230">
        <f t="shared" si="236"/>
        <v>300000</v>
      </c>
      <c r="I429" s="236">
        <f t="shared" si="206"/>
        <v>0</v>
      </c>
      <c r="J429" s="234">
        <v>20</v>
      </c>
      <c r="K429" s="234">
        <f t="shared" si="207"/>
        <v>2045</v>
      </c>
      <c r="L429" s="230">
        <f>IF(J429=1,'Model Inputs'!$B$25*(13-'Model Inputs'!$B$23)/12,'Model Inputs'!$B$25)</f>
        <v>300000</v>
      </c>
      <c r="M429" s="230">
        <f>IF(J429=1,'Model Inputs'!$B$27*(13-'Model Inputs'!$B$23)/12,IF(J429=2,'Model Inputs'!$B$27,IF(J429&lt;=MAX(3,'Model Inputs'!$B$30+1),'Model Inputs'!$B$27*(1+'Model Inputs'!$B$28)^(J429-3),'Model Inputs'!$B$27*(1+'Model Inputs'!$B$28)^(MAX(3,'Model Inputs'!$B$30+1)-3)*(1+'Model Inputs'!$B$29)^(J429-MAX(3,'Model Inputs'!$B$30+1)))))</f>
        <v>34616139.762586243</v>
      </c>
      <c r="N429" s="236">
        <f>IF(J429&lt;=2,0,'Model Inputs'!$B$32*SIN(2*PI()*(J429-3+'Model Inputs'!$B$34)/MAX(1,'Model Inputs'!$B$33)))</f>
        <v>-0.10392304845413269</v>
      </c>
      <c r="O429" s="230">
        <f t="shared" si="208"/>
        <v>31018724.992743965</v>
      </c>
      <c r="P429" s="230">
        <f t="shared" si="241"/>
        <v>27909585.160209741</v>
      </c>
      <c r="Q429" s="230">
        <f>L429+P429+IF(J429=1,'Model Inputs'!$B$26,0)</f>
        <v>28209585.160209741</v>
      </c>
      <c r="R429" s="230">
        <f t="shared" si="209"/>
        <v>84628755.480629221</v>
      </c>
      <c r="S429" s="230">
        <f t="shared" si="210"/>
        <v>1800000</v>
      </c>
      <c r="T429" s="230">
        <f t="shared" si="211"/>
        <v>1800000</v>
      </c>
      <c r="U429" s="230">
        <f>MIN(T429,'Tax Assumptions'!$B$19)</f>
        <v>24500</v>
      </c>
      <c r="V429" s="230">
        <f>MAX(T429-U429-'Tax Assumptions'!$B$8,0)</f>
        <v>1759400</v>
      </c>
      <c r="W429" s="230">
        <f>MAX(T429-U429-'Tax Assumptions'!$B$9,0)</f>
        <v>1767500</v>
      </c>
      <c r="X429" s="230">
        <f>IF(V429=0,0,LOOKUP(V429,'Tax Assumptions'!$F$9:$F$15,'Tax Assumptions'!$I$9:$I$15)+(V429-LOOKUP(V429,'Tax Assumptions'!$F$9:$F$15,'Tax Assumptions'!$F$9:$F$15))*LOOKUP(V429,'Tax Assumptions'!$F$9:$F$15,'Tax Assumptions'!$H$9:$H$15))+MIN(MAX(T429,0),'Tax Assumptions'!$B$11)*'Tax Assumptions'!$B$10+MAX(T429,0)*'Tax Assumptions'!$B$12+MAX(MAX(T429,0)-'Tax Assumptions'!$B$14,0)*'Tax Assumptions'!$B$13+MIN(T429*'Tax Assumptions'!$B$15,'Tax Assumptions'!$B$16)+MIN(T429*'Tax Assumptions'!$B$17,'Tax Assumptions'!$B$18)+IF(W429=0,0,LOOKUP(W429,'Tax Assumptions'!$K$9:$K$17,'Tax Assumptions'!$N$9:$N$17)+(W429-LOOKUP(W429,'Tax Assumptions'!$K$9:$K$17,'Tax Assumptions'!$K$9:$K$17))*LOOKUP(W429,'Tax Assumptions'!$K$9:$K$17,'Tax Assumptions'!$M$9:$M$17))+IF(W429=0,0,LOOKUP(W429,'Tax Assumptions'!$P$9:$P$12,'Tax Assumptions'!$S$9:$S$12)+(W429-LOOKUP(W429,'Tax Assumptions'!$P$9:$P$12,'Tax Assumptions'!$P$9:$P$12))*LOOKUP(W429,'Tax Assumptions'!$P$9:$P$12,'Tax Assumptions'!$R$9:$R$12))</f>
        <v>865478.63500000001</v>
      </c>
      <c r="Y429" s="230">
        <f t="shared" si="212"/>
        <v>910021.36499999999</v>
      </c>
      <c r="Z429" s="230">
        <f>IF(J429&lt;=10,INDEX('Savings Projection'!$BL$19:$BL$28,J429),LOOKUP(2,1/('Savings Projection'!$BL$19:$BL$28&lt;&gt;""),'Savings Projection'!$BL$19:$BL$28))*(1+'Model Inputs'!$B$35)^(J429-1)+IF(J429&lt;=10,INDEX('Savings Projection'!$BM$19:$BM$28,J429),LOOKUP(2,1/('Savings Projection'!$BM$19:$BM$28&lt;&gt;""),'Savings Projection'!$BM$19:$BM$28))*(1+'Model Inputs'!$B$36)^(J429-1)</f>
        <v>227955.78690002306</v>
      </c>
      <c r="AA429" s="230">
        <f t="shared" si="213"/>
        <v>682065.57809997699</v>
      </c>
      <c r="AB429" s="230">
        <f>MIN(MAX(AA429,0),'Tax Assumptions'!$B$20)</f>
        <v>7500</v>
      </c>
      <c r="AC429" s="230">
        <f t="shared" si="214"/>
        <v>674565.57809997699</v>
      </c>
      <c r="AD429" s="230">
        <f>MAX(AD428*(1+'Model Inputs'!$B$13)+AC429,0)</f>
        <v>26504617.567703601</v>
      </c>
      <c r="AE429" s="230">
        <f>MAX(AE428*(1+'Model Inputs'!$B$13)+U429+AB429,0)</f>
        <v>1177138.9185135181</v>
      </c>
      <c r="AF429" s="230">
        <f t="shared" si="215"/>
        <v>27681756.486217119</v>
      </c>
      <c r="AG429" s="226" t="str">
        <f t="shared" si="237"/>
        <v/>
      </c>
      <c r="AH429" s="226" t="str">
        <f t="shared" si="238"/>
        <v/>
      </c>
      <c r="AI429" s="226" t="str">
        <f t="shared" si="239"/>
        <v/>
      </c>
      <c r="AJ429" s="226" t="str">
        <f t="shared" si="240"/>
        <v/>
      </c>
    </row>
    <row r="430" spans="1:36" ht="18" customHeight="1" x14ac:dyDescent="0.2">
      <c r="A430" s="226" t="str">
        <f t="shared" si="229"/>
        <v>4Y -&gt; PM Y8 Starter</v>
      </c>
      <c r="B430" s="226">
        <f t="shared" si="230"/>
        <v>4</v>
      </c>
      <c r="C430" s="235">
        <f t="shared" si="231"/>
        <v>3</v>
      </c>
      <c r="D430" s="226">
        <f t="shared" si="232"/>
        <v>8</v>
      </c>
      <c r="E430" s="226" t="str">
        <f t="shared" si="233"/>
        <v>Starter</v>
      </c>
      <c r="F430" s="230">
        <f t="shared" si="234"/>
        <v>10000000</v>
      </c>
      <c r="G430" s="236">
        <f t="shared" si="235"/>
        <v>0.15</v>
      </c>
      <c r="H430" s="230">
        <f t="shared" si="236"/>
        <v>300000</v>
      </c>
      <c r="I430" s="236">
        <f t="shared" si="206"/>
        <v>0</v>
      </c>
      <c r="J430" s="234">
        <v>21</v>
      </c>
      <c r="K430" s="234">
        <f t="shared" si="207"/>
        <v>2046</v>
      </c>
      <c r="L430" s="230">
        <f>IF(J430=1,'Model Inputs'!$B$25*(13-'Model Inputs'!$B$23)/12,'Model Inputs'!$B$25)</f>
        <v>300000</v>
      </c>
      <c r="M430" s="230">
        <f>IF(J430=1,'Model Inputs'!$B$27*(13-'Model Inputs'!$B$23)/12,IF(J430=2,'Model Inputs'!$B$27,IF(J430&lt;=MAX(3,'Model Inputs'!$B$30+1),'Model Inputs'!$B$27*(1+'Model Inputs'!$B$28)^(J430-3),'Model Inputs'!$B$27*(1+'Model Inputs'!$B$28)^(MAX(3,'Model Inputs'!$B$30+1)-3)*(1+'Model Inputs'!$B$29)^(J430-MAX(3,'Model Inputs'!$B$30+1)))))</f>
        <v>43992870.912849829</v>
      </c>
      <c r="N430" s="236">
        <f>IF(J430&lt;=2,0,'Model Inputs'!$B$32*SIN(2*PI()*(J430-3+'Model Inputs'!$B$34)/MAX(1,'Model Inputs'!$B$33)))</f>
        <v>-1.7634913907721884E-16</v>
      </c>
      <c r="O430" s="230">
        <f t="shared" si="208"/>
        <v>43992870.912849821</v>
      </c>
      <c r="P430" s="230">
        <f t="shared" si="241"/>
        <v>30781203.440388259</v>
      </c>
      <c r="Q430" s="230">
        <f>L430+P430+IF(J430=1,'Model Inputs'!$B$26,0)</f>
        <v>31081203.440388259</v>
      </c>
      <c r="R430" s="230">
        <f t="shared" si="209"/>
        <v>93243610.321164772</v>
      </c>
      <c r="S430" s="230">
        <f t="shared" si="210"/>
        <v>1800000</v>
      </c>
      <c r="T430" s="230">
        <f t="shared" si="211"/>
        <v>1800000</v>
      </c>
      <c r="U430" s="230">
        <f>MIN(T430,'Tax Assumptions'!$B$19)</f>
        <v>24500</v>
      </c>
      <c r="V430" s="230">
        <f>MAX(T430-U430-'Tax Assumptions'!$B$8,0)</f>
        <v>1759400</v>
      </c>
      <c r="W430" s="230">
        <f>MAX(T430-U430-'Tax Assumptions'!$B$9,0)</f>
        <v>1767500</v>
      </c>
      <c r="X430" s="230">
        <f>IF(V430=0,0,LOOKUP(V430,'Tax Assumptions'!$F$9:$F$15,'Tax Assumptions'!$I$9:$I$15)+(V430-LOOKUP(V430,'Tax Assumptions'!$F$9:$F$15,'Tax Assumptions'!$F$9:$F$15))*LOOKUP(V430,'Tax Assumptions'!$F$9:$F$15,'Tax Assumptions'!$H$9:$H$15))+MIN(MAX(T430,0),'Tax Assumptions'!$B$11)*'Tax Assumptions'!$B$10+MAX(T430,0)*'Tax Assumptions'!$B$12+MAX(MAX(T430,0)-'Tax Assumptions'!$B$14,0)*'Tax Assumptions'!$B$13+MIN(T430*'Tax Assumptions'!$B$15,'Tax Assumptions'!$B$16)+MIN(T430*'Tax Assumptions'!$B$17,'Tax Assumptions'!$B$18)+IF(W430=0,0,LOOKUP(W430,'Tax Assumptions'!$K$9:$K$17,'Tax Assumptions'!$N$9:$N$17)+(W430-LOOKUP(W430,'Tax Assumptions'!$K$9:$K$17,'Tax Assumptions'!$K$9:$K$17))*LOOKUP(W430,'Tax Assumptions'!$K$9:$K$17,'Tax Assumptions'!$M$9:$M$17))+IF(W430=0,0,LOOKUP(W430,'Tax Assumptions'!$P$9:$P$12,'Tax Assumptions'!$S$9:$S$12)+(W430-LOOKUP(W430,'Tax Assumptions'!$P$9:$P$12,'Tax Assumptions'!$P$9:$P$12))*LOOKUP(W430,'Tax Assumptions'!$P$9:$P$12,'Tax Assumptions'!$R$9:$R$12))</f>
        <v>865478.63500000001</v>
      </c>
      <c r="Y430" s="230">
        <f t="shared" si="212"/>
        <v>910021.36499999999</v>
      </c>
      <c r="Z430" s="230">
        <f>IF(J430&lt;=10,INDEX('Savings Projection'!$BL$19:$BL$28,J430),LOOKUP(2,1/('Savings Projection'!$BL$19:$BL$28&lt;&gt;""),'Savings Projection'!$BL$19:$BL$28))*(1+'Model Inputs'!$B$35)^(J430-1)+IF(J430&lt;=10,INDEX('Savings Projection'!$BM$19:$BM$28,J430),LOOKUP(2,1/('Savings Projection'!$BM$19:$BM$28&lt;&gt;""),'Savings Projection'!$BM$19:$BM$28))*(1+'Model Inputs'!$B$36)^(J430-1)</f>
        <v>234794.46050702373</v>
      </c>
      <c r="AA430" s="230">
        <f t="shared" si="213"/>
        <v>675226.90449297626</v>
      </c>
      <c r="AB430" s="230">
        <f>MIN(MAX(AA430,0),'Tax Assumptions'!$B$20)</f>
        <v>7500</v>
      </c>
      <c r="AC430" s="230">
        <f t="shared" si="214"/>
        <v>667726.90449297626</v>
      </c>
      <c r="AD430" s="230">
        <f>MAX(AD429*(1+'Model Inputs'!$B$13)+AC430,0)</f>
        <v>28762621.526258796</v>
      </c>
      <c r="AE430" s="230">
        <f>MAX(AE429*(1+'Model Inputs'!$B$13)+U430+AB430,0)</f>
        <v>1279767.2536243291</v>
      </c>
      <c r="AF430" s="230">
        <f t="shared" si="215"/>
        <v>30042388.779883124</v>
      </c>
      <c r="AG430" s="226" t="str">
        <f t="shared" si="237"/>
        <v/>
      </c>
      <c r="AH430" s="226" t="str">
        <f t="shared" si="238"/>
        <v/>
      </c>
      <c r="AI430" s="226" t="str">
        <f t="shared" si="239"/>
        <v/>
      </c>
      <c r="AJ430" s="226" t="str">
        <f t="shared" si="240"/>
        <v/>
      </c>
    </row>
    <row r="431" spans="1:36" ht="18" customHeight="1" x14ac:dyDescent="0.2">
      <c r="A431" s="226" t="str">
        <f t="shared" si="229"/>
        <v>4Y -&gt; PM Y8 Starter</v>
      </c>
      <c r="B431" s="226">
        <f t="shared" si="230"/>
        <v>4</v>
      </c>
      <c r="C431" s="235">
        <f t="shared" si="231"/>
        <v>3</v>
      </c>
      <c r="D431" s="226">
        <f t="shared" si="232"/>
        <v>8</v>
      </c>
      <c r="E431" s="226" t="str">
        <f t="shared" si="233"/>
        <v>Starter</v>
      </c>
      <c r="F431" s="230">
        <f t="shared" si="234"/>
        <v>10000000</v>
      </c>
      <c r="G431" s="236">
        <f t="shared" si="235"/>
        <v>0.15</v>
      </c>
      <c r="H431" s="230">
        <f t="shared" si="236"/>
        <v>300000</v>
      </c>
      <c r="I431" s="236">
        <f t="shared" si="206"/>
        <v>0</v>
      </c>
      <c r="J431" s="234">
        <v>22</v>
      </c>
      <c r="K431" s="234">
        <f t="shared" si="207"/>
        <v>2047</v>
      </c>
      <c r="L431" s="230">
        <f>IF(J431=1,'Model Inputs'!$B$25*(13-'Model Inputs'!$B$23)/12,'Model Inputs'!$B$25)</f>
        <v>300000</v>
      </c>
      <c r="M431" s="230">
        <f>IF(J431=1,'Model Inputs'!$B$27*(13-'Model Inputs'!$B$23)/12,IF(J431=2,'Model Inputs'!$B$27,IF(J431&lt;=MAX(3,'Model Inputs'!$B$30+1),'Model Inputs'!$B$27*(1+'Model Inputs'!$B$28)^(J431-3),'Model Inputs'!$B$27*(1+'Model Inputs'!$B$28)^(MAX(3,'Model Inputs'!$B$30+1)-3)*(1+'Model Inputs'!$B$29)^(J431-MAX(3,'Model Inputs'!$B$30+1)))))</f>
        <v>55909546.9462616</v>
      </c>
      <c r="N431" s="236">
        <f>IF(J431&lt;=2,0,'Model Inputs'!$B$32*SIN(2*PI()*(J431-3+'Model Inputs'!$B$34)/MAX(1,'Model Inputs'!$B$33)))</f>
        <v>0.10392304845413287</v>
      </c>
      <c r="O431" s="230">
        <f t="shared" si="208"/>
        <v>61719837.502606563</v>
      </c>
      <c r="P431" s="230">
        <f t="shared" si="241"/>
        <v>40749334.43282336</v>
      </c>
      <c r="Q431" s="230">
        <f>L431+P431+IF(J431=1,'Model Inputs'!$B$26,0)</f>
        <v>41049334.43282336</v>
      </c>
      <c r="R431" s="230">
        <f t="shared" si="209"/>
        <v>123148003.29847008</v>
      </c>
      <c r="S431" s="230">
        <f t="shared" si="210"/>
        <v>1800000</v>
      </c>
      <c r="T431" s="230">
        <f t="shared" si="211"/>
        <v>1800000</v>
      </c>
      <c r="U431" s="230">
        <f>MIN(T431,'Tax Assumptions'!$B$19)</f>
        <v>24500</v>
      </c>
      <c r="V431" s="230">
        <f>MAX(T431-U431-'Tax Assumptions'!$B$8,0)</f>
        <v>1759400</v>
      </c>
      <c r="W431" s="230">
        <f>MAX(T431-U431-'Tax Assumptions'!$B$9,0)</f>
        <v>1767500</v>
      </c>
      <c r="X431" s="230">
        <f>IF(V431=0,0,LOOKUP(V431,'Tax Assumptions'!$F$9:$F$15,'Tax Assumptions'!$I$9:$I$15)+(V431-LOOKUP(V431,'Tax Assumptions'!$F$9:$F$15,'Tax Assumptions'!$F$9:$F$15))*LOOKUP(V431,'Tax Assumptions'!$F$9:$F$15,'Tax Assumptions'!$H$9:$H$15))+MIN(MAX(T431,0),'Tax Assumptions'!$B$11)*'Tax Assumptions'!$B$10+MAX(T431,0)*'Tax Assumptions'!$B$12+MAX(MAX(T431,0)-'Tax Assumptions'!$B$14,0)*'Tax Assumptions'!$B$13+MIN(T431*'Tax Assumptions'!$B$15,'Tax Assumptions'!$B$16)+MIN(T431*'Tax Assumptions'!$B$17,'Tax Assumptions'!$B$18)+IF(W431=0,0,LOOKUP(W431,'Tax Assumptions'!$K$9:$K$17,'Tax Assumptions'!$N$9:$N$17)+(W431-LOOKUP(W431,'Tax Assumptions'!$K$9:$K$17,'Tax Assumptions'!$K$9:$K$17))*LOOKUP(W431,'Tax Assumptions'!$K$9:$K$17,'Tax Assumptions'!$M$9:$M$17))+IF(W431=0,0,LOOKUP(W431,'Tax Assumptions'!$P$9:$P$12,'Tax Assumptions'!$S$9:$S$12)+(W431-LOOKUP(W431,'Tax Assumptions'!$P$9:$P$12,'Tax Assumptions'!$P$9:$P$12))*LOOKUP(W431,'Tax Assumptions'!$P$9:$P$12,'Tax Assumptions'!$R$9:$R$12))</f>
        <v>865478.63500000001</v>
      </c>
      <c r="Y431" s="230">
        <f t="shared" si="212"/>
        <v>910021.36499999999</v>
      </c>
      <c r="Z431" s="230">
        <f>IF(J431&lt;=10,INDEX('Savings Projection'!$BL$19:$BL$28,J431),LOOKUP(2,1/('Savings Projection'!$BL$19:$BL$28&lt;&gt;""),'Savings Projection'!$BL$19:$BL$28))*(1+'Model Inputs'!$B$35)^(J431-1)+IF(J431&lt;=10,INDEX('Savings Projection'!$BM$19:$BM$28,J431),LOOKUP(2,1/('Savings Projection'!$BM$19:$BM$28&lt;&gt;""),'Savings Projection'!$BM$19:$BM$28))*(1+'Model Inputs'!$B$36)^(J431-1)</f>
        <v>241838.2943222344</v>
      </c>
      <c r="AA431" s="230">
        <f t="shared" si="213"/>
        <v>668183.07067776565</v>
      </c>
      <c r="AB431" s="230">
        <f>MIN(MAX(AA431,0),'Tax Assumptions'!$B$20)</f>
        <v>7500</v>
      </c>
      <c r="AC431" s="230">
        <f t="shared" si="214"/>
        <v>660683.07067776565</v>
      </c>
      <c r="AD431" s="230">
        <f>MAX(AD430*(1+'Model Inputs'!$B$13)+AC431,0)</f>
        <v>31149061.88851209</v>
      </c>
      <c r="AE431" s="230">
        <f>MAX(AE430*(1+'Model Inputs'!$B$13)+U431+AB431,0)</f>
        <v>1388553.2888417889</v>
      </c>
      <c r="AF431" s="230">
        <f t="shared" si="215"/>
        <v>32537615.177353878</v>
      </c>
      <c r="AG431" s="226" t="str">
        <f t="shared" si="237"/>
        <v/>
      </c>
      <c r="AH431" s="226" t="str">
        <f t="shared" si="238"/>
        <v/>
      </c>
      <c r="AI431" s="226" t="str">
        <f t="shared" si="239"/>
        <v/>
      </c>
      <c r="AJ431" s="226" t="str">
        <f t="shared" si="240"/>
        <v/>
      </c>
    </row>
    <row r="432" spans="1:36" ht="18" customHeight="1" x14ac:dyDescent="0.2">
      <c r="A432" s="226" t="str">
        <f t="shared" si="229"/>
        <v>4Y -&gt; PM Y8 Starter</v>
      </c>
      <c r="B432" s="226">
        <f t="shared" si="230"/>
        <v>4</v>
      </c>
      <c r="C432" s="235">
        <f t="shared" si="231"/>
        <v>3</v>
      </c>
      <c r="D432" s="226">
        <f t="shared" si="232"/>
        <v>8</v>
      </c>
      <c r="E432" s="226" t="str">
        <f t="shared" si="233"/>
        <v>Starter</v>
      </c>
      <c r="F432" s="230">
        <f t="shared" si="234"/>
        <v>10000000</v>
      </c>
      <c r="G432" s="236">
        <f t="shared" si="235"/>
        <v>0.15</v>
      </c>
      <c r="H432" s="230">
        <f t="shared" si="236"/>
        <v>300000</v>
      </c>
      <c r="I432" s="236">
        <f t="shared" si="206"/>
        <v>0</v>
      </c>
      <c r="J432" s="234">
        <v>23</v>
      </c>
      <c r="K432" s="234">
        <f t="shared" si="207"/>
        <v>2048</v>
      </c>
      <c r="L432" s="230">
        <f>IF(J432=1,'Model Inputs'!$B$25*(13-'Model Inputs'!$B$23)/12,'Model Inputs'!$B$25)</f>
        <v>300000</v>
      </c>
      <c r="M432" s="230">
        <f>IF(J432=1,'Model Inputs'!$B$27*(13-'Model Inputs'!$B$23)/12,IF(J432=2,'Model Inputs'!$B$27,IF(J432&lt;=MAX(3,'Model Inputs'!$B$30+1),'Model Inputs'!$B$27*(1+'Model Inputs'!$B$28)^(J432-3),'Model Inputs'!$B$27*(1+'Model Inputs'!$B$28)^(MAX(3,'Model Inputs'!$B$30+1)-3)*(1+'Model Inputs'!$B$29)^(J432-MAX(3,'Model Inputs'!$B$30+1)))))</f>
        <v>71054181.617940187</v>
      </c>
      <c r="N432" s="236">
        <f>IF(J432&lt;=2,0,'Model Inputs'!$B$32*SIN(2*PI()*(J432-3+'Model Inputs'!$B$34)/MAX(1,'Model Inputs'!$B$33)))</f>
        <v>-0.10392304845413268</v>
      </c>
      <c r="O432" s="230">
        <f t="shared" si="208"/>
        <v>63670014.458790243</v>
      </c>
      <c r="P432" s="230">
        <f t="shared" si="241"/>
        <v>57288095.855167374</v>
      </c>
      <c r="Q432" s="230">
        <f>L432+P432+IF(J432=1,'Model Inputs'!$B$26,0)</f>
        <v>57588095.855167374</v>
      </c>
      <c r="R432" s="230">
        <f t="shared" si="209"/>
        <v>172764287.56550211</v>
      </c>
      <c r="S432" s="230">
        <f t="shared" si="210"/>
        <v>1800000</v>
      </c>
      <c r="T432" s="230">
        <f t="shared" si="211"/>
        <v>1800000</v>
      </c>
      <c r="U432" s="230">
        <f>MIN(T432,'Tax Assumptions'!$B$19)</f>
        <v>24500</v>
      </c>
      <c r="V432" s="230">
        <f>MAX(T432-U432-'Tax Assumptions'!$B$8,0)</f>
        <v>1759400</v>
      </c>
      <c r="W432" s="230">
        <f>MAX(T432-U432-'Tax Assumptions'!$B$9,0)</f>
        <v>1767500</v>
      </c>
      <c r="X432" s="230">
        <f>IF(V432=0,0,LOOKUP(V432,'Tax Assumptions'!$F$9:$F$15,'Tax Assumptions'!$I$9:$I$15)+(V432-LOOKUP(V432,'Tax Assumptions'!$F$9:$F$15,'Tax Assumptions'!$F$9:$F$15))*LOOKUP(V432,'Tax Assumptions'!$F$9:$F$15,'Tax Assumptions'!$H$9:$H$15))+MIN(MAX(T432,0),'Tax Assumptions'!$B$11)*'Tax Assumptions'!$B$10+MAX(T432,0)*'Tax Assumptions'!$B$12+MAX(MAX(T432,0)-'Tax Assumptions'!$B$14,0)*'Tax Assumptions'!$B$13+MIN(T432*'Tax Assumptions'!$B$15,'Tax Assumptions'!$B$16)+MIN(T432*'Tax Assumptions'!$B$17,'Tax Assumptions'!$B$18)+IF(W432=0,0,LOOKUP(W432,'Tax Assumptions'!$K$9:$K$17,'Tax Assumptions'!$N$9:$N$17)+(W432-LOOKUP(W432,'Tax Assumptions'!$K$9:$K$17,'Tax Assumptions'!$K$9:$K$17))*LOOKUP(W432,'Tax Assumptions'!$K$9:$K$17,'Tax Assumptions'!$M$9:$M$17))+IF(W432=0,0,LOOKUP(W432,'Tax Assumptions'!$P$9:$P$12,'Tax Assumptions'!$S$9:$S$12)+(W432-LOOKUP(W432,'Tax Assumptions'!$P$9:$P$12,'Tax Assumptions'!$P$9:$P$12))*LOOKUP(W432,'Tax Assumptions'!$P$9:$P$12,'Tax Assumptions'!$R$9:$R$12))</f>
        <v>865478.63500000001</v>
      </c>
      <c r="Y432" s="230">
        <f t="shared" si="212"/>
        <v>910021.36499999999</v>
      </c>
      <c r="Z432" s="230">
        <f>IF(J432&lt;=10,INDEX('Savings Projection'!$BL$19:$BL$28,J432),LOOKUP(2,1/('Savings Projection'!$BL$19:$BL$28&lt;&gt;""),'Savings Projection'!$BL$19:$BL$28))*(1+'Model Inputs'!$B$35)^(J432-1)+IF(J432&lt;=10,INDEX('Savings Projection'!$BM$19:$BM$28,J432),LOOKUP(2,1/('Savings Projection'!$BM$19:$BM$28&lt;&gt;""),'Savings Projection'!$BM$19:$BM$28))*(1+'Model Inputs'!$B$36)^(J432-1)</f>
        <v>249093.44315190148</v>
      </c>
      <c r="AA432" s="230">
        <f t="shared" si="213"/>
        <v>660927.92184809851</v>
      </c>
      <c r="AB432" s="230">
        <f>MIN(MAX(AA432,0),'Tax Assumptions'!$B$20)</f>
        <v>7500</v>
      </c>
      <c r="AC432" s="230">
        <f t="shared" si="214"/>
        <v>653427.92184809851</v>
      </c>
      <c r="AD432" s="230">
        <f>MAX(AD431*(1+'Model Inputs'!$B$13)+AC432,0)</f>
        <v>33671433.523670912</v>
      </c>
      <c r="AE432" s="230">
        <f>MAX(AE431*(1+'Model Inputs'!$B$13)+U432+AB432,0)</f>
        <v>1503866.4861722963</v>
      </c>
      <c r="AF432" s="230">
        <f t="shared" si="215"/>
        <v>35175300.009843208</v>
      </c>
      <c r="AG432" s="226" t="str">
        <f t="shared" si="237"/>
        <v/>
      </c>
      <c r="AH432" s="226" t="str">
        <f t="shared" si="238"/>
        <v/>
      </c>
      <c r="AI432" s="226" t="str">
        <f t="shared" si="239"/>
        <v/>
      </c>
      <c r="AJ432" s="226" t="str">
        <f t="shared" si="240"/>
        <v/>
      </c>
    </row>
    <row r="433" spans="1:36" ht="18" customHeight="1" x14ac:dyDescent="0.2">
      <c r="A433" s="226" t="str">
        <f t="shared" si="229"/>
        <v>4Y -&gt; PM Y8 Starter</v>
      </c>
      <c r="B433" s="226">
        <f t="shared" si="230"/>
        <v>4</v>
      </c>
      <c r="C433" s="235">
        <f t="shared" si="231"/>
        <v>3</v>
      </c>
      <c r="D433" s="226">
        <f t="shared" si="232"/>
        <v>8</v>
      </c>
      <c r="E433" s="226" t="str">
        <f t="shared" si="233"/>
        <v>Starter</v>
      </c>
      <c r="F433" s="230">
        <f t="shared" si="234"/>
        <v>10000000</v>
      </c>
      <c r="G433" s="236">
        <f t="shared" si="235"/>
        <v>0.15</v>
      </c>
      <c r="H433" s="230">
        <f t="shared" si="236"/>
        <v>300000</v>
      </c>
      <c r="I433" s="236">
        <f t="shared" si="206"/>
        <v>0</v>
      </c>
      <c r="J433" s="234">
        <v>24</v>
      </c>
      <c r="K433" s="234">
        <f t="shared" si="207"/>
        <v>2049</v>
      </c>
      <c r="L433" s="230">
        <f>IF(J433=1,'Model Inputs'!$B$25*(13-'Model Inputs'!$B$23)/12,'Model Inputs'!$B$25)</f>
        <v>300000</v>
      </c>
      <c r="M433" s="230">
        <f>IF(J433=1,'Model Inputs'!$B$27*(13-'Model Inputs'!$B$23)/12,IF(J433=2,'Model Inputs'!$B$27,IF(J433&lt;=MAX(3,'Model Inputs'!$B$30+1),'Model Inputs'!$B$27*(1+'Model Inputs'!$B$28)^(J433-3),'Model Inputs'!$B$27*(1+'Model Inputs'!$B$28)^(MAX(3,'Model Inputs'!$B$30+1)-3)*(1+'Model Inputs'!$B$29)^(J433-MAX(3,'Model Inputs'!$B$30+1)))))</f>
        <v>90301156.084270701</v>
      </c>
      <c r="N433" s="236">
        <f>IF(J433&lt;=2,0,'Model Inputs'!$B$32*SIN(2*PI()*(J433-3+'Model Inputs'!$B$34)/MAX(1,'Model Inputs'!$B$33)))</f>
        <v>-2.0574066225675533E-16</v>
      </c>
      <c r="O433" s="230">
        <f t="shared" si="208"/>
        <v>90301156.084270686</v>
      </c>
      <c r="P433" s="230">
        <f t="shared" si="241"/>
        <v>63182470.219744325</v>
      </c>
      <c r="Q433" s="230">
        <f>L433+P433+IF(J433=1,'Model Inputs'!$B$26,0)</f>
        <v>63482470.219744325</v>
      </c>
      <c r="R433" s="230">
        <f t="shared" si="209"/>
        <v>190447410.65923297</v>
      </c>
      <c r="S433" s="230">
        <f t="shared" si="210"/>
        <v>1800000</v>
      </c>
      <c r="T433" s="230">
        <f t="shared" si="211"/>
        <v>1800000</v>
      </c>
      <c r="U433" s="230">
        <f>MIN(T433,'Tax Assumptions'!$B$19)</f>
        <v>24500</v>
      </c>
      <c r="V433" s="230">
        <f>MAX(T433-U433-'Tax Assumptions'!$B$8,0)</f>
        <v>1759400</v>
      </c>
      <c r="W433" s="230">
        <f>MAX(T433-U433-'Tax Assumptions'!$B$9,0)</f>
        <v>1767500</v>
      </c>
      <c r="X433" s="230">
        <f>IF(V433=0,0,LOOKUP(V433,'Tax Assumptions'!$F$9:$F$15,'Tax Assumptions'!$I$9:$I$15)+(V433-LOOKUP(V433,'Tax Assumptions'!$F$9:$F$15,'Tax Assumptions'!$F$9:$F$15))*LOOKUP(V433,'Tax Assumptions'!$F$9:$F$15,'Tax Assumptions'!$H$9:$H$15))+MIN(MAX(T433,0),'Tax Assumptions'!$B$11)*'Tax Assumptions'!$B$10+MAX(T433,0)*'Tax Assumptions'!$B$12+MAX(MAX(T433,0)-'Tax Assumptions'!$B$14,0)*'Tax Assumptions'!$B$13+MIN(T433*'Tax Assumptions'!$B$15,'Tax Assumptions'!$B$16)+MIN(T433*'Tax Assumptions'!$B$17,'Tax Assumptions'!$B$18)+IF(W433=0,0,LOOKUP(W433,'Tax Assumptions'!$K$9:$K$17,'Tax Assumptions'!$N$9:$N$17)+(W433-LOOKUP(W433,'Tax Assumptions'!$K$9:$K$17,'Tax Assumptions'!$K$9:$K$17))*LOOKUP(W433,'Tax Assumptions'!$K$9:$K$17,'Tax Assumptions'!$M$9:$M$17))+IF(W433=0,0,LOOKUP(W433,'Tax Assumptions'!$P$9:$P$12,'Tax Assumptions'!$S$9:$S$12)+(W433-LOOKUP(W433,'Tax Assumptions'!$P$9:$P$12,'Tax Assumptions'!$P$9:$P$12))*LOOKUP(W433,'Tax Assumptions'!$P$9:$P$12,'Tax Assumptions'!$R$9:$R$12))</f>
        <v>865478.63500000001</v>
      </c>
      <c r="Y433" s="230">
        <f t="shared" si="212"/>
        <v>910021.36499999999</v>
      </c>
      <c r="Z433" s="230">
        <f>IF(J433&lt;=10,INDEX('Savings Projection'!$BL$19:$BL$28,J433),LOOKUP(2,1/('Savings Projection'!$BL$19:$BL$28&lt;&gt;""),'Savings Projection'!$BL$19:$BL$28))*(1+'Model Inputs'!$B$35)^(J433-1)+IF(J433&lt;=10,INDEX('Savings Projection'!$BM$19:$BM$28,J433),LOOKUP(2,1/('Savings Projection'!$BM$19:$BM$28&lt;&gt;""),'Savings Projection'!$BM$19:$BM$28))*(1+'Model Inputs'!$B$36)^(J433-1)</f>
        <v>256566.24644645851</v>
      </c>
      <c r="AA433" s="230">
        <f t="shared" si="213"/>
        <v>653455.11855354148</v>
      </c>
      <c r="AB433" s="230">
        <f>MIN(MAX(AA433,0),'Tax Assumptions'!$B$20)</f>
        <v>7500</v>
      </c>
      <c r="AC433" s="230">
        <f t="shared" si="214"/>
        <v>645955.11855354148</v>
      </c>
      <c r="AD433" s="230">
        <f>MAX(AD432*(1+'Model Inputs'!$B$13)+AC433,0)</f>
        <v>36337674.653644711</v>
      </c>
      <c r="AE433" s="230">
        <f>MAX(AE432*(1+'Model Inputs'!$B$13)+U433+AB433,0)</f>
        <v>1626098.4753426341</v>
      </c>
      <c r="AF433" s="230">
        <f t="shared" si="215"/>
        <v>37963773.128987342</v>
      </c>
      <c r="AG433" s="226" t="str">
        <f t="shared" si="237"/>
        <v/>
      </c>
      <c r="AH433" s="226" t="str">
        <f t="shared" si="238"/>
        <v/>
      </c>
      <c r="AI433" s="226" t="str">
        <f t="shared" si="239"/>
        <v/>
      </c>
      <c r="AJ433" s="226" t="str">
        <f t="shared" si="240"/>
        <v/>
      </c>
    </row>
    <row r="434" spans="1:36" ht="18" customHeight="1" x14ac:dyDescent="0.2">
      <c r="A434" s="226" t="str">
        <f t="shared" si="229"/>
        <v>4Y -&gt; PM Y8 Starter</v>
      </c>
      <c r="B434" s="226">
        <f t="shared" si="230"/>
        <v>4</v>
      </c>
      <c r="C434" s="235">
        <f t="shared" si="231"/>
        <v>3</v>
      </c>
      <c r="D434" s="226">
        <f t="shared" si="232"/>
        <v>8</v>
      </c>
      <c r="E434" s="226" t="str">
        <f t="shared" si="233"/>
        <v>Starter</v>
      </c>
      <c r="F434" s="230">
        <f t="shared" si="234"/>
        <v>10000000</v>
      </c>
      <c r="G434" s="236">
        <f t="shared" si="235"/>
        <v>0.15</v>
      </c>
      <c r="H434" s="230">
        <f t="shared" si="236"/>
        <v>300000</v>
      </c>
      <c r="I434" s="236">
        <f t="shared" ref="I434:I497" si="242">$J$17</f>
        <v>0</v>
      </c>
      <c r="J434" s="234">
        <v>25</v>
      </c>
      <c r="K434" s="234">
        <f t="shared" ref="K434:K497" si="243">2025+J434</f>
        <v>2050</v>
      </c>
      <c r="L434" s="230">
        <f>IF(J434=1,'Model Inputs'!$B$25*(13-'Model Inputs'!$B$23)/12,'Model Inputs'!$B$25)</f>
        <v>300000</v>
      </c>
      <c r="M434" s="230">
        <f>IF(J434=1,'Model Inputs'!$B$27*(13-'Model Inputs'!$B$23)/12,IF(J434=2,'Model Inputs'!$B$27,IF(J434&lt;=MAX(3,'Model Inputs'!$B$30+1),'Model Inputs'!$B$27*(1+'Model Inputs'!$B$28)^(J434-3),'Model Inputs'!$B$27*(1+'Model Inputs'!$B$28)^(MAX(3,'Model Inputs'!$B$30+1)-3)*(1+'Model Inputs'!$B$29)^(J434-MAX(3,'Model Inputs'!$B$30+1)))))</f>
        <v>114761701.62653697</v>
      </c>
      <c r="N434" s="236">
        <f>IF(J434&lt;=2,0,'Model Inputs'!$B$32*SIN(2*PI()*(J434-3+'Model Inputs'!$B$34)/MAX(1,'Model Inputs'!$B$33)))</f>
        <v>0.10392304845413287</v>
      </c>
      <c r="O434" s="230">
        <f t="shared" ref="O434:O497" si="244">M434*(1+N434)</f>
        <v>126688087.50535031</v>
      </c>
      <c r="P434" s="230">
        <f t="shared" si="241"/>
        <v>83643370.677900568</v>
      </c>
      <c r="Q434" s="230">
        <f>L434+P434+IF(J434=1,'Model Inputs'!$B$26,0)</f>
        <v>83943370.677900568</v>
      </c>
      <c r="R434" s="230">
        <f t="shared" ref="R434:R497" si="245">IF(J434&lt;=B434,Q434,Q434*C434)</f>
        <v>251830112.03370172</v>
      </c>
      <c r="S434" s="230">
        <f t="shared" ref="S434:S497" si="246">H434+F434*G434*(1+I434)^MAX(0,J434-D434)</f>
        <v>1800000</v>
      </c>
      <c r="T434" s="230">
        <f t="shared" ref="T434:T497" si="247">IF(J434&gt;=D434,S434,R434)</f>
        <v>1800000</v>
      </c>
      <c r="U434" s="230">
        <f>MIN(T434,'Tax Assumptions'!$B$19)</f>
        <v>24500</v>
      </c>
      <c r="V434" s="230">
        <f>MAX(T434-U434-'Tax Assumptions'!$B$8,0)</f>
        <v>1759400</v>
      </c>
      <c r="W434" s="230">
        <f>MAX(T434-U434-'Tax Assumptions'!$B$9,0)</f>
        <v>1767500</v>
      </c>
      <c r="X434" s="230">
        <f>IF(V434=0,0,LOOKUP(V434,'Tax Assumptions'!$F$9:$F$15,'Tax Assumptions'!$I$9:$I$15)+(V434-LOOKUP(V434,'Tax Assumptions'!$F$9:$F$15,'Tax Assumptions'!$F$9:$F$15))*LOOKUP(V434,'Tax Assumptions'!$F$9:$F$15,'Tax Assumptions'!$H$9:$H$15))+MIN(MAX(T434,0),'Tax Assumptions'!$B$11)*'Tax Assumptions'!$B$10+MAX(T434,0)*'Tax Assumptions'!$B$12+MAX(MAX(T434,0)-'Tax Assumptions'!$B$14,0)*'Tax Assumptions'!$B$13+MIN(T434*'Tax Assumptions'!$B$15,'Tax Assumptions'!$B$16)+MIN(T434*'Tax Assumptions'!$B$17,'Tax Assumptions'!$B$18)+IF(W434=0,0,LOOKUP(W434,'Tax Assumptions'!$K$9:$K$17,'Tax Assumptions'!$N$9:$N$17)+(W434-LOOKUP(W434,'Tax Assumptions'!$K$9:$K$17,'Tax Assumptions'!$K$9:$K$17))*LOOKUP(W434,'Tax Assumptions'!$K$9:$K$17,'Tax Assumptions'!$M$9:$M$17))+IF(W434=0,0,LOOKUP(W434,'Tax Assumptions'!$P$9:$P$12,'Tax Assumptions'!$S$9:$S$12)+(W434-LOOKUP(W434,'Tax Assumptions'!$P$9:$P$12,'Tax Assumptions'!$P$9:$P$12))*LOOKUP(W434,'Tax Assumptions'!$P$9:$P$12,'Tax Assumptions'!$R$9:$R$12))</f>
        <v>865478.63500000001</v>
      </c>
      <c r="Y434" s="230">
        <f t="shared" ref="Y434:Y497" si="248">T434-U434-X434</f>
        <v>910021.36499999999</v>
      </c>
      <c r="Z434" s="230">
        <f>IF(J434&lt;=10,INDEX('Savings Projection'!$BL$19:$BL$28,J434),LOOKUP(2,1/('Savings Projection'!$BL$19:$BL$28&lt;&gt;""),'Savings Projection'!$BL$19:$BL$28))*(1+'Model Inputs'!$B$35)^(J434-1)+IF(J434&lt;=10,INDEX('Savings Projection'!$BM$19:$BM$28,J434),LOOKUP(2,1/('Savings Projection'!$BM$19:$BM$28&lt;&gt;""),'Savings Projection'!$BM$19:$BM$28))*(1+'Model Inputs'!$B$36)^(J434-1)</f>
        <v>264263.23383985227</v>
      </c>
      <c r="AA434" s="230">
        <f t="shared" ref="AA434:AA497" si="249">Y434-Z434</f>
        <v>645758.13116014772</v>
      </c>
      <c r="AB434" s="230">
        <f>MIN(MAX(AA434,0),'Tax Assumptions'!$B$20)</f>
        <v>7500</v>
      </c>
      <c r="AC434" s="230">
        <f t="shared" ref="AC434:AC497" si="250">AA434-AB434</f>
        <v>638258.13116014772</v>
      </c>
      <c r="AD434" s="230">
        <f>MAX(AD433*(1+'Model Inputs'!$B$13)+AC434,0)</f>
        <v>39156193.264023542</v>
      </c>
      <c r="AE434" s="230">
        <f>MAX(AE433*(1+'Model Inputs'!$B$13)+U434+AB434,0)</f>
        <v>1755664.3838631923</v>
      </c>
      <c r="AF434" s="230">
        <f t="shared" ref="AF434:AF497" si="251">AD434+AE434</f>
        <v>40911857.647886738</v>
      </c>
      <c r="AG434" s="226" t="str">
        <f t="shared" si="237"/>
        <v/>
      </c>
      <c r="AH434" s="226" t="str">
        <f t="shared" si="238"/>
        <v/>
      </c>
      <c r="AI434" s="226" t="str">
        <f t="shared" si="239"/>
        <v/>
      </c>
      <c r="AJ434" s="226" t="str">
        <f t="shared" si="240"/>
        <v/>
      </c>
    </row>
    <row r="435" spans="1:36" ht="18" customHeight="1" x14ac:dyDescent="0.2">
      <c r="A435" s="226" t="str">
        <f t="shared" si="229"/>
        <v>4Y -&gt; PM Y8 Starter</v>
      </c>
      <c r="B435" s="226">
        <f t="shared" si="230"/>
        <v>4</v>
      </c>
      <c r="C435" s="235">
        <f t="shared" si="231"/>
        <v>3</v>
      </c>
      <c r="D435" s="226">
        <f t="shared" si="232"/>
        <v>8</v>
      </c>
      <c r="E435" s="226" t="str">
        <f t="shared" si="233"/>
        <v>Starter</v>
      </c>
      <c r="F435" s="230">
        <f t="shared" si="234"/>
        <v>10000000</v>
      </c>
      <c r="G435" s="236">
        <f t="shared" si="235"/>
        <v>0.15</v>
      </c>
      <c r="H435" s="230">
        <f t="shared" si="236"/>
        <v>300000</v>
      </c>
      <c r="I435" s="236">
        <f t="shared" si="242"/>
        <v>0</v>
      </c>
      <c r="J435" s="234">
        <v>26</v>
      </c>
      <c r="K435" s="234">
        <f t="shared" si="243"/>
        <v>2051</v>
      </c>
      <c r="L435" s="230">
        <f>IF(J435=1,'Model Inputs'!$B$25*(13-'Model Inputs'!$B$23)/12,'Model Inputs'!$B$25)</f>
        <v>300000</v>
      </c>
      <c r="M435" s="230">
        <f>IF(J435=1,'Model Inputs'!$B$27*(13-'Model Inputs'!$B$23)/12,IF(J435=2,'Model Inputs'!$B$27,IF(J435&lt;=MAX(3,'Model Inputs'!$B$30+1),'Model Inputs'!$B$27*(1+'Model Inputs'!$B$28)^(J435-3),'Model Inputs'!$B$27*(1+'Model Inputs'!$B$28)^(MAX(3,'Model Inputs'!$B$30+1)-3)*(1+'Model Inputs'!$B$29)^(J435-MAX(3,'Model Inputs'!$B$30+1)))))</f>
        <v>145848057.00524563</v>
      </c>
      <c r="N435" s="236">
        <f>IF(J435&lt;=2,0,'Model Inputs'!$B$32*SIN(2*PI()*(J435-3+'Model Inputs'!$B$34)/MAX(1,'Model Inputs'!$B$33)))</f>
        <v>-0.10392304845413224</v>
      </c>
      <c r="O435" s="230">
        <f t="shared" si="244"/>
        <v>130691082.31014845</v>
      </c>
      <c r="P435" s="230">
        <f t="shared" si="241"/>
        <v>117591354.65008041</v>
      </c>
      <c r="Q435" s="230">
        <f>L435+P435+IF(J435=1,'Model Inputs'!$B$26,0)</f>
        <v>117891354.65008041</v>
      </c>
      <c r="R435" s="230">
        <f t="shared" si="245"/>
        <v>353674063.95024121</v>
      </c>
      <c r="S435" s="230">
        <f t="shared" si="246"/>
        <v>1800000</v>
      </c>
      <c r="T435" s="230">
        <f t="shared" si="247"/>
        <v>1800000</v>
      </c>
      <c r="U435" s="230">
        <f>MIN(T435,'Tax Assumptions'!$B$19)</f>
        <v>24500</v>
      </c>
      <c r="V435" s="230">
        <f>MAX(T435-U435-'Tax Assumptions'!$B$8,0)</f>
        <v>1759400</v>
      </c>
      <c r="W435" s="230">
        <f>MAX(T435-U435-'Tax Assumptions'!$B$9,0)</f>
        <v>1767500</v>
      </c>
      <c r="X435" s="230">
        <f>IF(V435=0,0,LOOKUP(V435,'Tax Assumptions'!$F$9:$F$15,'Tax Assumptions'!$I$9:$I$15)+(V435-LOOKUP(V435,'Tax Assumptions'!$F$9:$F$15,'Tax Assumptions'!$F$9:$F$15))*LOOKUP(V435,'Tax Assumptions'!$F$9:$F$15,'Tax Assumptions'!$H$9:$H$15))+MIN(MAX(T435,0),'Tax Assumptions'!$B$11)*'Tax Assumptions'!$B$10+MAX(T435,0)*'Tax Assumptions'!$B$12+MAX(MAX(T435,0)-'Tax Assumptions'!$B$14,0)*'Tax Assumptions'!$B$13+MIN(T435*'Tax Assumptions'!$B$15,'Tax Assumptions'!$B$16)+MIN(T435*'Tax Assumptions'!$B$17,'Tax Assumptions'!$B$18)+IF(W435=0,0,LOOKUP(W435,'Tax Assumptions'!$K$9:$K$17,'Tax Assumptions'!$N$9:$N$17)+(W435-LOOKUP(W435,'Tax Assumptions'!$K$9:$K$17,'Tax Assumptions'!$K$9:$K$17))*LOOKUP(W435,'Tax Assumptions'!$K$9:$K$17,'Tax Assumptions'!$M$9:$M$17))+IF(W435=0,0,LOOKUP(W435,'Tax Assumptions'!$P$9:$P$12,'Tax Assumptions'!$S$9:$S$12)+(W435-LOOKUP(W435,'Tax Assumptions'!$P$9:$P$12,'Tax Assumptions'!$P$9:$P$12))*LOOKUP(W435,'Tax Assumptions'!$P$9:$P$12,'Tax Assumptions'!$R$9:$R$12))</f>
        <v>865478.63500000001</v>
      </c>
      <c r="Y435" s="230">
        <f t="shared" si="248"/>
        <v>910021.36499999999</v>
      </c>
      <c r="Z435" s="230">
        <f>IF(J435&lt;=10,INDEX('Savings Projection'!$BL$19:$BL$28,J435),LOOKUP(2,1/('Savings Projection'!$BL$19:$BL$28&lt;&gt;""),'Savings Projection'!$BL$19:$BL$28))*(1+'Model Inputs'!$B$35)^(J435-1)+IF(J435&lt;=10,INDEX('Savings Projection'!$BM$19:$BM$28,J435),LOOKUP(2,1/('Savings Projection'!$BM$19:$BM$28&lt;&gt;""),'Savings Projection'!$BM$19:$BM$28))*(1+'Model Inputs'!$B$36)^(J435-1)</f>
        <v>272191.13085504784</v>
      </c>
      <c r="AA435" s="230">
        <f t="shared" si="249"/>
        <v>637830.23414495215</v>
      </c>
      <c r="AB435" s="230">
        <f>MIN(MAX(AA435,0),'Tax Assumptions'!$B$20)</f>
        <v>7500</v>
      </c>
      <c r="AC435" s="230">
        <f t="shared" si="250"/>
        <v>630330.23414495215</v>
      </c>
      <c r="AD435" s="230">
        <f>MAX(AD434*(1+'Model Inputs'!$B$13)+AC435,0)</f>
        <v>42135895.094009906</v>
      </c>
      <c r="AE435" s="230">
        <f>MAX(AE434*(1+'Model Inputs'!$B$13)+U435+AB435,0)</f>
        <v>1893004.2468949838</v>
      </c>
      <c r="AF435" s="230">
        <f t="shared" si="251"/>
        <v>44028899.340904891</v>
      </c>
      <c r="AG435" s="226" t="str">
        <f t="shared" si="237"/>
        <v/>
      </c>
      <c r="AH435" s="226" t="str">
        <f t="shared" si="238"/>
        <v/>
      </c>
      <c r="AI435" s="226" t="str">
        <f t="shared" si="239"/>
        <v/>
      </c>
      <c r="AJ435" s="226" t="str">
        <f t="shared" si="240"/>
        <v/>
      </c>
    </row>
    <row r="436" spans="1:36" ht="18" customHeight="1" x14ac:dyDescent="0.2">
      <c r="A436" s="226" t="str">
        <f t="shared" si="229"/>
        <v>4Y -&gt; PM Y8 Starter</v>
      </c>
      <c r="B436" s="226">
        <f t="shared" si="230"/>
        <v>4</v>
      </c>
      <c r="C436" s="235">
        <f t="shared" si="231"/>
        <v>3</v>
      </c>
      <c r="D436" s="226">
        <f t="shared" si="232"/>
        <v>8</v>
      </c>
      <c r="E436" s="226" t="str">
        <f t="shared" si="233"/>
        <v>Starter</v>
      </c>
      <c r="F436" s="230">
        <f t="shared" si="234"/>
        <v>10000000</v>
      </c>
      <c r="G436" s="236">
        <f t="shared" si="235"/>
        <v>0.15</v>
      </c>
      <c r="H436" s="230">
        <f t="shared" si="236"/>
        <v>300000</v>
      </c>
      <c r="I436" s="236">
        <f t="shared" si="242"/>
        <v>0</v>
      </c>
      <c r="J436" s="234">
        <v>27</v>
      </c>
      <c r="K436" s="234">
        <f t="shared" si="243"/>
        <v>2052</v>
      </c>
      <c r="L436" s="230">
        <f>IF(J436=1,'Model Inputs'!$B$25*(13-'Model Inputs'!$B$23)/12,'Model Inputs'!$B$25)</f>
        <v>300000</v>
      </c>
      <c r="M436" s="230">
        <f>IF(J436=1,'Model Inputs'!$B$27*(13-'Model Inputs'!$B$23)/12,IF(J436=2,'Model Inputs'!$B$27,IF(J436&lt;=MAX(3,'Model Inputs'!$B$30+1),'Model Inputs'!$B$27*(1+'Model Inputs'!$B$28)^(J436-3),'Model Inputs'!$B$27*(1+'Model Inputs'!$B$28)^(MAX(3,'Model Inputs'!$B$30+1)-3)*(1+'Model Inputs'!$B$29)^(J436-MAX(3,'Model Inputs'!$B$30+1)))))</f>
        <v>185355004.59402937</v>
      </c>
      <c r="N436" s="236">
        <f>IF(J436&lt;=2,0,'Model Inputs'!$B$32*SIN(2*PI()*(J436-3+'Model Inputs'!$B$34)/MAX(1,'Model Inputs'!$B$33)))</f>
        <v>-2.3513218543629179E-16</v>
      </c>
      <c r="O436" s="230">
        <f t="shared" si="244"/>
        <v>185355004.59402934</v>
      </c>
      <c r="P436" s="230">
        <f t="shared" si="241"/>
        <v>129690333.6089489</v>
      </c>
      <c r="Q436" s="230">
        <f>L436+P436+IF(J436=1,'Model Inputs'!$B$26,0)</f>
        <v>129990333.6089489</v>
      </c>
      <c r="R436" s="230">
        <f t="shared" si="245"/>
        <v>389971000.82684672</v>
      </c>
      <c r="S436" s="230">
        <f t="shared" si="246"/>
        <v>1800000</v>
      </c>
      <c r="T436" s="230">
        <f t="shared" si="247"/>
        <v>1800000</v>
      </c>
      <c r="U436" s="230">
        <f>MIN(T436,'Tax Assumptions'!$B$19)</f>
        <v>24500</v>
      </c>
      <c r="V436" s="230">
        <f>MAX(T436-U436-'Tax Assumptions'!$B$8,0)</f>
        <v>1759400</v>
      </c>
      <c r="W436" s="230">
        <f>MAX(T436-U436-'Tax Assumptions'!$B$9,0)</f>
        <v>1767500</v>
      </c>
      <c r="X436" s="230">
        <f>IF(V436=0,0,LOOKUP(V436,'Tax Assumptions'!$F$9:$F$15,'Tax Assumptions'!$I$9:$I$15)+(V436-LOOKUP(V436,'Tax Assumptions'!$F$9:$F$15,'Tax Assumptions'!$F$9:$F$15))*LOOKUP(V436,'Tax Assumptions'!$F$9:$F$15,'Tax Assumptions'!$H$9:$H$15))+MIN(MAX(T436,0),'Tax Assumptions'!$B$11)*'Tax Assumptions'!$B$10+MAX(T436,0)*'Tax Assumptions'!$B$12+MAX(MAX(T436,0)-'Tax Assumptions'!$B$14,0)*'Tax Assumptions'!$B$13+MIN(T436*'Tax Assumptions'!$B$15,'Tax Assumptions'!$B$16)+MIN(T436*'Tax Assumptions'!$B$17,'Tax Assumptions'!$B$18)+IF(W436=0,0,LOOKUP(W436,'Tax Assumptions'!$K$9:$K$17,'Tax Assumptions'!$N$9:$N$17)+(W436-LOOKUP(W436,'Tax Assumptions'!$K$9:$K$17,'Tax Assumptions'!$K$9:$K$17))*LOOKUP(W436,'Tax Assumptions'!$K$9:$K$17,'Tax Assumptions'!$M$9:$M$17))+IF(W436=0,0,LOOKUP(W436,'Tax Assumptions'!$P$9:$P$12,'Tax Assumptions'!$S$9:$S$12)+(W436-LOOKUP(W436,'Tax Assumptions'!$P$9:$P$12,'Tax Assumptions'!$P$9:$P$12))*LOOKUP(W436,'Tax Assumptions'!$P$9:$P$12,'Tax Assumptions'!$R$9:$R$12))</f>
        <v>865478.63500000001</v>
      </c>
      <c r="Y436" s="230">
        <f t="shared" si="248"/>
        <v>910021.36499999999</v>
      </c>
      <c r="Z436" s="230">
        <f>IF(J436&lt;=10,INDEX('Savings Projection'!$BL$19:$BL$28,J436),LOOKUP(2,1/('Savings Projection'!$BL$19:$BL$28&lt;&gt;""),'Savings Projection'!$BL$19:$BL$28))*(1+'Model Inputs'!$B$35)^(J436-1)+IF(J436&lt;=10,INDEX('Savings Projection'!$BM$19:$BM$28,J436),LOOKUP(2,1/('Savings Projection'!$BM$19:$BM$28&lt;&gt;""),'Savings Projection'!$BM$19:$BM$28))*(1+'Model Inputs'!$B$36)^(J436-1)</f>
        <v>280356.86478069925</v>
      </c>
      <c r="AA436" s="230">
        <f t="shared" si="249"/>
        <v>629664.50021930074</v>
      </c>
      <c r="AB436" s="230">
        <f>MIN(MAX(AA436,0),'Tax Assumptions'!$B$20)</f>
        <v>7500</v>
      </c>
      <c r="AC436" s="230">
        <f t="shared" si="250"/>
        <v>622164.50021930074</v>
      </c>
      <c r="AD436" s="230">
        <f>MAX(AD435*(1+'Model Inputs'!$B$13)+AC436,0)</f>
        <v>45286213.299869806</v>
      </c>
      <c r="AE436" s="230">
        <f>MAX(AE435*(1+'Model Inputs'!$B$13)+U436+AB436,0)</f>
        <v>2038584.5017086829</v>
      </c>
      <c r="AF436" s="230">
        <f t="shared" si="251"/>
        <v>47324797.801578492</v>
      </c>
      <c r="AG436" s="226" t="str">
        <f t="shared" si="237"/>
        <v/>
      </c>
      <c r="AH436" s="226" t="str">
        <f t="shared" si="238"/>
        <v/>
      </c>
      <c r="AI436" s="226" t="str">
        <f t="shared" si="239"/>
        <v/>
      </c>
      <c r="AJ436" s="226" t="str">
        <f t="shared" si="240"/>
        <v/>
      </c>
    </row>
    <row r="437" spans="1:36" ht="18" customHeight="1" x14ac:dyDescent="0.2">
      <c r="A437" s="226" t="str">
        <f t="shared" si="229"/>
        <v>4Y -&gt; PM Y8 Starter</v>
      </c>
      <c r="B437" s="226">
        <f t="shared" si="230"/>
        <v>4</v>
      </c>
      <c r="C437" s="235">
        <f t="shared" si="231"/>
        <v>3</v>
      </c>
      <c r="D437" s="226">
        <f t="shared" si="232"/>
        <v>8</v>
      </c>
      <c r="E437" s="226" t="str">
        <f t="shared" si="233"/>
        <v>Starter</v>
      </c>
      <c r="F437" s="230">
        <f t="shared" si="234"/>
        <v>10000000</v>
      </c>
      <c r="G437" s="236">
        <f t="shared" si="235"/>
        <v>0.15</v>
      </c>
      <c r="H437" s="230">
        <f t="shared" si="236"/>
        <v>300000</v>
      </c>
      <c r="I437" s="236">
        <f t="shared" si="242"/>
        <v>0</v>
      </c>
      <c r="J437" s="234">
        <v>28</v>
      </c>
      <c r="K437" s="234">
        <f t="shared" si="243"/>
        <v>2053</v>
      </c>
      <c r="L437" s="230">
        <f>IF(J437=1,'Model Inputs'!$B$25*(13-'Model Inputs'!$B$23)/12,'Model Inputs'!$B$25)</f>
        <v>300000</v>
      </c>
      <c r="M437" s="230">
        <f>IF(J437=1,'Model Inputs'!$B$27*(13-'Model Inputs'!$B$23)/12,IF(J437=2,'Model Inputs'!$B$27,IF(J437&lt;=MAX(3,'Model Inputs'!$B$30+1),'Model Inputs'!$B$27*(1+'Model Inputs'!$B$28)^(J437-3),'Model Inputs'!$B$27*(1+'Model Inputs'!$B$28)^(MAX(3,'Model Inputs'!$B$30+1)-3)*(1+'Model Inputs'!$B$29)^(J437-MAX(3,'Model Inputs'!$B$30+1)))))</f>
        <v>235563492.81236541</v>
      </c>
      <c r="N437" s="236">
        <f>IF(J437&lt;=2,0,'Model Inputs'!$B$32*SIN(2*PI()*(J437-3+'Model Inputs'!$B$34)/MAX(1,'Model Inputs'!$B$33)))</f>
        <v>0.10392304845413247</v>
      </c>
      <c r="O437" s="230">
        <f t="shared" si="244"/>
        <v>260043969.08992955</v>
      </c>
      <c r="P437" s="230">
        <f t="shared" si="241"/>
        <v>171689024.02305913</v>
      </c>
      <c r="Q437" s="230">
        <f>L437+P437+IF(J437=1,'Model Inputs'!$B$26,0)</f>
        <v>171989024.02305913</v>
      </c>
      <c r="R437" s="230">
        <f t="shared" si="245"/>
        <v>515967072.06917739</v>
      </c>
      <c r="S437" s="230">
        <f t="shared" si="246"/>
        <v>1800000</v>
      </c>
      <c r="T437" s="230">
        <f t="shared" si="247"/>
        <v>1800000</v>
      </c>
      <c r="U437" s="230">
        <f>MIN(T437,'Tax Assumptions'!$B$19)</f>
        <v>24500</v>
      </c>
      <c r="V437" s="230">
        <f>MAX(T437-U437-'Tax Assumptions'!$B$8,0)</f>
        <v>1759400</v>
      </c>
      <c r="W437" s="230">
        <f>MAX(T437-U437-'Tax Assumptions'!$B$9,0)</f>
        <v>1767500</v>
      </c>
      <c r="X437" s="230">
        <f>IF(V437=0,0,LOOKUP(V437,'Tax Assumptions'!$F$9:$F$15,'Tax Assumptions'!$I$9:$I$15)+(V437-LOOKUP(V437,'Tax Assumptions'!$F$9:$F$15,'Tax Assumptions'!$F$9:$F$15))*LOOKUP(V437,'Tax Assumptions'!$F$9:$F$15,'Tax Assumptions'!$H$9:$H$15))+MIN(MAX(T437,0),'Tax Assumptions'!$B$11)*'Tax Assumptions'!$B$10+MAX(T437,0)*'Tax Assumptions'!$B$12+MAX(MAX(T437,0)-'Tax Assumptions'!$B$14,0)*'Tax Assumptions'!$B$13+MIN(T437*'Tax Assumptions'!$B$15,'Tax Assumptions'!$B$16)+MIN(T437*'Tax Assumptions'!$B$17,'Tax Assumptions'!$B$18)+IF(W437=0,0,LOOKUP(W437,'Tax Assumptions'!$K$9:$K$17,'Tax Assumptions'!$N$9:$N$17)+(W437-LOOKUP(W437,'Tax Assumptions'!$K$9:$K$17,'Tax Assumptions'!$K$9:$K$17))*LOOKUP(W437,'Tax Assumptions'!$K$9:$K$17,'Tax Assumptions'!$M$9:$M$17))+IF(W437=0,0,LOOKUP(W437,'Tax Assumptions'!$P$9:$P$12,'Tax Assumptions'!$S$9:$S$12)+(W437-LOOKUP(W437,'Tax Assumptions'!$P$9:$P$12,'Tax Assumptions'!$P$9:$P$12))*LOOKUP(W437,'Tax Assumptions'!$P$9:$P$12,'Tax Assumptions'!$R$9:$R$12))</f>
        <v>865478.63500000001</v>
      </c>
      <c r="Y437" s="230">
        <f t="shared" si="248"/>
        <v>910021.36499999999</v>
      </c>
      <c r="Z437" s="230">
        <f>IF(J437&lt;=10,INDEX('Savings Projection'!$BL$19:$BL$28,J437),LOOKUP(2,1/('Savings Projection'!$BL$19:$BL$28&lt;&gt;""),'Savings Projection'!$BL$19:$BL$28))*(1+'Model Inputs'!$B$35)^(J437-1)+IF(J437&lt;=10,INDEX('Savings Projection'!$BM$19:$BM$28,J437),LOOKUP(2,1/('Savings Projection'!$BM$19:$BM$28&lt;&gt;""),'Savings Projection'!$BM$19:$BM$28))*(1+'Model Inputs'!$B$36)^(J437-1)</f>
        <v>288767.57072412025</v>
      </c>
      <c r="AA437" s="230">
        <f t="shared" si="249"/>
        <v>621253.79427587974</v>
      </c>
      <c r="AB437" s="230">
        <f>MIN(MAX(AA437,0),'Tax Assumptions'!$B$20)</f>
        <v>7500</v>
      </c>
      <c r="AC437" s="230">
        <f t="shared" si="250"/>
        <v>613753.79427587974</v>
      </c>
      <c r="AD437" s="230">
        <f>MAX(AD436*(1+'Model Inputs'!$B$13)+AC437,0)</f>
        <v>48617139.892137878</v>
      </c>
      <c r="AE437" s="230">
        <f>MAX(AE436*(1+'Model Inputs'!$B$13)+U437+AB437,0)</f>
        <v>2192899.5718112038</v>
      </c>
      <c r="AF437" s="230">
        <f t="shared" si="251"/>
        <v>50810039.463949084</v>
      </c>
      <c r="AG437" s="226" t="str">
        <f t="shared" si="237"/>
        <v/>
      </c>
      <c r="AH437" s="226" t="str">
        <f t="shared" si="238"/>
        <v/>
      </c>
      <c r="AI437" s="226" t="str">
        <f t="shared" si="239"/>
        <v/>
      </c>
      <c r="AJ437" s="226" t="str">
        <f t="shared" si="240"/>
        <v/>
      </c>
    </row>
    <row r="438" spans="1:36" ht="18" customHeight="1" x14ac:dyDescent="0.2">
      <c r="A438" s="226" t="str">
        <f t="shared" si="229"/>
        <v>4Y -&gt; PM Y8 Starter</v>
      </c>
      <c r="B438" s="226">
        <f t="shared" si="230"/>
        <v>4</v>
      </c>
      <c r="C438" s="235">
        <f t="shared" si="231"/>
        <v>3</v>
      </c>
      <c r="D438" s="226">
        <f t="shared" si="232"/>
        <v>8</v>
      </c>
      <c r="E438" s="226" t="str">
        <f t="shared" si="233"/>
        <v>Starter</v>
      </c>
      <c r="F438" s="230">
        <f t="shared" si="234"/>
        <v>10000000</v>
      </c>
      <c r="G438" s="236">
        <f t="shared" si="235"/>
        <v>0.15</v>
      </c>
      <c r="H438" s="230">
        <f t="shared" si="236"/>
        <v>300000</v>
      </c>
      <c r="I438" s="236">
        <f t="shared" si="242"/>
        <v>0</v>
      </c>
      <c r="J438" s="234">
        <v>29</v>
      </c>
      <c r="K438" s="234">
        <f t="shared" si="243"/>
        <v>2054</v>
      </c>
      <c r="L438" s="230">
        <f>IF(J438=1,'Model Inputs'!$B$25*(13-'Model Inputs'!$B$23)/12,'Model Inputs'!$B$25)</f>
        <v>300000</v>
      </c>
      <c r="M438" s="230">
        <f>IF(J438=1,'Model Inputs'!$B$27*(13-'Model Inputs'!$B$23)/12,IF(J438=2,'Model Inputs'!$B$27,IF(J438&lt;=MAX(3,'Model Inputs'!$B$30+1),'Model Inputs'!$B$27*(1+'Model Inputs'!$B$28)^(J438-3),'Model Inputs'!$B$27*(1+'Model Inputs'!$B$28)^(MAX(3,'Model Inputs'!$B$30+1)-3)*(1+'Model Inputs'!$B$29)^(J438-MAX(3,'Model Inputs'!$B$30+1)))))</f>
        <v>299372327.53708321</v>
      </c>
      <c r="N438" s="236">
        <f>IF(J438&lt;=2,0,'Model Inputs'!$B$32*SIN(2*PI()*(J438-3+'Model Inputs'!$B$34)/MAX(1,'Model Inputs'!$B$33)))</f>
        <v>-0.10392304845413265</v>
      </c>
      <c r="O438" s="230">
        <f t="shared" si="244"/>
        <v>268260642.63662043</v>
      </c>
      <c r="P438" s="230">
        <f t="shared" si="241"/>
        <v>241371727.96595448</v>
      </c>
      <c r="Q438" s="230">
        <f>L438+P438+IF(J438=1,'Model Inputs'!$B$26,0)</f>
        <v>241671727.96595448</v>
      </c>
      <c r="R438" s="230">
        <f t="shared" si="245"/>
        <v>725015183.89786339</v>
      </c>
      <c r="S438" s="230">
        <f t="shared" si="246"/>
        <v>1800000</v>
      </c>
      <c r="T438" s="230">
        <f t="shared" si="247"/>
        <v>1800000</v>
      </c>
      <c r="U438" s="230">
        <f>MIN(T438,'Tax Assumptions'!$B$19)</f>
        <v>24500</v>
      </c>
      <c r="V438" s="230">
        <f>MAX(T438-U438-'Tax Assumptions'!$B$8,0)</f>
        <v>1759400</v>
      </c>
      <c r="W438" s="230">
        <f>MAX(T438-U438-'Tax Assumptions'!$B$9,0)</f>
        <v>1767500</v>
      </c>
      <c r="X438" s="230">
        <f>IF(V438=0,0,LOOKUP(V438,'Tax Assumptions'!$F$9:$F$15,'Tax Assumptions'!$I$9:$I$15)+(V438-LOOKUP(V438,'Tax Assumptions'!$F$9:$F$15,'Tax Assumptions'!$F$9:$F$15))*LOOKUP(V438,'Tax Assumptions'!$F$9:$F$15,'Tax Assumptions'!$H$9:$H$15))+MIN(MAX(T438,0),'Tax Assumptions'!$B$11)*'Tax Assumptions'!$B$10+MAX(T438,0)*'Tax Assumptions'!$B$12+MAX(MAX(T438,0)-'Tax Assumptions'!$B$14,0)*'Tax Assumptions'!$B$13+MIN(T438*'Tax Assumptions'!$B$15,'Tax Assumptions'!$B$16)+MIN(T438*'Tax Assumptions'!$B$17,'Tax Assumptions'!$B$18)+IF(W438=0,0,LOOKUP(W438,'Tax Assumptions'!$K$9:$K$17,'Tax Assumptions'!$N$9:$N$17)+(W438-LOOKUP(W438,'Tax Assumptions'!$K$9:$K$17,'Tax Assumptions'!$K$9:$K$17))*LOOKUP(W438,'Tax Assumptions'!$K$9:$K$17,'Tax Assumptions'!$M$9:$M$17))+IF(W438=0,0,LOOKUP(W438,'Tax Assumptions'!$P$9:$P$12,'Tax Assumptions'!$S$9:$S$12)+(W438-LOOKUP(W438,'Tax Assumptions'!$P$9:$P$12,'Tax Assumptions'!$P$9:$P$12))*LOOKUP(W438,'Tax Assumptions'!$P$9:$P$12,'Tax Assumptions'!$R$9:$R$12))</f>
        <v>865478.63500000001</v>
      </c>
      <c r="Y438" s="230">
        <f t="shared" si="248"/>
        <v>910021.36499999999</v>
      </c>
      <c r="Z438" s="230">
        <f>IF(J438&lt;=10,INDEX('Savings Projection'!$BL$19:$BL$28,J438),LOOKUP(2,1/('Savings Projection'!$BL$19:$BL$28&lt;&gt;""),'Savings Projection'!$BL$19:$BL$28))*(1+'Model Inputs'!$B$35)^(J438-1)+IF(J438&lt;=10,INDEX('Savings Projection'!$BM$19:$BM$28,J438),LOOKUP(2,1/('Savings Projection'!$BM$19:$BM$28&lt;&gt;""),'Savings Projection'!$BM$19:$BM$28))*(1+'Model Inputs'!$B$36)^(J438-1)</f>
        <v>297430.59784584382</v>
      </c>
      <c r="AA438" s="230">
        <f t="shared" si="249"/>
        <v>612590.76715415623</v>
      </c>
      <c r="AB438" s="230">
        <f>MIN(MAX(AA438,0),'Tax Assumptions'!$B$20)</f>
        <v>7500</v>
      </c>
      <c r="AC438" s="230">
        <f t="shared" si="250"/>
        <v>605090.76715415623</v>
      </c>
      <c r="AD438" s="230">
        <f>MAX(AD437*(1+'Model Inputs'!$B$13)+AC438,0)</f>
        <v>52139259.05282031</v>
      </c>
      <c r="AE438" s="230">
        <f>MAX(AE437*(1+'Model Inputs'!$B$13)+U438+AB438,0)</f>
        <v>2356473.5461198762</v>
      </c>
      <c r="AF438" s="230">
        <f t="shared" si="251"/>
        <v>54495732.598940186</v>
      </c>
      <c r="AG438" s="226" t="str">
        <f t="shared" si="237"/>
        <v/>
      </c>
      <c r="AH438" s="226" t="str">
        <f t="shared" si="238"/>
        <v/>
      </c>
      <c r="AI438" s="226" t="str">
        <f t="shared" si="239"/>
        <v/>
      </c>
      <c r="AJ438" s="226" t="str">
        <f t="shared" si="240"/>
        <v/>
      </c>
    </row>
    <row r="439" spans="1:36" ht="18" customHeight="1" x14ac:dyDescent="0.2">
      <c r="A439" s="226" t="str">
        <f t="shared" si="229"/>
        <v>4Y -&gt; PM Y8 Starter</v>
      </c>
      <c r="B439" s="226">
        <f t="shared" si="230"/>
        <v>4</v>
      </c>
      <c r="C439" s="235">
        <f t="shared" si="231"/>
        <v>3</v>
      </c>
      <c r="D439" s="226">
        <f t="shared" si="232"/>
        <v>8</v>
      </c>
      <c r="E439" s="226" t="str">
        <f t="shared" si="233"/>
        <v>Starter</v>
      </c>
      <c r="F439" s="230">
        <f t="shared" si="234"/>
        <v>10000000</v>
      </c>
      <c r="G439" s="236">
        <f t="shared" si="235"/>
        <v>0.15</v>
      </c>
      <c r="H439" s="230">
        <f t="shared" si="236"/>
        <v>300000</v>
      </c>
      <c r="I439" s="236">
        <f t="shared" si="242"/>
        <v>0</v>
      </c>
      <c r="J439" s="234">
        <v>30</v>
      </c>
      <c r="K439" s="234">
        <f t="shared" si="243"/>
        <v>2055</v>
      </c>
      <c r="L439" s="230">
        <f>IF(J439=1,'Model Inputs'!$B$25*(13-'Model Inputs'!$B$23)/12,'Model Inputs'!$B$25)</f>
        <v>300000</v>
      </c>
      <c r="M439" s="230">
        <f>IF(J439=1,'Model Inputs'!$B$27*(13-'Model Inputs'!$B$23)/12,IF(J439=2,'Model Inputs'!$B$27,IF(J439&lt;=MAX(3,'Model Inputs'!$B$30+1),'Model Inputs'!$B$27*(1+'Model Inputs'!$B$28)^(J439-3),'Model Inputs'!$B$27*(1+'Model Inputs'!$B$28)^(MAX(3,'Model Inputs'!$B$30+1)-3)*(1+'Model Inputs'!$B$29)^(J439-MAX(3,'Model Inputs'!$B$30+1)))))</f>
        <v>380465535.74563926</v>
      </c>
      <c r="N439" s="236">
        <f>IF(J439&lt;=2,0,'Model Inputs'!$B$32*SIN(2*PI()*(J439-3+'Model Inputs'!$B$34)/MAX(1,'Model Inputs'!$B$33)))</f>
        <v>-2.645237086158283E-16</v>
      </c>
      <c r="O439" s="230">
        <f t="shared" si="244"/>
        <v>380465535.7456392</v>
      </c>
      <c r="P439" s="230">
        <f t="shared" si="241"/>
        <v>266206474.24994773</v>
      </c>
      <c r="Q439" s="230">
        <f>L439+P439+IF(J439=1,'Model Inputs'!$B$26,0)</f>
        <v>266506474.24994773</v>
      </c>
      <c r="R439" s="230">
        <f t="shared" si="245"/>
        <v>799519422.74984312</v>
      </c>
      <c r="S439" s="230">
        <f t="shared" si="246"/>
        <v>1800000</v>
      </c>
      <c r="T439" s="230">
        <f t="shared" si="247"/>
        <v>1800000</v>
      </c>
      <c r="U439" s="230">
        <f>MIN(T439,'Tax Assumptions'!$B$19)</f>
        <v>24500</v>
      </c>
      <c r="V439" s="230">
        <f>MAX(T439-U439-'Tax Assumptions'!$B$8,0)</f>
        <v>1759400</v>
      </c>
      <c r="W439" s="230">
        <f>MAX(T439-U439-'Tax Assumptions'!$B$9,0)</f>
        <v>1767500</v>
      </c>
      <c r="X439" s="230">
        <f>IF(V439=0,0,LOOKUP(V439,'Tax Assumptions'!$F$9:$F$15,'Tax Assumptions'!$I$9:$I$15)+(V439-LOOKUP(V439,'Tax Assumptions'!$F$9:$F$15,'Tax Assumptions'!$F$9:$F$15))*LOOKUP(V439,'Tax Assumptions'!$F$9:$F$15,'Tax Assumptions'!$H$9:$H$15))+MIN(MAX(T439,0),'Tax Assumptions'!$B$11)*'Tax Assumptions'!$B$10+MAX(T439,0)*'Tax Assumptions'!$B$12+MAX(MAX(T439,0)-'Tax Assumptions'!$B$14,0)*'Tax Assumptions'!$B$13+MIN(T439*'Tax Assumptions'!$B$15,'Tax Assumptions'!$B$16)+MIN(T439*'Tax Assumptions'!$B$17,'Tax Assumptions'!$B$18)+IF(W439=0,0,LOOKUP(W439,'Tax Assumptions'!$K$9:$K$17,'Tax Assumptions'!$N$9:$N$17)+(W439-LOOKUP(W439,'Tax Assumptions'!$K$9:$K$17,'Tax Assumptions'!$K$9:$K$17))*LOOKUP(W439,'Tax Assumptions'!$K$9:$K$17,'Tax Assumptions'!$M$9:$M$17))+IF(W439=0,0,LOOKUP(W439,'Tax Assumptions'!$P$9:$P$12,'Tax Assumptions'!$S$9:$S$12)+(W439-LOOKUP(W439,'Tax Assumptions'!$P$9:$P$12,'Tax Assumptions'!$P$9:$P$12))*LOOKUP(W439,'Tax Assumptions'!$P$9:$P$12,'Tax Assumptions'!$R$9:$R$12))</f>
        <v>865478.63500000001</v>
      </c>
      <c r="Y439" s="230">
        <f t="shared" si="248"/>
        <v>910021.36499999999</v>
      </c>
      <c r="Z439" s="230">
        <f>IF(J439&lt;=10,INDEX('Savings Projection'!$BL$19:$BL$28,J439),LOOKUP(2,1/('Savings Projection'!$BL$19:$BL$28&lt;&gt;""),'Savings Projection'!$BL$19:$BL$28))*(1+'Model Inputs'!$B$35)^(J439-1)+IF(J439&lt;=10,INDEX('Savings Projection'!$BM$19:$BM$28,J439),LOOKUP(2,1/('Savings Projection'!$BM$19:$BM$28&lt;&gt;""),'Savings Projection'!$BM$19:$BM$28))*(1+'Model Inputs'!$B$36)^(J439-1)</f>
        <v>306353.51578121912</v>
      </c>
      <c r="AA439" s="230">
        <f t="shared" si="249"/>
        <v>603667.84921878087</v>
      </c>
      <c r="AB439" s="230">
        <f>MIN(MAX(AA439,0),'Tax Assumptions'!$B$20)</f>
        <v>7500</v>
      </c>
      <c r="AC439" s="230">
        <f t="shared" si="250"/>
        <v>596167.84921878087</v>
      </c>
      <c r="AD439" s="230">
        <f>MAX(AD438*(1+'Model Inputs'!$B$13)+AC439,0)</f>
        <v>55863782.445208311</v>
      </c>
      <c r="AE439" s="230">
        <f>MAX(AE438*(1+'Model Inputs'!$B$13)+U439+AB439,0)</f>
        <v>2529861.958887069</v>
      </c>
      <c r="AF439" s="230">
        <f t="shared" si="251"/>
        <v>58393644.404095381</v>
      </c>
      <c r="AG439" s="226" t="str">
        <f t="shared" si="237"/>
        <v/>
      </c>
      <c r="AH439" s="226" t="str">
        <f t="shared" si="238"/>
        <v/>
      </c>
      <c r="AI439" s="226" t="str">
        <f t="shared" si="239"/>
        <v/>
      </c>
      <c r="AJ439" s="226" t="str">
        <f t="shared" si="240"/>
        <v/>
      </c>
    </row>
    <row r="440" spans="1:36" ht="18" customHeight="1" x14ac:dyDescent="0.2">
      <c r="A440" s="226" t="str">
        <f t="shared" ref="A440:A469" si="252">$A$35</f>
        <v>4Y -&gt; PM Y8 Base</v>
      </c>
      <c r="B440" s="226">
        <f t="shared" ref="B440:B469" si="253">$B$35</f>
        <v>4</v>
      </c>
      <c r="C440" s="235">
        <f t="shared" ref="C440:C469" si="254">$C$35</f>
        <v>3</v>
      </c>
      <c r="D440" s="226">
        <f t="shared" ref="D440:D469" si="255">$D$35</f>
        <v>8</v>
      </c>
      <c r="E440" s="226" t="str">
        <f t="shared" ref="E440:E469" si="256">$E$35</f>
        <v>Base</v>
      </c>
      <c r="F440" s="230">
        <f t="shared" ref="F440:F469" si="257">$F$35</f>
        <v>25000000</v>
      </c>
      <c r="G440" s="236">
        <f t="shared" ref="G440:G469" si="258">$G$35</f>
        <v>0.15</v>
      </c>
      <c r="H440" s="230">
        <f t="shared" ref="H440:H469" si="259">$H$35</f>
        <v>300000</v>
      </c>
      <c r="I440" s="236">
        <f t="shared" si="242"/>
        <v>0</v>
      </c>
      <c r="J440" s="234">
        <v>1</v>
      </c>
      <c r="K440" s="234">
        <f t="shared" si="243"/>
        <v>2026</v>
      </c>
      <c r="L440" s="230">
        <f>IF(J440=1,'Model Inputs'!$B$25*(13-'Model Inputs'!$B$23)/12,'Model Inputs'!$B$25)</f>
        <v>100000</v>
      </c>
      <c r="M440" s="230">
        <f>IF(J440=1,'Model Inputs'!$B$27*(13-'Model Inputs'!$B$23)/12,IF(J440=2,'Model Inputs'!$B$27,IF(J440&lt;=MAX(3,'Model Inputs'!$B$30+1),'Model Inputs'!$B$27*(1+'Model Inputs'!$B$28)^(J440-3),'Model Inputs'!$B$27*(1+'Model Inputs'!$B$28)^(MAX(3,'Model Inputs'!$B$30+1)-3)*(1+'Model Inputs'!$B$29)^(J440-MAX(3,'Model Inputs'!$B$30+1)))))</f>
        <v>150000</v>
      </c>
      <c r="N440" s="236">
        <f>IF(J440&lt;=2,0,'Model Inputs'!$B$32*SIN(2*PI()*(J440-3+'Model Inputs'!$B$34)/MAX(1,'Model Inputs'!$B$33)))</f>
        <v>0</v>
      </c>
      <c r="O440" s="230">
        <f t="shared" si="244"/>
        <v>150000</v>
      </c>
      <c r="P440" s="230">
        <f>0</f>
        <v>0</v>
      </c>
      <c r="Q440" s="230">
        <f>L440+P440+IF(J440=1,'Model Inputs'!$B$26,0)</f>
        <v>550000</v>
      </c>
      <c r="R440" s="230">
        <f t="shared" si="245"/>
        <v>550000</v>
      </c>
      <c r="S440" s="230">
        <f t="shared" si="246"/>
        <v>4050000</v>
      </c>
      <c r="T440" s="230">
        <f t="shared" si="247"/>
        <v>550000</v>
      </c>
      <c r="U440" s="230">
        <f>MIN(T440,'Tax Assumptions'!$B$19)</f>
        <v>24500</v>
      </c>
      <c r="V440" s="230">
        <f>MAX(T440-U440-'Tax Assumptions'!$B$8,0)</f>
        <v>509400</v>
      </c>
      <c r="W440" s="230">
        <f>MAX(T440-U440-'Tax Assumptions'!$B$9,0)</f>
        <v>517500</v>
      </c>
      <c r="X440" s="230">
        <f>IF(V440=0,0,LOOKUP(V440,'Tax Assumptions'!$F$9:$F$15,'Tax Assumptions'!$I$9:$I$15)+(V440-LOOKUP(V440,'Tax Assumptions'!$F$9:$F$15,'Tax Assumptions'!$F$9:$F$15))*LOOKUP(V440,'Tax Assumptions'!$F$9:$F$15,'Tax Assumptions'!$H$9:$H$15))+MIN(MAX(T440,0),'Tax Assumptions'!$B$11)*'Tax Assumptions'!$B$10+MAX(T440,0)*'Tax Assumptions'!$B$12+MAX(MAX(T440,0)-'Tax Assumptions'!$B$14,0)*'Tax Assumptions'!$B$13+MIN(T440*'Tax Assumptions'!$B$15,'Tax Assumptions'!$B$16)+MIN(T440*'Tax Assumptions'!$B$17,'Tax Assumptions'!$B$18)+IF(W440=0,0,LOOKUP(W440,'Tax Assumptions'!$K$9:$K$17,'Tax Assumptions'!$N$9:$N$17)+(W440-LOOKUP(W440,'Tax Assumptions'!$K$9:$K$17,'Tax Assumptions'!$K$9:$K$17))*LOOKUP(W440,'Tax Assumptions'!$K$9:$K$17,'Tax Assumptions'!$M$9:$M$17))+IF(W440=0,0,LOOKUP(W440,'Tax Assumptions'!$P$9:$P$12,'Tax Assumptions'!$S$9:$S$12)+(W440-LOOKUP(W440,'Tax Assumptions'!$P$9:$P$12,'Tax Assumptions'!$P$9:$P$12))*LOOKUP(W440,'Tax Assumptions'!$P$9:$P$12,'Tax Assumptions'!$R$9:$R$12))</f>
        <v>222834.53000000003</v>
      </c>
      <c r="Y440" s="230">
        <f t="shared" si="248"/>
        <v>302665.46999999997</v>
      </c>
      <c r="Z440" s="230">
        <f>IF(J440&lt;=10,INDEX('Savings Projection'!$BL$19:$BL$28,J440),LOOKUP(2,1/('Savings Projection'!$BL$19:$BL$28&lt;&gt;""),'Savings Projection'!$BL$19:$BL$28))*(1+'Model Inputs'!$B$35)^(J440-1)+IF(J440&lt;=10,INDEX('Savings Projection'!$BM$19:$BM$28,J440),LOOKUP(2,1/('Savings Projection'!$BM$19:$BM$28&lt;&gt;""),'Savings Projection'!$BM$19:$BM$28))*(1+'Model Inputs'!$B$36)^(J440-1)</f>
        <v>118000</v>
      </c>
      <c r="AA440" s="230">
        <f t="shared" si="249"/>
        <v>184665.46999999997</v>
      </c>
      <c r="AB440" s="230">
        <f>MIN(MAX(AA440,0),'Tax Assumptions'!$B$20)</f>
        <v>7500</v>
      </c>
      <c r="AC440" s="230">
        <f t="shared" si="250"/>
        <v>177165.46999999997</v>
      </c>
      <c r="AD440" s="230">
        <f>MAX('Model Inputs'!$B$7*(1+'Model Inputs'!$B$13)+AC440,0)</f>
        <v>336165.47</v>
      </c>
      <c r="AE440" s="230">
        <f>MAX(('Model Inputs'!$B$8+'Model Inputs'!$B$9+'Model Inputs'!$B$10)*(1+'Model Inputs'!$B$13)+U440+AB440,0)</f>
        <v>32000</v>
      </c>
      <c r="AF440" s="230">
        <f t="shared" si="251"/>
        <v>368165.47</v>
      </c>
      <c r="AG440" s="226" t="str">
        <f>IF(AND(AF440&gt;=$F$14,0&lt;$F$14),J440,"")</f>
        <v/>
      </c>
      <c r="AH440" s="226" t="str">
        <f>IF(AND(AF440&gt;=$F$15,0&lt;$F$15),J440,"")</f>
        <v/>
      </c>
      <c r="AI440" s="226" t="str">
        <f>IF(AND(AF440&gt;=$F$16,0&lt;$F$16),J440,"")</f>
        <v/>
      </c>
      <c r="AJ440" s="226" t="str">
        <f>IF(AND(AF440&gt;=$F$17,0&lt;$F$17),J440,"")</f>
        <v/>
      </c>
    </row>
    <row r="441" spans="1:36" ht="18" customHeight="1" x14ac:dyDescent="0.2">
      <c r="A441" s="226" t="str">
        <f t="shared" si="252"/>
        <v>4Y -&gt; PM Y8 Base</v>
      </c>
      <c r="B441" s="226">
        <f t="shared" si="253"/>
        <v>4</v>
      </c>
      <c r="C441" s="235">
        <f t="shared" si="254"/>
        <v>3</v>
      </c>
      <c r="D441" s="226">
        <f t="shared" si="255"/>
        <v>8</v>
      </c>
      <c r="E441" s="226" t="str">
        <f t="shared" si="256"/>
        <v>Base</v>
      </c>
      <c r="F441" s="230">
        <f t="shared" si="257"/>
        <v>25000000</v>
      </c>
      <c r="G441" s="236">
        <f t="shared" si="258"/>
        <v>0.15</v>
      </c>
      <c r="H441" s="230">
        <f t="shared" si="259"/>
        <v>300000</v>
      </c>
      <c r="I441" s="236">
        <f t="shared" si="242"/>
        <v>0</v>
      </c>
      <c r="J441" s="234">
        <v>2</v>
      </c>
      <c r="K441" s="234">
        <f t="shared" si="243"/>
        <v>2027</v>
      </c>
      <c r="L441" s="230">
        <f>IF(J441=1,'Model Inputs'!$B$25*(13-'Model Inputs'!$B$23)/12,'Model Inputs'!$B$25)</f>
        <v>300000</v>
      </c>
      <c r="M441" s="230">
        <f>IF(J441=1,'Model Inputs'!$B$27*(13-'Model Inputs'!$B$23)/12,IF(J441=2,'Model Inputs'!$B$27,IF(J441&lt;=MAX(3,'Model Inputs'!$B$30+1),'Model Inputs'!$B$27*(1+'Model Inputs'!$B$28)^(J441-3),'Model Inputs'!$B$27*(1+'Model Inputs'!$B$28)^(MAX(3,'Model Inputs'!$B$30+1)-3)*(1+'Model Inputs'!$B$29)^(J441-MAX(3,'Model Inputs'!$B$30+1)))))</f>
        <v>450000</v>
      </c>
      <c r="N441" s="236">
        <f>IF(J441&lt;=2,0,'Model Inputs'!$B$32*SIN(2*PI()*(J441-3+'Model Inputs'!$B$34)/MAX(1,'Model Inputs'!$B$33)))</f>
        <v>0</v>
      </c>
      <c r="O441" s="230">
        <f t="shared" si="244"/>
        <v>450000</v>
      </c>
      <c r="P441" s="230">
        <f>0.75*O440</f>
        <v>112500</v>
      </c>
      <c r="Q441" s="230">
        <f>L441+P441+IF(J441=1,'Model Inputs'!$B$26,0)</f>
        <v>412500</v>
      </c>
      <c r="R441" s="230">
        <f t="shared" si="245"/>
        <v>412500</v>
      </c>
      <c r="S441" s="230">
        <f t="shared" si="246"/>
        <v>4050000</v>
      </c>
      <c r="T441" s="230">
        <f t="shared" si="247"/>
        <v>412500</v>
      </c>
      <c r="U441" s="230">
        <f>MIN(T441,'Tax Assumptions'!$B$19)</f>
        <v>24500</v>
      </c>
      <c r="V441" s="230">
        <f>MAX(T441-U441-'Tax Assumptions'!$B$8,0)</f>
        <v>371900</v>
      </c>
      <c r="W441" s="230">
        <f>MAX(T441-U441-'Tax Assumptions'!$B$9,0)</f>
        <v>380000</v>
      </c>
      <c r="X441" s="230">
        <f>IF(V441=0,0,LOOKUP(V441,'Tax Assumptions'!$F$9:$F$15,'Tax Assumptions'!$I$9:$I$15)+(V441-LOOKUP(V441,'Tax Assumptions'!$F$9:$F$15,'Tax Assumptions'!$F$9:$F$15))*LOOKUP(V441,'Tax Assumptions'!$F$9:$F$15,'Tax Assumptions'!$H$9:$H$15))+MIN(MAX(T441,0),'Tax Assumptions'!$B$11)*'Tax Assumptions'!$B$10+MAX(T441,0)*'Tax Assumptions'!$B$12+MAX(MAX(T441,0)-'Tax Assumptions'!$B$14,0)*'Tax Assumptions'!$B$13+MIN(T441*'Tax Assumptions'!$B$15,'Tax Assumptions'!$B$16)+MIN(T441*'Tax Assumptions'!$B$17,'Tax Assumptions'!$B$18)+IF(W441=0,0,LOOKUP(W441,'Tax Assumptions'!$K$9:$K$17,'Tax Assumptions'!$N$9:$N$17)+(W441-LOOKUP(W441,'Tax Assumptions'!$K$9:$K$17,'Tax Assumptions'!$K$9:$K$17))*LOOKUP(W441,'Tax Assumptions'!$K$9:$K$17,'Tax Assumptions'!$M$9:$M$17))+IF(W441=0,0,LOOKUP(W441,'Tax Assumptions'!$P$9:$P$12,'Tax Assumptions'!$S$9:$S$12)+(W441-LOOKUP(W441,'Tax Assumptions'!$P$9:$P$12,'Tax Assumptions'!$P$9:$P$12))*LOOKUP(W441,'Tax Assumptions'!$P$9:$P$12,'Tax Assumptions'!$R$9:$R$12))</f>
        <v>156730.03</v>
      </c>
      <c r="Y441" s="230">
        <f t="shared" si="248"/>
        <v>231269.97</v>
      </c>
      <c r="Z441" s="230">
        <f>IF(J441&lt;=10,INDEX('Savings Projection'!$BL$19:$BL$28,J441),LOOKUP(2,1/('Savings Projection'!$BL$19:$BL$28&lt;&gt;""),'Savings Projection'!$BL$19:$BL$28))*(1+'Model Inputs'!$B$35)^(J441-1)+IF(J441&lt;=10,INDEX('Savings Projection'!$BM$19:$BM$28,J441),LOOKUP(2,1/('Savings Projection'!$BM$19:$BM$28&lt;&gt;""),'Savings Projection'!$BM$19:$BM$28))*(1+'Model Inputs'!$B$36)^(J441-1)</f>
        <v>121540</v>
      </c>
      <c r="AA441" s="230">
        <f t="shared" si="249"/>
        <v>109729.97</v>
      </c>
      <c r="AB441" s="230">
        <f>MIN(MAX(AA441,0),'Tax Assumptions'!$B$20)</f>
        <v>7500</v>
      </c>
      <c r="AC441" s="230">
        <f t="shared" si="250"/>
        <v>102229.97</v>
      </c>
      <c r="AD441" s="230">
        <f>MAX(AD440*(1+'Model Inputs'!$B$13)+AC441,0)</f>
        <v>458565.36820000003</v>
      </c>
      <c r="AE441" s="230">
        <f>MAX(AE440*(1+'Model Inputs'!$B$13)+U441+AB441,0)</f>
        <v>65920</v>
      </c>
      <c r="AF441" s="230">
        <f t="shared" si="251"/>
        <v>524485.36820000003</v>
      </c>
      <c r="AG441" s="226" t="str">
        <f t="shared" ref="AG441:AG469" si="260">IF(AND(AF441&gt;=$F$14,AF440&lt;$F$14),J441,"")</f>
        <v/>
      </c>
      <c r="AH441" s="226" t="str">
        <f t="shared" ref="AH441:AH469" si="261">IF(AND(AF441&gt;=$F$15,AF440&lt;$F$15),J441,"")</f>
        <v/>
      </c>
      <c r="AI441" s="226" t="str">
        <f t="shared" ref="AI441:AI469" si="262">IF(AND(AF441&gt;=$F$16,AF440&lt;$F$16),J441,"")</f>
        <v/>
      </c>
      <c r="AJ441" s="226" t="str">
        <f t="shared" ref="AJ441:AJ469" si="263">IF(AND(AF441&gt;=$F$17,AF440&lt;$F$17),J441,"")</f>
        <v/>
      </c>
    </row>
    <row r="442" spans="1:36" ht="18" customHeight="1" x14ac:dyDescent="0.2">
      <c r="A442" s="226" t="str">
        <f t="shared" si="252"/>
        <v>4Y -&gt; PM Y8 Base</v>
      </c>
      <c r="B442" s="226">
        <f t="shared" si="253"/>
        <v>4</v>
      </c>
      <c r="C442" s="235">
        <f t="shared" si="254"/>
        <v>3</v>
      </c>
      <c r="D442" s="226">
        <f t="shared" si="255"/>
        <v>8</v>
      </c>
      <c r="E442" s="226" t="str">
        <f t="shared" si="256"/>
        <v>Base</v>
      </c>
      <c r="F442" s="230">
        <f t="shared" si="257"/>
        <v>25000000</v>
      </c>
      <c r="G442" s="236">
        <f t="shared" si="258"/>
        <v>0.15</v>
      </c>
      <c r="H442" s="230">
        <f t="shared" si="259"/>
        <v>300000</v>
      </c>
      <c r="I442" s="236">
        <f t="shared" si="242"/>
        <v>0</v>
      </c>
      <c r="J442" s="234">
        <v>3</v>
      </c>
      <c r="K442" s="234">
        <f t="shared" si="243"/>
        <v>2028</v>
      </c>
      <c r="L442" s="230">
        <f>IF(J442=1,'Model Inputs'!$B$25*(13-'Model Inputs'!$B$23)/12,'Model Inputs'!$B$25)</f>
        <v>300000</v>
      </c>
      <c r="M442" s="230">
        <f>IF(J442=1,'Model Inputs'!$B$27*(13-'Model Inputs'!$B$23)/12,IF(J442=2,'Model Inputs'!$B$27,IF(J442&lt;=MAX(3,'Model Inputs'!$B$30+1),'Model Inputs'!$B$27*(1+'Model Inputs'!$B$28)^(J442-3),'Model Inputs'!$B$27*(1+'Model Inputs'!$B$28)^(MAX(3,'Model Inputs'!$B$30+1)-3)*(1+'Model Inputs'!$B$29)^(J442-MAX(3,'Model Inputs'!$B$30+1)))))</f>
        <v>450000</v>
      </c>
      <c r="N442" s="236">
        <f>IF(J442&lt;=2,0,'Model Inputs'!$B$32*SIN(2*PI()*(J442-3+'Model Inputs'!$B$34)/MAX(1,'Model Inputs'!$B$33)))</f>
        <v>0</v>
      </c>
      <c r="O442" s="230">
        <f t="shared" si="244"/>
        <v>450000</v>
      </c>
      <c r="P442" s="230">
        <f t="shared" ref="P442:P469" si="264">0.75*O441+0.25*O440</f>
        <v>375000</v>
      </c>
      <c r="Q442" s="230">
        <f>L442+P442+IF(J442=1,'Model Inputs'!$B$26,0)</f>
        <v>675000</v>
      </c>
      <c r="R442" s="230">
        <f t="shared" si="245"/>
        <v>675000</v>
      </c>
      <c r="S442" s="230">
        <f t="shared" si="246"/>
        <v>4050000</v>
      </c>
      <c r="T442" s="230">
        <f t="shared" si="247"/>
        <v>675000</v>
      </c>
      <c r="U442" s="230">
        <f>MIN(T442,'Tax Assumptions'!$B$19)</f>
        <v>24500</v>
      </c>
      <c r="V442" s="230">
        <f>MAX(T442-U442-'Tax Assumptions'!$B$8,0)</f>
        <v>634400</v>
      </c>
      <c r="W442" s="230">
        <f>MAX(T442-U442-'Tax Assumptions'!$B$9,0)</f>
        <v>642500</v>
      </c>
      <c r="X442" s="230">
        <f>IF(V442=0,0,LOOKUP(V442,'Tax Assumptions'!$F$9:$F$15,'Tax Assumptions'!$I$9:$I$15)+(V442-LOOKUP(V442,'Tax Assumptions'!$F$9:$F$15,'Tax Assumptions'!$F$9:$F$15))*LOOKUP(V442,'Tax Assumptions'!$F$9:$F$15,'Tax Assumptions'!$H$9:$H$15))+MIN(MAX(T442,0),'Tax Assumptions'!$B$11)*'Tax Assumptions'!$B$10+MAX(T442,0)*'Tax Assumptions'!$B$12+MAX(MAX(T442,0)-'Tax Assumptions'!$B$14,0)*'Tax Assumptions'!$B$13+MIN(T442*'Tax Assumptions'!$B$15,'Tax Assumptions'!$B$16)+MIN(T442*'Tax Assumptions'!$B$17,'Tax Assumptions'!$B$18)+IF(W442=0,0,LOOKUP(W442,'Tax Assumptions'!$K$9:$K$17,'Tax Assumptions'!$N$9:$N$17)+(W442-LOOKUP(W442,'Tax Assumptions'!$K$9:$K$17,'Tax Assumptions'!$K$9:$K$17))*LOOKUP(W442,'Tax Assumptions'!$K$9:$K$17,'Tax Assumptions'!$M$9:$M$17))+IF(W442=0,0,LOOKUP(W442,'Tax Assumptions'!$P$9:$P$12,'Tax Assumptions'!$S$9:$S$12)+(W442-LOOKUP(W442,'Tax Assumptions'!$P$9:$P$12,'Tax Assumptions'!$P$9:$P$12))*LOOKUP(W442,'Tax Assumptions'!$P$9:$P$12,'Tax Assumptions'!$R$9:$R$12))</f>
        <v>282929.53000000003</v>
      </c>
      <c r="Y442" s="230">
        <f t="shared" si="248"/>
        <v>367570.47</v>
      </c>
      <c r="Z442" s="230">
        <f>IF(J442&lt;=10,INDEX('Savings Projection'!$BL$19:$BL$28,J442),LOOKUP(2,1/('Savings Projection'!$BL$19:$BL$28&lt;&gt;""),'Savings Projection'!$BL$19:$BL$28))*(1+'Model Inputs'!$B$35)^(J442-1)+IF(J442&lt;=10,INDEX('Savings Projection'!$BM$19:$BM$28,J442),LOOKUP(2,1/('Savings Projection'!$BM$19:$BM$28&lt;&gt;""),'Savings Projection'!$BM$19:$BM$28))*(1+'Model Inputs'!$B$36)^(J442-1)</f>
        <v>135795.20000000001</v>
      </c>
      <c r="AA442" s="230">
        <f t="shared" si="249"/>
        <v>231775.26999999996</v>
      </c>
      <c r="AB442" s="230">
        <f>MIN(MAX(AA442,0),'Tax Assumptions'!$B$20)</f>
        <v>7500</v>
      </c>
      <c r="AC442" s="230">
        <f t="shared" si="250"/>
        <v>224275.26999999996</v>
      </c>
      <c r="AD442" s="230">
        <f>MAX(AD441*(1+'Model Inputs'!$B$13)+AC442,0)</f>
        <v>710354.56029199995</v>
      </c>
      <c r="AE442" s="230">
        <f>MAX(AE441*(1+'Model Inputs'!$B$13)+U442+AB442,0)</f>
        <v>101875.2</v>
      </c>
      <c r="AF442" s="230">
        <f t="shared" si="251"/>
        <v>812229.7602919999</v>
      </c>
      <c r="AG442" s="226" t="str">
        <f t="shared" si="260"/>
        <v/>
      </c>
      <c r="AH442" s="226" t="str">
        <f t="shared" si="261"/>
        <v/>
      </c>
      <c r="AI442" s="226" t="str">
        <f t="shared" si="262"/>
        <v/>
      </c>
      <c r="AJ442" s="226" t="str">
        <f t="shared" si="263"/>
        <v/>
      </c>
    </row>
    <row r="443" spans="1:36" ht="18" customHeight="1" x14ac:dyDescent="0.2">
      <c r="A443" s="226" t="str">
        <f t="shared" si="252"/>
        <v>4Y -&gt; PM Y8 Base</v>
      </c>
      <c r="B443" s="226">
        <f t="shared" si="253"/>
        <v>4</v>
      </c>
      <c r="C443" s="235">
        <f t="shared" si="254"/>
        <v>3</v>
      </c>
      <c r="D443" s="226">
        <f t="shared" si="255"/>
        <v>8</v>
      </c>
      <c r="E443" s="226" t="str">
        <f t="shared" si="256"/>
        <v>Base</v>
      </c>
      <c r="F443" s="230">
        <f t="shared" si="257"/>
        <v>25000000</v>
      </c>
      <c r="G443" s="236">
        <f t="shared" si="258"/>
        <v>0.15</v>
      </c>
      <c r="H443" s="230">
        <f t="shared" si="259"/>
        <v>300000</v>
      </c>
      <c r="I443" s="236">
        <f t="shared" si="242"/>
        <v>0</v>
      </c>
      <c r="J443" s="234">
        <v>4</v>
      </c>
      <c r="K443" s="234">
        <f t="shared" si="243"/>
        <v>2029</v>
      </c>
      <c r="L443" s="230">
        <f>IF(J443=1,'Model Inputs'!$B$25*(13-'Model Inputs'!$B$23)/12,'Model Inputs'!$B$25)</f>
        <v>300000</v>
      </c>
      <c r="M443" s="230">
        <f>IF(J443=1,'Model Inputs'!$B$27*(13-'Model Inputs'!$B$23)/12,IF(J443=2,'Model Inputs'!$B$27,IF(J443&lt;=MAX(3,'Model Inputs'!$B$30+1),'Model Inputs'!$B$27*(1+'Model Inputs'!$B$28)^(J443-3),'Model Inputs'!$B$27*(1+'Model Inputs'!$B$28)^(MAX(3,'Model Inputs'!$B$30+1)-3)*(1+'Model Inputs'!$B$29)^(J443-MAX(3,'Model Inputs'!$B$30+1)))))</f>
        <v>653834.84153110103</v>
      </c>
      <c r="N443" s="236">
        <f>IF(J443&lt;=2,0,'Model Inputs'!$B$32*SIN(2*PI()*(J443-3+'Model Inputs'!$B$34)/MAX(1,'Model Inputs'!$B$33)))</f>
        <v>0.10392304845413264</v>
      </c>
      <c r="O443" s="230">
        <f t="shared" si="244"/>
        <v>721783.35144853778</v>
      </c>
      <c r="P443" s="230">
        <f t="shared" si="264"/>
        <v>450000</v>
      </c>
      <c r="Q443" s="230">
        <f>L443+P443+IF(J443=1,'Model Inputs'!$B$26,0)</f>
        <v>750000</v>
      </c>
      <c r="R443" s="230">
        <f t="shared" si="245"/>
        <v>750000</v>
      </c>
      <c r="S443" s="230">
        <f t="shared" si="246"/>
        <v>4050000</v>
      </c>
      <c r="T443" s="230">
        <f t="shared" si="247"/>
        <v>750000</v>
      </c>
      <c r="U443" s="230">
        <f>MIN(T443,'Tax Assumptions'!$B$19)</f>
        <v>24500</v>
      </c>
      <c r="V443" s="230">
        <f>MAX(T443-U443-'Tax Assumptions'!$B$8,0)</f>
        <v>709400</v>
      </c>
      <c r="W443" s="230">
        <f>MAX(T443-U443-'Tax Assumptions'!$B$9,0)</f>
        <v>717500</v>
      </c>
      <c r="X443" s="230">
        <f>IF(V443=0,0,LOOKUP(V443,'Tax Assumptions'!$F$9:$F$15,'Tax Assumptions'!$I$9:$I$15)+(V443-LOOKUP(V443,'Tax Assumptions'!$F$9:$F$15,'Tax Assumptions'!$F$9:$F$15))*LOOKUP(V443,'Tax Assumptions'!$F$9:$F$15,'Tax Assumptions'!$H$9:$H$15))+MIN(MAX(T443,0),'Tax Assumptions'!$B$11)*'Tax Assumptions'!$B$10+MAX(T443,0)*'Tax Assumptions'!$B$12+MAX(MAX(T443,0)-'Tax Assumptions'!$B$14,0)*'Tax Assumptions'!$B$13+MIN(T443*'Tax Assumptions'!$B$15,'Tax Assumptions'!$B$16)+MIN(T443*'Tax Assumptions'!$B$17,'Tax Assumptions'!$B$18)+IF(W443=0,0,LOOKUP(W443,'Tax Assumptions'!$K$9:$K$17,'Tax Assumptions'!$N$9:$N$17)+(W443-LOOKUP(W443,'Tax Assumptions'!$K$9:$K$17,'Tax Assumptions'!$K$9:$K$17))*LOOKUP(W443,'Tax Assumptions'!$K$9:$K$17,'Tax Assumptions'!$M$9:$M$17))+IF(W443=0,0,LOOKUP(W443,'Tax Assumptions'!$P$9:$P$12,'Tax Assumptions'!$S$9:$S$12)+(W443-LOOKUP(W443,'Tax Assumptions'!$P$9:$P$12,'Tax Assumptions'!$P$9:$P$12))*LOOKUP(W443,'Tax Assumptions'!$P$9:$P$12,'Tax Assumptions'!$R$9:$R$12))</f>
        <v>320362.53000000003</v>
      </c>
      <c r="Y443" s="230">
        <f t="shared" si="248"/>
        <v>405137.47</v>
      </c>
      <c r="Z443" s="230">
        <f>IF(J443&lt;=10,INDEX('Savings Projection'!$BL$19:$BL$28,J443),LOOKUP(2,1/('Savings Projection'!$BL$19:$BL$28&lt;&gt;""),'Savings Projection'!$BL$19:$BL$28))*(1+'Model Inputs'!$B$35)^(J443-1)+IF(J443&lt;=10,INDEX('Savings Projection'!$BM$19:$BM$28,J443),LOOKUP(2,1/('Savings Projection'!$BM$19:$BM$28&lt;&gt;""),'Savings Projection'!$BM$19:$BM$28))*(1+'Model Inputs'!$B$36)^(J443-1)</f>
        <v>139869.05600000001</v>
      </c>
      <c r="AA443" s="230">
        <f t="shared" si="249"/>
        <v>265268.41399999999</v>
      </c>
      <c r="AB443" s="230">
        <f>MIN(MAX(AA443,0),'Tax Assumptions'!$B$20)</f>
        <v>7500</v>
      </c>
      <c r="AC443" s="230">
        <f t="shared" si="250"/>
        <v>257768.41399999999</v>
      </c>
      <c r="AD443" s="230">
        <f>MAX(AD442*(1+'Model Inputs'!$B$13)+AC443,0)</f>
        <v>1010744.2479095199</v>
      </c>
      <c r="AE443" s="230">
        <f>MAX(AE442*(1+'Model Inputs'!$B$13)+U443+AB443,0)</f>
        <v>139987.712</v>
      </c>
      <c r="AF443" s="230">
        <f t="shared" si="251"/>
        <v>1150731.9599095199</v>
      </c>
      <c r="AG443" s="226" t="str">
        <f t="shared" si="260"/>
        <v/>
      </c>
      <c r="AH443" s="226" t="str">
        <f t="shared" si="261"/>
        <v/>
      </c>
      <c r="AI443" s="226" t="str">
        <f t="shared" si="262"/>
        <v/>
      </c>
      <c r="AJ443" s="226" t="str">
        <f t="shared" si="263"/>
        <v/>
      </c>
    </row>
    <row r="444" spans="1:36" ht="18" customHeight="1" x14ac:dyDescent="0.2">
      <c r="A444" s="226" t="str">
        <f t="shared" si="252"/>
        <v>4Y -&gt; PM Y8 Base</v>
      </c>
      <c r="B444" s="226">
        <f t="shared" si="253"/>
        <v>4</v>
      </c>
      <c r="C444" s="235">
        <f t="shared" si="254"/>
        <v>3</v>
      </c>
      <c r="D444" s="226">
        <f t="shared" si="255"/>
        <v>8</v>
      </c>
      <c r="E444" s="226" t="str">
        <f t="shared" si="256"/>
        <v>Base</v>
      </c>
      <c r="F444" s="230">
        <f t="shared" si="257"/>
        <v>25000000</v>
      </c>
      <c r="G444" s="236">
        <f t="shared" si="258"/>
        <v>0.15</v>
      </c>
      <c r="H444" s="230">
        <f t="shared" si="259"/>
        <v>300000</v>
      </c>
      <c r="I444" s="236">
        <f t="shared" si="242"/>
        <v>0</v>
      </c>
      <c r="J444" s="234">
        <v>5</v>
      </c>
      <c r="K444" s="234">
        <f t="shared" si="243"/>
        <v>2030</v>
      </c>
      <c r="L444" s="230">
        <f>IF(J444=1,'Model Inputs'!$B$25*(13-'Model Inputs'!$B$23)/12,'Model Inputs'!$B$25)</f>
        <v>300000</v>
      </c>
      <c r="M444" s="230">
        <f>IF(J444=1,'Model Inputs'!$B$27*(13-'Model Inputs'!$B$23)/12,IF(J444=2,'Model Inputs'!$B$27,IF(J444&lt;=MAX(3,'Model Inputs'!$B$30+1),'Model Inputs'!$B$27*(1+'Model Inputs'!$B$28)^(J444-3),'Model Inputs'!$B$27*(1+'Model Inputs'!$B$28)^(MAX(3,'Model Inputs'!$B$30+1)-3)*(1+'Model Inputs'!$B$29)^(J444-MAX(3,'Model Inputs'!$B$30+1)))))</f>
        <v>950000</v>
      </c>
      <c r="N444" s="236">
        <f>IF(J444&lt;=2,0,'Model Inputs'!$B$32*SIN(2*PI()*(J444-3+'Model Inputs'!$B$34)/MAX(1,'Model Inputs'!$B$33)))</f>
        <v>-0.1039230484541326</v>
      </c>
      <c r="O444" s="230">
        <f t="shared" si="244"/>
        <v>851273.10396857408</v>
      </c>
      <c r="P444" s="230">
        <f t="shared" si="264"/>
        <v>653837.51358640334</v>
      </c>
      <c r="Q444" s="230">
        <f>L444+P444+IF(J444=1,'Model Inputs'!$B$26,0)</f>
        <v>953837.51358640334</v>
      </c>
      <c r="R444" s="230">
        <f t="shared" si="245"/>
        <v>2861512.54075921</v>
      </c>
      <c r="S444" s="230">
        <f t="shared" si="246"/>
        <v>4050000</v>
      </c>
      <c r="T444" s="230">
        <f t="shared" si="247"/>
        <v>2861512.54075921</v>
      </c>
      <c r="U444" s="230">
        <f>MIN(T444,'Tax Assumptions'!$B$19)</f>
        <v>24500</v>
      </c>
      <c r="V444" s="230">
        <f>MAX(T444-U444-'Tax Assumptions'!$B$8,0)</f>
        <v>2820912.54075921</v>
      </c>
      <c r="W444" s="230">
        <f>MAX(T444-U444-'Tax Assumptions'!$B$9,0)</f>
        <v>2829012.54075921</v>
      </c>
      <c r="X444" s="230">
        <f>IF(V444=0,0,LOOKUP(V444,'Tax Assumptions'!$F$9:$F$15,'Tax Assumptions'!$I$9:$I$15)+(V444-LOOKUP(V444,'Tax Assumptions'!$F$9:$F$15,'Tax Assumptions'!$F$9:$F$15))*LOOKUP(V444,'Tax Assumptions'!$F$9:$F$15,'Tax Assumptions'!$H$9:$H$15))+MIN(MAX(T444,0),'Tax Assumptions'!$B$11)*'Tax Assumptions'!$B$10+MAX(T444,0)*'Tax Assumptions'!$B$12+MAX(MAX(T444,0)-'Tax Assumptions'!$B$14,0)*'Tax Assumptions'!$B$13+MIN(T444*'Tax Assumptions'!$B$15,'Tax Assumptions'!$B$16)+MIN(T444*'Tax Assumptions'!$B$17,'Tax Assumptions'!$B$18)+IF(W444=0,0,LOOKUP(W444,'Tax Assumptions'!$K$9:$K$17,'Tax Assumptions'!$N$9:$N$17)+(W444-LOOKUP(W444,'Tax Assumptions'!$K$9:$K$17,'Tax Assumptions'!$K$9:$K$17))*LOOKUP(W444,'Tax Assumptions'!$K$9:$K$17,'Tax Assumptions'!$M$9:$M$17))+IF(W444=0,0,LOOKUP(W444,'Tax Assumptions'!$P$9:$P$12,'Tax Assumptions'!$S$9:$S$12)+(W444-LOOKUP(W444,'Tax Assumptions'!$P$9:$P$12,'Tax Assumptions'!$P$9:$P$12))*LOOKUP(W444,'Tax Assumptions'!$P$9:$P$12,'Tax Assumptions'!$R$9:$R$12))</f>
        <v>1426764.0060518396</v>
      </c>
      <c r="Y444" s="230">
        <f t="shared" si="248"/>
        <v>1410248.5347073704</v>
      </c>
      <c r="Z444" s="230">
        <f>IF(J444&lt;=10,INDEX('Savings Projection'!$BL$19:$BL$28,J444),LOOKUP(2,1/('Savings Projection'!$BL$19:$BL$28&lt;&gt;""),'Savings Projection'!$BL$19:$BL$28))*(1+'Model Inputs'!$B$35)^(J444-1)+IF(J444&lt;=10,INDEX('Savings Projection'!$BM$19:$BM$28,J444),LOOKUP(2,1/('Savings Projection'!$BM$19:$BM$28&lt;&gt;""),'Savings Projection'!$BM$19:$BM$28))*(1+'Model Inputs'!$B$36)^(J444-1)</f>
        <v>144065.12767999998</v>
      </c>
      <c r="AA444" s="230">
        <f t="shared" si="249"/>
        <v>1266183.4070273705</v>
      </c>
      <c r="AB444" s="230">
        <f>MIN(MAX(AA444,0),'Tax Assumptions'!$B$20)</f>
        <v>7500</v>
      </c>
      <c r="AC444" s="230">
        <f t="shared" si="250"/>
        <v>1258683.4070273705</v>
      </c>
      <c r="AD444" s="230">
        <f>MAX(AD443*(1+'Model Inputs'!$B$13)+AC444,0)</f>
        <v>2330072.3098114617</v>
      </c>
      <c r="AE444" s="230">
        <f>MAX(AE443*(1+'Model Inputs'!$B$13)+U444+AB444,0)</f>
        <v>180386.97472</v>
      </c>
      <c r="AF444" s="230">
        <f t="shared" si="251"/>
        <v>2510459.2845314615</v>
      </c>
      <c r="AG444" s="226" t="str">
        <f t="shared" si="260"/>
        <v/>
      </c>
      <c r="AH444" s="226" t="str">
        <f t="shared" si="261"/>
        <v/>
      </c>
      <c r="AI444" s="226" t="str">
        <f t="shared" si="262"/>
        <v/>
      </c>
      <c r="AJ444" s="226" t="str">
        <f t="shared" si="263"/>
        <v/>
      </c>
    </row>
    <row r="445" spans="1:36" ht="18" customHeight="1" x14ac:dyDescent="0.2">
      <c r="A445" s="226" t="str">
        <f t="shared" si="252"/>
        <v>4Y -&gt; PM Y8 Base</v>
      </c>
      <c r="B445" s="226">
        <f t="shared" si="253"/>
        <v>4</v>
      </c>
      <c r="C445" s="235">
        <f t="shared" si="254"/>
        <v>3</v>
      </c>
      <c r="D445" s="226">
        <f t="shared" si="255"/>
        <v>8</v>
      </c>
      <c r="E445" s="226" t="str">
        <f t="shared" si="256"/>
        <v>Base</v>
      </c>
      <c r="F445" s="230">
        <f t="shared" si="257"/>
        <v>25000000</v>
      </c>
      <c r="G445" s="236">
        <f t="shared" si="258"/>
        <v>0.15</v>
      </c>
      <c r="H445" s="230">
        <f t="shared" si="259"/>
        <v>300000</v>
      </c>
      <c r="I445" s="236">
        <f t="shared" si="242"/>
        <v>0</v>
      </c>
      <c r="J445" s="234">
        <v>6</v>
      </c>
      <c r="K445" s="234">
        <f t="shared" si="243"/>
        <v>2031</v>
      </c>
      <c r="L445" s="230">
        <f>IF(J445=1,'Model Inputs'!$B$25*(13-'Model Inputs'!$B$23)/12,'Model Inputs'!$B$25)</f>
        <v>300000</v>
      </c>
      <c r="M445" s="230">
        <f>IF(J445=1,'Model Inputs'!$B$27*(13-'Model Inputs'!$B$23)/12,IF(J445=2,'Model Inputs'!$B$27,IF(J445&lt;=MAX(3,'Model Inputs'!$B$30+1),'Model Inputs'!$B$27*(1+'Model Inputs'!$B$28)^(J445-3),'Model Inputs'!$B$27*(1+'Model Inputs'!$B$28)^(MAX(3,'Model Inputs'!$B$30+1)-3)*(1+'Model Inputs'!$B$29)^(J445-MAX(3,'Model Inputs'!$B$30+1)))))</f>
        <v>1207333.5632986501</v>
      </c>
      <c r="N445" s="236">
        <f>IF(J445&lt;=2,0,'Model Inputs'!$B$32*SIN(2*PI()*(J445-3+'Model Inputs'!$B$34)/MAX(1,'Model Inputs'!$B$33)))</f>
        <v>-2.9391523179536474E-17</v>
      </c>
      <c r="O445" s="230">
        <f t="shared" si="244"/>
        <v>1207333.5632986501</v>
      </c>
      <c r="P445" s="230">
        <f t="shared" si="264"/>
        <v>818900.66583856498</v>
      </c>
      <c r="Q445" s="230">
        <f>L445+P445+IF(J445=1,'Model Inputs'!$B$26,0)</f>
        <v>1118900.665838565</v>
      </c>
      <c r="R445" s="230">
        <f t="shared" si="245"/>
        <v>3356701.9975156952</v>
      </c>
      <c r="S445" s="230">
        <f t="shared" si="246"/>
        <v>4050000</v>
      </c>
      <c r="T445" s="230">
        <f t="shared" si="247"/>
        <v>3356701.9975156952</v>
      </c>
      <c r="U445" s="230">
        <f>MIN(T445,'Tax Assumptions'!$B$19)</f>
        <v>24500</v>
      </c>
      <c r="V445" s="230">
        <f>MAX(T445-U445-'Tax Assumptions'!$B$8,0)</f>
        <v>3316101.9975156952</v>
      </c>
      <c r="W445" s="230">
        <f>MAX(T445-U445-'Tax Assumptions'!$B$9,0)</f>
        <v>3324201.9975156952</v>
      </c>
      <c r="X445" s="230">
        <f>IF(V445=0,0,LOOKUP(V445,'Tax Assumptions'!$F$9:$F$15,'Tax Assumptions'!$I$9:$I$15)+(V445-LOOKUP(V445,'Tax Assumptions'!$F$9:$F$15,'Tax Assumptions'!$F$9:$F$15))*LOOKUP(V445,'Tax Assumptions'!$F$9:$F$15,'Tax Assumptions'!$H$9:$H$15))+MIN(MAX(T445,0),'Tax Assumptions'!$B$11)*'Tax Assumptions'!$B$10+MAX(T445,0)*'Tax Assumptions'!$B$12+MAX(MAX(T445,0)-'Tax Assumptions'!$B$14,0)*'Tax Assumptions'!$B$13+MIN(T445*'Tax Assumptions'!$B$15,'Tax Assumptions'!$B$16)+MIN(T445*'Tax Assumptions'!$B$17,'Tax Assumptions'!$B$18)+IF(W445=0,0,LOOKUP(W445,'Tax Assumptions'!$K$9:$K$17,'Tax Assumptions'!$N$9:$N$17)+(W445-LOOKUP(W445,'Tax Assumptions'!$K$9:$K$17,'Tax Assumptions'!$K$9:$K$17))*LOOKUP(W445,'Tax Assumptions'!$K$9:$K$17,'Tax Assumptions'!$M$9:$M$17))+IF(W445=0,0,LOOKUP(W445,'Tax Assumptions'!$P$9:$P$12,'Tax Assumptions'!$S$9:$S$12)+(W445-LOOKUP(W445,'Tax Assumptions'!$P$9:$P$12,'Tax Assumptions'!$P$9:$P$12))*LOOKUP(W445,'Tax Assumptions'!$P$9:$P$12,'Tax Assumptions'!$R$9:$R$12))</f>
        <v>1688600.3832063989</v>
      </c>
      <c r="Y445" s="230">
        <f t="shared" si="248"/>
        <v>1643601.6143092962</v>
      </c>
      <c r="Z445" s="230">
        <f>IF(J445&lt;=10,INDEX('Savings Projection'!$BL$19:$BL$28,J445),LOOKUP(2,1/('Savings Projection'!$BL$19:$BL$28&lt;&gt;""),'Savings Projection'!$BL$19:$BL$28))*(1+'Model Inputs'!$B$35)^(J445-1)+IF(J445&lt;=10,INDEX('Savings Projection'!$BM$19:$BM$28,J445),LOOKUP(2,1/('Savings Projection'!$BM$19:$BM$28&lt;&gt;""),'Savings Projection'!$BM$19:$BM$28))*(1+'Model Inputs'!$B$36)^(J445-1)</f>
        <v>150705.62965899997</v>
      </c>
      <c r="AA445" s="230">
        <f t="shared" si="249"/>
        <v>1492895.9846502962</v>
      </c>
      <c r="AB445" s="230">
        <f>MIN(MAX(AA445,0),'Tax Assumptions'!$B$20)</f>
        <v>7500</v>
      </c>
      <c r="AC445" s="230">
        <f t="shared" si="250"/>
        <v>1485395.9846502962</v>
      </c>
      <c r="AD445" s="230">
        <f>MAX(AD444*(1+'Model Inputs'!$B$13)+AC445,0)</f>
        <v>3955272.6330504459</v>
      </c>
      <c r="AE445" s="230">
        <f>MAX(AE444*(1+'Model Inputs'!$B$13)+U445+AB445,0)</f>
        <v>223210.1932032</v>
      </c>
      <c r="AF445" s="230">
        <f t="shared" si="251"/>
        <v>4178482.8262536461</v>
      </c>
      <c r="AG445" s="226" t="str">
        <f t="shared" si="260"/>
        <v/>
      </c>
      <c r="AH445" s="226" t="str">
        <f t="shared" si="261"/>
        <v/>
      </c>
      <c r="AI445" s="226" t="str">
        <f t="shared" si="262"/>
        <v/>
      </c>
      <c r="AJ445" s="226" t="str">
        <f t="shared" si="263"/>
        <v/>
      </c>
    </row>
    <row r="446" spans="1:36" ht="18" customHeight="1" x14ac:dyDescent="0.2">
      <c r="A446" s="226" t="str">
        <f t="shared" si="252"/>
        <v>4Y -&gt; PM Y8 Base</v>
      </c>
      <c r="B446" s="226">
        <f t="shared" si="253"/>
        <v>4</v>
      </c>
      <c r="C446" s="235">
        <f t="shared" si="254"/>
        <v>3</v>
      </c>
      <c r="D446" s="226">
        <f t="shared" si="255"/>
        <v>8</v>
      </c>
      <c r="E446" s="226" t="str">
        <f t="shared" si="256"/>
        <v>Base</v>
      </c>
      <c r="F446" s="230">
        <f t="shared" si="257"/>
        <v>25000000</v>
      </c>
      <c r="G446" s="236">
        <f t="shared" si="258"/>
        <v>0.15</v>
      </c>
      <c r="H446" s="230">
        <f t="shared" si="259"/>
        <v>300000</v>
      </c>
      <c r="I446" s="236">
        <f t="shared" si="242"/>
        <v>0</v>
      </c>
      <c r="J446" s="234">
        <v>7</v>
      </c>
      <c r="K446" s="234">
        <f t="shared" si="243"/>
        <v>2032</v>
      </c>
      <c r="L446" s="230">
        <f>IF(J446=1,'Model Inputs'!$B$25*(13-'Model Inputs'!$B$23)/12,'Model Inputs'!$B$25)</f>
        <v>300000</v>
      </c>
      <c r="M446" s="230">
        <f>IF(J446=1,'Model Inputs'!$B$27*(13-'Model Inputs'!$B$23)/12,IF(J446=2,'Model Inputs'!$B$27,IF(J446&lt;=MAX(3,'Model Inputs'!$B$30+1),'Model Inputs'!$B$27*(1+'Model Inputs'!$B$28)^(J446-3),'Model Inputs'!$B$27*(1+'Model Inputs'!$B$28)^(MAX(3,'Model Inputs'!$B$30+1)-3)*(1+'Model Inputs'!$B$29)^(J446-MAX(3,'Model Inputs'!$B$30+1)))))</f>
        <v>1534372.9821762268</v>
      </c>
      <c r="N446" s="236">
        <f>IF(J446&lt;=2,0,'Model Inputs'!$B$32*SIN(2*PI()*(J446-3+'Model Inputs'!$B$34)/MAX(1,'Model Inputs'!$B$33)))</f>
        <v>0.10392304845413269</v>
      </c>
      <c r="O446" s="230">
        <f t="shared" si="244"/>
        <v>1693829.6999496389</v>
      </c>
      <c r="P446" s="230">
        <f t="shared" si="264"/>
        <v>1118318.448466131</v>
      </c>
      <c r="Q446" s="230">
        <f>L446+P446+IF(J446=1,'Model Inputs'!$B$26,0)</f>
        <v>1418318.448466131</v>
      </c>
      <c r="R446" s="230">
        <f t="shared" si="245"/>
        <v>4254955.3453983925</v>
      </c>
      <c r="S446" s="230">
        <f t="shared" si="246"/>
        <v>4050000</v>
      </c>
      <c r="T446" s="230">
        <f t="shared" si="247"/>
        <v>4254955.3453983925</v>
      </c>
      <c r="U446" s="230">
        <f>MIN(T446,'Tax Assumptions'!$B$19)</f>
        <v>24500</v>
      </c>
      <c r="V446" s="230">
        <f>MAX(T446-U446-'Tax Assumptions'!$B$8,0)</f>
        <v>4214355.3453983925</v>
      </c>
      <c r="W446" s="230">
        <f>MAX(T446-U446-'Tax Assumptions'!$B$9,0)</f>
        <v>4222455.3453983925</v>
      </c>
      <c r="X446" s="230">
        <f>IF(V446=0,0,LOOKUP(V446,'Tax Assumptions'!$F$9:$F$15,'Tax Assumptions'!$I$9:$I$15)+(V446-LOOKUP(V446,'Tax Assumptions'!$F$9:$F$15,'Tax Assumptions'!$F$9:$F$15))*LOOKUP(V446,'Tax Assumptions'!$F$9:$F$15,'Tax Assumptions'!$H$9:$H$15))+MIN(MAX(T446,0),'Tax Assumptions'!$B$11)*'Tax Assumptions'!$B$10+MAX(T446,0)*'Tax Assumptions'!$B$12+MAX(MAX(T446,0)-'Tax Assumptions'!$B$14,0)*'Tax Assumptions'!$B$13+MIN(T446*'Tax Assumptions'!$B$15,'Tax Assumptions'!$B$16)+MIN(T446*'Tax Assumptions'!$B$17,'Tax Assumptions'!$B$18)+IF(W446=0,0,LOOKUP(W446,'Tax Assumptions'!$K$9:$K$17,'Tax Assumptions'!$N$9:$N$17)+(W446-LOOKUP(W446,'Tax Assumptions'!$K$9:$K$17,'Tax Assumptions'!$K$9:$K$17))*LOOKUP(W446,'Tax Assumptions'!$K$9:$K$17,'Tax Assumptions'!$M$9:$M$17))+IF(W446=0,0,LOOKUP(W446,'Tax Assumptions'!$P$9:$P$12,'Tax Assumptions'!$S$9:$S$12)+(W446-LOOKUP(W446,'Tax Assumptions'!$P$9:$P$12,'Tax Assumptions'!$P$9:$P$12))*LOOKUP(W446,'Tax Assumptions'!$P$9:$P$12,'Tax Assumptions'!$R$9:$R$12))</f>
        <v>2163560.8234328539</v>
      </c>
      <c r="Y446" s="230">
        <f t="shared" si="248"/>
        <v>2066894.5219655386</v>
      </c>
      <c r="Z446" s="230">
        <f>IF(J446&lt;=10,INDEX('Savings Projection'!$BL$19:$BL$28,J446),LOOKUP(2,1/('Savings Projection'!$BL$19:$BL$28&lt;&gt;""),'Savings Projection'!$BL$19:$BL$28))*(1+'Model Inputs'!$B$35)^(J446-1)+IF(J446&lt;=10,INDEX('Savings Projection'!$BM$19:$BM$28,J446),LOOKUP(2,1/('Savings Projection'!$BM$19:$BM$28&lt;&gt;""),'Savings Projection'!$BM$19:$BM$28))*(1+'Model Inputs'!$B$36)^(J446-1)</f>
        <v>155226.79854876999</v>
      </c>
      <c r="AA446" s="230">
        <f t="shared" si="249"/>
        <v>1911667.7234167687</v>
      </c>
      <c r="AB446" s="230">
        <f>MIN(MAX(AA446,0),'Tax Assumptions'!$B$20)</f>
        <v>7500</v>
      </c>
      <c r="AC446" s="230">
        <f t="shared" si="250"/>
        <v>1904167.7234167687</v>
      </c>
      <c r="AD446" s="230">
        <f>MAX(AD445*(1+'Model Inputs'!$B$13)+AC446,0)</f>
        <v>6096756.714450242</v>
      </c>
      <c r="AE446" s="230">
        <f>MAX(AE445*(1+'Model Inputs'!$B$13)+U446+AB446,0)</f>
        <v>268602.80479539197</v>
      </c>
      <c r="AF446" s="230">
        <f t="shared" si="251"/>
        <v>6365359.5192456339</v>
      </c>
      <c r="AG446" s="226" t="str">
        <f t="shared" si="260"/>
        <v/>
      </c>
      <c r="AH446" s="226" t="str">
        <f t="shared" si="261"/>
        <v/>
      </c>
      <c r="AI446" s="226" t="str">
        <f t="shared" si="262"/>
        <v/>
      </c>
      <c r="AJ446" s="226" t="str">
        <f t="shared" si="263"/>
        <v/>
      </c>
    </row>
    <row r="447" spans="1:36" ht="18" customHeight="1" x14ac:dyDescent="0.2">
      <c r="A447" s="226" t="str">
        <f t="shared" si="252"/>
        <v>4Y -&gt; PM Y8 Base</v>
      </c>
      <c r="B447" s="226">
        <f t="shared" si="253"/>
        <v>4</v>
      </c>
      <c r="C447" s="235">
        <f t="shared" si="254"/>
        <v>3</v>
      </c>
      <c r="D447" s="226">
        <f t="shared" si="255"/>
        <v>8</v>
      </c>
      <c r="E447" s="226" t="str">
        <f t="shared" si="256"/>
        <v>Base</v>
      </c>
      <c r="F447" s="230">
        <f t="shared" si="257"/>
        <v>25000000</v>
      </c>
      <c r="G447" s="236">
        <f t="shared" si="258"/>
        <v>0.15</v>
      </c>
      <c r="H447" s="230">
        <f t="shared" si="259"/>
        <v>300000</v>
      </c>
      <c r="I447" s="236">
        <f t="shared" si="242"/>
        <v>0</v>
      </c>
      <c r="J447" s="234">
        <v>8</v>
      </c>
      <c r="K447" s="234">
        <f t="shared" si="243"/>
        <v>2033</v>
      </c>
      <c r="L447" s="230">
        <f>IF(J447=1,'Model Inputs'!$B$25*(13-'Model Inputs'!$B$23)/12,'Model Inputs'!$B$25)</f>
        <v>300000</v>
      </c>
      <c r="M447" s="230">
        <f>IF(J447=1,'Model Inputs'!$B$27*(13-'Model Inputs'!$B$23)/12,IF(J447=2,'Model Inputs'!$B$27,IF(J447&lt;=MAX(3,'Model Inputs'!$B$30+1),'Model Inputs'!$B$27*(1+'Model Inputs'!$B$28)^(J447-3),'Model Inputs'!$B$27*(1+'Model Inputs'!$B$28)^(MAX(3,'Model Inputs'!$B$30+1)-3)*(1+'Model Inputs'!$B$29)^(J447-MAX(3,'Model Inputs'!$B$30+1)))))</f>
        <v>1950000.0000000002</v>
      </c>
      <c r="N447" s="236">
        <f>IF(J447&lt;=2,0,'Model Inputs'!$B$32*SIN(2*PI()*(J447-3+'Model Inputs'!$B$34)/MAX(1,'Model Inputs'!$B$33)))</f>
        <v>-0.10392304845413264</v>
      </c>
      <c r="O447" s="230">
        <f t="shared" si="244"/>
        <v>1747350.0555144416</v>
      </c>
      <c r="P447" s="230">
        <f t="shared" si="264"/>
        <v>1572205.6657868917</v>
      </c>
      <c r="Q447" s="230">
        <f>L447+P447+IF(J447=1,'Model Inputs'!$B$26,0)</f>
        <v>1872205.6657868917</v>
      </c>
      <c r="R447" s="230">
        <f t="shared" si="245"/>
        <v>5616616.9973606747</v>
      </c>
      <c r="S447" s="230">
        <f t="shared" si="246"/>
        <v>4050000</v>
      </c>
      <c r="T447" s="230">
        <f t="shared" si="247"/>
        <v>4050000</v>
      </c>
      <c r="U447" s="230">
        <f>MIN(T447,'Tax Assumptions'!$B$19)</f>
        <v>24500</v>
      </c>
      <c r="V447" s="230">
        <f>MAX(T447-U447-'Tax Assumptions'!$B$8,0)</f>
        <v>4009400</v>
      </c>
      <c r="W447" s="230">
        <f>MAX(T447-U447-'Tax Assumptions'!$B$9,0)</f>
        <v>4017500</v>
      </c>
      <c r="X447" s="230">
        <f>IF(V447=0,0,LOOKUP(V447,'Tax Assumptions'!$F$9:$F$15,'Tax Assumptions'!$I$9:$I$15)+(V447-LOOKUP(V447,'Tax Assumptions'!$F$9:$F$15,'Tax Assumptions'!$F$9:$F$15))*LOOKUP(V447,'Tax Assumptions'!$F$9:$F$15,'Tax Assumptions'!$H$9:$H$15))+MIN(MAX(T447,0),'Tax Assumptions'!$B$11)*'Tax Assumptions'!$B$10+MAX(T447,0)*'Tax Assumptions'!$B$12+MAX(MAX(T447,0)-'Tax Assumptions'!$B$14,0)*'Tax Assumptions'!$B$13+MIN(T447*'Tax Assumptions'!$B$15,'Tax Assumptions'!$B$16)+MIN(T447*'Tax Assumptions'!$B$17,'Tax Assumptions'!$B$18)+IF(W447=0,0,LOOKUP(W447,'Tax Assumptions'!$K$9:$K$17,'Tax Assumptions'!$N$9:$N$17)+(W447-LOOKUP(W447,'Tax Assumptions'!$K$9:$K$17,'Tax Assumptions'!$K$9:$K$17))*LOOKUP(W447,'Tax Assumptions'!$K$9:$K$17,'Tax Assumptions'!$M$9:$M$17))+IF(W447=0,0,LOOKUP(W447,'Tax Assumptions'!$P$9:$P$12,'Tax Assumptions'!$S$9:$S$12)+(W447-LOOKUP(W447,'Tax Assumptions'!$P$9:$P$12,'Tax Assumptions'!$P$9:$P$12))*LOOKUP(W447,'Tax Assumptions'!$P$9:$P$12,'Tax Assumptions'!$R$9:$R$12))</f>
        <v>2055188.6349999998</v>
      </c>
      <c r="Y447" s="230">
        <f t="shared" si="248"/>
        <v>1970311.3650000002</v>
      </c>
      <c r="Z447" s="230">
        <f>IF(J447&lt;=10,INDEX('Savings Projection'!$BL$19:$BL$28,J447),LOOKUP(2,1/('Savings Projection'!$BL$19:$BL$28&lt;&gt;""),'Savings Projection'!$BL$19:$BL$28))*(1+'Model Inputs'!$B$35)^(J447-1)+IF(J447&lt;=10,INDEX('Savings Projection'!$BM$19:$BM$28,J447),LOOKUP(2,1/('Savings Projection'!$BM$19:$BM$28&lt;&gt;""),'Savings Projection'!$BM$19:$BM$28))*(1+'Model Inputs'!$B$36)^(J447-1)</f>
        <v>159883.60250523311</v>
      </c>
      <c r="AA447" s="230">
        <f t="shared" si="249"/>
        <v>1810427.7624947671</v>
      </c>
      <c r="AB447" s="230">
        <f>MIN(MAX(AA447,0),'Tax Assumptions'!$B$20)</f>
        <v>7500</v>
      </c>
      <c r="AC447" s="230">
        <f t="shared" si="250"/>
        <v>1802927.7624947671</v>
      </c>
      <c r="AD447" s="230">
        <f>MAX(AD446*(1+'Model Inputs'!$B$13)+AC447,0)</f>
        <v>8265489.8798120236</v>
      </c>
      <c r="AE447" s="230">
        <f>MAX(AE446*(1+'Model Inputs'!$B$13)+U447+AB447,0)</f>
        <v>316718.97308311553</v>
      </c>
      <c r="AF447" s="230">
        <f t="shared" si="251"/>
        <v>8582208.8528951388</v>
      </c>
      <c r="AG447" s="226" t="str">
        <f t="shared" si="260"/>
        <v/>
      </c>
      <c r="AH447" s="226" t="str">
        <f t="shared" si="261"/>
        <v/>
      </c>
      <c r="AI447" s="226" t="str">
        <f t="shared" si="262"/>
        <v/>
      </c>
      <c r="AJ447" s="226" t="str">
        <f t="shared" si="263"/>
        <v/>
      </c>
    </row>
    <row r="448" spans="1:36" ht="18" customHeight="1" x14ac:dyDescent="0.2">
      <c r="A448" s="226" t="str">
        <f t="shared" si="252"/>
        <v>4Y -&gt; PM Y8 Base</v>
      </c>
      <c r="B448" s="226">
        <f t="shared" si="253"/>
        <v>4</v>
      </c>
      <c r="C448" s="235">
        <f t="shared" si="254"/>
        <v>3</v>
      </c>
      <c r="D448" s="226">
        <f t="shared" si="255"/>
        <v>8</v>
      </c>
      <c r="E448" s="226" t="str">
        <f t="shared" si="256"/>
        <v>Base</v>
      </c>
      <c r="F448" s="230">
        <f t="shared" si="257"/>
        <v>25000000</v>
      </c>
      <c r="G448" s="236">
        <f t="shared" si="258"/>
        <v>0.15</v>
      </c>
      <c r="H448" s="230">
        <f t="shared" si="259"/>
        <v>300000</v>
      </c>
      <c r="I448" s="236">
        <f t="shared" si="242"/>
        <v>0</v>
      </c>
      <c r="J448" s="234">
        <v>9</v>
      </c>
      <c r="K448" s="234">
        <f t="shared" si="243"/>
        <v>2034</v>
      </c>
      <c r="L448" s="230">
        <f>IF(J448=1,'Model Inputs'!$B$25*(13-'Model Inputs'!$B$23)/12,'Model Inputs'!$B$25)</f>
        <v>300000</v>
      </c>
      <c r="M448" s="230">
        <f>IF(J448=1,'Model Inputs'!$B$27*(13-'Model Inputs'!$B$23)/12,IF(J448=2,'Model Inputs'!$B$27,IF(J448&lt;=MAX(3,'Model Inputs'!$B$30+1),'Model Inputs'!$B$27*(1+'Model Inputs'!$B$28)^(J448-3),'Model Inputs'!$B$27*(1+'Model Inputs'!$B$28)^(MAX(3,'Model Inputs'!$B$30+1)-3)*(1+'Model Inputs'!$B$29)^(J448-MAX(3,'Model Inputs'!$B$30+1)))))</f>
        <v>2478210.9983498608</v>
      </c>
      <c r="N448" s="236">
        <f>IF(J448&lt;=2,0,'Model Inputs'!$B$32*SIN(2*PI()*(J448-3+'Model Inputs'!$B$34)/MAX(1,'Model Inputs'!$B$33)))</f>
        <v>-5.8783046359072947E-17</v>
      </c>
      <c r="O448" s="230">
        <f t="shared" si="244"/>
        <v>2478210.9983498603</v>
      </c>
      <c r="P448" s="230">
        <f t="shared" si="264"/>
        <v>1733969.9666232408</v>
      </c>
      <c r="Q448" s="230">
        <f>L448+P448+IF(J448=1,'Model Inputs'!$B$26,0)</f>
        <v>2033969.9666232408</v>
      </c>
      <c r="R448" s="230">
        <f t="shared" si="245"/>
        <v>6101909.8998697223</v>
      </c>
      <c r="S448" s="230">
        <f t="shared" si="246"/>
        <v>4050000</v>
      </c>
      <c r="T448" s="230">
        <f t="shared" si="247"/>
        <v>4050000</v>
      </c>
      <c r="U448" s="230">
        <f>MIN(T448,'Tax Assumptions'!$B$19)</f>
        <v>24500</v>
      </c>
      <c r="V448" s="230">
        <f>MAX(T448-U448-'Tax Assumptions'!$B$8,0)</f>
        <v>4009400</v>
      </c>
      <c r="W448" s="230">
        <f>MAX(T448-U448-'Tax Assumptions'!$B$9,0)</f>
        <v>4017500</v>
      </c>
      <c r="X448" s="230">
        <f>IF(V448=0,0,LOOKUP(V448,'Tax Assumptions'!$F$9:$F$15,'Tax Assumptions'!$I$9:$I$15)+(V448-LOOKUP(V448,'Tax Assumptions'!$F$9:$F$15,'Tax Assumptions'!$F$9:$F$15))*LOOKUP(V448,'Tax Assumptions'!$F$9:$F$15,'Tax Assumptions'!$H$9:$H$15))+MIN(MAX(T448,0),'Tax Assumptions'!$B$11)*'Tax Assumptions'!$B$10+MAX(T448,0)*'Tax Assumptions'!$B$12+MAX(MAX(T448,0)-'Tax Assumptions'!$B$14,0)*'Tax Assumptions'!$B$13+MIN(T448*'Tax Assumptions'!$B$15,'Tax Assumptions'!$B$16)+MIN(T448*'Tax Assumptions'!$B$17,'Tax Assumptions'!$B$18)+IF(W448=0,0,LOOKUP(W448,'Tax Assumptions'!$K$9:$K$17,'Tax Assumptions'!$N$9:$N$17)+(W448-LOOKUP(W448,'Tax Assumptions'!$K$9:$K$17,'Tax Assumptions'!$K$9:$K$17))*LOOKUP(W448,'Tax Assumptions'!$K$9:$K$17,'Tax Assumptions'!$M$9:$M$17))+IF(W448=0,0,LOOKUP(W448,'Tax Assumptions'!$P$9:$P$12,'Tax Assumptions'!$S$9:$S$12)+(W448-LOOKUP(W448,'Tax Assumptions'!$P$9:$P$12,'Tax Assumptions'!$P$9:$P$12))*LOOKUP(W448,'Tax Assumptions'!$P$9:$P$12,'Tax Assumptions'!$R$9:$R$12))</f>
        <v>2055188.6349999998</v>
      </c>
      <c r="Y448" s="230">
        <f t="shared" si="248"/>
        <v>1970311.3650000002</v>
      </c>
      <c r="Z448" s="230">
        <f>IF(J448&lt;=10,INDEX('Savings Projection'!$BL$19:$BL$28,J448),LOOKUP(2,1/('Savings Projection'!$BL$19:$BL$28&lt;&gt;""),'Savings Projection'!$BL$19:$BL$28))*(1+'Model Inputs'!$B$35)^(J448-1)+IF(J448&lt;=10,INDEX('Savings Projection'!$BM$19:$BM$28,J448),LOOKUP(2,1/('Savings Projection'!$BM$19:$BM$28&lt;&gt;""),'Savings Projection'!$BM$19:$BM$28))*(1+'Model Inputs'!$B$36)^(J448-1)</f>
        <v>164680.11058039009</v>
      </c>
      <c r="AA448" s="230">
        <f t="shared" si="249"/>
        <v>1805631.2544196101</v>
      </c>
      <c r="AB448" s="230">
        <f>MIN(MAX(AA448,0),'Tax Assumptions'!$B$20)</f>
        <v>7500</v>
      </c>
      <c r="AC448" s="230">
        <f t="shared" si="250"/>
        <v>1798131.2544196101</v>
      </c>
      <c r="AD448" s="230">
        <f>MAX(AD447*(1+'Model Inputs'!$B$13)+AC448,0)</f>
        <v>10559550.527020356</v>
      </c>
      <c r="AE448" s="230">
        <f>MAX(AE447*(1+'Model Inputs'!$B$13)+U448+AB448,0)</f>
        <v>367722.11146810249</v>
      </c>
      <c r="AF448" s="230">
        <f t="shared" si="251"/>
        <v>10927272.638488458</v>
      </c>
      <c r="AG448" s="226" t="str">
        <f t="shared" si="260"/>
        <v/>
      </c>
      <c r="AH448" s="226" t="str">
        <f t="shared" si="261"/>
        <v/>
      </c>
      <c r="AI448" s="226" t="str">
        <f t="shared" si="262"/>
        <v/>
      </c>
      <c r="AJ448" s="226" t="str">
        <f t="shared" si="263"/>
        <v/>
      </c>
    </row>
    <row r="449" spans="1:36" ht="18" customHeight="1" x14ac:dyDescent="0.2">
      <c r="A449" s="226" t="str">
        <f t="shared" si="252"/>
        <v>4Y -&gt; PM Y8 Base</v>
      </c>
      <c r="B449" s="226">
        <f t="shared" si="253"/>
        <v>4</v>
      </c>
      <c r="C449" s="235">
        <f t="shared" si="254"/>
        <v>3</v>
      </c>
      <c r="D449" s="226">
        <f t="shared" si="255"/>
        <v>8</v>
      </c>
      <c r="E449" s="226" t="str">
        <f t="shared" si="256"/>
        <v>Base</v>
      </c>
      <c r="F449" s="230">
        <f t="shared" si="257"/>
        <v>25000000</v>
      </c>
      <c r="G449" s="236">
        <f t="shared" si="258"/>
        <v>0.15</v>
      </c>
      <c r="H449" s="230">
        <f t="shared" si="259"/>
        <v>300000</v>
      </c>
      <c r="I449" s="236">
        <f t="shared" si="242"/>
        <v>0</v>
      </c>
      <c r="J449" s="234">
        <v>10</v>
      </c>
      <c r="K449" s="234">
        <f t="shared" si="243"/>
        <v>2035</v>
      </c>
      <c r="L449" s="230">
        <f>IF(J449=1,'Model Inputs'!$B$25*(13-'Model Inputs'!$B$23)/12,'Model Inputs'!$B$25)</f>
        <v>300000</v>
      </c>
      <c r="M449" s="230">
        <f>IF(J449=1,'Model Inputs'!$B$27*(13-'Model Inputs'!$B$23)/12,IF(J449=2,'Model Inputs'!$B$27,IF(J449&lt;=MAX(3,'Model Inputs'!$B$30+1),'Model Inputs'!$B$27*(1+'Model Inputs'!$B$28)^(J449-3),'Model Inputs'!$B$27*(1+'Model Inputs'!$B$28)^(MAX(3,'Model Inputs'!$B$30+1)-3)*(1+'Model Inputs'!$B$29)^(J449-MAX(3,'Model Inputs'!$B$30+1)))))</f>
        <v>3149502.4370985711</v>
      </c>
      <c r="N449" s="236">
        <f>IF(J449&lt;=2,0,'Model Inputs'!$B$32*SIN(2*PI()*(J449-3+'Model Inputs'!$B$34)/MAX(1,'Model Inputs'!$B$33)))</f>
        <v>0.10392304845413271</v>
      </c>
      <c r="O449" s="230">
        <f t="shared" si="244"/>
        <v>3476808.331475575</v>
      </c>
      <c r="P449" s="230">
        <f t="shared" si="264"/>
        <v>2295495.7626410057</v>
      </c>
      <c r="Q449" s="230">
        <f>L449+P449+IF(J449=1,'Model Inputs'!$B$26,0)</f>
        <v>2595495.7626410057</v>
      </c>
      <c r="R449" s="230">
        <f t="shared" si="245"/>
        <v>7786487.2879230175</v>
      </c>
      <c r="S449" s="230">
        <f t="shared" si="246"/>
        <v>4050000</v>
      </c>
      <c r="T449" s="230">
        <f t="shared" si="247"/>
        <v>4050000</v>
      </c>
      <c r="U449" s="230">
        <f>MIN(T449,'Tax Assumptions'!$B$19)</f>
        <v>24500</v>
      </c>
      <c r="V449" s="230">
        <f>MAX(T449-U449-'Tax Assumptions'!$B$8,0)</f>
        <v>4009400</v>
      </c>
      <c r="W449" s="230">
        <f>MAX(T449-U449-'Tax Assumptions'!$B$9,0)</f>
        <v>4017500</v>
      </c>
      <c r="X449" s="230">
        <f>IF(V449=0,0,LOOKUP(V449,'Tax Assumptions'!$F$9:$F$15,'Tax Assumptions'!$I$9:$I$15)+(V449-LOOKUP(V449,'Tax Assumptions'!$F$9:$F$15,'Tax Assumptions'!$F$9:$F$15))*LOOKUP(V449,'Tax Assumptions'!$F$9:$F$15,'Tax Assumptions'!$H$9:$H$15))+MIN(MAX(T449,0),'Tax Assumptions'!$B$11)*'Tax Assumptions'!$B$10+MAX(T449,0)*'Tax Assumptions'!$B$12+MAX(MAX(T449,0)-'Tax Assumptions'!$B$14,0)*'Tax Assumptions'!$B$13+MIN(T449*'Tax Assumptions'!$B$15,'Tax Assumptions'!$B$16)+MIN(T449*'Tax Assumptions'!$B$17,'Tax Assumptions'!$B$18)+IF(W449=0,0,LOOKUP(W449,'Tax Assumptions'!$K$9:$K$17,'Tax Assumptions'!$N$9:$N$17)+(W449-LOOKUP(W449,'Tax Assumptions'!$K$9:$K$17,'Tax Assumptions'!$K$9:$K$17))*LOOKUP(W449,'Tax Assumptions'!$K$9:$K$17,'Tax Assumptions'!$M$9:$M$17))+IF(W449=0,0,LOOKUP(W449,'Tax Assumptions'!$P$9:$P$12,'Tax Assumptions'!$S$9:$S$12)+(W449-LOOKUP(W449,'Tax Assumptions'!$P$9:$P$12,'Tax Assumptions'!$P$9:$P$12))*LOOKUP(W449,'Tax Assumptions'!$P$9:$P$12,'Tax Assumptions'!$R$9:$R$12))</f>
        <v>2055188.6349999998</v>
      </c>
      <c r="Y449" s="230">
        <f t="shared" si="248"/>
        <v>1970311.3650000002</v>
      </c>
      <c r="Z449" s="230">
        <f>IF(J449&lt;=10,INDEX('Savings Projection'!$BL$19:$BL$28,J449),LOOKUP(2,1/('Savings Projection'!$BL$19:$BL$28&lt;&gt;""),'Savings Projection'!$BL$19:$BL$28))*(1+'Model Inputs'!$B$35)^(J449-1)+IF(J449&lt;=10,INDEX('Savings Projection'!$BM$19:$BM$28,J449),LOOKUP(2,1/('Savings Projection'!$BM$19:$BM$28&lt;&gt;""),'Savings Projection'!$BM$19:$BM$28))*(1+'Model Inputs'!$B$36)^(J449-1)</f>
        <v>169620.51389780178</v>
      </c>
      <c r="AA449" s="230">
        <f t="shared" si="249"/>
        <v>1800690.8511021985</v>
      </c>
      <c r="AB449" s="230">
        <f>MIN(MAX(AA449,0),'Tax Assumptions'!$B$20)</f>
        <v>7500</v>
      </c>
      <c r="AC449" s="230">
        <f t="shared" si="250"/>
        <v>1793190.8511021985</v>
      </c>
      <c r="AD449" s="230">
        <f>MAX(AD448*(1+'Model Inputs'!$B$13)+AC449,0)</f>
        <v>12986314.409743775</v>
      </c>
      <c r="AE449" s="230">
        <f>MAX(AE448*(1+'Model Inputs'!$B$13)+U449+AB449,0)</f>
        <v>421785.43815618864</v>
      </c>
      <c r="AF449" s="230">
        <f t="shared" si="251"/>
        <v>13408099.847899964</v>
      </c>
      <c r="AG449" s="226" t="str">
        <f t="shared" si="260"/>
        <v/>
      </c>
      <c r="AH449" s="226" t="str">
        <f t="shared" si="261"/>
        <v/>
      </c>
      <c r="AI449" s="226" t="str">
        <f t="shared" si="262"/>
        <v/>
      </c>
      <c r="AJ449" s="226" t="str">
        <f t="shared" si="263"/>
        <v/>
      </c>
    </row>
    <row r="450" spans="1:36" ht="18" customHeight="1" x14ac:dyDescent="0.2">
      <c r="A450" s="226" t="str">
        <f t="shared" si="252"/>
        <v>4Y -&gt; PM Y8 Base</v>
      </c>
      <c r="B450" s="226">
        <f t="shared" si="253"/>
        <v>4</v>
      </c>
      <c r="C450" s="235">
        <f t="shared" si="254"/>
        <v>3</v>
      </c>
      <c r="D450" s="226">
        <f t="shared" si="255"/>
        <v>8</v>
      </c>
      <c r="E450" s="226" t="str">
        <f t="shared" si="256"/>
        <v>Base</v>
      </c>
      <c r="F450" s="230">
        <f t="shared" si="257"/>
        <v>25000000</v>
      </c>
      <c r="G450" s="236">
        <f t="shared" si="258"/>
        <v>0.15</v>
      </c>
      <c r="H450" s="230">
        <f t="shared" si="259"/>
        <v>300000</v>
      </c>
      <c r="I450" s="236">
        <f t="shared" si="242"/>
        <v>0</v>
      </c>
      <c r="J450" s="234">
        <v>11</v>
      </c>
      <c r="K450" s="234">
        <f t="shared" si="243"/>
        <v>2036</v>
      </c>
      <c r="L450" s="230">
        <f>IF(J450=1,'Model Inputs'!$B$25*(13-'Model Inputs'!$B$23)/12,'Model Inputs'!$B$25)</f>
        <v>300000</v>
      </c>
      <c r="M450" s="230">
        <f>IF(J450=1,'Model Inputs'!$B$27*(13-'Model Inputs'!$B$23)/12,IF(J450=2,'Model Inputs'!$B$27,IF(J450&lt;=MAX(3,'Model Inputs'!$B$30+1),'Model Inputs'!$B$27*(1+'Model Inputs'!$B$28)^(J450-3),'Model Inputs'!$B$27*(1+'Model Inputs'!$B$28)^(MAX(3,'Model Inputs'!$B$30+1)-3)*(1+'Model Inputs'!$B$29)^(J450-MAX(3,'Model Inputs'!$B$30+1)))))</f>
        <v>4002631.578947369</v>
      </c>
      <c r="N450" s="236">
        <f>IF(J450&lt;=2,0,'Model Inputs'!$B$32*SIN(2*PI()*(J450-3+'Model Inputs'!$B$34)/MAX(1,'Model Inputs'!$B$33)))</f>
        <v>-0.10392304845413253</v>
      </c>
      <c r="O450" s="230">
        <f t="shared" si="244"/>
        <v>3586665.9034243808</v>
      </c>
      <c r="P450" s="230">
        <f t="shared" si="264"/>
        <v>3227158.9981941464</v>
      </c>
      <c r="Q450" s="230">
        <f>L450+P450+IF(J450=1,'Model Inputs'!$B$26,0)</f>
        <v>3527158.9981941464</v>
      </c>
      <c r="R450" s="230">
        <f t="shared" si="245"/>
        <v>10581476.994582439</v>
      </c>
      <c r="S450" s="230">
        <f t="shared" si="246"/>
        <v>4050000</v>
      </c>
      <c r="T450" s="230">
        <f t="shared" si="247"/>
        <v>4050000</v>
      </c>
      <c r="U450" s="230">
        <f>MIN(T450,'Tax Assumptions'!$B$19)</f>
        <v>24500</v>
      </c>
      <c r="V450" s="230">
        <f>MAX(T450-U450-'Tax Assumptions'!$B$8,0)</f>
        <v>4009400</v>
      </c>
      <c r="W450" s="230">
        <f>MAX(T450-U450-'Tax Assumptions'!$B$9,0)</f>
        <v>4017500</v>
      </c>
      <c r="X450" s="230">
        <f>IF(V450=0,0,LOOKUP(V450,'Tax Assumptions'!$F$9:$F$15,'Tax Assumptions'!$I$9:$I$15)+(V450-LOOKUP(V450,'Tax Assumptions'!$F$9:$F$15,'Tax Assumptions'!$F$9:$F$15))*LOOKUP(V450,'Tax Assumptions'!$F$9:$F$15,'Tax Assumptions'!$H$9:$H$15))+MIN(MAX(T450,0),'Tax Assumptions'!$B$11)*'Tax Assumptions'!$B$10+MAX(T450,0)*'Tax Assumptions'!$B$12+MAX(MAX(T450,0)-'Tax Assumptions'!$B$14,0)*'Tax Assumptions'!$B$13+MIN(T450*'Tax Assumptions'!$B$15,'Tax Assumptions'!$B$16)+MIN(T450*'Tax Assumptions'!$B$17,'Tax Assumptions'!$B$18)+IF(W450=0,0,LOOKUP(W450,'Tax Assumptions'!$K$9:$K$17,'Tax Assumptions'!$N$9:$N$17)+(W450-LOOKUP(W450,'Tax Assumptions'!$K$9:$K$17,'Tax Assumptions'!$K$9:$K$17))*LOOKUP(W450,'Tax Assumptions'!$K$9:$K$17,'Tax Assumptions'!$M$9:$M$17))+IF(W450=0,0,LOOKUP(W450,'Tax Assumptions'!$P$9:$P$12,'Tax Assumptions'!$S$9:$S$12)+(W450-LOOKUP(W450,'Tax Assumptions'!$P$9:$P$12,'Tax Assumptions'!$P$9:$P$12))*LOOKUP(W450,'Tax Assumptions'!$P$9:$P$12,'Tax Assumptions'!$R$9:$R$12))</f>
        <v>2055188.6349999998</v>
      </c>
      <c r="Y450" s="230">
        <f t="shared" si="248"/>
        <v>1970311.3650000002</v>
      </c>
      <c r="Z450" s="230">
        <f>IF(J450&lt;=10,INDEX('Savings Projection'!$BL$19:$BL$28,J450),LOOKUP(2,1/('Savings Projection'!$BL$19:$BL$28&lt;&gt;""),'Savings Projection'!$BL$19:$BL$28))*(1+'Model Inputs'!$B$35)^(J450-1)+IF(J450&lt;=10,INDEX('Savings Projection'!$BM$19:$BM$28,J450),LOOKUP(2,1/('Savings Projection'!$BM$19:$BM$28&lt;&gt;""),'Savings Projection'!$BM$19:$BM$28))*(1+'Model Inputs'!$B$36)^(J450-1)</f>
        <v>174709.12931473582</v>
      </c>
      <c r="AA450" s="230">
        <f t="shared" si="249"/>
        <v>1795602.2356852645</v>
      </c>
      <c r="AB450" s="230">
        <f>MIN(MAX(AA450,0),'Tax Assumptions'!$B$20)</f>
        <v>7500</v>
      </c>
      <c r="AC450" s="230">
        <f t="shared" si="250"/>
        <v>1788102.2356852645</v>
      </c>
      <c r="AD450" s="230">
        <f>MAX(AD449*(1+'Model Inputs'!$B$13)+AC450,0)</f>
        <v>15553595.510013666</v>
      </c>
      <c r="AE450" s="230">
        <f>MAX(AE449*(1+'Model Inputs'!$B$13)+U450+AB450,0)</f>
        <v>479092.56444555998</v>
      </c>
      <c r="AF450" s="230">
        <f t="shared" si="251"/>
        <v>16032688.074459227</v>
      </c>
      <c r="AG450" s="226">
        <f t="shared" si="260"/>
        <v>11</v>
      </c>
      <c r="AH450" s="226" t="str">
        <f t="shared" si="261"/>
        <v/>
      </c>
      <c r="AI450" s="226" t="str">
        <f t="shared" si="262"/>
        <v/>
      </c>
      <c r="AJ450" s="226" t="str">
        <f t="shared" si="263"/>
        <v/>
      </c>
    </row>
    <row r="451" spans="1:36" ht="18" customHeight="1" x14ac:dyDescent="0.2">
      <c r="A451" s="226" t="str">
        <f t="shared" si="252"/>
        <v>4Y -&gt; PM Y8 Base</v>
      </c>
      <c r="B451" s="226">
        <f t="shared" si="253"/>
        <v>4</v>
      </c>
      <c r="C451" s="235">
        <f t="shared" si="254"/>
        <v>3</v>
      </c>
      <c r="D451" s="226">
        <f t="shared" si="255"/>
        <v>8</v>
      </c>
      <c r="E451" s="226" t="str">
        <f t="shared" si="256"/>
        <v>Base</v>
      </c>
      <c r="F451" s="230">
        <f t="shared" si="257"/>
        <v>25000000</v>
      </c>
      <c r="G451" s="236">
        <f t="shared" si="258"/>
        <v>0.15</v>
      </c>
      <c r="H451" s="230">
        <f t="shared" si="259"/>
        <v>300000</v>
      </c>
      <c r="I451" s="236">
        <f t="shared" si="242"/>
        <v>0</v>
      </c>
      <c r="J451" s="234">
        <v>12</v>
      </c>
      <c r="K451" s="234">
        <f t="shared" si="243"/>
        <v>2037</v>
      </c>
      <c r="L451" s="230">
        <f>IF(J451=1,'Model Inputs'!$B$25*(13-'Model Inputs'!$B$23)/12,'Model Inputs'!$B$25)</f>
        <v>300000</v>
      </c>
      <c r="M451" s="230">
        <f>IF(J451=1,'Model Inputs'!$B$27*(13-'Model Inputs'!$B$23)/12,IF(J451=2,'Model Inputs'!$B$27,IF(J451&lt;=MAX(3,'Model Inputs'!$B$30+1),'Model Inputs'!$B$27*(1+'Model Inputs'!$B$28)^(J451-3),'Model Inputs'!$B$27*(1+'Model Inputs'!$B$28)^(MAX(3,'Model Inputs'!$B$30+1)-3)*(1+'Model Inputs'!$B$29)^(J451-MAX(3,'Model Inputs'!$B$30+1)))))</f>
        <v>5086854.15450761</v>
      </c>
      <c r="N451" s="236">
        <f>IF(J451&lt;=2,0,'Model Inputs'!$B$32*SIN(2*PI()*(J451-3+'Model Inputs'!$B$34)/MAX(1,'Model Inputs'!$B$33)))</f>
        <v>-8.8174569538609421E-17</v>
      </c>
      <c r="O451" s="230">
        <f t="shared" si="244"/>
        <v>5086854.1545076091</v>
      </c>
      <c r="P451" s="230">
        <f t="shared" si="264"/>
        <v>3559201.5104371794</v>
      </c>
      <c r="Q451" s="230">
        <f>L451+P451+IF(J451=1,'Model Inputs'!$B$26,0)</f>
        <v>3859201.5104371794</v>
      </c>
      <c r="R451" s="230">
        <f t="shared" si="245"/>
        <v>11577604.531311538</v>
      </c>
      <c r="S451" s="230">
        <f t="shared" si="246"/>
        <v>4050000</v>
      </c>
      <c r="T451" s="230">
        <f t="shared" si="247"/>
        <v>4050000</v>
      </c>
      <c r="U451" s="230">
        <f>MIN(T451,'Tax Assumptions'!$B$19)</f>
        <v>24500</v>
      </c>
      <c r="V451" s="230">
        <f>MAX(T451-U451-'Tax Assumptions'!$B$8,0)</f>
        <v>4009400</v>
      </c>
      <c r="W451" s="230">
        <f>MAX(T451-U451-'Tax Assumptions'!$B$9,0)</f>
        <v>4017500</v>
      </c>
      <c r="X451" s="230">
        <f>IF(V451=0,0,LOOKUP(V451,'Tax Assumptions'!$F$9:$F$15,'Tax Assumptions'!$I$9:$I$15)+(V451-LOOKUP(V451,'Tax Assumptions'!$F$9:$F$15,'Tax Assumptions'!$F$9:$F$15))*LOOKUP(V451,'Tax Assumptions'!$F$9:$F$15,'Tax Assumptions'!$H$9:$H$15))+MIN(MAX(T451,0),'Tax Assumptions'!$B$11)*'Tax Assumptions'!$B$10+MAX(T451,0)*'Tax Assumptions'!$B$12+MAX(MAX(T451,0)-'Tax Assumptions'!$B$14,0)*'Tax Assumptions'!$B$13+MIN(T451*'Tax Assumptions'!$B$15,'Tax Assumptions'!$B$16)+MIN(T451*'Tax Assumptions'!$B$17,'Tax Assumptions'!$B$18)+IF(W451=0,0,LOOKUP(W451,'Tax Assumptions'!$K$9:$K$17,'Tax Assumptions'!$N$9:$N$17)+(W451-LOOKUP(W451,'Tax Assumptions'!$K$9:$K$17,'Tax Assumptions'!$K$9:$K$17))*LOOKUP(W451,'Tax Assumptions'!$K$9:$K$17,'Tax Assumptions'!$M$9:$M$17))+IF(W451=0,0,LOOKUP(W451,'Tax Assumptions'!$P$9:$P$12,'Tax Assumptions'!$S$9:$S$12)+(W451-LOOKUP(W451,'Tax Assumptions'!$P$9:$P$12,'Tax Assumptions'!$P$9:$P$12))*LOOKUP(W451,'Tax Assumptions'!$P$9:$P$12,'Tax Assumptions'!$R$9:$R$12))</f>
        <v>2055188.6349999998</v>
      </c>
      <c r="Y451" s="230">
        <f t="shared" si="248"/>
        <v>1970311.3650000002</v>
      </c>
      <c r="Z451" s="230">
        <f>IF(J451&lt;=10,INDEX('Savings Projection'!$BL$19:$BL$28,J451),LOOKUP(2,1/('Savings Projection'!$BL$19:$BL$28&lt;&gt;""),'Savings Projection'!$BL$19:$BL$28))*(1+'Model Inputs'!$B$35)^(J451-1)+IF(J451&lt;=10,INDEX('Savings Projection'!$BM$19:$BM$28,J451),LOOKUP(2,1/('Savings Projection'!$BM$19:$BM$28&lt;&gt;""),'Savings Projection'!$BM$19:$BM$28))*(1+'Model Inputs'!$B$36)^(J451-1)</f>
        <v>179950.4031941779</v>
      </c>
      <c r="AA451" s="230">
        <f t="shared" si="249"/>
        <v>1790360.9618058223</v>
      </c>
      <c r="AB451" s="230">
        <f>MIN(MAX(AA451,0),'Tax Assumptions'!$B$20)</f>
        <v>7500</v>
      </c>
      <c r="AC451" s="230">
        <f t="shared" si="250"/>
        <v>1782860.9618058223</v>
      </c>
      <c r="AD451" s="230">
        <f>MAX(AD450*(1+'Model Inputs'!$B$13)+AC451,0)</f>
        <v>18269672.202420309</v>
      </c>
      <c r="AE451" s="230">
        <f>MAX(AE450*(1+'Model Inputs'!$B$13)+U451+AB451,0)</f>
        <v>539838.11831229366</v>
      </c>
      <c r="AF451" s="230">
        <f t="shared" si="251"/>
        <v>18809510.320732601</v>
      </c>
      <c r="AG451" s="226" t="str">
        <f t="shared" si="260"/>
        <v/>
      </c>
      <c r="AH451" s="226">
        <f t="shared" si="261"/>
        <v>12</v>
      </c>
      <c r="AI451" s="226">
        <f t="shared" si="262"/>
        <v>12</v>
      </c>
      <c r="AJ451" s="226" t="str">
        <f t="shared" si="263"/>
        <v/>
      </c>
    </row>
    <row r="452" spans="1:36" ht="18" customHeight="1" x14ac:dyDescent="0.2">
      <c r="A452" s="226" t="str">
        <f t="shared" si="252"/>
        <v>4Y -&gt; PM Y8 Base</v>
      </c>
      <c r="B452" s="226">
        <f t="shared" si="253"/>
        <v>4</v>
      </c>
      <c r="C452" s="235">
        <f t="shared" si="254"/>
        <v>3</v>
      </c>
      <c r="D452" s="226">
        <f t="shared" si="255"/>
        <v>8</v>
      </c>
      <c r="E452" s="226" t="str">
        <f t="shared" si="256"/>
        <v>Base</v>
      </c>
      <c r="F452" s="230">
        <f t="shared" si="257"/>
        <v>25000000</v>
      </c>
      <c r="G452" s="236">
        <f t="shared" si="258"/>
        <v>0.15</v>
      </c>
      <c r="H452" s="230">
        <f t="shared" si="259"/>
        <v>300000</v>
      </c>
      <c r="I452" s="236">
        <f t="shared" si="242"/>
        <v>0</v>
      </c>
      <c r="J452" s="234">
        <v>13</v>
      </c>
      <c r="K452" s="234">
        <f t="shared" si="243"/>
        <v>2038</v>
      </c>
      <c r="L452" s="230">
        <f>IF(J452=1,'Model Inputs'!$B$25*(13-'Model Inputs'!$B$23)/12,'Model Inputs'!$B$25)</f>
        <v>300000</v>
      </c>
      <c r="M452" s="230">
        <f>IF(J452=1,'Model Inputs'!$B$27*(13-'Model Inputs'!$B$23)/12,IF(J452=2,'Model Inputs'!$B$27,IF(J452&lt;=MAX(3,'Model Inputs'!$B$30+1),'Model Inputs'!$B$27*(1+'Model Inputs'!$B$28)^(J452-3),'Model Inputs'!$B$27*(1+'Model Inputs'!$B$28)^(MAX(3,'Model Inputs'!$B$30+1)-3)*(1+'Model Inputs'!$B$29)^(J452-MAX(3,'Model Inputs'!$B$30+1)))))</f>
        <v>6464768.1603602255</v>
      </c>
      <c r="N452" s="236">
        <f>IF(J452&lt;=2,0,'Model Inputs'!$B$32*SIN(2*PI()*(J452-3+'Model Inputs'!$B$34)/MAX(1,'Model Inputs'!$B$33)))</f>
        <v>0.10392304845413261</v>
      </c>
      <c r="O452" s="230">
        <f t="shared" si="244"/>
        <v>7136606.5751340752</v>
      </c>
      <c r="P452" s="230">
        <f t="shared" si="264"/>
        <v>4711807.0917368019</v>
      </c>
      <c r="Q452" s="230">
        <f>L452+P452+IF(J452=1,'Model Inputs'!$B$26,0)</f>
        <v>5011807.0917368019</v>
      </c>
      <c r="R452" s="230">
        <f t="shared" si="245"/>
        <v>15035421.275210407</v>
      </c>
      <c r="S452" s="230">
        <f t="shared" si="246"/>
        <v>4050000</v>
      </c>
      <c r="T452" s="230">
        <f t="shared" si="247"/>
        <v>4050000</v>
      </c>
      <c r="U452" s="230">
        <f>MIN(T452,'Tax Assumptions'!$B$19)</f>
        <v>24500</v>
      </c>
      <c r="V452" s="230">
        <f>MAX(T452-U452-'Tax Assumptions'!$B$8,0)</f>
        <v>4009400</v>
      </c>
      <c r="W452" s="230">
        <f>MAX(T452-U452-'Tax Assumptions'!$B$9,0)</f>
        <v>4017500</v>
      </c>
      <c r="X452" s="230">
        <f>IF(V452=0,0,LOOKUP(V452,'Tax Assumptions'!$F$9:$F$15,'Tax Assumptions'!$I$9:$I$15)+(V452-LOOKUP(V452,'Tax Assumptions'!$F$9:$F$15,'Tax Assumptions'!$F$9:$F$15))*LOOKUP(V452,'Tax Assumptions'!$F$9:$F$15,'Tax Assumptions'!$H$9:$H$15))+MIN(MAX(T452,0),'Tax Assumptions'!$B$11)*'Tax Assumptions'!$B$10+MAX(T452,0)*'Tax Assumptions'!$B$12+MAX(MAX(T452,0)-'Tax Assumptions'!$B$14,0)*'Tax Assumptions'!$B$13+MIN(T452*'Tax Assumptions'!$B$15,'Tax Assumptions'!$B$16)+MIN(T452*'Tax Assumptions'!$B$17,'Tax Assumptions'!$B$18)+IF(W452=0,0,LOOKUP(W452,'Tax Assumptions'!$K$9:$K$17,'Tax Assumptions'!$N$9:$N$17)+(W452-LOOKUP(W452,'Tax Assumptions'!$K$9:$K$17,'Tax Assumptions'!$K$9:$K$17))*LOOKUP(W452,'Tax Assumptions'!$K$9:$K$17,'Tax Assumptions'!$M$9:$M$17))+IF(W452=0,0,LOOKUP(W452,'Tax Assumptions'!$P$9:$P$12,'Tax Assumptions'!$S$9:$S$12)+(W452-LOOKUP(W452,'Tax Assumptions'!$P$9:$P$12,'Tax Assumptions'!$P$9:$P$12))*LOOKUP(W452,'Tax Assumptions'!$P$9:$P$12,'Tax Assumptions'!$R$9:$R$12))</f>
        <v>2055188.6349999998</v>
      </c>
      <c r="Y452" s="230">
        <f t="shared" si="248"/>
        <v>1970311.3650000002</v>
      </c>
      <c r="Z452" s="230">
        <f>IF(J452&lt;=10,INDEX('Savings Projection'!$BL$19:$BL$28,J452),LOOKUP(2,1/('Savings Projection'!$BL$19:$BL$28&lt;&gt;""),'Savings Projection'!$BL$19:$BL$28))*(1+'Model Inputs'!$B$35)^(J452-1)+IF(J452&lt;=10,INDEX('Savings Projection'!$BM$19:$BM$28,J452),LOOKUP(2,1/('Savings Projection'!$BM$19:$BM$28&lt;&gt;""),'Savings Projection'!$BM$19:$BM$28))*(1+'Model Inputs'!$B$36)^(J452-1)</f>
        <v>185348.91529000323</v>
      </c>
      <c r="AA452" s="230">
        <f t="shared" si="249"/>
        <v>1784962.449709997</v>
      </c>
      <c r="AB452" s="230">
        <f>MIN(MAX(AA452,0),'Tax Assumptions'!$B$20)</f>
        <v>7500</v>
      </c>
      <c r="AC452" s="230">
        <f t="shared" si="250"/>
        <v>1777462.449709997</v>
      </c>
      <c r="AD452" s="230">
        <f>MAX(AD451*(1+'Model Inputs'!$B$13)+AC452,0)</f>
        <v>21143314.984275524</v>
      </c>
      <c r="AE452" s="230">
        <f>MAX(AE451*(1+'Model Inputs'!$B$13)+U452+AB452,0)</f>
        <v>604228.40541103133</v>
      </c>
      <c r="AF452" s="230">
        <f t="shared" si="251"/>
        <v>21747543.389686555</v>
      </c>
      <c r="AG452" s="226" t="str">
        <f t="shared" si="260"/>
        <v/>
      </c>
      <c r="AH452" s="226" t="str">
        <f t="shared" si="261"/>
        <v/>
      </c>
      <c r="AI452" s="226" t="str">
        <f t="shared" si="262"/>
        <v/>
      </c>
      <c r="AJ452" s="226">
        <f t="shared" si="263"/>
        <v>13</v>
      </c>
    </row>
    <row r="453" spans="1:36" ht="18" customHeight="1" x14ac:dyDescent="0.2">
      <c r="A453" s="226" t="str">
        <f t="shared" si="252"/>
        <v>4Y -&gt; PM Y8 Base</v>
      </c>
      <c r="B453" s="226">
        <f t="shared" si="253"/>
        <v>4</v>
      </c>
      <c r="C453" s="235">
        <f t="shared" si="254"/>
        <v>3</v>
      </c>
      <c r="D453" s="226">
        <f t="shared" si="255"/>
        <v>8</v>
      </c>
      <c r="E453" s="226" t="str">
        <f t="shared" si="256"/>
        <v>Base</v>
      </c>
      <c r="F453" s="230">
        <f t="shared" si="257"/>
        <v>25000000</v>
      </c>
      <c r="G453" s="236">
        <f t="shared" si="258"/>
        <v>0.15</v>
      </c>
      <c r="H453" s="230">
        <f t="shared" si="259"/>
        <v>300000</v>
      </c>
      <c r="I453" s="236">
        <f t="shared" si="242"/>
        <v>0</v>
      </c>
      <c r="J453" s="234">
        <v>14</v>
      </c>
      <c r="K453" s="234">
        <f t="shared" si="243"/>
        <v>2039</v>
      </c>
      <c r="L453" s="230">
        <f>IF(J453=1,'Model Inputs'!$B$25*(13-'Model Inputs'!$B$23)/12,'Model Inputs'!$B$25)</f>
        <v>300000</v>
      </c>
      <c r="M453" s="230">
        <f>IF(J453=1,'Model Inputs'!$B$27*(13-'Model Inputs'!$B$23)/12,IF(J453=2,'Model Inputs'!$B$27,IF(J453&lt;=MAX(3,'Model Inputs'!$B$30+1),'Model Inputs'!$B$27*(1+'Model Inputs'!$B$28)^(J453-3),'Model Inputs'!$B$27*(1+'Model Inputs'!$B$28)^(MAX(3,'Model Inputs'!$B$30+1)-3)*(1+'Model Inputs'!$B$29)^(J453-MAX(3,'Model Inputs'!$B$30+1)))))</f>
        <v>8215927.9778393377</v>
      </c>
      <c r="N453" s="236">
        <f>IF(J453&lt;=2,0,'Model Inputs'!$B$32*SIN(2*PI()*(J453-3+'Model Inputs'!$B$34)/MAX(1,'Model Inputs'!$B$33)))</f>
        <v>-0.10392304845413251</v>
      </c>
      <c r="O453" s="230">
        <f t="shared" si="244"/>
        <v>7362103.6965026772</v>
      </c>
      <c r="P453" s="230">
        <f t="shared" si="264"/>
        <v>6624168.4699774589</v>
      </c>
      <c r="Q453" s="230">
        <f>L453+P453+IF(J453=1,'Model Inputs'!$B$26,0)</f>
        <v>6924168.4699774589</v>
      </c>
      <c r="R453" s="230">
        <f t="shared" si="245"/>
        <v>20772505.409932375</v>
      </c>
      <c r="S453" s="230">
        <f t="shared" si="246"/>
        <v>4050000</v>
      </c>
      <c r="T453" s="230">
        <f t="shared" si="247"/>
        <v>4050000</v>
      </c>
      <c r="U453" s="230">
        <f>MIN(T453,'Tax Assumptions'!$B$19)</f>
        <v>24500</v>
      </c>
      <c r="V453" s="230">
        <f>MAX(T453-U453-'Tax Assumptions'!$B$8,0)</f>
        <v>4009400</v>
      </c>
      <c r="W453" s="230">
        <f>MAX(T453-U453-'Tax Assumptions'!$B$9,0)</f>
        <v>4017500</v>
      </c>
      <c r="X453" s="230">
        <f>IF(V453=0,0,LOOKUP(V453,'Tax Assumptions'!$F$9:$F$15,'Tax Assumptions'!$I$9:$I$15)+(V453-LOOKUP(V453,'Tax Assumptions'!$F$9:$F$15,'Tax Assumptions'!$F$9:$F$15))*LOOKUP(V453,'Tax Assumptions'!$F$9:$F$15,'Tax Assumptions'!$H$9:$H$15))+MIN(MAX(T453,0),'Tax Assumptions'!$B$11)*'Tax Assumptions'!$B$10+MAX(T453,0)*'Tax Assumptions'!$B$12+MAX(MAX(T453,0)-'Tax Assumptions'!$B$14,0)*'Tax Assumptions'!$B$13+MIN(T453*'Tax Assumptions'!$B$15,'Tax Assumptions'!$B$16)+MIN(T453*'Tax Assumptions'!$B$17,'Tax Assumptions'!$B$18)+IF(W453=0,0,LOOKUP(W453,'Tax Assumptions'!$K$9:$K$17,'Tax Assumptions'!$N$9:$N$17)+(W453-LOOKUP(W453,'Tax Assumptions'!$K$9:$K$17,'Tax Assumptions'!$K$9:$K$17))*LOOKUP(W453,'Tax Assumptions'!$K$9:$K$17,'Tax Assumptions'!$M$9:$M$17))+IF(W453=0,0,LOOKUP(W453,'Tax Assumptions'!$P$9:$P$12,'Tax Assumptions'!$S$9:$S$12)+(W453-LOOKUP(W453,'Tax Assumptions'!$P$9:$P$12,'Tax Assumptions'!$P$9:$P$12))*LOOKUP(W453,'Tax Assumptions'!$P$9:$P$12,'Tax Assumptions'!$R$9:$R$12))</f>
        <v>2055188.6349999998</v>
      </c>
      <c r="Y453" s="230">
        <f t="shared" si="248"/>
        <v>1970311.3650000002</v>
      </c>
      <c r="Z453" s="230">
        <f>IF(J453&lt;=10,INDEX('Savings Projection'!$BL$19:$BL$28,J453),LOOKUP(2,1/('Savings Projection'!$BL$19:$BL$28&lt;&gt;""),'Savings Projection'!$BL$19:$BL$28))*(1+'Model Inputs'!$B$35)^(J453-1)+IF(J453&lt;=10,INDEX('Savings Projection'!$BM$19:$BM$28,J453),LOOKUP(2,1/('Savings Projection'!$BM$19:$BM$28&lt;&gt;""),'Savings Projection'!$BM$19:$BM$28))*(1+'Model Inputs'!$B$36)^(J453-1)</f>
        <v>190909.3827487033</v>
      </c>
      <c r="AA453" s="230">
        <f t="shared" si="249"/>
        <v>1779401.982251297</v>
      </c>
      <c r="AB453" s="230">
        <f>MIN(MAX(AA453,0),'Tax Assumptions'!$B$20)</f>
        <v>7500</v>
      </c>
      <c r="AC453" s="230">
        <f t="shared" si="250"/>
        <v>1771901.982251297</v>
      </c>
      <c r="AD453" s="230">
        <f>MAX(AD452*(1+'Model Inputs'!$B$13)+AC453,0)</f>
        <v>24183815.865583353</v>
      </c>
      <c r="AE453" s="230">
        <f>MAX(AE452*(1+'Model Inputs'!$B$13)+U453+AB453,0)</f>
        <v>672482.1097356932</v>
      </c>
      <c r="AF453" s="230">
        <f t="shared" si="251"/>
        <v>24856297.975319047</v>
      </c>
      <c r="AG453" s="226" t="str">
        <f t="shared" si="260"/>
        <v/>
      </c>
      <c r="AH453" s="226" t="str">
        <f t="shared" si="261"/>
        <v/>
      </c>
      <c r="AI453" s="226" t="str">
        <f t="shared" si="262"/>
        <v/>
      </c>
      <c r="AJ453" s="226" t="str">
        <f t="shared" si="263"/>
        <v/>
      </c>
    </row>
    <row r="454" spans="1:36" ht="18" customHeight="1" x14ac:dyDescent="0.2">
      <c r="A454" s="226" t="str">
        <f t="shared" si="252"/>
        <v>4Y -&gt; PM Y8 Base</v>
      </c>
      <c r="B454" s="226">
        <f t="shared" si="253"/>
        <v>4</v>
      </c>
      <c r="C454" s="235">
        <f t="shared" si="254"/>
        <v>3</v>
      </c>
      <c r="D454" s="226">
        <f t="shared" si="255"/>
        <v>8</v>
      </c>
      <c r="E454" s="226" t="str">
        <f t="shared" si="256"/>
        <v>Base</v>
      </c>
      <c r="F454" s="230">
        <f t="shared" si="257"/>
        <v>25000000</v>
      </c>
      <c r="G454" s="236">
        <f t="shared" si="258"/>
        <v>0.15</v>
      </c>
      <c r="H454" s="230">
        <f t="shared" si="259"/>
        <v>300000</v>
      </c>
      <c r="I454" s="236">
        <f t="shared" si="242"/>
        <v>0</v>
      </c>
      <c r="J454" s="234">
        <v>15</v>
      </c>
      <c r="K454" s="234">
        <f t="shared" si="243"/>
        <v>2040</v>
      </c>
      <c r="L454" s="230">
        <f>IF(J454=1,'Model Inputs'!$B$25*(13-'Model Inputs'!$B$23)/12,'Model Inputs'!$B$25)</f>
        <v>300000</v>
      </c>
      <c r="M454" s="230">
        <f>IF(J454=1,'Model Inputs'!$B$27*(13-'Model Inputs'!$B$23)/12,IF(J454=2,'Model Inputs'!$B$27,IF(J454&lt;=MAX(3,'Model Inputs'!$B$30+1),'Model Inputs'!$B$27*(1+'Model Inputs'!$B$28)^(J454-3),'Model Inputs'!$B$27*(1+'Model Inputs'!$B$28)^(MAX(3,'Model Inputs'!$B$30+1)-3)*(1+'Model Inputs'!$B$29)^(J454-MAX(3,'Model Inputs'!$B$30+1)))))</f>
        <v>10441437.475041937</v>
      </c>
      <c r="N454" s="236">
        <f>IF(J454&lt;=2,0,'Model Inputs'!$B$32*SIN(2*PI()*(J454-3+'Model Inputs'!$B$34)/MAX(1,'Model Inputs'!$B$33)))</f>
        <v>-1.1756609271814589E-16</v>
      </c>
      <c r="O454" s="230">
        <f t="shared" si="244"/>
        <v>10441437.475041935</v>
      </c>
      <c r="P454" s="230">
        <f t="shared" si="264"/>
        <v>7305729.4161605267</v>
      </c>
      <c r="Q454" s="230">
        <f>L454+P454+IF(J454=1,'Model Inputs'!$B$26,0)</f>
        <v>7605729.4161605267</v>
      </c>
      <c r="R454" s="230">
        <f t="shared" si="245"/>
        <v>22817188.248481579</v>
      </c>
      <c r="S454" s="230">
        <f t="shared" si="246"/>
        <v>4050000</v>
      </c>
      <c r="T454" s="230">
        <f t="shared" si="247"/>
        <v>4050000</v>
      </c>
      <c r="U454" s="230">
        <f>MIN(T454,'Tax Assumptions'!$B$19)</f>
        <v>24500</v>
      </c>
      <c r="V454" s="230">
        <f>MAX(T454-U454-'Tax Assumptions'!$B$8,0)</f>
        <v>4009400</v>
      </c>
      <c r="W454" s="230">
        <f>MAX(T454-U454-'Tax Assumptions'!$B$9,0)</f>
        <v>4017500</v>
      </c>
      <c r="X454" s="230">
        <f>IF(V454=0,0,LOOKUP(V454,'Tax Assumptions'!$F$9:$F$15,'Tax Assumptions'!$I$9:$I$15)+(V454-LOOKUP(V454,'Tax Assumptions'!$F$9:$F$15,'Tax Assumptions'!$F$9:$F$15))*LOOKUP(V454,'Tax Assumptions'!$F$9:$F$15,'Tax Assumptions'!$H$9:$H$15))+MIN(MAX(T454,0),'Tax Assumptions'!$B$11)*'Tax Assumptions'!$B$10+MAX(T454,0)*'Tax Assumptions'!$B$12+MAX(MAX(T454,0)-'Tax Assumptions'!$B$14,0)*'Tax Assumptions'!$B$13+MIN(T454*'Tax Assumptions'!$B$15,'Tax Assumptions'!$B$16)+MIN(T454*'Tax Assumptions'!$B$17,'Tax Assumptions'!$B$18)+IF(W454=0,0,LOOKUP(W454,'Tax Assumptions'!$K$9:$K$17,'Tax Assumptions'!$N$9:$N$17)+(W454-LOOKUP(W454,'Tax Assumptions'!$K$9:$K$17,'Tax Assumptions'!$K$9:$K$17))*LOOKUP(W454,'Tax Assumptions'!$K$9:$K$17,'Tax Assumptions'!$M$9:$M$17))+IF(W454=0,0,LOOKUP(W454,'Tax Assumptions'!$P$9:$P$12,'Tax Assumptions'!$S$9:$S$12)+(W454-LOOKUP(W454,'Tax Assumptions'!$P$9:$P$12,'Tax Assumptions'!$P$9:$P$12))*LOOKUP(W454,'Tax Assumptions'!$P$9:$P$12,'Tax Assumptions'!$R$9:$R$12))</f>
        <v>2055188.6349999998</v>
      </c>
      <c r="Y454" s="230">
        <f t="shared" si="248"/>
        <v>1970311.3650000002</v>
      </c>
      <c r="Z454" s="230">
        <f>IF(J454&lt;=10,INDEX('Savings Projection'!$BL$19:$BL$28,J454),LOOKUP(2,1/('Savings Projection'!$BL$19:$BL$28&lt;&gt;""),'Savings Projection'!$BL$19:$BL$28))*(1+'Model Inputs'!$B$35)^(J454-1)+IF(J454&lt;=10,INDEX('Savings Projection'!$BM$19:$BM$28,J454),LOOKUP(2,1/('Savings Projection'!$BM$19:$BM$28&lt;&gt;""),'Savings Projection'!$BM$19:$BM$28))*(1+'Model Inputs'!$B$36)^(J454-1)</f>
        <v>196636.66423116444</v>
      </c>
      <c r="AA454" s="230">
        <f t="shared" si="249"/>
        <v>1773674.7007688358</v>
      </c>
      <c r="AB454" s="230">
        <f>MIN(MAX(AA454,0),'Tax Assumptions'!$B$20)</f>
        <v>7500</v>
      </c>
      <c r="AC454" s="230">
        <f t="shared" si="250"/>
        <v>1766174.7007688358</v>
      </c>
      <c r="AD454" s="230">
        <f>MAX(AD453*(1+'Model Inputs'!$B$13)+AC454,0)</f>
        <v>27401019.518287189</v>
      </c>
      <c r="AE454" s="230">
        <f>MAX(AE453*(1+'Model Inputs'!$B$13)+U454+AB454,0)</f>
        <v>744831.03631983488</v>
      </c>
      <c r="AF454" s="230">
        <f t="shared" si="251"/>
        <v>28145850.554607023</v>
      </c>
      <c r="AG454" s="226" t="str">
        <f t="shared" si="260"/>
        <v/>
      </c>
      <c r="AH454" s="226" t="str">
        <f t="shared" si="261"/>
        <v/>
      </c>
      <c r="AI454" s="226" t="str">
        <f t="shared" si="262"/>
        <v/>
      </c>
      <c r="AJ454" s="226" t="str">
        <f t="shared" si="263"/>
        <v/>
      </c>
    </row>
    <row r="455" spans="1:36" ht="18" customHeight="1" x14ac:dyDescent="0.2">
      <c r="A455" s="226" t="str">
        <f t="shared" si="252"/>
        <v>4Y -&gt; PM Y8 Base</v>
      </c>
      <c r="B455" s="226">
        <f t="shared" si="253"/>
        <v>4</v>
      </c>
      <c r="C455" s="235">
        <f t="shared" si="254"/>
        <v>3</v>
      </c>
      <c r="D455" s="226">
        <f t="shared" si="255"/>
        <v>8</v>
      </c>
      <c r="E455" s="226" t="str">
        <f t="shared" si="256"/>
        <v>Base</v>
      </c>
      <c r="F455" s="230">
        <f t="shared" si="257"/>
        <v>25000000</v>
      </c>
      <c r="G455" s="236">
        <f t="shared" si="258"/>
        <v>0.15</v>
      </c>
      <c r="H455" s="230">
        <f t="shared" si="259"/>
        <v>300000</v>
      </c>
      <c r="I455" s="236">
        <f t="shared" si="242"/>
        <v>0</v>
      </c>
      <c r="J455" s="234">
        <v>16</v>
      </c>
      <c r="K455" s="234">
        <f t="shared" si="243"/>
        <v>2041</v>
      </c>
      <c r="L455" s="230">
        <f>IF(J455=1,'Model Inputs'!$B$25*(13-'Model Inputs'!$B$23)/12,'Model Inputs'!$B$25)</f>
        <v>300000</v>
      </c>
      <c r="M455" s="230">
        <f>IF(J455=1,'Model Inputs'!$B$27*(13-'Model Inputs'!$B$23)/12,IF(J455=2,'Model Inputs'!$B$27,IF(J455&lt;=MAX(3,'Model Inputs'!$B$30+1),'Model Inputs'!$B$27*(1+'Model Inputs'!$B$28)^(J455-3),'Model Inputs'!$B$27*(1+'Model Inputs'!$B$28)^(MAX(3,'Model Inputs'!$B$30+1)-3)*(1+'Model Inputs'!$B$29)^(J455-MAX(3,'Model Inputs'!$B$30+1)))))</f>
        <v>13269787.276528884</v>
      </c>
      <c r="N455" s="236">
        <f>IF(J455&lt;=2,0,'Model Inputs'!$B$32*SIN(2*PI()*(J455-3+'Model Inputs'!$B$34)/MAX(1,'Model Inputs'!$B$33)))</f>
        <v>0.10392304845413262</v>
      </c>
      <c r="O455" s="230">
        <f t="shared" si="244"/>
        <v>14648824.022643628</v>
      </c>
      <c r="P455" s="230">
        <f t="shared" si="264"/>
        <v>9671604.0304071214</v>
      </c>
      <c r="Q455" s="230">
        <f>L455+P455+IF(J455=1,'Model Inputs'!$B$26,0)</f>
        <v>9971604.0304071214</v>
      </c>
      <c r="R455" s="230">
        <f t="shared" si="245"/>
        <v>29914812.091221362</v>
      </c>
      <c r="S455" s="230">
        <f t="shared" si="246"/>
        <v>4050000</v>
      </c>
      <c r="T455" s="230">
        <f t="shared" si="247"/>
        <v>4050000</v>
      </c>
      <c r="U455" s="230">
        <f>MIN(T455,'Tax Assumptions'!$B$19)</f>
        <v>24500</v>
      </c>
      <c r="V455" s="230">
        <f>MAX(T455-U455-'Tax Assumptions'!$B$8,0)</f>
        <v>4009400</v>
      </c>
      <c r="W455" s="230">
        <f>MAX(T455-U455-'Tax Assumptions'!$B$9,0)</f>
        <v>4017500</v>
      </c>
      <c r="X455" s="230">
        <f>IF(V455=0,0,LOOKUP(V455,'Tax Assumptions'!$F$9:$F$15,'Tax Assumptions'!$I$9:$I$15)+(V455-LOOKUP(V455,'Tax Assumptions'!$F$9:$F$15,'Tax Assumptions'!$F$9:$F$15))*LOOKUP(V455,'Tax Assumptions'!$F$9:$F$15,'Tax Assumptions'!$H$9:$H$15))+MIN(MAX(T455,0),'Tax Assumptions'!$B$11)*'Tax Assumptions'!$B$10+MAX(T455,0)*'Tax Assumptions'!$B$12+MAX(MAX(T455,0)-'Tax Assumptions'!$B$14,0)*'Tax Assumptions'!$B$13+MIN(T455*'Tax Assumptions'!$B$15,'Tax Assumptions'!$B$16)+MIN(T455*'Tax Assumptions'!$B$17,'Tax Assumptions'!$B$18)+IF(W455=0,0,LOOKUP(W455,'Tax Assumptions'!$K$9:$K$17,'Tax Assumptions'!$N$9:$N$17)+(W455-LOOKUP(W455,'Tax Assumptions'!$K$9:$K$17,'Tax Assumptions'!$K$9:$K$17))*LOOKUP(W455,'Tax Assumptions'!$K$9:$K$17,'Tax Assumptions'!$M$9:$M$17))+IF(W455=0,0,LOOKUP(W455,'Tax Assumptions'!$P$9:$P$12,'Tax Assumptions'!$S$9:$S$12)+(W455-LOOKUP(W455,'Tax Assumptions'!$P$9:$P$12,'Tax Assumptions'!$P$9:$P$12))*LOOKUP(W455,'Tax Assumptions'!$P$9:$P$12,'Tax Assumptions'!$R$9:$R$12))</f>
        <v>2055188.6349999998</v>
      </c>
      <c r="Y455" s="230">
        <f t="shared" si="248"/>
        <v>1970311.3650000002</v>
      </c>
      <c r="Z455" s="230">
        <f>IF(J455&lt;=10,INDEX('Savings Projection'!$BL$19:$BL$28,J455),LOOKUP(2,1/('Savings Projection'!$BL$19:$BL$28&lt;&gt;""),'Savings Projection'!$BL$19:$BL$28))*(1+'Model Inputs'!$B$35)^(J455-1)+IF(J455&lt;=10,INDEX('Savings Projection'!$BM$19:$BM$28,J455),LOOKUP(2,1/('Savings Projection'!$BM$19:$BM$28&lt;&gt;""),'Savings Projection'!$BM$19:$BM$28))*(1+'Model Inputs'!$B$36)^(J455-1)</f>
        <v>202535.76415809937</v>
      </c>
      <c r="AA455" s="230">
        <f t="shared" si="249"/>
        <v>1767775.6008419008</v>
      </c>
      <c r="AB455" s="230">
        <f>MIN(MAX(AA455,0),'Tax Assumptions'!$B$20)</f>
        <v>7500</v>
      </c>
      <c r="AC455" s="230">
        <f t="shared" si="250"/>
        <v>1760275.6008419008</v>
      </c>
      <c r="AD455" s="230">
        <f>MAX(AD454*(1+'Model Inputs'!$B$13)+AC455,0)</f>
        <v>30805356.290226325</v>
      </c>
      <c r="AE455" s="230">
        <f>MAX(AE454*(1+'Model Inputs'!$B$13)+U455+AB455,0)</f>
        <v>821520.89849902503</v>
      </c>
      <c r="AF455" s="230">
        <f t="shared" si="251"/>
        <v>31626877.188725352</v>
      </c>
      <c r="AG455" s="226" t="str">
        <f t="shared" si="260"/>
        <v/>
      </c>
      <c r="AH455" s="226" t="str">
        <f t="shared" si="261"/>
        <v/>
      </c>
      <c r="AI455" s="226" t="str">
        <f t="shared" si="262"/>
        <v/>
      </c>
      <c r="AJ455" s="226" t="str">
        <f t="shared" si="263"/>
        <v/>
      </c>
    </row>
    <row r="456" spans="1:36" ht="18" customHeight="1" x14ac:dyDescent="0.2">
      <c r="A456" s="226" t="str">
        <f t="shared" si="252"/>
        <v>4Y -&gt; PM Y8 Base</v>
      </c>
      <c r="B456" s="226">
        <f t="shared" si="253"/>
        <v>4</v>
      </c>
      <c r="C456" s="235">
        <f t="shared" si="254"/>
        <v>3</v>
      </c>
      <c r="D456" s="226">
        <f t="shared" si="255"/>
        <v>8</v>
      </c>
      <c r="E456" s="226" t="str">
        <f t="shared" si="256"/>
        <v>Base</v>
      </c>
      <c r="F456" s="230">
        <f t="shared" si="257"/>
        <v>25000000</v>
      </c>
      <c r="G456" s="236">
        <f t="shared" si="258"/>
        <v>0.15</v>
      </c>
      <c r="H456" s="230">
        <f t="shared" si="259"/>
        <v>300000</v>
      </c>
      <c r="I456" s="236">
        <f t="shared" si="242"/>
        <v>0</v>
      </c>
      <c r="J456" s="234">
        <v>17</v>
      </c>
      <c r="K456" s="234">
        <f t="shared" si="243"/>
        <v>2042</v>
      </c>
      <c r="L456" s="230">
        <f>IF(J456=1,'Model Inputs'!$B$25*(13-'Model Inputs'!$B$23)/12,'Model Inputs'!$B$25)</f>
        <v>300000</v>
      </c>
      <c r="M456" s="230">
        <f>IF(J456=1,'Model Inputs'!$B$27*(13-'Model Inputs'!$B$23)/12,IF(J456=2,'Model Inputs'!$B$27,IF(J456&lt;=MAX(3,'Model Inputs'!$B$30+1),'Model Inputs'!$B$27*(1+'Model Inputs'!$B$28)^(J456-3),'Model Inputs'!$B$27*(1+'Model Inputs'!$B$28)^(MAX(3,'Model Inputs'!$B$30+1)-3)*(1+'Model Inputs'!$B$29)^(J456-MAX(3,'Model Inputs'!$B$30+1)))))</f>
        <v>16864273.217670217</v>
      </c>
      <c r="N456" s="236">
        <f>IF(J456&lt;=2,0,'Model Inputs'!$B$32*SIN(2*PI()*(J456-3+'Model Inputs'!$B$34)/MAX(1,'Model Inputs'!$B$33)))</f>
        <v>-0.1039230484541325</v>
      </c>
      <c r="O456" s="230">
        <f t="shared" si="244"/>
        <v>15111686.534926547</v>
      </c>
      <c r="P456" s="230">
        <f t="shared" si="264"/>
        <v>13596977.385743205</v>
      </c>
      <c r="Q456" s="230">
        <f>L456+P456+IF(J456=1,'Model Inputs'!$B$26,0)</f>
        <v>13896977.385743205</v>
      </c>
      <c r="R456" s="230">
        <f t="shared" si="245"/>
        <v>41690932.157229617</v>
      </c>
      <c r="S456" s="230">
        <f t="shared" si="246"/>
        <v>4050000</v>
      </c>
      <c r="T456" s="230">
        <f t="shared" si="247"/>
        <v>4050000</v>
      </c>
      <c r="U456" s="230">
        <f>MIN(T456,'Tax Assumptions'!$B$19)</f>
        <v>24500</v>
      </c>
      <c r="V456" s="230">
        <f>MAX(T456-U456-'Tax Assumptions'!$B$8,0)</f>
        <v>4009400</v>
      </c>
      <c r="W456" s="230">
        <f>MAX(T456-U456-'Tax Assumptions'!$B$9,0)</f>
        <v>4017500</v>
      </c>
      <c r="X456" s="230">
        <f>IF(V456=0,0,LOOKUP(V456,'Tax Assumptions'!$F$9:$F$15,'Tax Assumptions'!$I$9:$I$15)+(V456-LOOKUP(V456,'Tax Assumptions'!$F$9:$F$15,'Tax Assumptions'!$F$9:$F$15))*LOOKUP(V456,'Tax Assumptions'!$F$9:$F$15,'Tax Assumptions'!$H$9:$H$15))+MIN(MAX(T456,0),'Tax Assumptions'!$B$11)*'Tax Assumptions'!$B$10+MAX(T456,0)*'Tax Assumptions'!$B$12+MAX(MAX(T456,0)-'Tax Assumptions'!$B$14,0)*'Tax Assumptions'!$B$13+MIN(T456*'Tax Assumptions'!$B$15,'Tax Assumptions'!$B$16)+MIN(T456*'Tax Assumptions'!$B$17,'Tax Assumptions'!$B$18)+IF(W456=0,0,LOOKUP(W456,'Tax Assumptions'!$K$9:$K$17,'Tax Assumptions'!$N$9:$N$17)+(W456-LOOKUP(W456,'Tax Assumptions'!$K$9:$K$17,'Tax Assumptions'!$K$9:$K$17))*LOOKUP(W456,'Tax Assumptions'!$K$9:$K$17,'Tax Assumptions'!$M$9:$M$17))+IF(W456=0,0,LOOKUP(W456,'Tax Assumptions'!$P$9:$P$12,'Tax Assumptions'!$S$9:$S$12)+(W456-LOOKUP(W456,'Tax Assumptions'!$P$9:$P$12,'Tax Assumptions'!$P$9:$P$12))*LOOKUP(W456,'Tax Assumptions'!$P$9:$P$12,'Tax Assumptions'!$R$9:$R$12))</f>
        <v>2055188.6349999998</v>
      </c>
      <c r="Y456" s="230">
        <f t="shared" si="248"/>
        <v>1970311.3650000002</v>
      </c>
      <c r="Z456" s="230">
        <f>IF(J456&lt;=10,INDEX('Savings Projection'!$BL$19:$BL$28,J456),LOOKUP(2,1/('Savings Projection'!$BL$19:$BL$28&lt;&gt;""),'Savings Projection'!$BL$19:$BL$28))*(1+'Model Inputs'!$B$35)^(J456-1)+IF(J456&lt;=10,INDEX('Savings Projection'!$BM$19:$BM$28,J456),LOOKUP(2,1/('Savings Projection'!$BM$19:$BM$28&lt;&gt;""),'Savings Projection'!$BM$19:$BM$28))*(1+'Model Inputs'!$B$36)^(J456-1)</f>
        <v>208611.83708284231</v>
      </c>
      <c r="AA456" s="230">
        <f t="shared" si="249"/>
        <v>1761699.5279171579</v>
      </c>
      <c r="AB456" s="230">
        <f>MIN(MAX(AA456,0),'Tax Assumptions'!$B$20)</f>
        <v>7500</v>
      </c>
      <c r="AC456" s="230">
        <f t="shared" si="250"/>
        <v>1754199.5279171579</v>
      </c>
      <c r="AD456" s="230">
        <f>MAX(AD455*(1+'Model Inputs'!$B$13)+AC456,0)</f>
        <v>34407877.195557065</v>
      </c>
      <c r="AE456" s="230">
        <f>MAX(AE455*(1+'Model Inputs'!$B$13)+U456+AB456,0)</f>
        <v>902812.15240896656</v>
      </c>
      <c r="AF456" s="230">
        <f t="shared" si="251"/>
        <v>35310689.34796603</v>
      </c>
      <c r="AG456" s="226" t="str">
        <f t="shared" si="260"/>
        <v/>
      </c>
      <c r="AH456" s="226" t="str">
        <f t="shared" si="261"/>
        <v/>
      </c>
      <c r="AI456" s="226" t="str">
        <f t="shared" si="262"/>
        <v/>
      </c>
      <c r="AJ456" s="226" t="str">
        <f t="shared" si="263"/>
        <v/>
      </c>
    </row>
    <row r="457" spans="1:36" ht="18" customHeight="1" x14ac:dyDescent="0.2">
      <c r="A457" s="226" t="str">
        <f t="shared" si="252"/>
        <v>4Y -&gt; PM Y8 Base</v>
      </c>
      <c r="B457" s="226">
        <f t="shared" si="253"/>
        <v>4</v>
      </c>
      <c r="C457" s="235">
        <f t="shared" si="254"/>
        <v>3</v>
      </c>
      <c r="D457" s="226">
        <f t="shared" si="255"/>
        <v>8</v>
      </c>
      <c r="E457" s="226" t="str">
        <f t="shared" si="256"/>
        <v>Base</v>
      </c>
      <c r="F457" s="230">
        <f t="shared" si="257"/>
        <v>25000000</v>
      </c>
      <c r="G457" s="236">
        <f t="shared" si="258"/>
        <v>0.15</v>
      </c>
      <c r="H457" s="230">
        <f t="shared" si="259"/>
        <v>300000</v>
      </c>
      <c r="I457" s="236">
        <f t="shared" si="242"/>
        <v>0</v>
      </c>
      <c r="J457" s="234">
        <v>18</v>
      </c>
      <c r="K457" s="234">
        <f t="shared" si="243"/>
        <v>2043</v>
      </c>
      <c r="L457" s="230">
        <f>IF(J457=1,'Model Inputs'!$B$25*(13-'Model Inputs'!$B$23)/12,'Model Inputs'!$B$25)</f>
        <v>300000</v>
      </c>
      <c r="M457" s="230">
        <f>IF(J457=1,'Model Inputs'!$B$27*(13-'Model Inputs'!$B$23)/12,IF(J457=2,'Model Inputs'!$B$27,IF(J457&lt;=MAX(3,'Model Inputs'!$B$30+1),'Model Inputs'!$B$27*(1+'Model Inputs'!$B$28)^(J457-3),'Model Inputs'!$B$27*(1+'Model Inputs'!$B$28)^(MAX(3,'Model Inputs'!$B$30+1)-3)*(1+'Model Inputs'!$B$29)^(J457-MAX(3,'Model Inputs'!$B$30+1)))))</f>
        <v>21432424.290875554</v>
      </c>
      <c r="N457" s="236">
        <f>IF(J457&lt;=2,0,'Model Inputs'!$B$32*SIN(2*PI()*(J457-3+'Model Inputs'!$B$34)/MAX(1,'Model Inputs'!$B$33)))</f>
        <v>-5.7328325735374245E-16</v>
      </c>
      <c r="O457" s="230">
        <f t="shared" si="244"/>
        <v>21432424.290875543</v>
      </c>
      <c r="P457" s="230">
        <f t="shared" si="264"/>
        <v>14995970.906855816</v>
      </c>
      <c r="Q457" s="230">
        <f>L457+P457+IF(J457=1,'Model Inputs'!$B$26,0)</f>
        <v>15295970.906855816</v>
      </c>
      <c r="R457" s="230">
        <f t="shared" si="245"/>
        <v>45887912.72056745</v>
      </c>
      <c r="S457" s="230">
        <f t="shared" si="246"/>
        <v>4050000</v>
      </c>
      <c r="T457" s="230">
        <f t="shared" si="247"/>
        <v>4050000</v>
      </c>
      <c r="U457" s="230">
        <f>MIN(T457,'Tax Assumptions'!$B$19)</f>
        <v>24500</v>
      </c>
      <c r="V457" s="230">
        <f>MAX(T457-U457-'Tax Assumptions'!$B$8,0)</f>
        <v>4009400</v>
      </c>
      <c r="W457" s="230">
        <f>MAX(T457-U457-'Tax Assumptions'!$B$9,0)</f>
        <v>4017500</v>
      </c>
      <c r="X457" s="230">
        <f>IF(V457=0,0,LOOKUP(V457,'Tax Assumptions'!$F$9:$F$15,'Tax Assumptions'!$I$9:$I$15)+(V457-LOOKUP(V457,'Tax Assumptions'!$F$9:$F$15,'Tax Assumptions'!$F$9:$F$15))*LOOKUP(V457,'Tax Assumptions'!$F$9:$F$15,'Tax Assumptions'!$H$9:$H$15))+MIN(MAX(T457,0),'Tax Assumptions'!$B$11)*'Tax Assumptions'!$B$10+MAX(T457,0)*'Tax Assumptions'!$B$12+MAX(MAX(T457,0)-'Tax Assumptions'!$B$14,0)*'Tax Assumptions'!$B$13+MIN(T457*'Tax Assumptions'!$B$15,'Tax Assumptions'!$B$16)+MIN(T457*'Tax Assumptions'!$B$17,'Tax Assumptions'!$B$18)+IF(W457=0,0,LOOKUP(W457,'Tax Assumptions'!$K$9:$K$17,'Tax Assumptions'!$N$9:$N$17)+(W457-LOOKUP(W457,'Tax Assumptions'!$K$9:$K$17,'Tax Assumptions'!$K$9:$K$17))*LOOKUP(W457,'Tax Assumptions'!$K$9:$K$17,'Tax Assumptions'!$M$9:$M$17))+IF(W457=0,0,LOOKUP(W457,'Tax Assumptions'!$P$9:$P$12,'Tax Assumptions'!$S$9:$S$12)+(W457-LOOKUP(W457,'Tax Assumptions'!$P$9:$P$12,'Tax Assumptions'!$P$9:$P$12))*LOOKUP(W457,'Tax Assumptions'!$P$9:$P$12,'Tax Assumptions'!$R$9:$R$12))</f>
        <v>2055188.6349999998</v>
      </c>
      <c r="Y457" s="230">
        <f t="shared" si="248"/>
        <v>1970311.3650000002</v>
      </c>
      <c r="Z457" s="230">
        <f>IF(J457&lt;=10,INDEX('Savings Projection'!$BL$19:$BL$28,J457),LOOKUP(2,1/('Savings Projection'!$BL$19:$BL$28&lt;&gt;""),'Savings Projection'!$BL$19:$BL$28))*(1+'Model Inputs'!$B$35)^(J457-1)+IF(J457&lt;=10,INDEX('Savings Projection'!$BM$19:$BM$28,J457),LOOKUP(2,1/('Savings Projection'!$BM$19:$BM$28&lt;&gt;""),'Savings Projection'!$BM$19:$BM$28))*(1+'Model Inputs'!$B$36)^(J457-1)</f>
        <v>214870.1921953276</v>
      </c>
      <c r="AA457" s="230">
        <f t="shared" si="249"/>
        <v>1755441.1728046727</v>
      </c>
      <c r="AB457" s="230">
        <f>MIN(MAX(AA457,0),'Tax Assumptions'!$B$20)</f>
        <v>7500</v>
      </c>
      <c r="AC457" s="230">
        <f t="shared" si="250"/>
        <v>1747941.1728046727</v>
      </c>
      <c r="AD457" s="230">
        <f>MAX(AD456*(1+'Model Inputs'!$B$13)+AC457,0)</f>
        <v>38220291.000095166</v>
      </c>
      <c r="AE457" s="230">
        <f>MAX(AE456*(1+'Model Inputs'!$B$13)+U457+AB457,0)</f>
        <v>988980.88155350462</v>
      </c>
      <c r="AF457" s="230">
        <f t="shared" si="251"/>
        <v>39209271.881648675</v>
      </c>
      <c r="AG457" s="226" t="str">
        <f t="shared" si="260"/>
        <v/>
      </c>
      <c r="AH457" s="226" t="str">
        <f t="shared" si="261"/>
        <v/>
      </c>
      <c r="AI457" s="226" t="str">
        <f t="shared" si="262"/>
        <v/>
      </c>
      <c r="AJ457" s="226" t="str">
        <f t="shared" si="263"/>
        <v/>
      </c>
    </row>
    <row r="458" spans="1:36" ht="18" customHeight="1" x14ac:dyDescent="0.2">
      <c r="A458" s="226" t="str">
        <f t="shared" si="252"/>
        <v>4Y -&gt; PM Y8 Base</v>
      </c>
      <c r="B458" s="226">
        <f t="shared" si="253"/>
        <v>4</v>
      </c>
      <c r="C458" s="235">
        <f t="shared" si="254"/>
        <v>3</v>
      </c>
      <c r="D458" s="226">
        <f t="shared" si="255"/>
        <v>8</v>
      </c>
      <c r="E458" s="226" t="str">
        <f t="shared" si="256"/>
        <v>Base</v>
      </c>
      <c r="F458" s="230">
        <f t="shared" si="257"/>
        <v>25000000</v>
      </c>
      <c r="G458" s="236">
        <f t="shared" si="258"/>
        <v>0.15</v>
      </c>
      <c r="H458" s="230">
        <f t="shared" si="259"/>
        <v>300000</v>
      </c>
      <c r="I458" s="236">
        <f t="shared" si="242"/>
        <v>0</v>
      </c>
      <c r="J458" s="234">
        <v>19</v>
      </c>
      <c r="K458" s="234">
        <f t="shared" si="243"/>
        <v>2044</v>
      </c>
      <c r="L458" s="230">
        <f>IF(J458=1,'Model Inputs'!$B$25*(13-'Model Inputs'!$B$23)/12,'Model Inputs'!$B$25)</f>
        <v>300000</v>
      </c>
      <c r="M458" s="230">
        <f>IF(J458=1,'Model Inputs'!$B$27*(13-'Model Inputs'!$B$23)/12,IF(J458=2,'Model Inputs'!$B$27,IF(J458&lt;=MAX(3,'Model Inputs'!$B$30+1),'Model Inputs'!$B$27*(1+'Model Inputs'!$B$28)^(J458-3),'Model Inputs'!$B$27*(1+'Model Inputs'!$B$28)^(MAX(3,'Model Inputs'!$B$30+1)-3)*(1+'Model Inputs'!$B$29)^(J458-MAX(3,'Model Inputs'!$B$30+1)))))</f>
        <v>27237984.409717187</v>
      </c>
      <c r="N458" s="236">
        <f>IF(J458&lt;=2,0,'Model Inputs'!$B$32*SIN(2*PI()*(J458-3+'Model Inputs'!$B$34)/MAX(1,'Model Inputs'!$B$33)))</f>
        <v>0.10392304845413286</v>
      </c>
      <c r="O458" s="230">
        <f t="shared" si="244"/>
        <v>30068638.783321142</v>
      </c>
      <c r="P458" s="230">
        <f t="shared" si="264"/>
        <v>19852239.851888295</v>
      </c>
      <c r="Q458" s="230">
        <f>L458+P458+IF(J458=1,'Model Inputs'!$B$26,0)</f>
        <v>20152239.851888295</v>
      </c>
      <c r="R458" s="230">
        <f t="shared" si="245"/>
        <v>60456719.555664882</v>
      </c>
      <c r="S458" s="230">
        <f t="shared" si="246"/>
        <v>4050000</v>
      </c>
      <c r="T458" s="230">
        <f t="shared" si="247"/>
        <v>4050000</v>
      </c>
      <c r="U458" s="230">
        <f>MIN(T458,'Tax Assumptions'!$B$19)</f>
        <v>24500</v>
      </c>
      <c r="V458" s="230">
        <f>MAX(T458-U458-'Tax Assumptions'!$B$8,0)</f>
        <v>4009400</v>
      </c>
      <c r="W458" s="230">
        <f>MAX(T458-U458-'Tax Assumptions'!$B$9,0)</f>
        <v>4017500</v>
      </c>
      <c r="X458" s="230">
        <f>IF(V458=0,0,LOOKUP(V458,'Tax Assumptions'!$F$9:$F$15,'Tax Assumptions'!$I$9:$I$15)+(V458-LOOKUP(V458,'Tax Assumptions'!$F$9:$F$15,'Tax Assumptions'!$F$9:$F$15))*LOOKUP(V458,'Tax Assumptions'!$F$9:$F$15,'Tax Assumptions'!$H$9:$H$15))+MIN(MAX(T458,0),'Tax Assumptions'!$B$11)*'Tax Assumptions'!$B$10+MAX(T458,0)*'Tax Assumptions'!$B$12+MAX(MAX(T458,0)-'Tax Assumptions'!$B$14,0)*'Tax Assumptions'!$B$13+MIN(T458*'Tax Assumptions'!$B$15,'Tax Assumptions'!$B$16)+MIN(T458*'Tax Assumptions'!$B$17,'Tax Assumptions'!$B$18)+IF(W458=0,0,LOOKUP(W458,'Tax Assumptions'!$K$9:$K$17,'Tax Assumptions'!$N$9:$N$17)+(W458-LOOKUP(W458,'Tax Assumptions'!$K$9:$K$17,'Tax Assumptions'!$K$9:$K$17))*LOOKUP(W458,'Tax Assumptions'!$K$9:$K$17,'Tax Assumptions'!$M$9:$M$17))+IF(W458=0,0,LOOKUP(W458,'Tax Assumptions'!$P$9:$P$12,'Tax Assumptions'!$S$9:$S$12)+(W458-LOOKUP(W458,'Tax Assumptions'!$P$9:$P$12,'Tax Assumptions'!$P$9:$P$12))*LOOKUP(W458,'Tax Assumptions'!$P$9:$P$12,'Tax Assumptions'!$R$9:$R$12))</f>
        <v>2055188.6349999998</v>
      </c>
      <c r="Y458" s="230">
        <f t="shared" si="248"/>
        <v>1970311.3650000002</v>
      </c>
      <c r="Z458" s="230">
        <f>IF(J458&lt;=10,INDEX('Savings Projection'!$BL$19:$BL$28,J458),LOOKUP(2,1/('Savings Projection'!$BL$19:$BL$28&lt;&gt;""),'Savings Projection'!$BL$19:$BL$28))*(1+'Model Inputs'!$B$35)^(J458-1)+IF(J458&lt;=10,INDEX('Savings Projection'!$BM$19:$BM$28,J458),LOOKUP(2,1/('Savings Projection'!$BM$19:$BM$28&lt;&gt;""),'Savings Projection'!$BM$19:$BM$28))*(1+'Model Inputs'!$B$36)^(J458-1)</f>
        <v>221316.29796118743</v>
      </c>
      <c r="AA458" s="230">
        <f t="shared" si="249"/>
        <v>1748995.0670388127</v>
      </c>
      <c r="AB458" s="230">
        <f>MIN(MAX(AA458,0),'Tax Assumptions'!$B$20)</f>
        <v>7500</v>
      </c>
      <c r="AC458" s="230">
        <f t="shared" si="250"/>
        <v>1741495.0670388127</v>
      </c>
      <c r="AD458" s="230">
        <f>MAX(AD457*(1+'Model Inputs'!$B$13)+AC458,0)</f>
        <v>42255003.527139693</v>
      </c>
      <c r="AE458" s="230">
        <f>MAX(AE457*(1+'Model Inputs'!$B$13)+U458+AB458,0)</f>
        <v>1080319.7344467151</v>
      </c>
      <c r="AF458" s="230">
        <f t="shared" si="251"/>
        <v>43335323.261586405</v>
      </c>
      <c r="AG458" s="226" t="str">
        <f t="shared" si="260"/>
        <v/>
      </c>
      <c r="AH458" s="226" t="str">
        <f t="shared" si="261"/>
        <v/>
      </c>
      <c r="AI458" s="226" t="str">
        <f t="shared" si="262"/>
        <v/>
      </c>
      <c r="AJ458" s="226" t="str">
        <f t="shared" si="263"/>
        <v/>
      </c>
    </row>
    <row r="459" spans="1:36" ht="18" customHeight="1" x14ac:dyDescent="0.2">
      <c r="A459" s="226" t="str">
        <f t="shared" si="252"/>
        <v>4Y -&gt; PM Y8 Base</v>
      </c>
      <c r="B459" s="226">
        <f t="shared" si="253"/>
        <v>4</v>
      </c>
      <c r="C459" s="235">
        <f t="shared" si="254"/>
        <v>3</v>
      </c>
      <c r="D459" s="226">
        <f t="shared" si="255"/>
        <v>8</v>
      </c>
      <c r="E459" s="226" t="str">
        <f t="shared" si="256"/>
        <v>Base</v>
      </c>
      <c r="F459" s="230">
        <f t="shared" si="257"/>
        <v>25000000</v>
      </c>
      <c r="G459" s="236">
        <f t="shared" si="258"/>
        <v>0.15</v>
      </c>
      <c r="H459" s="230">
        <f t="shared" si="259"/>
        <v>300000</v>
      </c>
      <c r="I459" s="236">
        <f t="shared" si="242"/>
        <v>0</v>
      </c>
      <c r="J459" s="234">
        <v>20</v>
      </c>
      <c r="K459" s="234">
        <f t="shared" si="243"/>
        <v>2045</v>
      </c>
      <c r="L459" s="230">
        <f>IF(J459=1,'Model Inputs'!$B$25*(13-'Model Inputs'!$B$23)/12,'Model Inputs'!$B$25)</f>
        <v>300000</v>
      </c>
      <c r="M459" s="230">
        <f>IF(J459=1,'Model Inputs'!$B$27*(13-'Model Inputs'!$B$23)/12,IF(J459=2,'Model Inputs'!$B$27,IF(J459&lt;=MAX(3,'Model Inputs'!$B$30+1),'Model Inputs'!$B$27*(1+'Model Inputs'!$B$28)^(J459-3),'Model Inputs'!$B$27*(1+'Model Inputs'!$B$28)^(MAX(3,'Model Inputs'!$B$30+1)-3)*(1+'Model Inputs'!$B$29)^(J459-MAX(3,'Model Inputs'!$B$30+1)))))</f>
        <v>34616139.762586243</v>
      </c>
      <c r="N459" s="236">
        <f>IF(J459&lt;=2,0,'Model Inputs'!$B$32*SIN(2*PI()*(J459-3+'Model Inputs'!$B$34)/MAX(1,'Model Inputs'!$B$33)))</f>
        <v>-0.10392304845413269</v>
      </c>
      <c r="O459" s="230">
        <f t="shared" si="244"/>
        <v>31018724.992743965</v>
      </c>
      <c r="P459" s="230">
        <f t="shared" si="264"/>
        <v>27909585.160209741</v>
      </c>
      <c r="Q459" s="230">
        <f>L459+P459+IF(J459=1,'Model Inputs'!$B$26,0)</f>
        <v>28209585.160209741</v>
      </c>
      <c r="R459" s="230">
        <f t="shared" si="245"/>
        <v>84628755.480629221</v>
      </c>
      <c r="S459" s="230">
        <f t="shared" si="246"/>
        <v>4050000</v>
      </c>
      <c r="T459" s="230">
        <f t="shared" si="247"/>
        <v>4050000</v>
      </c>
      <c r="U459" s="230">
        <f>MIN(T459,'Tax Assumptions'!$B$19)</f>
        <v>24500</v>
      </c>
      <c r="V459" s="230">
        <f>MAX(T459-U459-'Tax Assumptions'!$B$8,0)</f>
        <v>4009400</v>
      </c>
      <c r="W459" s="230">
        <f>MAX(T459-U459-'Tax Assumptions'!$B$9,0)</f>
        <v>4017500</v>
      </c>
      <c r="X459" s="230">
        <f>IF(V459=0,0,LOOKUP(V459,'Tax Assumptions'!$F$9:$F$15,'Tax Assumptions'!$I$9:$I$15)+(V459-LOOKUP(V459,'Tax Assumptions'!$F$9:$F$15,'Tax Assumptions'!$F$9:$F$15))*LOOKUP(V459,'Tax Assumptions'!$F$9:$F$15,'Tax Assumptions'!$H$9:$H$15))+MIN(MAX(T459,0),'Tax Assumptions'!$B$11)*'Tax Assumptions'!$B$10+MAX(T459,0)*'Tax Assumptions'!$B$12+MAX(MAX(T459,0)-'Tax Assumptions'!$B$14,0)*'Tax Assumptions'!$B$13+MIN(T459*'Tax Assumptions'!$B$15,'Tax Assumptions'!$B$16)+MIN(T459*'Tax Assumptions'!$B$17,'Tax Assumptions'!$B$18)+IF(W459=0,0,LOOKUP(W459,'Tax Assumptions'!$K$9:$K$17,'Tax Assumptions'!$N$9:$N$17)+(W459-LOOKUP(W459,'Tax Assumptions'!$K$9:$K$17,'Tax Assumptions'!$K$9:$K$17))*LOOKUP(W459,'Tax Assumptions'!$K$9:$K$17,'Tax Assumptions'!$M$9:$M$17))+IF(W459=0,0,LOOKUP(W459,'Tax Assumptions'!$P$9:$P$12,'Tax Assumptions'!$S$9:$S$12)+(W459-LOOKUP(W459,'Tax Assumptions'!$P$9:$P$12,'Tax Assumptions'!$P$9:$P$12))*LOOKUP(W459,'Tax Assumptions'!$P$9:$P$12,'Tax Assumptions'!$R$9:$R$12))</f>
        <v>2055188.6349999998</v>
      </c>
      <c r="Y459" s="230">
        <f t="shared" si="248"/>
        <v>1970311.3650000002</v>
      </c>
      <c r="Z459" s="230">
        <f>IF(J459&lt;=10,INDEX('Savings Projection'!$BL$19:$BL$28,J459),LOOKUP(2,1/('Savings Projection'!$BL$19:$BL$28&lt;&gt;""),'Savings Projection'!$BL$19:$BL$28))*(1+'Model Inputs'!$B$35)^(J459-1)+IF(J459&lt;=10,INDEX('Savings Projection'!$BM$19:$BM$28,J459),LOOKUP(2,1/('Savings Projection'!$BM$19:$BM$28&lt;&gt;""),'Savings Projection'!$BM$19:$BM$28))*(1+'Model Inputs'!$B$36)^(J459-1)</f>
        <v>227955.78690002306</v>
      </c>
      <c r="AA459" s="230">
        <f t="shared" si="249"/>
        <v>1742355.5780999772</v>
      </c>
      <c r="AB459" s="230">
        <f>MIN(MAX(AA459,0),'Tax Assumptions'!$B$20)</f>
        <v>7500</v>
      </c>
      <c r="AC459" s="230">
        <f t="shared" si="250"/>
        <v>1734855.5780999772</v>
      </c>
      <c r="AD459" s="230">
        <f>MAX(AD458*(1+'Model Inputs'!$B$13)+AC459,0)</f>
        <v>46525159.316868052</v>
      </c>
      <c r="AE459" s="230">
        <f>MAX(AE458*(1+'Model Inputs'!$B$13)+U459+AB459,0)</f>
        <v>1177138.9185135181</v>
      </c>
      <c r="AF459" s="230">
        <f t="shared" si="251"/>
        <v>47702298.235381573</v>
      </c>
      <c r="AG459" s="226" t="str">
        <f t="shared" si="260"/>
        <v/>
      </c>
      <c r="AH459" s="226" t="str">
        <f t="shared" si="261"/>
        <v/>
      </c>
      <c r="AI459" s="226" t="str">
        <f t="shared" si="262"/>
        <v/>
      </c>
      <c r="AJ459" s="226" t="str">
        <f t="shared" si="263"/>
        <v/>
      </c>
    </row>
    <row r="460" spans="1:36" ht="18" customHeight="1" x14ac:dyDescent="0.2">
      <c r="A460" s="226" t="str">
        <f t="shared" si="252"/>
        <v>4Y -&gt; PM Y8 Base</v>
      </c>
      <c r="B460" s="226">
        <f t="shared" si="253"/>
        <v>4</v>
      </c>
      <c r="C460" s="235">
        <f t="shared" si="254"/>
        <v>3</v>
      </c>
      <c r="D460" s="226">
        <f t="shared" si="255"/>
        <v>8</v>
      </c>
      <c r="E460" s="226" t="str">
        <f t="shared" si="256"/>
        <v>Base</v>
      </c>
      <c r="F460" s="230">
        <f t="shared" si="257"/>
        <v>25000000</v>
      </c>
      <c r="G460" s="236">
        <f t="shared" si="258"/>
        <v>0.15</v>
      </c>
      <c r="H460" s="230">
        <f t="shared" si="259"/>
        <v>300000</v>
      </c>
      <c r="I460" s="236">
        <f t="shared" si="242"/>
        <v>0</v>
      </c>
      <c r="J460" s="234">
        <v>21</v>
      </c>
      <c r="K460" s="234">
        <f t="shared" si="243"/>
        <v>2046</v>
      </c>
      <c r="L460" s="230">
        <f>IF(J460=1,'Model Inputs'!$B$25*(13-'Model Inputs'!$B$23)/12,'Model Inputs'!$B$25)</f>
        <v>300000</v>
      </c>
      <c r="M460" s="230">
        <f>IF(J460=1,'Model Inputs'!$B$27*(13-'Model Inputs'!$B$23)/12,IF(J460=2,'Model Inputs'!$B$27,IF(J460&lt;=MAX(3,'Model Inputs'!$B$30+1),'Model Inputs'!$B$27*(1+'Model Inputs'!$B$28)^(J460-3),'Model Inputs'!$B$27*(1+'Model Inputs'!$B$28)^(MAX(3,'Model Inputs'!$B$30+1)-3)*(1+'Model Inputs'!$B$29)^(J460-MAX(3,'Model Inputs'!$B$30+1)))))</f>
        <v>43992870.912849829</v>
      </c>
      <c r="N460" s="236">
        <f>IF(J460&lt;=2,0,'Model Inputs'!$B$32*SIN(2*PI()*(J460-3+'Model Inputs'!$B$34)/MAX(1,'Model Inputs'!$B$33)))</f>
        <v>-1.7634913907721884E-16</v>
      </c>
      <c r="O460" s="230">
        <f t="shared" si="244"/>
        <v>43992870.912849821</v>
      </c>
      <c r="P460" s="230">
        <f t="shared" si="264"/>
        <v>30781203.440388259</v>
      </c>
      <c r="Q460" s="230">
        <f>L460+P460+IF(J460=1,'Model Inputs'!$B$26,0)</f>
        <v>31081203.440388259</v>
      </c>
      <c r="R460" s="230">
        <f t="shared" si="245"/>
        <v>93243610.321164772</v>
      </c>
      <c r="S460" s="230">
        <f t="shared" si="246"/>
        <v>4050000</v>
      </c>
      <c r="T460" s="230">
        <f t="shared" si="247"/>
        <v>4050000</v>
      </c>
      <c r="U460" s="230">
        <f>MIN(T460,'Tax Assumptions'!$B$19)</f>
        <v>24500</v>
      </c>
      <c r="V460" s="230">
        <f>MAX(T460-U460-'Tax Assumptions'!$B$8,0)</f>
        <v>4009400</v>
      </c>
      <c r="W460" s="230">
        <f>MAX(T460-U460-'Tax Assumptions'!$B$9,0)</f>
        <v>4017500</v>
      </c>
      <c r="X460" s="230">
        <f>IF(V460=0,0,LOOKUP(V460,'Tax Assumptions'!$F$9:$F$15,'Tax Assumptions'!$I$9:$I$15)+(V460-LOOKUP(V460,'Tax Assumptions'!$F$9:$F$15,'Tax Assumptions'!$F$9:$F$15))*LOOKUP(V460,'Tax Assumptions'!$F$9:$F$15,'Tax Assumptions'!$H$9:$H$15))+MIN(MAX(T460,0),'Tax Assumptions'!$B$11)*'Tax Assumptions'!$B$10+MAX(T460,0)*'Tax Assumptions'!$B$12+MAX(MAX(T460,0)-'Tax Assumptions'!$B$14,0)*'Tax Assumptions'!$B$13+MIN(T460*'Tax Assumptions'!$B$15,'Tax Assumptions'!$B$16)+MIN(T460*'Tax Assumptions'!$B$17,'Tax Assumptions'!$B$18)+IF(W460=0,0,LOOKUP(W460,'Tax Assumptions'!$K$9:$K$17,'Tax Assumptions'!$N$9:$N$17)+(W460-LOOKUP(W460,'Tax Assumptions'!$K$9:$K$17,'Tax Assumptions'!$K$9:$K$17))*LOOKUP(W460,'Tax Assumptions'!$K$9:$K$17,'Tax Assumptions'!$M$9:$M$17))+IF(W460=0,0,LOOKUP(W460,'Tax Assumptions'!$P$9:$P$12,'Tax Assumptions'!$S$9:$S$12)+(W460-LOOKUP(W460,'Tax Assumptions'!$P$9:$P$12,'Tax Assumptions'!$P$9:$P$12))*LOOKUP(W460,'Tax Assumptions'!$P$9:$P$12,'Tax Assumptions'!$R$9:$R$12))</f>
        <v>2055188.6349999998</v>
      </c>
      <c r="Y460" s="230">
        <f t="shared" si="248"/>
        <v>1970311.3650000002</v>
      </c>
      <c r="Z460" s="230">
        <f>IF(J460&lt;=10,INDEX('Savings Projection'!$BL$19:$BL$28,J460),LOOKUP(2,1/('Savings Projection'!$BL$19:$BL$28&lt;&gt;""),'Savings Projection'!$BL$19:$BL$28))*(1+'Model Inputs'!$B$35)^(J460-1)+IF(J460&lt;=10,INDEX('Savings Projection'!$BM$19:$BM$28,J460),LOOKUP(2,1/('Savings Projection'!$BM$19:$BM$28&lt;&gt;""),'Savings Projection'!$BM$19:$BM$28))*(1+'Model Inputs'!$B$36)^(J460-1)</f>
        <v>234794.46050702373</v>
      </c>
      <c r="AA460" s="230">
        <f t="shared" si="249"/>
        <v>1735516.9044929766</v>
      </c>
      <c r="AB460" s="230">
        <f>MIN(MAX(AA460,0),'Tax Assumptions'!$B$20)</f>
        <v>7500</v>
      </c>
      <c r="AC460" s="230">
        <f t="shared" si="250"/>
        <v>1728016.9044929766</v>
      </c>
      <c r="AD460" s="230">
        <f>MAX(AD459*(1+'Model Inputs'!$B$13)+AC460,0)</f>
        <v>51044685.780373111</v>
      </c>
      <c r="AE460" s="230">
        <f>MAX(AE459*(1+'Model Inputs'!$B$13)+U460+AB460,0)</f>
        <v>1279767.2536243291</v>
      </c>
      <c r="AF460" s="230">
        <f t="shared" si="251"/>
        <v>52324453.033997439</v>
      </c>
      <c r="AG460" s="226" t="str">
        <f t="shared" si="260"/>
        <v/>
      </c>
      <c r="AH460" s="226" t="str">
        <f t="shared" si="261"/>
        <v/>
      </c>
      <c r="AI460" s="226" t="str">
        <f t="shared" si="262"/>
        <v/>
      </c>
      <c r="AJ460" s="226" t="str">
        <f t="shared" si="263"/>
        <v/>
      </c>
    </row>
    <row r="461" spans="1:36" ht="18" customHeight="1" x14ac:dyDescent="0.2">
      <c r="A461" s="226" t="str">
        <f t="shared" si="252"/>
        <v>4Y -&gt; PM Y8 Base</v>
      </c>
      <c r="B461" s="226">
        <f t="shared" si="253"/>
        <v>4</v>
      </c>
      <c r="C461" s="235">
        <f t="shared" si="254"/>
        <v>3</v>
      </c>
      <c r="D461" s="226">
        <f t="shared" si="255"/>
        <v>8</v>
      </c>
      <c r="E461" s="226" t="str">
        <f t="shared" si="256"/>
        <v>Base</v>
      </c>
      <c r="F461" s="230">
        <f t="shared" si="257"/>
        <v>25000000</v>
      </c>
      <c r="G461" s="236">
        <f t="shared" si="258"/>
        <v>0.15</v>
      </c>
      <c r="H461" s="230">
        <f t="shared" si="259"/>
        <v>300000</v>
      </c>
      <c r="I461" s="236">
        <f t="shared" si="242"/>
        <v>0</v>
      </c>
      <c r="J461" s="234">
        <v>22</v>
      </c>
      <c r="K461" s="234">
        <f t="shared" si="243"/>
        <v>2047</v>
      </c>
      <c r="L461" s="230">
        <f>IF(J461=1,'Model Inputs'!$B$25*(13-'Model Inputs'!$B$23)/12,'Model Inputs'!$B$25)</f>
        <v>300000</v>
      </c>
      <c r="M461" s="230">
        <f>IF(J461=1,'Model Inputs'!$B$27*(13-'Model Inputs'!$B$23)/12,IF(J461=2,'Model Inputs'!$B$27,IF(J461&lt;=MAX(3,'Model Inputs'!$B$30+1),'Model Inputs'!$B$27*(1+'Model Inputs'!$B$28)^(J461-3),'Model Inputs'!$B$27*(1+'Model Inputs'!$B$28)^(MAX(3,'Model Inputs'!$B$30+1)-3)*(1+'Model Inputs'!$B$29)^(J461-MAX(3,'Model Inputs'!$B$30+1)))))</f>
        <v>55909546.9462616</v>
      </c>
      <c r="N461" s="236">
        <f>IF(J461&lt;=2,0,'Model Inputs'!$B$32*SIN(2*PI()*(J461-3+'Model Inputs'!$B$34)/MAX(1,'Model Inputs'!$B$33)))</f>
        <v>0.10392304845413287</v>
      </c>
      <c r="O461" s="230">
        <f t="shared" si="244"/>
        <v>61719837.502606563</v>
      </c>
      <c r="P461" s="230">
        <f t="shared" si="264"/>
        <v>40749334.43282336</v>
      </c>
      <c r="Q461" s="230">
        <f>L461+P461+IF(J461=1,'Model Inputs'!$B$26,0)</f>
        <v>41049334.43282336</v>
      </c>
      <c r="R461" s="230">
        <f t="shared" si="245"/>
        <v>123148003.29847008</v>
      </c>
      <c r="S461" s="230">
        <f t="shared" si="246"/>
        <v>4050000</v>
      </c>
      <c r="T461" s="230">
        <f t="shared" si="247"/>
        <v>4050000</v>
      </c>
      <c r="U461" s="230">
        <f>MIN(T461,'Tax Assumptions'!$B$19)</f>
        <v>24500</v>
      </c>
      <c r="V461" s="230">
        <f>MAX(T461-U461-'Tax Assumptions'!$B$8,0)</f>
        <v>4009400</v>
      </c>
      <c r="W461" s="230">
        <f>MAX(T461-U461-'Tax Assumptions'!$B$9,0)</f>
        <v>4017500</v>
      </c>
      <c r="X461" s="230">
        <f>IF(V461=0,0,LOOKUP(V461,'Tax Assumptions'!$F$9:$F$15,'Tax Assumptions'!$I$9:$I$15)+(V461-LOOKUP(V461,'Tax Assumptions'!$F$9:$F$15,'Tax Assumptions'!$F$9:$F$15))*LOOKUP(V461,'Tax Assumptions'!$F$9:$F$15,'Tax Assumptions'!$H$9:$H$15))+MIN(MAX(T461,0),'Tax Assumptions'!$B$11)*'Tax Assumptions'!$B$10+MAX(T461,0)*'Tax Assumptions'!$B$12+MAX(MAX(T461,0)-'Tax Assumptions'!$B$14,0)*'Tax Assumptions'!$B$13+MIN(T461*'Tax Assumptions'!$B$15,'Tax Assumptions'!$B$16)+MIN(T461*'Tax Assumptions'!$B$17,'Tax Assumptions'!$B$18)+IF(W461=0,0,LOOKUP(W461,'Tax Assumptions'!$K$9:$K$17,'Tax Assumptions'!$N$9:$N$17)+(W461-LOOKUP(W461,'Tax Assumptions'!$K$9:$K$17,'Tax Assumptions'!$K$9:$K$17))*LOOKUP(W461,'Tax Assumptions'!$K$9:$K$17,'Tax Assumptions'!$M$9:$M$17))+IF(W461=0,0,LOOKUP(W461,'Tax Assumptions'!$P$9:$P$12,'Tax Assumptions'!$S$9:$S$12)+(W461-LOOKUP(W461,'Tax Assumptions'!$P$9:$P$12,'Tax Assumptions'!$P$9:$P$12))*LOOKUP(W461,'Tax Assumptions'!$P$9:$P$12,'Tax Assumptions'!$R$9:$R$12))</f>
        <v>2055188.6349999998</v>
      </c>
      <c r="Y461" s="230">
        <f t="shared" si="248"/>
        <v>1970311.3650000002</v>
      </c>
      <c r="Z461" s="230">
        <f>IF(J461&lt;=10,INDEX('Savings Projection'!$BL$19:$BL$28,J461),LOOKUP(2,1/('Savings Projection'!$BL$19:$BL$28&lt;&gt;""),'Savings Projection'!$BL$19:$BL$28))*(1+'Model Inputs'!$B$35)^(J461-1)+IF(J461&lt;=10,INDEX('Savings Projection'!$BM$19:$BM$28,J461),LOOKUP(2,1/('Savings Projection'!$BM$19:$BM$28&lt;&gt;""),'Savings Projection'!$BM$19:$BM$28))*(1+'Model Inputs'!$B$36)^(J461-1)</f>
        <v>241838.2943222344</v>
      </c>
      <c r="AA461" s="230">
        <f t="shared" si="249"/>
        <v>1728473.0706777659</v>
      </c>
      <c r="AB461" s="230">
        <f>MIN(MAX(AA461,0),'Tax Assumptions'!$B$20)</f>
        <v>7500</v>
      </c>
      <c r="AC461" s="230">
        <f t="shared" si="250"/>
        <v>1720973.0706777659</v>
      </c>
      <c r="AD461" s="230">
        <f>MAX(AD460*(1+'Model Inputs'!$B$13)+AC461,0)</f>
        <v>55828339.997873269</v>
      </c>
      <c r="AE461" s="230">
        <f>MAX(AE460*(1+'Model Inputs'!$B$13)+U461+AB461,0)</f>
        <v>1388553.2888417889</v>
      </c>
      <c r="AF461" s="230">
        <f t="shared" si="251"/>
        <v>57216893.28671506</v>
      </c>
      <c r="AG461" s="226" t="str">
        <f t="shared" si="260"/>
        <v/>
      </c>
      <c r="AH461" s="226" t="str">
        <f t="shared" si="261"/>
        <v/>
      </c>
      <c r="AI461" s="226" t="str">
        <f t="shared" si="262"/>
        <v/>
      </c>
      <c r="AJ461" s="226" t="str">
        <f t="shared" si="263"/>
        <v/>
      </c>
    </row>
    <row r="462" spans="1:36" ht="18" customHeight="1" x14ac:dyDescent="0.2">
      <c r="A462" s="226" t="str">
        <f t="shared" si="252"/>
        <v>4Y -&gt; PM Y8 Base</v>
      </c>
      <c r="B462" s="226">
        <f t="shared" si="253"/>
        <v>4</v>
      </c>
      <c r="C462" s="235">
        <f t="shared" si="254"/>
        <v>3</v>
      </c>
      <c r="D462" s="226">
        <f t="shared" si="255"/>
        <v>8</v>
      </c>
      <c r="E462" s="226" t="str">
        <f t="shared" si="256"/>
        <v>Base</v>
      </c>
      <c r="F462" s="230">
        <f t="shared" si="257"/>
        <v>25000000</v>
      </c>
      <c r="G462" s="236">
        <f t="shared" si="258"/>
        <v>0.15</v>
      </c>
      <c r="H462" s="230">
        <f t="shared" si="259"/>
        <v>300000</v>
      </c>
      <c r="I462" s="236">
        <f t="shared" si="242"/>
        <v>0</v>
      </c>
      <c r="J462" s="234">
        <v>23</v>
      </c>
      <c r="K462" s="234">
        <f t="shared" si="243"/>
        <v>2048</v>
      </c>
      <c r="L462" s="230">
        <f>IF(J462=1,'Model Inputs'!$B$25*(13-'Model Inputs'!$B$23)/12,'Model Inputs'!$B$25)</f>
        <v>300000</v>
      </c>
      <c r="M462" s="230">
        <f>IF(J462=1,'Model Inputs'!$B$27*(13-'Model Inputs'!$B$23)/12,IF(J462=2,'Model Inputs'!$B$27,IF(J462&lt;=MAX(3,'Model Inputs'!$B$30+1),'Model Inputs'!$B$27*(1+'Model Inputs'!$B$28)^(J462-3),'Model Inputs'!$B$27*(1+'Model Inputs'!$B$28)^(MAX(3,'Model Inputs'!$B$30+1)-3)*(1+'Model Inputs'!$B$29)^(J462-MAX(3,'Model Inputs'!$B$30+1)))))</f>
        <v>71054181.617940187</v>
      </c>
      <c r="N462" s="236">
        <f>IF(J462&lt;=2,0,'Model Inputs'!$B$32*SIN(2*PI()*(J462-3+'Model Inputs'!$B$34)/MAX(1,'Model Inputs'!$B$33)))</f>
        <v>-0.10392304845413268</v>
      </c>
      <c r="O462" s="230">
        <f t="shared" si="244"/>
        <v>63670014.458790243</v>
      </c>
      <c r="P462" s="230">
        <f t="shared" si="264"/>
        <v>57288095.855167374</v>
      </c>
      <c r="Q462" s="230">
        <f>L462+P462+IF(J462=1,'Model Inputs'!$B$26,0)</f>
        <v>57588095.855167374</v>
      </c>
      <c r="R462" s="230">
        <f t="shared" si="245"/>
        <v>172764287.56550211</v>
      </c>
      <c r="S462" s="230">
        <f t="shared" si="246"/>
        <v>4050000</v>
      </c>
      <c r="T462" s="230">
        <f t="shared" si="247"/>
        <v>4050000</v>
      </c>
      <c r="U462" s="230">
        <f>MIN(T462,'Tax Assumptions'!$B$19)</f>
        <v>24500</v>
      </c>
      <c r="V462" s="230">
        <f>MAX(T462-U462-'Tax Assumptions'!$B$8,0)</f>
        <v>4009400</v>
      </c>
      <c r="W462" s="230">
        <f>MAX(T462-U462-'Tax Assumptions'!$B$9,0)</f>
        <v>4017500</v>
      </c>
      <c r="X462" s="230">
        <f>IF(V462=0,0,LOOKUP(V462,'Tax Assumptions'!$F$9:$F$15,'Tax Assumptions'!$I$9:$I$15)+(V462-LOOKUP(V462,'Tax Assumptions'!$F$9:$F$15,'Tax Assumptions'!$F$9:$F$15))*LOOKUP(V462,'Tax Assumptions'!$F$9:$F$15,'Tax Assumptions'!$H$9:$H$15))+MIN(MAX(T462,0),'Tax Assumptions'!$B$11)*'Tax Assumptions'!$B$10+MAX(T462,0)*'Tax Assumptions'!$B$12+MAX(MAX(T462,0)-'Tax Assumptions'!$B$14,0)*'Tax Assumptions'!$B$13+MIN(T462*'Tax Assumptions'!$B$15,'Tax Assumptions'!$B$16)+MIN(T462*'Tax Assumptions'!$B$17,'Tax Assumptions'!$B$18)+IF(W462=0,0,LOOKUP(W462,'Tax Assumptions'!$K$9:$K$17,'Tax Assumptions'!$N$9:$N$17)+(W462-LOOKUP(W462,'Tax Assumptions'!$K$9:$K$17,'Tax Assumptions'!$K$9:$K$17))*LOOKUP(W462,'Tax Assumptions'!$K$9:$K$17,'Tax Assumptions'!$M$9:$M$17))+IF(W462=0,0,LOOKUP(W462,'Tax Assumptions'!$P$9:$P$12,'Tax Assumptions'!$S$9:$S$12)+(W462-LOOKUP(W462,'Tax Assumptions'!$P$9:$P$12,'Tax Assumptions'!$P$9:$P$12))*LOOKUP(W462,'Tax Assumptions'!$P$9:$P$12,'Tax Assumptions'!$R$9:$R$12))</f>
        <v>2055188.6349999998</v>
      </c>
      <c r="Y462" s="230">
        <f t="shared" si="248"/>
        <v>1970311.3650000002</v>
      </c>
      <c r="Z462" s="230">
        <f>IF(J462&lt;=10,INDEX('Savings Projection'!$BL$19:$BL$28,J462),LOOKUP(2,1/('Savings Projection'!$BL$19:$BL$28&lt;&gt;""),'Savings Projection'!$BL$19:$BL$28))*(1+'Model Inputs'!$B$35)^(J462-1)+IF(J462&lt;=10,INDEX('Savings Projection'!$BM$19:$BM$28,J462),LOOKUP(2,1/('Savings Projection'!$BM$19:$BM$28&lt;&gt;""),'Savings Projection'!$BM$19:$BM$28))*(1+'Model Inputs'!$B$36)^(J462-1)</f>
        <v>249093.44315190148</v>
      </c>
      <c r="AA462" s="230">
        <f t="shared" si="249"/>
        <v>1721217.9218480987</v>
      </c>
      <c r="AB462" s="230">
        <f>MIN(MAX(AA462,0),'Tax Assumptions'!$B$20)</f>
        <v>7500</v>
      </c>
      <c r="AC462" s="230">
        <f t="shared" si="250"/>
        <v>1713717.9218480987</v>
      </c>
      <c r="AD462" s="230">
        <f>MAX(AD461*(1+'Model Inputs'!$B$13)+AC462,0)</f>
        <v>60891758.319593765</v>
      </c>
      <c r="AE462" s="230">
        <f>MAX(AE461*(1+'Model Inputs'!$B$13)+U462+AB462,0)</f>
        <v>1503866.4861722963</v>
      </c>
      <c r="AF462" s="230">
        <f t="shared" si="251"/>
        <v>62395624.805766061</v>
      </c>
      <c r="AG462" s="226" t="str">
        <f t="shared" si="260"/>
        <v/>
      </c>
      <c r="AH462" s="226" t="str">
        <f t="shared" si="261"/>
        <v/>
      </c>
      <c r="AI462" s="226" t="str">
        <f t="shared" si="262"/>
        <v/>
      </c>
      <c r="AJ462" s="226" t="str">
        <f t="shared" si="263"/>
        <v/>
      </c>
    </row>
    <row r="463" spans="1:36" ht="18" customHeight="1" x14ac:dyDescent="0.2">
      <c r="A463" s="226" t="str">
        <f t="shared" si="252"/>
        <v>4Y -&gt; PM Y8 Base</v>
      </c>
      <c r="B463" s="226">
        <f t="shared" si="253"/>
        <v>4</v>
      </c>
      <c r="C463" s="235">
        <f t="shared" si="254"/>
        <v>3</v>
      </c>
      <c r="D463" s="226">
        <f t="shared" si="255"/>
        <v>8</v>
      </c>
      <c r="E463" s="226" t="str">
        <f t="shared" si="256"/>
        <v>Base</v>
      </c>
      <c r="F463" s="230">
        <f t="shared" si="257"/>
        <v>25000000</v>
      </c>
      <c r="G463" s="236">
        <f t="shared" si="258"/>
        <v>0.15</v>
      </c>
      <c r="H463" s="230">
        <f t="shared" si="259"/>
        <v>300000</v>
      </c>
      <c r="I463" s="236">
        <f t="shared" si="242"/>
        <v>0</v>
      </c>
      <c r="J463" s="234">
        <v>24</v>
      </c>
      <c r="K463" s="234">
        <f t="shared" si="243"/>
        <v>2049</v>
      </c>
      <c r="L463" s="230">
        <f>IF(J463=1,'Model Inputs'!$B$25*(13-'Model Inputs'!$B$23)/12,'Model Inputs'!$B$25)</f>
        <v>300000</v>
      </c>
      <c r="M463" s="230">
        <f>IF(J463=1,'Model Inputs'!$B$27*(13-'Model Inputs'!$B$23)/12,IF(J463=2,'Model Inputs'!$B$27,IF(J463&lt;=MAX(3,'Model Inputs'!$B$30+1),'Model Inputs'!$B$27*(1+'Model Inputs'!$B$28)^(J463-3),'Model Inputs'!$B$27*(1+'Model Inputs'!$B$28)^(MAX(3,'Model Inputs'!$B$30+1)-3)*(1+'Model Inputs'!$B$29)^(J463-MAX(3,'Model Inputs'!$B$30+1)))))</f>
        <v>90301156.084270701</v>
      </c>
      <c r="N463" s="236">
        <f>IF(J463&lt;=2,0,'Model Inputs'!$B$32*SIN(2*PI()*(J463-3+'Model Inputs'!$B$34)/MAX(1,'Model Inputs'!$B$33)))</f>
        <v>-2.0574066225675533E-16</v>
      </c>
      <c r="O463" s="230">
        <f t="shared" si="244"/>
        <v>90301156.084270686</v>
      </c>
      <c r="P463" s="230">
        <f t="shared" si="264"/>
        <v>63182470.219744325</v>
      </c>
      <c r="Q463" s="230">
        <f>L463+P463+IF(J463=1,'Model Inputs'!$B$26,0)</f>
        <v>63482470.219744325</v>
      </c>
      <c r="R463" s="230">
        <f t="shared" si="245"/>
        <v>190447410.65923297</v>
      </c>
      <c r="S463" s="230">
        <f t="shared" si="246"/>
        <v>4050000</v>
      </c>
      <c r="T463" s="230">
        <f t="shared" si="247"/>
        <v>4050000</v>
      </c>
      <c r="U463" s="230">
        <f>MIN(T463,'Tax Assumptions'!$B$19)</f>
        <v>24500</v>
      </c>
      <c r="V463" s="230">
        <f>MAX(T463-U463-'Tax Assumptions'!$B$8,0)</f>
        <v>4009400</v>
      </c>
      <c r="W463" s="230">
        <f>MAX(T463-U463-'Tax Assumptions'!$B$9,0)</f>
        <v>4017500</v>
      </c>
      <c r="X463" s="230">
        <f>IF(V463=0,0,LOOKUP(V463,'Tax Assumptions'!$F$9:$F$15,'Tax Assumptions'!$I$9:$I$15)+(V463-LOOKUP(V463,'Tax Assumptions'!$F$9:$F$15,'Tax Assumptions'!$F$9:$F$15))*LOOKUP(V463,'Tax Assumptions'!$F$9:$F$15,'Tax Assumptions'!$H$9:$H$15))+MIN(MAX(T463,0),'Tax Assumptions'!$B$11)*'Tax Assumptions'!$B$10+MAX(T463,0)*'Tax Assumptions'!$B$12+MAX(MAX(T463,0)-'Tax Assumptions'!$B$14,0)*'Tax Assumptions'!$B$13+MIN(T463*'Tax Assumptions'!$B$15,'Tax Assumptions'!$B$16)+MIN(T463*'Tax Assumptions'!$B$17,'Tax Assumptions'!$B$18)+IF(W463=0,0,LOOKUP(W463,'Tax Assumptions'!$K$9:$K$17,'Tax Assumptions'!$N$9:$N$17)+(W463-LOOKUP(W463,'Tax Assumptions'!$K$9:$K$17,'Tax Assumptions'!$K$9:$K$17))*LOOKUP(W463,'Tax Assumptions'!$K$9:$K$17,'Tax Assumptions'!$M$9:$M$17))+IF(W463=0,0,LOOKUP(W463,'Tax Assumptions'!$P$9:$P$12,'Tax Assumptions'!$S$9:$S$12)+(W463-LOOKUP(W463,'Tax Assumptions'!$P$9:$P$12,'Tax Assumptions'!$P$9:$P$12))*LOOKUP(W463,'Tax Assumptions'!$P$9:$P$12,'Tax Assumptions'!$R$9:$R$12))</f>
        <v>2055188.6349999998</v>
      </c>
      <c r="Y463" s="230">
        <f t="shared" si="248"/>
        <v>1970311.3650000002</v>
      </c>
      <c r="Z463" s="230">
        <f>IF(J463&lt;=10,INDEX('Savings Projection'!$BL$19:$BL$28,J463),LOOKUP(2,1/('Savings Projection'!$BL$19:$BL$28&lt;&gt;""),'Savings Projection'!$BL$19:$BL$28))*(1+'Model Inputs'!$B$35)^(J463-1)+IF(J463&lt;=10,INDEX('Savings Projection'!$BM$19:$BM$28,J463),LOOKUP(2,1/('Savings Projection'!$BM$19:$BM$28&lt;&gt;""),'Savings Projection'!$BM$19:$BM$28))*(1+'Model Inputs'!$B$36)^(J463-1)</f>
        <v>256566.24644645851</v>
      </c>
      <c r="AA463" s="230">
        <f t="shared" si="249"/>
        <v>1713745.1185535416</v>
      </c>
      <c r="AB463" s="230">
        <f>MIN(MAX(AA463,0),'Tax Assumptions'!$B$20)</f>
        <v>7500</v>
      </c>
      <c r="AC463" s="230">
        <f t="shared" si="250"/>
        <v>1706245.1185535416</v>
      </c>
      <c r="AD463" s="230">
        <f>MAX(AD462*(1+'Model Inputs'!$B$13)+AC463,0)</f>
        <v>66251508.937322937</v>
      </c>
      <c r="AE463" s="230">
        <f>MAX(AE462*(1+'Model Inputs'!$B$13)+U463+AB463,0)</f>
        <v>1626098.4753426341</v>
      </c>
      <c r="AF463" s="230">
        <f t="shared" si="251"/>
        <v>67877607.412665576</v>
      </c>
      <c r="AG463" s="226" t="str">
        <f t="shared" si="260"/>
        <v/>
      </c>
      <c r="AH463" s="226" t="str">
        <f t="shared" si="261"/>
        <v/>
      </c>
      <c r="AI463" s="226" t="str">
        <f t="shared" si="262"/>
        <v/>
      </c>
      <c r="AJ463" s="226" t="str">
        <f t="shared" si="263"/>
        <v/>
      </c>
    </row>
    <row r="464" spans="1:36" ht="18" customHeight="1" x14ac:dyDescent="0.2">
      <c r="A464" s="226" t="str">
        <f t="shared" si="252"/>
        <v>4Y -&gt; PM Y8 Base</v>
      </c>
      <c r="B464" s="226">
        <f t="shared" si="253"/>
        <v>4</v>
      </c>
      <c r="C464" s="235">
        <f t="shared" si="254"/>
        <v>3</v>
      </c>
      <c r="D464" s="226">
        <f t="shared" si="255"/>
        <v>8</v>
      </c>
      <c r="E464" s="226" t="str">
        <f t="shared" si="256"/>
        <v>Base</v>
      </c>
      <c r="F464" s="230">
        <f t="shared" si="257"/>
        <v>25000000</v>
      </c>
      <c r="G464" s="236">
        <f t="shared" si="258"/>
        <v>0.15</v>
      </c>
      <c r="H464" s="230">
        <f t="shared" si="259"/>
        <v>300000</v>
      </c>
      <c r="I464" s="236">
        <f t="shared" si="242"/>
        <v>0</v>
      </c>
      <c r="J464" s="234">
        <v>25</v>
      </c>
      <c r="K464" s="234">
        <f t="shared" si="243"/>
        <v>2050</v>
      </c>
      <c r="L464" s="230">
        <f>IF(J464=1,'Model Inputs'!$B$25*(13-'Model Inputs'!$B$23)/12,'Model Inputs'!$B$25)</f>
        <v>300000</v>
      </c>
      <c r="M464" s="230">
        <f>IF(J464=1,'Model Inputs'!$B$27*(13-'Model Inputs'!$B$23)/12,IF(J464=2,'Model Inputs'!$B$27,IF(J464&lt;=MAX(3,'Model Inputs'!$B$30+1),'Model Inputs'!$B$27*(1+'Model Inputs'!$B$28)^(J464-3),'Model Inputs'!$B$27*(1+'Model Inputs'!$B$28)^(MAX(3,'Model Inputs'!$B$30+1)-3)*(1+'Model Inputs'!$B$29)^(J464-MAX(3,'Model Inputs'!$B$30+1)))))</f>
        <v>114761701.62653697</v>
      </c>
      <c r="N464" s="236">
        <f>IF(J464&lt;=2,0,'Model Inputs'!$B$32*SIN(2*PI()*(J464-3+'Model Inputs'!$B$34)/MAX(1,'Model Inputs'!$B$33)))</f>
        <v>0.10392304845413287</v>
      </c>
      <c r="O464" s="230">
        <f t="shared" si="244"/>
        <v>126688087.50535031</v>
      </c>
      <c r="P464" s="230">
        <f t="shared" si="264"/>
        <v>83643370.677900568</v>
      </c>
      <c r="Q464" s="230">
        <f>L464+P464+IF(J464=1,'Model Inputs'!$B$26,0)</f>
        <v>83943370.677900568</v>
      </c>
      <c r="R464" s="230">
        <f t="shared" si="245"/>
        <v>251830112.03370172</v>
      </c>
      <c r="S464" s="230">
        <f t="shared" si="246"/>
        <v>4050000</v>
      </c>
      <c r="T464" s="230">
        <f t="shared" si="247"/>
        <v>4050000</v>
      </c>
      <c r="U464" s="230">
        <f>MIN(T464,'Tax Assumptions'!$B$19)</f>
        <v>24500</v>
      </c>
      <c r="V464" s="230">
        <f>MAX(T464-U464-'Tax Assumptions'!$B$8,0)</f>
        <v>4009400</v>
      </c>
      <c r="W464" s="230">
        <f>MAX(T464-U464-'Tax Assumptions'!$B$9,0)</f>
        <v>4017500</v>
      </c>
      <c r="X464" s="230">
        <f>IF(V464=0,0,LOOKUP(V464,'Tax Assumptions'!$F$9:$F$15,'Tax Assumptions'!$I$9:$I$15)+(V464-LOOKUP(V464,'Tax Assumptions'!$F$9:$F$15,'Tax Assumptions'!$F$9:$F$15))*LOOKUP(V464,'Tax Assumptions'!$F$9:$F$15,'Tax Assumptions'!$H$9:$H$15))+MIN(MAX(T464,0),'Tax Assumptions'!$B$11)*'Tax Assumptions'!$B$10+MAX(T464,0)*'Tax Assumptions'!$B$12+MAX(MAX(T464,0)-'Tax Assumptions'!$B$14,0)*'Tax Assumptions'!$B$13+MIN(T464*'Tax Assumptions'!$B$15,'Tax Assumptions'!$B$16)+MIN(T464*'Tax Assumptions'!$B$17,'Tax Assumptions'!$B$18)+IF(W464=0,0,LOOKUP(W464,'Tax Assumptions'!$K$9:$K$17,'Tax Assumptions'!$N$9:$N$17)+(W464-LOOKUP(W464,'Tax Assumptions'!$K$9:$K$17,'Tax Assumptions'!$K$9:$K$17))*LOOKUP(W464,'Tax Assumptions'!$K$9:$K$17,'Tax Assumptions'!$M$9:$M$17))+IF(W464=0,0,LOOKUP(W464,'Tax Assumptions'!$P$9:$P$12,'Tax Assumptions'!$S$9:$S$12)+(W464-LOOKUP(W464,'Tax Assumptions'!$P$9:$P$12,'Tax Assumptions'!$P$9:$P$12))*LOOKUP(W464,'Tax Assumptions'!$P$9:$P$12,'Tax Assumptions'!$R$9:$R$12))</f>
        <v>2055188.6349999998</v>
      </c>
      <c r="Y464" s="230">
        <f t="shared" si="248"/>
        <v>1970311.3650000002</v>
      </c>
      <c r="Z464" s="230">
        <f>IF(J464&lt;=10,INDEX('Savings Projection'!$BL$19:$BL$28,J464),LOOKUP(2,1/('Savings Projection'!$BL$19:$BL$28&lt;&gt;""),'Savings Projection'!$BL$19:$BL$28))*(1+'Model Inputs'!$B$35)^(J464-1)+IF(J464&lt;=10,INDEX('Savings Projection'!$BM$19:$BM$28,J464),LOOKUP(2,1/('Savings Projection'!$BM$19:$BM$28&lt;&gt;""),'Savings Projection'!$BM$19:$BM$28))*(1+'Model Inputs'!$B$36)^(J464-1)</f>
        <v>264263.23383985227</v>
      </c>
      <c r="AA464" s="230">
        <f t="shared" si="249"/>
        <v>1706048.131160148</v>
      </c>
      <c r="AB464" s="230">
        <f>MIN(MAX(AA464,0),'Tax Assumptions'!$B$20)</f>
        <v>7500</v>
      </c>
      <c r="AC464" s="230">
        <f t="shared" si="250"/>
        <v>1698548.131160148</v>
      </c>
      <c r="AD464" s="230">
        <f>MAX(AD463*(1+'Model Inputs'!$B$13)+AC464,0)</f>
        <v>71925147.60472247</v>
      </c>
      <c r="AE464" s="230">
        <f>MAX(AE463*(1+'Model Inputs'!$B$13)+U464+AB464,0)</f>
        <v>1755664.3838631923</v>
      </c>
      <c r="AF464" s="230">
        <f t="shared" si="251"/>
        <v>73680811.988585666</v>
      </c>
      <c r="AG464" s="226" t="str">
        <f t="shared" si="260"/>
        <v/>
      </c>
      <c r="AH464" s="226" t="str">
        <f t="shared" si="261"/>
        <v/>
      </c>
      <c r="AI464" s="226" t="str">
        <f t="shared" si="262"/>
        <v/>
      </c>
      <c r="AJ464" s="226" t="str">
        <f t="shared" si="263"/>
        <v/>
      </c>
    </row>
    <row r="465" spans="1:36" ht="18" customHeight="1" x14ac:dyDescent="0.2">
      <c r="A465" s="226" t="str">
        <f t="shared" si="252"/>
        <v>4Y -&gt; PM Y8 Base</v>
      </c>
      <c r="B465" s="226">
        <f t="shared" si="253"/>
        <v>4</v>
      </c>
      <c r="C465" s="235">
        <f t="shared" si="254"/>
        <v>3</v>
      </c>
      <c r="D465" s="226">
        <f t="shared" si="255"/>
        <v>8</v>
      </c>
      <c r="E465" s="226" t="str">
        <f t="shared" si="256"/>
        <v>Base</v>
      </c>
      <c r="F465" s="230">
        <f t="shared" si="257"/>
        <v>25000000</v>
      </c>
      <c r="G465" s="236">
        <f t="shared" si="258"/>
        <v>0.15</v>
      </c>
      <c r="H465" s="230">
        <f t="shared" si="259"/>
        <v>300000</v>
      </c>
      <c r="I465" s="236">
        <f t="shared" si="242"/>
        <v>0</v>
      </c>
      <c r="J465" s="234">
        <v>26</v>
      </c>
      <c r="K465" s="234">
        <f t="shared" si="243"/>
        <v>2051</v>
      </c>
      <c r="L465" s="230">
        <f>IF(J465=1,'Model Inputs'!$B$25*(13-'Model Inputs'!$B$23)/12,'Model Inputs'!$B$25)</f>
        <v>300000</v>
      </c>
      <c r="M465" s="230">
        <f>IF(J465=1,'Model Inputs'!$B$27*(13-'Model Inputs'!$B$23)/12,IF(J465=2,'Model Inputs'!$B$27,IF(J465&lt;=MAX(3,'Model Inputs'!$B$30+1),'Model Inputs'!$B$27*(1+'Model Inputs'!$B$28)^(J465-3),'Model Inputs'!$B$27*(1+'Model Inputs'!$B$28)^(MAX(3,'Model Inputs'!$B$30+1)-3)*(1+'Model Inputs'!$B$29)^(J465-MAX(3,'Model Inputs'!$B$30+1)))))</f>
        <v>145848057.00524563</v>
      </c>
      <c r="N465" s="236">
        <f>IF(J465&lt;=2,0,'Model Inputs'!$B$32*SIN(2*PI()*(J465-3+'Model Inputs'!$B$34)/MAX(1,'Model Inputs'!$B$33)))</f>
        <v>-0.10392304845413224</v>
      </c>
      <c r="O465" s="230">
        <f t="shared" si="244"/>
        <v>130691082.31014845</v>
      </c>
      <c r="P465" s="230">
        <f t="shared" si="264"/>
        <v>117591354.65008041</v>
      </c>
      <c r="Q465" s="230">
        <f>L465+P465+IF(J465=1,'Model Inputs'!$B$26,0)</f>
        <v>117891354.65008041</v>
      </c>
      <c r="R465" s="230">
        <f t="shared" si="245"/>
        <v>353674063.95024121</v>
      </c>
      <c r="S465" s="230">
        <f t="shared" si="246"/>
        <v>4050000</v>
      </c>
      <c r="T465" s="230">
        <f t="shared" si="247"/>
        <v>4050000</v>
      </c>
      <c r="U465" s="230">
        <f>MIN(T465,'Tax Assumptions'!$B$19)</f>
        <v>24500</v>
      </c>
      <c r="V465" s="230">
        <f>MAX(T465-U465-'Tax Assumptions'!$B$8,0)</f>
        <v>4009400</v>
      </c>
      <c r="W465" s="230">
        <f>MAX(T465-U465-'Tax Assumptions'!$B$9,0)</f>
        <v>4017500</v>
      </c>
      <c r="X465" s="230">
        <f>IF(V465=0,0,LOOKUP(V465,'Tax Assumptions'!$F$9:$F$15,'Tax Assumptions'!$I$9:$I$15)+(V465-LOOKUP(V465,'Tax Assumptions'!$F$9:$F$15,'Tax Assumptions'!$F$9:$F$15))*LOOKUP(V465,'Tax Assumptions'!$F$9:$F$15,'Tax Assumptions'!$H$9:$H$15))+MIN(MAX(T465,0),'Tax Assumptions'!$B$11)*'Tax Assumptions'!$B$10+MAX(T465,0)*'Tax Assumptions'!$B$12+MAX(MAX(T465,0)-'Tax Assumptions'!$B$14,0)*'Tax Assumptions'!$B$13+MIN(T465*'Tax Assumptions'!$B$15,'Tax Assumptions'!$B$16)+MIN(T465*'Tax Assumptions'!$B$17,'Tax Assumptions'!$B$18)+IF(W465=0,0,LOOKUP(W465,'Tax Assumptions'!$K$9:$K$17,'Tax Assumptions'!$N$9:$N$17)+(W465-LOOKUP(W465,'Tax Assumptions'!$K$9:$K$17,'Tax Assumptions'!$K$9:$K$17))*LOOKUP(W465,'Tax Assumptions'!$K$9:$K$17,'Tax Assumptions'!$M$9:$M$17))+IF(W465=0,0,LOOKUP(W465,'Tax Assumptions'!$P$9:$P$12,'Tax Assumptions'!$S$9:$S$12)+(W465-LOOKUP(W465,'Tax Assumptions'!$P$9:$P$12,'Tax Assumptions'!$P$9:$P$12))*LOOKUP(W465,'Tax Assumptions'!$P$9:$P$12,'Tax Assumptions'!$R$9:$R$12))</f>
        <v>2055188.6349999998</v>
      </c>
      <c r="Y465" s="230">
        <f t="shared" si="248"/>
        <v>1970311.3650000002</v>
      </c>
      <c r="Z465" s="230">
        <f>IF(J465&lt;=10,INDEX('Savings Projection'!$BL$19:$BL$28,J465),LOOKUP(2,1/('Savings Projection'!$BL$19:$BL$28&lt;&gt;""),'Savings Projection'!$BL$19:$BL$28))*(1+'Model Inputs'!$B$35)^(J465-1)+IF(J465&lt;=10,INDEX('Savings Projection'!$BM$19:$BM$28,J465),LOOKUP(2,1/('Savings Projection'!$BM$19:$BM$28&lt;&gt;""),'Savings Projection'!$BM$19:$BM$28))*(1+'Model Inputs'!$B$36)^(J465-1)</f>
        <v>272191.13085504784</v>
      </c>
      <c r="AA465" s="230">
        <f t="shared" si="249"/>
        <v>1698120.2341449524</v>
      </c>
      <c r="AB465" s="230">
        <f>MIN(MAX(AA465,0),'Tax Assumptions'!$B$20)</f>
        <v>7500</v>
      </c>
      <c r="AC465" s="230">
        <f t="shared" si="250"/>
        <v>1690620.2341449524</v>
      </c>
      <c r="AD465" s="230">
        <f>MAX(AD464*(1+'Model Inputs'!$B$13)+AC465,0)</f>
        <v>77931276.695150778</v>
      </c>
      <c r="AE465" s="230">
        <f>MAX(AE464*(1+'Model Inputs'!$B$13)+U465+AB465,0)</f>
        <v>1893004.2468949838</v>
      </c>
      <c r="AF465" s="230">
        <f t="shared" si="251"/>
        <v>79824280.942045763</v>
      </c>
      <c r="AG465" s="226" t="str">
        <f t="shared" si="260"/>
        <v/>
      </c>
      <c r="AH465" s="226" t="str">
        <f t="shared" si="261"/>
        <v/>
      </c>
      <c r="AI465" s="226" t="str">
        <f t="shared" si="262"/>
        <v/>
      </c>
      <c r="AJ465" s="226" t="str">
        <f t="shared" si="263"/>
        <v/>
      </c>
    </row>
    <row r="466" spans="1:36" ht="18" customHeight="1" x14ac:dyDescent="0.2">
      <c r="A466" s="226" t="str">
        <f t="shared" si="252"/>
        <v>4Y -&gt; PM Y8 Base</v>
      </c>
      <c r="B466" s="226">
        <f t="shared" si="253"/>
        <v>4</v>
      </c>
      <c r="C466" s="235">
        <f t="shared" si="254"/>
        <v>3</v>
      </c>
      <c r="D466" s="226">
        <f t="shared" si="255"/>
        <v>8</v>
      </c>
      <c r="E466" s="226" t="str">
        <f t="shared" si="256"/>
        <v>Base</v>
      </c>
      <c r="F466" s="230">
        <f t="shared" si="257"/>
        <v>25000000</v>
      </c>
      <c r="G466" s="236">
        <f t="shared" si="258"/>
        <v>0.15</v>
      </c>
      <c r="H466" s="230">
        <f t="shared" si="259"/>
        <v>300000</v>
      </c>
      <c r="I466" s="236">
        <f t="shared" si="242"/>
        <v>0</v>
      </c>
      <c r="J466" s="234">
        <v>27</v>
      </c>
      <c r="K466" s="234">
        <f t="shared" si="243"/>
        <v>2052</v>
      </c>
      <c r="L466" s="230">
        <f>IF(J466=1,'Model Inputs'!$B$25*(13-'Model Inputs'!$B$23)/12,'Model Inputs'!$B$25)</f>
        <v>300000</v>
      </c>
      <c r="M466" s="230">
        <f>IF(J466=1,'Model Inputs'!$B$27*(13-'Model Inputs'!$B$23)/12,IF(J466=2,'Model Inputs'!$B$27,IF(J466&lt;=MAX(3,'Model Inputs'!$B$30+1),'Model Inputs'!$B$27*(1+'Model Inputs'!$B$28)^(J466-3),'Model Inputs'!$B$27*(1+'Model Inputs'!$B$28)^(MAX(3,'Model Inputs'!$B$30+1)-3)*(1+'Model Inputs'!$B$29)^(J466-MAX(3,'Model Inputs'!$B$30+1)))))</f>
        <v>185355004.59402937</v>
      </c>
      <c r="N466" s="236">
        <f>IF(J466&lt;=2,0,'Model Inputs'!$B$32*SIN(2*PI()*(J466-3+'Model Inputs'!$B$34)/MAX(1,'Model Inputs'!$B$33)))</f>
        <v>-2.3513218543629179E-16</v>
      </c>
      <c r="O466" s="230">
        <f t="shared" si="244"/>
        <v>185355004.59402934</v>
      </c>
      <c r="P466" s="230">
        <f t="shared" si="264"/>
        <v>129690333.6089489</v>
      </c>
      <c r="Q466" s="230">
        <f>L466+P466+IF(J466=1,'Model Inputs'!$B$26,0)</f>
        <v>129990333.6089489</v>
      </c>
      <c r="R466" s="230">
        <f t="shared" si="245"/>
        <v>389971000.82684672</v>
      </c>
      <c r="S466" s="230">
        <f t="shared" si="246"/>
        <v>4050000</v>
      </c>
      <c r="T466" s="230">
        <f t="shared" si="247"/>
        <v>4050000</v>
      </c>
      <c r="U466" s="230">
        <f>MIN(T466,'Tax Assumptions'!$B$19)</f>
        <v>24500</v>
      </c>
      <c r="V466" s="230">
        <f>MAX(T466-U466-'Tax Assumptions'!$B$8,0)</f>
        <v>4009400</v>
      </c>
      <c r="W466" s="230">
        <f>MAX(T466-U466-'Tax Assumptions'!$B$9,0)</f>
        <v>4017500</v>
      </c>
      <c r="X466" s="230">
        <f>IF(V466=0,0,LOOKUP(V466,'Tax Assumptions'!$F$9:$F$15,'Tax Assumptions'!$I$9:$I$15)+(V466-LOOKUP(V466,'Tax Assumptions'!$F$9:$F$15,'Tax Assumptions'!$F$9:$F$15))*LOOKUP(V466,'Tax Assumptions'!$F$9:$F$15,'Tax Assumptions'!$H$9:$H$15))+MIN(MAX(T466,0),'Tax Assumptions'!$B$11)*'Tax Assumptions'!$B$10+MAX(T466,0)*'Tax Assumptions'!$B$12+MAX(MAX(T466,0)-'Tax Assumptions'!$B$14,0)*'Tax Assumptions'!$B$13+MIN(T466*'Tax Assumptions'!$B$15,'Tax Assumptions'!$B$16)+MIN(T466*'Tax Assumptions'!$B$17,'Tax Assumptions'!$B$18)+IF(W466=0,0,LOOKUP(W466,'Tax Assumptions'!$K$9:$K$17,'Tax Assumptions'!$N$9:$N$17)+(W466-LOOKUP(W466,'Tax Assumptions'!$K$9:$K$17,'Tax Assumptions'!$K$9:$K$17))*LOOKUP(W466,'Tax Assumptions'!$K$9:$K$17,'Tax Assumptions'!$M$9:$M$17))+IF(W466=0,0,LOOKUP(W466,'Tax Assumptions'!$P$9:$P$12,'Tax Assumptions'!$S$9:$S$12)+(W466-LOOKUP(W466,'Tax Assumptions'!$P$9:$P$12,'Tax Assumptions'!$P$9:$P$12))*LOOKUP(W466,'Tax Assumptions'!$P$9:$P$12,'Tax Assumptions'!$R$9:$R$12))</f>
        <v>2055188.6349999998</v>
      </c>
      <c r="Y466" s="230">
        <f t="shared" si="248"/>
        <v>1970311.3650000002</v>
      </c>
      <c r="Z466" s="230">
        <f>IF(J466&lt;=10,INDEX('Savings Projection'!$BL$19:$BL$28,J466),LOOKUP(2,1/('Savings Projection'!$BL$19:$BL$28&lt;&gt;""),'Savings Projection'!$BL$19:$BL$28))*(1+'Model Inputs'!$B$35)^(J466-1)+IF(J466&lt;=10,INDEX('Savings Projection'!$BM$19:$BM$28,J466),LOOKUP(2,1/('Savings Projection'!$BM$19:$BM$28&lt;&gt;""),'Savings Projection'!$BM$19:$BM$28))*(1+'Model Inputs'!$B$36)^(J466-1)</f>
        <v>280356.86478069925</v>
      </c>
      <c r="AA466" s="230">
        <f t="shared" si="249"/>
        <v>1689954.5002193009</v>
      </c>
      <c r="AB466" s="230">
        <f>MIN(MAX(AA466,0),'Tax Assumptions'!$B$20)</f>
        <v>7500</v>
      </c>
      <c r="AC466" s="230">
        <f t="shared" si="250"/>
        <v>1682454.5002193009</v>
      </c>
      <c r="AD466" s="230">
        <f>MAX(AD465*(1+'Model Inputs'!$B$13)+AC466,0)</f>
        <v>84289607.797079131</v>
      </c>
      <c r="AE466" s="230">
        <f>MAX(AE465*(1+'Model Inputs'!$B$13)+U466+AB466,0)</f>
        <v>2038584.5017086829</v>
      </c>
      <c r="AF466" s="230">
        <f t="shared" si="251"/>
        <v>86328192.298787817</v>
      </c>
      <c r="AG466" s="226" t="str">
        <f t="shared" si="260"/>
        <v/>
      </c>
      <c r="AH466" s="226" t="str">
        <f t="shared" si="261"/>
        <v/>
      </c>
      <c r="AI466" s="226" t="str">
        <f t="shared" si="262"/>
        <v/>
      </c>
      <c r="AJ466" s="226" t="str">
        <f t="shared" si="263"/>
        <v/>
      </c>
    </row>
    <row r="467" spans="1:36" ht="18" customHeight="1" x14ac:dyDescent="0.2">
      <c r="A467" s="226" t="str">
        <f t="shared" si="252"/>
        <v>4Y -&gt; PM Y8 Base</v>
      </c>
      <c r="B467" s="226">
        <f t="shared" si="253"/>
        <v>4</v>
      </c>
      <c r="C467" s="235">
        <f t="shared" si="254"/>
        <v>3</v>
      </c>
      <c r="D467" s="226">
        <f t="shared" si="255"/>
        <v>8</v>
      </c>
      <c r="E467" s="226" t="str">
        <f t="shared" si="256"/>
        <v>Base</v>
      </c>
      <c r="F467" s="230">
        <f t="shared" si="257"/>
        <v>25000000</v>
      </c>
      <c r="G467" s="236">
        <f t="shared" si="258"/>
        <v>0.15</v>
      </c>
      <c r="H467" s="230">
        <f t="shared" si="259"/>
        <v>300000</v>
      </c>
      <c r="I467" s="236">
        <f t="shared" si="242"/>
        <v>0</v>
      </c>
      <c r="J467" s="234">
        <v>28</v>
      </c>
      <c r="K467" s="234">
        <f t="shared" si="243"/>
        <v>2053</v>
      </c>
      <c r="L467" s="230">
        <f>IF(J467=1,'Model Inputs'!$B$25*(13-'Model Inputs'!$B$23)/12,'Model Inputs'!$B$25)</f>
        <v>300000</v>
      </c>
      <c r="M467" s="230">
        <f>IF(J467=1,'Model Inputs'!$B$27*(13-'Model Inputs'!$B$23)/12,IF(J467=2,'Model Inputs'!$B$27,IF(J467&lt;=MAX(3,'Model Inputs'!$B$30+1),'Model Inputs'!$B$27*(1+'Model Inputs'!$B$28)^(J467-3),'Model Inputs'!$B$27*(1+'Model Inputs'!$B$28)^(MAX(3,'Model Inputs'!$B$30+1)-3)*(1+'Model Inputs'!$B$29)^(J467-MAX(3,'Model Inputs'!$B$30+1)))))</f>
        <v>235563492.81236541</v>
      </c>
      <c r="N467" s="236">
        <f>IF(J467&lt;=2,0,'Model Inputs'!$B$32*SIN(2*PI()*(J467-3+'Model Inputs'!$B$34)/MAX(1,'Model Inputs'!$B$33)))</f>
        <v>0.10392304845413247</v>
      </c>
      <c r="O467" s="230">
        <f t="shared" si="244"/>
        <v>260043969.08992955</v>
      </c>
      <c r="P467" s="230">
        <f t="shared" si="264"/>
        <v>171689024.02305913</v>
      </c>
      <c r="Q467" s="230">
        <f>L467+P467+IF(J467=1,'Model Inputs'!$B$26,0)</f>
        <v>171989024.02305913</v>
      </c>
      <c r="R467" s="230">
        <f t="shared" si="245"/>
        <v>515967072.06917739</v>
      </c>
      <c r="S467" s="230">
        <f t="shared" si="246"/>
        <v>4050000</v>
      </c>
      <c r="T467" s="230">
        <f t="shared" si="247"/>
        <v>4050000</v>
      </c>
      <c r="U467" s="230">
        <f>MIN(T467,'Tax Assumptions'!$B$19)</f>
        <v>24500</v>
      </c>
      <c r="V467" s="230">
        <f>MAX(T467-U467-'Tax Assumptions'!$B$8,0)</f>
        <v>4009400</v>
      </c>
      <c r="W467" s="230">
        <f>MAX(T467-U467-'Tax Assumptions'!$B$9,0)</f>
        <v>4017500</v>
      </c>
      <c r="X467" s="230">
        <f>IF(V467=0,0,LOOKUP(V467,'Tax Assumptions'!$F$9:$F$15,'Tax Assumptions'!$I$9:$I$15)+(V467-LOOKUP(V467,'Tax Assumptions'!$F$9:$F$15,'Tax Assumptions'!$F$9:$F$15))*LOOKUP(V467,'Tax Assumptions'!$F$9:$F$15,'Tax Assumptions'!$H$9:$H$15))+MIN(MAX(T467,0),'Tax Assumptions'!$B$11)*'Tax Assumptions'!$B$10+MAX(T467,0)*'Tax Assumptions'!$B$12+MAX(MAX(T467,0)-'Tax Assumptions'!$B$14,0)*'Tax Assumptions'!$B$13+MIN(T467*'Tax Assumptions'!$B$15,'Tax Assumptions'!$B$16)+MIN(T467*'Tax Assumptions'!$B$17,'Tax Assumptions'!$B$18)+IF(W467=0,0,LOOKUP(W467,'Tax Assumptions'!$K$9:$K$17,'Tax Assumptions'!$N$9:$N$17)+(W467-LOOKUP(W467,'Tax Assumptions'!$K$9:$K$17,'Tax Assumptions'!$K$9:$K$17))*LOOKUP(W467,'Tax Assumptions'!$K$9:$K$17,'Tax Assumptions'!$M$9:$M$17))+IF(W467=0,0,LOOKUP(W467,'Tax Assumptions'!$P$9:$P$12,'Tax Assumptions'!$S$9:$S$12)+(W467-LOOKUP(W467,'Tax Assumptions'!$P$9:$P$12,'Tax Assumptions'!$P$9:$P$12))*LOOKUP(W467,'Tax Assumptions'!$P$9:$P$12,'Tax Assumptions'!$R$9:$R$12))</f>
        <v>2055188.6349999998</v>
      </c>
      <c r="Y467" s="230">
        <f t="shared" si="248"/>
        <v>1970311.3650000002</v>
      </c>
      <c r="Z467" s="230">
        <f>IF(J467&lt;=10,INDEX('Savings Projection'!$BL$19:$BL$28,J467),LOOKUP(2,1/('Savings Projection'!$BL$19:$BL$28&lt;&gt;""),'Savings Projection'!$BL$19:$BL$28))*(1+'Model Inputs'!$B$35)^(J467-1)+IF(J467&lt;=10,INDEX('Savings Projection'!$BM$19:$BM$28,J467),LOOKUP(2,1/('Savings Projection'!$BM$19:$BM$28&lt;&gt;""),'Savings Projection'!$BM$19:$BM$28))*(1+'Model Inputs'!$B$36)^(J467-1)</f>
        <v>288767.57072412025</v>
      </c>
      <c r="AA467" s="230">
        <f t="shared" si="249"/>
        <v>1681543.7942758799</v>
      </c>
      <c r="AB467" s="230">
        <f>MIN(MAX(AA467,0),'Tax Assumptions'!$B$20)</f>
        <v>7500</v>
      </c>
      <c r="AC467" s="230">
        <f t="shared" si="250"/>
        <v>1674043.7942758799</v>
      </c>
      <c r="AD467" s="230">
        <f>MAX(AD466*(1+'Model Inputs'!$B$13)+AC467,0)</f>
        <v>91021028.059179768</v>
      </c>
      <c r="AE467" s="230">
        <f>MAX(AE466*(1+'Model Inputs'!$B$13)+U467+AB467,0)</f>
        <v>2192899.5718112038</v>
      </c>
      <c r="AF467" s="230">
        <f t="shared" si="251"/>
        <v>93213927.630990967</v>
      </c>
      <c r="AG467" s="226" t="str">
        <f t="shared" si="260"/>
        <v/>
      </c>
      <c r="AH467" s="226" t="str">
        <f t="shared" si="261"/>
        <v/>
      </c>
      <c r="AI467" s="226" t="str">
        <f t="shared" si="262"/>
        <v/>
      </c>
      <c r="AJ467" s="226" t="str">
        <f t="shared" si="263"/>
        <v/>
      </c>
    </row>
    <row r="468" spans="1:36" ht="18" customHeight="1" x14ac:dyDescent="0.2">
      <c r="A468" s="226" t="str">
        <f t="shared" si="252"/>
        <v>4Y -&gt; PM Y8 Base</v>
      </c>
      <c r="B468" s="226">
        <f t="shared" si="253"/>
        <v>4</v>
      </c>
      <c r="C468" s="235">
        <f t="shared" si="254"/>
        <v>3</v>
      </c>
      <c r="D468" s="226">
        <f t="shared" si="255"/>
        <v>8</v>
      </c>
      <c r="E468" s="226" t="str">
        <f t="shared" si="256"/>
        <v>Base</v>
      </c>
      <c r="F468" s="230">
        <f t="shared" si="257"/>
        <v>25000000</v>
      </c>
      <c r="G468" s="236">
        <f t="shared" si="258"/>
        <v>0.15</v>
      </c>
      <c r="H468" s="230">
        <f t="shared" si="259"/>
        <v>300000</v>
      </c>
      <c r="I468" s="236">
        <f t="shared" si="242"/>
        <v>0</v>
      </c>
      <c r="J468" s="234">
        <v>29</v>
      </c>
      <c r="K468" s="234">
        <f t="shared" si="243"/>
        <v>2054</v>
      </c>
      <c r="L468" s="230">
        <f>IF(J468=1,'Model Inputs'!$B$25*(13-'Model Inputs'!$B$23)/12,'Model Inputs'!$B$25)</f>
        <v>300000</v>
      </c>
      <c r="M468" s="230">
        <f>IF(J468=1,'Model Inputs'!$B$27*(13-'Model Inputs'!$B$23)/12,IF(J468=2,'Model Inputs'!$B$27,IF(J468&lt;=MAX(3,'Model Inputs'!$B$30+1),'Model Inputs'!$B$27*(1+'Model Inputs'!$B$28)^(J468-3),'Model Inputs'!$B$27*(1+'Model Inputs'!$B$28)^(MAX(3,'Model Inputs'!$B$30+1)-3)*(1+'Model Inputs'!$B$29)^(J468-MAX(3,'Model Inputs'!$B$30+1)))))</f>
        <v>299372327.53708321</v>
      </c>
      <c r="N468" s="236">
        <f>IF(J468&lt;=2,0,'Model Inputs'!$B$32*SIN(2*PI()*(J468-3+'Model Inputs'!$B$34)/MAX(1,'Model Inputs'!$B$33)))</f>
        <v>-0.10392304845413265</v>
      </c>
      <c r="O468" s="230">
        <f t="shared" si="244"/>
        <v>268260642.63662043</v>
      </c>
      <c r="P468" s="230">
        <f t="shared" si="264"/>
        <v>241371727.96595448</v>
      </c>
      <c r="Q468" s="230">
        <f>L468+P468+IF(J468=1,'Model Inputs'!$B$26,0)</f>
        <v>241671727.96595448</v>
      </c>
      <c r="R468" s="230">
        <f t="shared" si="245"/>
        <v>725015183.89786339</v>
      </c>
      <c r="S468" s="230">
        <f t="shared" si="246"/>
        <v>4050000</v>
      </c>
      <c r="T468" s="230">
        <f t="shared" si="247"/>
        <v>4050000</v>
      </c>
      <c r="U468" s="230">
        <f>MIN(T468,'Tax Assumptions'!$B$19)</f>
        <v>24500</v>
      </c>
      <c r="V468" s="230">
        <f>MAX(T468-U468-'Tax Assumptions'!$B$8,0)</f>
        <v>4009400</v>
      </c>
      <c r="W468" s="230">
        <f>MAX(T468-U468-'Tax Assumptions'!$B$9,0)</f>
        <v>4017500</v>
      </c>
      <c r="X468" s="230">
        <f>IF(V468=0,0,LOOKUP(V468,'Tax Assumptions'!$F$9:$F$15,'Tax Assumptions'!$I$9:$I$15)+(V468-LOOKUP(V468,'Tax Assumptions'!$F$9:$F$15,'Tax Assumptions'!$F$9:$F$15))*LOOKUP(V468,'Tax Assumptions'!$F$9:$F$15,'Tax Assumptions'!$H$9:$H$15))+MIN(MAX(T468,0),'Tax Assumptions'!$B$11)*'Tax Assumptions'!$B$10+MAX(T468,0)*'Tax Assumptions'!$B$12+MAX(MAX(T468,0)-'Tax Assumptions'!$B$14,0)*'Tax Assumptions'!$B$13+MIN(T468*'Tax Assumptions'!$B$15,'Tax Assumptions'!$B$16)+MIN(T468*'Tax Assumptions'!$B$17,'Tax Assumptions'!$B$18)+IF(W468=0,0,LOOKUP(W468,'Tax Assumptions'!$K$9:$K$17,'Tax Assumptions'!$N$9:$N$17)+(W468-LOOKUP(W468,'Tax Assumptions'!$K$9:$K$17,'Tax Assumptions'!$K$9:$K$17))*LOOKUP(W468,'Tax Assumptions'!$K$9:$K$17,'Tax Assumptions'!$M$9:$M$17))+IF(W468=0,0,LOOKUP(W468,'Tax Assumptions'!$P$9:$P$12,'Tax Assumptions'!$S$9:$S$12)+(W468-LOOKUP(W468,'Tax Assumptions'!$P$9:$P$12,'Tax Assumptions'!$P$9:$P$12))*LOOKUP(W468,'Tax Assumptions'!$P$9:$P$12,'Tax Assumptions'!$R$9:$R$12))</f>
        <v>2055188.6349999998</v>
      </c>
      <c r="Y468" s="230">
        <f t="shared" si="248"/>
        <v>1970311.3650000002</v>
      </c>
      <c r="Z468" s="230">
        <f>IF(J468&lt;=10,INDEX('Savings Projection'!$BL$19:$BL$28,J468),LOOKUP(2,1/('Savings Projection'!$BL$19:$BL$28&lt;&gt;""),'Savings Projection'!$BL$19:$BL$28))*(1+'Model Inputs'!$B$35)^(J468-1)+IF(J468&lt;=10,INDEX('Savings Projection'!$BM$19:$BM$28,J468),LOOKUP(2,1/('Savings Projection'!$BM$19:$BM$28&lt;&gt;""),'Savings Projection'!$BM$19:$BM$28))*(1+'Model Inputs'!$B$36)^(J468-1)</f>
        <v>297430.59784584382</v>
      </c>
      <c r="AA468" s="230">
        <f t="shared" si="249"/>
        <v>1672880.7671541565</v>
      </c>
      <c r="AB468" s="230">
        <f>MIN(MAX(AA468,0),'Tax Assumptions'!$B$20)</f>
        <v>7500</v>
      </c>
      <c r="AC468" s="230">
        <f t="shared" si="250"/>
        <v>1665380.7671541565</v>
      </c>
      <c r="AD468" s="230">
        <f>MAX(AD467*(1+'Model Inputs'!$B$13)+AC468,0)</f>
        <v>98147670.509884715</v>
      </c>
      <c r="AE468" s="230">
        <f>MAX(AE467*(1+'Model Inputs'!$B$13)+U468+AB468,0)</f>
        <v>2356473.5461198762</v>
      </c>
      <c r="AF468" s="230">
        <f t="shared" si="251"/>
        <v>100504144.05600458</v>
      </c>
      <c r="AG468" s="226" t="str">
        <f t="shared" si="260"/>
        <v/>
      </c>
      <c r="AH468" s="226" t="str">
        <f t="shared" si="261"/>
        <v/>
      </c>
      <c r="AI468" s="226" t="str">
        <f t="shared" si="262"/>
        <v/>
      </c>
      <c r="AJ468" s="226" t="str">
        <f t="shared" si="263"/>
        <v/>
      </c>
    </row>
    <row r="469" spans="1:36" ht="18" customHeight="1" x14ac:dyDescent="0.2">
      <c r="A469" s="226" t="str">
        <f t="shared" si="252"/>
        <v>4Y -&gt; PM Y8 Base</v>
      </c>
      <c r="B469" s="226">
        <f t="shared" si="253"/>
        <v>4</v>
      </c>
      <c r="C469" s="235">
        <f t="shared" si="254"/>
        <v>3</v>
      </c>
      <c r="D469" s="226">
        <f t="shared" si="255"/>
        <v>8</v>
      </c>
      <c r="E469" s="226" t="str">
        <f t="shared" si="256"/>
        <v>Base</v>
      </c>
      <c r="F469" s="230">
        <f t="shared" si="257"/>
        <v>25000000</v>
      </c>
      <c r="G469" s="236">
        <f t="shared" si="258"/>
        <v>0.15</v>
      </c>
      <c r="H469" s="230">
        <f t="shared" si="259"/>
        <v>300000</v>
      </c>
      <c r="I469" s="236">
        <f t="shared" si="242"/>
        <v>0</v>
      </c>
      <c r="J469" s="234">
        <v>30</v>
      </c>
      <c r="K469" s="234">
        <f t="shared" si="243"/>
        <v>2055</v>
      </c>
      <c r="L469" s="230">
        <f>IF(J469=1,'Model Inputs'!$B$25*(13-'Model Inputs'!$B$23)/12,'Model Inputs'!$B$25)</f>
        <v>300000</v>
      </c>
      <c r="M469" s="230">
        <f>IF(J469=1,'Model Inputs'!$B$27*(13-'Model Inputs'!$B$23)/12,IF(J469=2,'Model Inputs'!$B$27,IF(J469&lt;=MAX(3,'Model Inputs'!$B$30+1),'Model Inputs'!$B$27*(1+'Model Inputs'!$B$28)^(J469-3),'Model Inputs'!$B$27*(1+'Model Inputs'!$B$28)^(MAX(3,'Model Inputs'!$B$30+1)-3)*(1+'Model Inputs'!$B$29)^(J469-MAX(3,'Model Inputs'!$B$30+1)))))</f>
        <v>380465535.74563926</v>
      </c>
      <c r="N469" s="236">
        <f>IF(J469&lt;=2,0,'Model Inputs'!$B$32*SIN(2*PI()*(J469-3+'Model Inputs'!$B$34)/MAX(1,'Model Inputs'!$B$33)))</f>
        <v>-2.645237086158283E-16</v>
      </c>
      <c r="O469" s="230">
        <f t="shared" si="244"/>
        <v>380465535.7456392</v>
      </c>
      <c r="P469" s="230">
        <f t="shared" si="264"/>
        <v>266206474.24994773</v>
      </c>
      <c r="Q469" s="230">
        <f>L469+P469+IF(J469=1,'Model Inputs'!$B$26,0)</f>
        <v>266506474.24994773</v>
      </c>
      <c r="R469" s="230">
        <f t="shared" si="245"/>
        <v>799519422.74984312</v>
      </c>
      <c r="S469" s="230">
        <f t="shared" si="246"/>
        <v>4050000</v>
      </c>
      <c r="T469" s="230">
        <f t="shared" si="247"/>
        <v>4050000</v>
      </c>
      <c r="U469" s="230">
        <f>MIN(T469,'Tax Assumptions'!$B$19)</f>
        <v>24500</v>
      </c>
      <c r="V469" s="230">
        <f>MAX(T469-U469-'Tax Assumptions'!$B$8,0)</f>
        <v>4009400</v>
      </c>
      <c r="W469" s="230">
        <f>MAX(T469-U469-'Tax Assumptions'!$B$9,0)</f>
        <v>4017500</v>
      </c>
      <c r="X469" s="230">
        <f>IF(V469=0,0,LOOKUP(V469,'Tax Assumptions'!$F$9:$F$15,'Tax Assumptions'!$I$9:$I$15)+(V469-LOOKUP(V469,'Tax Assumptions'!$F$9:$F$15,'Tax Assumptions'!$F$9:$F$15))*LOOKUP(V469,'Tax Assumptions'!$F$9:$F$15,'Tax Assumptions'!$H$9:$H$15))+MIN(MAX(T469,0),'Tax Assumptions'!$B$11)*'Tax Assumptions'!$B$10+MAX(T469,0)*'Tax Assumptions'!$B$12+MAX(MAX(T469,0)-'Tax Assumptions'!$B$14,0)*'Tax Assumptions'!$B$13+MIN(T469*'Tax Assumptions'!$B$15,'Tax Assumptions'!$B$16)+MIN(T469*'Tax Assumptions'!$B$17,'Tax Assumptions'!$B$18)+IF(W469=0,0,LOOKUP(W469,'Tax Assumptions'!$K$9:$K$17,'Tax Assumptions'!$N$9:$N$17)+(W469-LOOKUP(W469,'Tax Assumptions'!$K$9:$K$17,'Tax Assumptions'!$K$9:$K$17))*LOOKUP(W469,'Tax Assumptions'!$K$9:$K$17,'Tax Assumptions'!$M$9:$M$17))+IF(W469=0,0,LOOKUP(W469,'Tax Assumptions'!$P$9:$P$12,'Tax Assumptions'!$S$9:$S$12)+(W469-LOOKUP(W469,'Tax Assumptions'!$P$9:$P$12,'Tax Assumptions'!$P$9:$P$12))*LOOKUP(W469,'Tax Assumptions'!$P$9:$P$12,'Tax Assumptions'!$R$9:$R$12))</f>
        <v>2055188.6349999998</v>
      </c>
      <c r="Y469" s="230">
        <f t="shared" si="248"/>
        <v>1970311.3650000002</v>
      </c>
      <c r="Z469" s="230">
        <f>IF(J469&lt;=10,INDEX('Savings Projection'!$BL$19:$BL$28,J469),LOOKUP(2,1/('Savings Projection'!$BL$19:$BL$28&lt;&gt;""),'Savings Projection'!$BL$19:$BL$28))*(1+'Model Inputs'!$B$35)^(J469-1)+IF(J469&lt;=10,INDEX('Savings Projection'!$BM$19:$BM$28,J469),LOOKUP(2,1/('Savings Projection'!$BM$19:$BM$28&lt;&gt;""),'Savings Projection'!$BM$19:$BM$28))*(1+'Model Inputs'!$B$36)^(J469-1)</f>
        <v>306353.51578121912</v>
      </c>
      <c r="AA469" s="230">
        <f t="shared" si="249"/>
        <v>1663957.8492187811</v>
      </c>
      <c r="AB469" s="230">
        <f>MIN(MAX(AA469,0),'Tax Assumptions'!$B$20)</f>
        <v>7500</v>
      </c>
      <c r="AC469" s="230">
        <f t="shared" si="250"/>
        <v>1656457.8492187811</v>
      </c>
      <c r="AD469" s="230">
        <f>MAX(AD468*(1+'Model Inputs'!$B$13)+AC469,0)</f>
        <v>105692988.58969659</v>
      </c>
      <c r="AE469" s="230">
        <f>MAX(AE468*(1+'Model Inputs'!$B$13)+U469+AB469,0)</f>
        <v>2529861.958887069</v>
      </c>
      <c r="AF469" s="230">
        <f t="shared" si="251"/>
        <v>108222850.54858366</v>
      </c>
      <c r="AG469" s="226" t="str">
        <f t="shared" si="260"/>
        <v/>
      </c>
      <c r="AH469" s="226" t="str">
        <f t="shared" si="261"/>
        <v/>
      </c>
      <c r="AI469" s="226" t="str">
        <f t="shared" si="262"/>
        <v/>
      </c>
      <c r="AJ469" s="226" t="str">
        <f t="shared" si="263"/>
        <v/>
      </c>
    </row>
    <row r="470" spans="1:36" ht="18" customHeight="1" x14ac:dyDescent="0.2">
      <c r="A470" s="226" t="str">
        <f t="shared" ref="A470:A499" si="265">$A$36</f>
        <v>4Y -&gt; PM Y8 Upside</v>
      </c>
      <c r="B470" s="226">
        <f t="shared" ref="B470:B499" si="266">$B$36</f>
        <v>4</v>
      </c>
      <c r="C470" s="235">
        <f t="shared" ref="C470:C499" si="267">$C$36</f>
        <v>3</v>
      </c>
      <c r="D470" s="226">
        <f t="shared" ref="D470:D499" si="268">$D$36</f>
        <v>8</v>
      </c>
      <c r="E470" s="226" t="str">
        <f t="shared" ref="E470:E499" si="269">$E$36</f>
        <v>Upside</v>
      </c>
      <c r="F470" s="230">
        <f t="shared" ref="F470:F499" si="270">$F$36</f>
        <v>50000000</v>
      </c>
      <c r="G470" s="236">
        <f t="shared" ref="G470:G499" si="271">$G$36</f>
        <v>0.2</v>
      </c>
      <c r="H470" s="230">
        <f t="shared" ref="H470:H499" si="272">$H$36</f>
        <v>300000</v>
      </c>
      <c r="I470" s="236">
        <f t="shared" si="242"/>
        <v>0</v>
      </c>
      <c r="J470" s="234">
        <v>1</v>
      </c>
      <c r="K470" s="234">
        <f t="shared" si="243"/>
        <v>2026</v>
      </c>
      <c r="L470" s="230">
        <f>IF(J470=1,'Model Inputs'!$B$25*(13-'Model Inputs'!$B$23)/12,'Model Inputs'!$B$25)</f>
        <v>100000</v>
      </c>
      <c r="M470" s="230">
        <f>IF(J470=1,'Model Inputs'!$B$27*(13-'Model Inputs'!$B$23)/12,IF(J470=2,'Model Inputs'!$B$27,IF(J470&lt;=MAX(3,'Model Inputs'!$B$30+1),'Model Inputs'!$B$27*(1+'Model Inputs'!$B$28)^(J470-3),'Model Inputs'!$B$27*(1+'Model Inputs'!$B$28)^(MAX(3,'Model Inputs'!$B$30+1)-3)*(1+'Model Inputs'!$B$29)^(J470-MAX(3,'Model Inputs'!$B$30+1)))))</f>
        <v>150000</v>
      </c>
      <c r="N470" s="236">
        <f>IF(J470&lt;=2,0,'Model Inputs'!$B$32*SIN(2*PI()*(J470-3+'Model Inputs'!$B$34)/MAX(1,'Model Inputs'!$B$33)))</f>
        <v>0</v>
      </c>
      <c r="O470" s="230">
        <f t="shared" si="244"/>
        <v>150000</v>
      </c>
      <c r="P470" s="230">
        <f>0</f>
        <v>0</v>
      </c>
      <c r="Q470" s="230">
        <f>L470+P470+IF(J470=1,'Model Inputs'!$B$26,0)</f>
        <v>550000</v>
      </c>
      <c r="R470" s="230">
        <f t="shared" si="245"/>
        <v>550000</v>
      </c>
      <c r="S470" s="230">
        <f t="shared" si="246"/>
        <v>10300000</v>
      </c>
      <c r="T470" s="230">
        <f t="shared" si="247"/>
        <v>550000</v>
      </c>
      <c r="U470" s="230">
        <f>MIN(T470,'Tax Assumptions'!$B$19)</f>
        <v>24500</v>
      </c>
      <c r="V470" s="230">
        <f>MAX(T470-U470-'Tax Assumptions'!$B$8,0)</f>
        <v>509400</v>
      </c>
      <c r="W470" s="230">
        <f>MAX(T470-U470-'Tax Assumptions'!$B$9,0)</f>
        <v>517500</v>
      </c>
      <c r="X470" s="230">
        <f>IF(V470=0,0,LOOKUP(V470,'Tax Assumptions'!$F$9:$F$15,'Tax Assumptions'!$I$9:$I$15)+(V470-LOOKUP(V470,'Tax Assumptions'!$F$9:$F$15,'Tax Assumptions'!$F$9:$F$15))*LOOKUP(V470,'Tax Assumptions'!$F$9:$F$15,'Tax Assumptions'!$H$9:$H$15))+MIN(MAX(T470,0),'Tax Assumptions'!$B$11)*'Tax Assumptions'!$B$10+MAX(T470,0)*'Tax Assumptions'!$B$12+MAX(MAX(T470,0)-'Tax Assumptions'!$B$14,0)*'Tax Assumptions'!$B$13+MIN(T470*'Tax Assumptions'!$B$15,'Tax Assumptions'!$B$16)+MIN(T470*'Tax Assumptions'!$B$17,'Tax Assumptions'!$B$18)+IF(W470=0,0,LOOKUP(W470,'Tax Assumptions'!$K$9:$K$17,'Tax Assumptions'!$N$9:$N$17)+(W470-LOOKUP(W470,'Tax Assumptions'!$K$9:$K$17,'Tax Assumptions'!$K$9:$K$17))*LOOKUP(W470,'Tax Assumptions'!$K$9:$K$17,'Tax Assumptions'!$M$9:$M$17))+IF(W470=0,0,LOOKUP(W470,'Tax Assumptions'!$P$9:$P$12,'Tax Assumptions'!$S$9:$S$12)+(W470-LOOKUP(W470,'Tax Assumptions'!$P$9:$P$12,'Tax Assumptions'!$P$9:$P$12))*LOOKUP(W470,'Tax Assumptions'!$P$9:$P$12,'Tax Assumptions'!$R$9:$R$12))</f>
        <v>222834.53000000003</v>
      </c>
      <c r="Y470" s="230">
        <f t="shared" si="248"/>
        <v>302665.46999999997</v>
      </c>
      <c r="Z470" s="230">
        <f>IF(J470&lt;=10,INDEX('Savings Projection'!$BL$19:$BL$28,J470),LOOKUP(2,1/('Savings Projection'!$BL$19:$BL$28&lt;&gt;""),'Savings Projection'!$BL$19:$BL$28))*(1+'Model Inputs'!$B$35)^(J470-1)+IF(J470&lt;=10,INDEX('Savings Projection'!$BM$19:$BM$28,J470),LOOKUP(2,1/('Savings Projection'!$BM$19:$BM$28&lt;&gt;""),'Savings Projection'!$BM$19:$BM$28))*(1+'Model Inputs'!$B$36)^(J470-1)</f>
        <v>118000</v>
      </c>
      <c r="AA470" s="230">
        <f t="shared" si="249"/>
        <v>184665.46999999997</v>
      </c>
      <c r="AB470" s="230">
        <f>MIN(MAX(AA470,0),'Tax Assumptions'!$B$20)</f>
        <v>7500</v>
      </c>
      <c r="AC470" s="230">
        <f t="shared" si="250"/>
        <v>177165.46999999997</v>
      </c>
      <c r="AD470" s="230">
        <f>MAX('Model Inputs'!$B$7*(1+'Model Inputs'!$B$13)+AC470,0)</f>
        <v>336165.47</v>
      </c>
      <c r="AE470" s="230">
        <f>MAX(('Model Inputs'!$B$8+'Model Inputs'!$B$9+'Model Inputs'!$B$10)*(1+'Model Inputs'!$B$13)+U470+AB470,0)</f>
        <v>32000</v>
      </c>
      <c r="AF470" s="230">
        <f t="shared" si="251"/>
        <v>368165.47</v>
      </c>
      <c r="AG470" s="226" t="str">
        <f>IF(AND(AF470&gt;=$F$14,0&lt;$F$14),J470,"")</f>
        <v/>
      </c>
      <c r="AH470" s="226" t="str">
        <f>IF(AND(AF470&gt;=$F$15,0&lt;$F$15),J470,"")</f>
        <v/>
      </c>
      <c r="AI470" s="226" t="str">
        <f>IF(AND(AF470&gt;=$F$16,0&lt;$F$16),J470,"")</f>
        <v/>
      </c>
      <c r="AJ470" s="226" t="str">
        <f>IF(AND(AF470&gt;=$F$17,0&lt;$F$17),J470,"")</f>
        <v/>
      </c>
    </row>
    <row r="471" spans="1:36" ht="18" customHeight="1" x14ac:dyDescent="0.2">
      <c r="A471" s="226" t="str">
        <f t="shared" si="265"/>
        <v>4Y -&gt; PM Y8 Upside</v>
      </c>
      <c r="B471" s="226">
        <f t="shared" si="266"/>
        <v>4</v>
      </c>
      <c r="C471" s="235">
        <f t="shared" si="267"/>
        <v>3</v>
      </c>
      <c r="D471" s="226">
        <f t="shared" si="268"/>
        <v>8</v>
      </c>
      <c r="E471" s="226" t="str">
        <f t="shared" si="269"/>
        <v>Upside</v>
      </c>
      <c r="F471" s="230">
        <f t="shared" si="270"/>
        <v>50000000</v>
      </c>
      <c r="G471" s="236">
        <f t="shared" si="271"/>
        <v>0.2</v>
      </c>
      <c r="H471" s="230">
        <f t="shared" si="272"/>
        <v>300000</v>
      </c>
      <c r="I471" s="236">
        <f t="shared" si="242"/>
        <v>0</v>
      </c>
      <c r="J471" s="234">
        <v>2</v>
      </c>
      <c r="K471" s="234">
        <f t="shared" si="243"/>
        <v>2027</v>
      </c>
      <c r="L471" s="230">
        <f>IF(J471=1,'Model Inputs'!$B$25*(13-'Model Inputs'!$B$23)/12,'Model Inputs'!$B$25)</f>
        <v>300000</v>
      </c>
      <c r="M471" s="230">
        <f>IF(J471=1,'Model Inputs'!$B$27*(13-'Model Inputs'!$B$23)/12,IF(J471=2,'Model Inputs'!$B$27,IF(J471&lt;=MAX(3,'Model Inputs'!$B$30+1),'Model Inputs'!$B$27*(1+'Model Inputs'!$B$28)^(J471-3),'Model Inputs'!$B$27*(1+'Model Inputs'!$B$28)^(MAX(3,'Model Inputs'!$B$30+1)-3)*(1+'Model Inputs'!$B$29)^(J471-MAX(3,'Model Inputs'!$B$30+1)))))</f>
        <v>450000</v>
      </c>
      <c r="N471" s="236">
        <f>IF(J471&lt;=2,0,'Model Inputs'!$B$32*SIN(2*PI()*(J471-3+'Model Inputs'!$B$34)/MAX(1,'Model Inputs'!$B$33)))</f>
        <v>0</v>
      </c>
      <c r="O471" s="230">
        <f t="shared" si="244"/>
        <v>450000</v>
      </c>
      <c r="P471" s="230">
        <f>0.75*O470</f>
        <v>112500</v>
      </c>
      <c r="Q471" s="230">
        <f>L471+P471+IF(J471=1,'Model Inputs'!$B$26,0)</f>
        <v>412500</v>
      </c>
      <c r="R471" s="230">
        <f t="shared" si="245"/>
        <v>412500</v>
      </c>
      <c r="S471" s="230">
        <f t="shared" si="246"/>
        <v>10300000</v>
      </c>
      <c r="T471" s="230">
        <f t="shared" si="247"/>
        <v>412500</v>
      </c>
      <c r="U471" s="230">
        <f>MIN(T471,'Tax Assumptions'!$B$19)</f>
        <v>24500</v>
      </c>
      <c r="V471" s="230">
        <f>MAX(T471-U471-'Tax Assumptions'!$B$8,0)</f>
        <v>371900</v>
      </c>
      <c r="W471" s="230">
        <f>MAX(T471-U471-'Tax Assumptions'!$B$9,0)</f>
        <v>380000</v>
      </c>
      <c r="X471" s="230">
        <f>IF(V471=0,0,LOOKUP(V471,'Tax Assumptions'!$F$9:$F$15,'Tax Assumptions'!$I$9:$I$15)+(V471-LOOKUP(V471,'Tax Assumptions'!$F$9:$F$15,'Tax Assumptions'!$F$9:$F$15))*LOOKUP(V471,'Tax Assumptions'!$F$9:$F$15,'Tax Assumptions'!$H$9:$H$15))+MIN(MAX(T471,0),'Tax Assumptions'!$B$11)*'Tax Assumptions'!$B$10+MAX(T471,0)*'Tax Assumptions'!$B$12+MAX(MAX(T471,0)-'Tax Assumptions'!$B$14,0)*'Tax Assumptions'!$B$13+MIN(T471*'Tax Assumptions'!$B$15,'Tax Assumptions'!$B$16)+MIN(T471*'Tax Assumptions'!$B$17,'Tax Assumptions'!$B$18)+IF(W471=0,0,LOOKUP(W471,'Tax Assumptions'!$K$9:$K$17,'Tax Assumptions'!$N$9:$N$17)+(W471-LOOKUP(W471,'Tax Assumptions'!$K$9:$K$17,'Tax Assumptions'!$K$9:$K$17))*LOOKUP(W471,'Tax Assumptions'!$K$9:$K$17,'Tax Assumptions'!$M$9:$M$17))+IF(W471=0,0,LOOKUP(W471,'Tax Assumptions'!$P$9:$P$12,'Tax Assumptions'!$S$9:$S$12)+(W471-LOOKUP(W471,'Tax Assumptions'!$P$9:$P$12,'Tax Assumptions'!$P$9:$P$12))*LOOKUP(W471,'Tax Assumptions'!$P$9:$P$12,'Tax Assumptions'!$R$9:$R$12))</f>
        <v>156730.03</v>
      </c>
      <c r="Y471" s="230">
        <f t="shared" si="248"/>
        <v>231269.97</v>
      </c>
      <c r="Z471" s="230">
        <f>IF(J471&lt;=10,INDEX('Savings Projection'!$BL$19:$BL$28,J471),LOOKUP(2,1/('Savings Projection'!$BL$19:$BL$28&lt;&gt;""),'Savings Projection'!$BL$19:$BL$28))*(1+'Model Inputs'!$B$35)^(J471-1)+IF(J471&lt;=10,INDEX('Savings Projection'!$BM$19:$BM$28,J471),LOOKUP(2,1/('Savings Projection'!$BM$19:$BM$28&lt;&gt;""),'Savings Projection'!$BM$19:$BM$28))*(1+'Model Inputs'!$B$36)^(J471-1)</f>
        <v>121540</v>
      </c>
      <c r="AA471" s="230">
        <f t="shared" si="249"/>
        <v>109729.97</v>
      </c>
      <c r="AB471" s="230">
        <f>MIN(MAX(AA471,0),'Tax Assumptions'!$B$20)</f>
        <v>7500</v>
      </c>
      <c r="AC471" s="230">
        <f t="shared" si="250"/>
        <v>102229.97</v>
      </c>
      <c r="AD471" s="230">
        <f>MAX(AD470*(1+'Model Inputs'!$B$13)+AC471,0)</f>
        <v>458565.36820000003</v>
      </c>
      <c r="AE471" s="230">
        <f>MAX(AE470*(1+'Model Inputs'!$B$13)+U471+AB471,0)</f>
        <v>65920</v>
      </c>
      <c r="AF471" s="230">
        <f t="shared" si="251"/>
        <v>524485.36820000003</v>
      </c>
      <c r="AG471" s="226" t="str">
        <f t="shared" ref="AG471:AG499" si="273">IF(AND(AF471&gt;=$F$14,AF470&lt;$F$14),J471,"")</f>
        <v/>
      </c>
      <c r="AH471" s="226" t="str">
        <f t="shared" ref="AH471:AH499" si="274">IF(AND(AF471&gt;=$F$15,AF470&lt;$F$15),J471,"")</f>
        <v/>
      </c>
      <c r="AI471" s="226" t="str">
        <f t="shared" ref="AI471:AI499" si="275">IF(AND(AF471&gt;=$F$16,AF470&lt;$F$16),J471,"")</f>
        <v/>
      </c>
      <c r="AJ471" s="226" t="str">
        <f t="shared" ref="AJ471:AJ499" si="276">IF(AND(AF471&gt;=$F$17,AF470&lt;$F$17),J471,"")</f>
        <v/>
      </c>
    </row>
    <row r="472" spans="1:36" ht="18" customHeight="1" x14ac:dyDescent="0.2">
      <c r="A472" s="226" t="str">
        <f t="shared" si="265"/>
        <v>4Y -&gt; PM Y8 Upside</v>
      </c>
      <c r="B472" s="226">
        <f t="shared" si="266"/>
        <v>4</v>
      </c>
      <c r="C472" s="235">
        <f t="shared" si="267"/>
        <v>3</v>
      </c>
      <c r="D472" s="226">
        <f t="shared" si="268"/>
        <v>8</v>
      </c>
      <c r="E472" s="226" t="str">
        <f t="shared" si="269"/>
        <v>Upside</v>
      </c>
      <c r="F472" s="230">
        <f t="shared" si="270"/>
        <v>50000000</v>
      </c>
      <c r="G472" s="236">
        <f t="shared" si="271"/>
        <v>0.2</v>
      </c>
      <c r="H472" s="230">
        <f t="shared" si="272"/>
        <v>300000</v>
      </c>
      <c r="I472" s="236">
        <f t="shared" si="242"/>
        <v>0</v>
      </c>
      <c r="J472" s="234">
        <v>3</v>
      </c>
      <c r="K472" s="234">
        <f t="shared" si="243"/>
        <v>2028</v>
      </c>
      <c r="L472" s="230">
        <f>IF(J472=1,'Model Inputs'!$B$25*(13-'Model Inputs'!$B$23)/12,'Model Inputs'!$B$25)</f>
        <v>300000</v>
      </c>
      <c r="M472" s="230">
        <f>IF(J472=1,'Model Inputs'!$B$27*(13-'Model Inputs'!$B$23)/12,IF(J472=2,'Model Inputs'!$B$27,IF(J472&lt;=MAX(3,'Model Inputs'!$B$30+1),'Model Inputs'!$B$27*(1+'Model Inputs'!$B$28)^(J472-3),'Model Inputs'!$B$27*(1+'Model Inputs'!$B$28)^(MAX(3,'Model Inputs'!$B$30+1)-3)*(1+'Model Inputs'!$B$29)^(J472-MAX(3,'Model Inputs'!$B$30+1)))))</f>
        <v>450000</v>
      </c>
      <c r="N472" s="236">
        <f>IF(J472&lt;=2,0,'Model Inputs'!$B$32*SIN(2*PI()*(J472-3+'Model Inputs'!$B$34)/MAX(1,'Model Inputs'!$B$33)))</f>
        <v>0</v>
      </c>
      <c r="O472" s="230">
        <f t="shared" si="244"/>
        <v>450000</v>
      </c>
      <c r="P472" s="230">
        <f t="shared" ref="P472:P499" si="277">0.75*O471+0.25*O470</f>
        <v>375000</v>
      </c>
      <c r="Q472" s="230">
        <f>L472+P472+IF(J472=1,'Model Inputs'!$B$26,0)</f>
        <v>675000</v>
      </c>
      <c r="R472" s="230">
        <f t="shared" si="245"/>
        <v>675000</v>
      </c>
      <c r="S472" s="230">
        <f t="shared" si="246"/>
        <v>10300000</v>
      </c>
      <c r="T472" s="230">
        <f t="shared" si="247"/>
        <v>675000</v>
      </c>
      <c r="U472" s="230">
        <f>MIN(T472,'Tax Assumptions'!$B$19)</f>
        <v>24500</v>
      </c>
      <c r="V472" s="230">
        <f>MAX(T472-U472-'Tax Assumptions'!$B$8,0)</f>
        <v>634400</v>
      </c>
      <c r="W472" s="230">
        <f>MAX(T472-U472-'Tax Assumptions'!$B$9,0)</f>
        <v>642500</v>
      </c>
      <c r="X472" s="230">
        <f>IF(V472=0,0,LOOKUP(V472,'Tax Assumptions'!$F$9:$F$15,'Tax Assumptions'!$I$9:$I$15)+(V472-LOOKUP(V472,'Tax Assumptions'!$F$9:$F$15,'Tax Assumptions'!$F$9:$F$15))*LOOKUP(V472,'Tax Assumptions'!$F$9:$F$15,'Tax Assumptions'!$H$9:$H$15))+MIN(MAX(T472,0),'Tax Assumptions'!$B$11)*'Tax Assumptions'!$B$10+MAX(T472,0)*'Tax Assumptions'!$B$12+MAX(MAX(T472,0)-'Tax Assumptions'!$B$14,0)*'Tax Assumptions'!$B$13+MIN(T472*'Tax Assumptions'!$B$15,'Tax Assumptions'!$B$16)+MIN(T472*'Tax Assumptions'!$B$17,'Tax Assumptions'!$B$18)+IF(W472=0,0,LOOKUP(W472,'Tax Assumptions'!$K$9:$K$17,'Tax Assumptions'!$N$9:$N$17)+(W472-LOOKUP(W472,'Tax Assumptions'!$K$9:$K$17,'Tax Assumptions'!$K$9:$K$17))*LOOKUP(W472,'Tax Assumptions'!$K$9:$K$17,'Tax Assumptions'!$M$9:$M$17))+IF(W472=0,0,LOOKUP(W472,'Tax Assumptions'!$P$9:$P$12,'Tax Assumptions'!$S$9:$S$12)+(W472-LOOKUP(W472,'Tax Assumptions'!$P$9:$P$12,'Tax Assumptions'!$P$9:$P$12))*LOOKUP(W472,'Tax Assumptions'!$P$9:$P$12,'Tax Assumptions'!$R$9:$R$12))</f>
        <v>282929.53000000003</v>
      </c>
      <c r="Y472" s="230">
        <f t="shared" si="248"/>
        <v>367570.47</v>
      </c>
      <c r="Z472" s="230">
        <f>IF(J472&lt;=10,INDEX('Savings Projection'!$BL$19:$BL$28,J472),LOOKUP(2,1/('Savings Projection'!$BL$19:$BL$28&lt;&gt;""),'Savings Projection'!$BL$19:$BL$28))*(1+'Model Inputs'!$B$35)^(J472-1)+IF(J472&lt;=10,INDEX('Savings Projection'!$BM$19:$BM$28,J472),LOOKUP(2,1/('Savings Projection'!$BM$19:$BM$28&lt;&gt;""),'Savings Projection'!$BM$19:$BM$28))*(1+'Model Inputs'!$B$36)^(J472-1)</f>
        <v>135795.20000000001</v>
      </c>
      <c r="AA472" s="230">
        <f t="shared" si="249"/>
        <v>231775.26999999996</v>
      </c>
      <c r="AB472" s="230">
        <f>MIN(MAX(AA472,0),'Tax Assumptions'!$B$20)</f>
        <v>7500</v>
      </c>
      <c r="AC472" s="230">
        <f t="shared" si="250"/>
        <v>224275.26999999996</v>
      </c>
      <c r="AD472" s="230">
        <f>MAX(AD471*(1+'Model Inputs'!$B$13)+AC472,0)</f>
        <v>710354.56029199995</v>
      </c>
      <c r="AE472" s="230">
        <f>MAX(AE471*(1+'Model Inputs'!$B$13)+U472+AB472,0)</f>
        <v>101875.2</v>
      </c>
      <c r="AF472" s="230">
        <f t="shared" si="251"/>
        <v>812229.7602919999</v>
      </c>
      <c r="AG472" s="226" t="str">
        <f t="shared" si="273"/>
        <v/>
      </c>
      <c r="AH472" s="226" t="str">
        <f t="shared" si="274"/>
        <v/>
      </c>
      <c r="AI472" s="226" t="str">
        <f t="shared" si="275"/>
        <v/>
      </c>
      <c r="AJ472" s="226" t="str">
        <f t="shared" si="276"/>
        <v/>
      </c>
    </row>
    <row r="473" spans="1:36" ht="18" customHeight="1" x14ac:dyDescent="0.2">
      <c r="A473" s="226" t="str">
        <f t="shared" si="265"/>
        <v>4Y -&gt; PM Y8 Upside</v>
      </c>
      <c r="B473" s="226">
        <f t="shared" si="266"/>
        <v>4</v>
      </c>
      <c r="C473" s="235">
        <f t="shared" si="267"/>
        <v>3</v>
      </c>
      <c r="D473" s="226">
        <f t="shared" si="268"/>
        <v>8</v>
      </c>
      <c r="E473" s="226" t="str">
        <f t="shared" si="269"/>
        <v>Upside</v>
      </c>
      <c r="F473" s="230">
        <f t="shared" si="270"/>
        <v>50000000</v>
      </c>
      <c r="G473" s="236">
        <f t="shared" si="271"/>
        <v>0.2</v>
      </c>
      <c r="H473" s="230">
        <f t="shared" si="272"/>
        <v>300000</v>
      </c>
      <c r="I473" s="236">
        <f t="shared" si="242"/>
        <v>0</v>
      </c>
      <c r="J473" s="234">
        <v>4</v>
      </c>
      <c r="K473" s="234">
        <f t="shared" si="243"/>
        <v>2029</v>
      </c>
      <c r="L473" s="230">
        <f>IF(J473=1,'Model Inputs'!$B$25*(13-'Model Inputs'!$B$23)/12,'Model Inputs'!$B$25)</f>
        <v>300000</v>
      </c>
      <c r="M473" s="230">
        <f>IF(J473=1,'Model Inputs'!$B$27*(13-'Model Inputs'!$B$23)/12,IF(J473=2,'Model Inputs'!$B$27,IF(J473&lt;=MAX(3,'Model Inputs'!$B$30+1),'Model Inputs'!$B$27*(1+'Model Inputs'!$B$28)^(J473-3),'Model Inputs'!$B$27*(1+'Model Inputs'!$B$28)^(MAX(3,'Model Inputs'!$B$30+1)-3)*(1+'Model Inputs'!$B$29)^(J473-MAX(3,'Model Inputs'!$B$30+1)))))</f>
        <v>653834.84153110103</v>
      </c>
      <c r="N473" s="236">
        <f>IF(J473&lt;=2,0,'Model Inputs'!$B$32*SIN(2*PI()*(J473-3+'Model Inputs'!$B$34)/MAX(1,'Model Inputs'!$B$33)))</f>
        <v>0.10392304845413264</v>
      </c>
      <c r="O473" s="230">
        <f t="shared" si="244"/>
        <v>721783.35144853778</v>
      </c>
      <c r="P473" s="230">
        <f t="shared" si="277"/>
        <v>450000</v>
      </c>
      <c r="Q473" s="230">
        <f>L473+P473+IF(J473=1,'Model Inputs'!$B$26,0)</f>
        <v>750000</v>
      </c>
      <c r="R473" s="230">
        <f t="shared" si="245"/>
        <v>750000</v>
      </c>
      <c r="S473" s="230">
        <f t="shared" si="246"/>
        <v>10300000</v>
      </c>
      <c r="T473" s="230">
        <f t="shared" si="247"/>
        <v>750000</v>
      </c>
      <c r="U473" s="230">
        <f>MIN(T473,'Tax Assumptions'!$B$19)</f>
        <v>24500</v>
      </c>
      <c r="V473" s="230">
        <f>MAX(T473-U473-'Tax Assumptions'!$B$8,0)</f>
        <v>709400</v>
      </c>
      <c r="W473" s="230">
        <f>MAX(T473-U473-'Tax Assumptions'!$B$9,0)</f>
        <v>717500</v>
      </c>
      <c r="X473" s="230">
        <f>IF(V473=0,0,LOOKUP(V473,'Tax Assumptions'!$F$9:$F$15,'Tax Assumptions'!$I$9:$I$15)+(V473-LOOKUP(V473,'Tax Assumptions'!$F$9:$F$15,'Tax Assumptions'!$F$9:$F$15))*LOOKUP(V473,'Tax Assumptions'!$F$9:$F$15,'Tax Assumptions'!$H$9:$H$15))+MIN(MAX(T473,0),'Tax Assumptions'!$B$11)*'Tax Assumptions'!$B$10+MAX(T473,0)*'Tax Assumptions'!$B$12+MAX(MAX(T473,0)-'Tax Assumptions'!$B$14,0)*'Tax Assumptions'!$B$13+MIN(T473*'Tax Assumptions'!$B$15,'Tax Assumptions'!$B$16)+MIN(T473*'Tax Assumptions'!$B$17,'Tax Assumptions'!$B$18)+IF(W473=0,0,LOOKUP(W473,'Tax Assumptions'!$K$9:$K$17,'Tax Assumptions'!$N$9:$N$17)+(W473-LOOKUP(W473,'Tax Assumptions'!$K$9:$K$17,'Tax Assumptions'!$K$9:$K$17))*LOOKUP(W473,'Tax Assumptions'!$K$9:$K$17,'Tax Assumptions'!$M$9:$M$17))+IF(W473=0,0,LOOKUP(W473,'Tax Assumptions'!$P$9:$P$12,'Tax Assumptions'!$S$9:$S$12)+(W473-LOOKUP(W473,'Tax Assumptions'!$P$9:$P$12,'Tax Assumptions'!$P$9:$P$12))*LOOKUP(W473,'Tax Assumptions'!$P$9:$P$12,'Tax Assumptions'!$R$9:$R$12))</f>
        <v>320362.53000000003</v>
      </c>
      <c r="Y473" s="230">
        <f t="shared" si="248"/>
        <v>405137.47</v>
      </c>
      <c r="Z473" s="230">
        <f>IF(J473&lt;=10,INDEX('Savings Projection'!$BL$19:$BL$28,J473),LOOKUP(2,1/('Savings Projection'!$BL$19:$BL$28&lt;&gt;""),'Savings Projection'!$BL$19:$BL$28))*(1+'Model Inputs'!$B$35)^(J473-1)+IF(J473&lt;=10,INDEX('Savings Projection'!$BM$19:$BM$28,J473),LOOKUP(2,1/('Savings Projection'!$BM$19:$BM$28&lt;&gt;""),'Savings Projection'!$BM$19:$BM$28))*(1+'Model Inputs'!$B$36)^(J473-1)</f>
        <v>139869.05600000001</v>
      </c>
      <c r="AA473" s="230">
        <f t="shared" si="249"/>
        <v>265268.41399999999</v>
      </c>
      <c r="AB473" s="230">
        <f>MIN(MAX(AA473,0),'Tax Assumptions'!$B$20)</f>
        <v>7500</v>
      </c>
      <c r="AC473" s="230">
        <f t="shared" si="250"/>
        <v>257768.41399999999</v>
      </c>
      <c r="AD473" s="230">
        <f>MAX(AD472*(1+'Model Inputs'!$B$13)+AC473,0)</f>
        <v>1010744.2479095199</v>
      </c>
      <c r="AE473" s="230">
        <f>MAX(AE472*(1+'Model Inputs'!$B$13)+U473+AB473,0)</f>
        <v>139987.712</v>
      </c>
      <c r="AF473" s="230">
        <f t="shared" si="251"/>
        <v>1150731.9599095199</v>
      </c>
      <c r="AG473" s="226" t="str">
        <f t="shared" si="273"/>
        <v/>
      </c>
      <c r="AH473" s="226" t="str">
        <f t="shared" si="274"/>
        <v/>
      </c>
      <c r="AI473" s="226" t="str">
        <f t="shared" si="275"/>
        <v/>
      </c>
      <c r="AJ473" s="226" t="str">
        <f t="shared" si="276"/>
        <v/>
      </c>
    </row>
    <row r="474" spans="1:36" ht="18" customHeight="1" x14ac:dyDescent="0.2">
      <c r="A474" s="226" t="str">
        <f t="shared" si="265"/>
        <v>4Y -&gt; PM Y8 Upside</v>
      </c>
      <c r="B474" s="226">
        <f t="shared" si="266"/>
        <v>4</v>
      </c>
      <c r="C474" s="235">
        <f t="shared" si="267"/>
        <v>3</v>
      </c>
      <c r="D474" s="226">
        <f t="shared" si="268"/>
        <v>8</v>
      </c>
      <c r="E474" s="226" t="str">
        <f t="shared" si="269"/>
        <v>Upside</v>
      </c>
      <c r="F474" s="230">
        <f t="shared" si="270"/>
        <v>50000000</v>
      </c>
      <c r="G474" s="236">
        <f t="shared" si="271"/>
        <v>0.2</v>
      </c>
      <c r="H474" s="230">
        <f t="shared" si="272"/>
        <v>300000</v>
      </c>
      <c r="I474" s="236">
        <f t="shared" si="242"/>
        <v>0</v>
      </c>
      <c r="J474" s="234">
        <v>5</v>
      </c>
      <c r="K474" s="234">
        <f t="shared" si="243"/>
        <v>2030</v>
      </c>
      <c r="L474" s="230">
        <f>IF(J474=1,'Model Inputs'!$B$25*(13-'Model Inputs'!$B$23)/12,'Model Inputs'!$B$25)</f>
        <v>300000</v>
      </c>
      <c r="M474" s="230">
        <f>IF(J474=1,'Model Inputs'!$B$27*(13-'Model Inputs'!$B$23)/12,IF(J474=2,'Model Inputs'!$B$27,IF(J474&lt;=MAX(3,'Model Inputs'!$B$30+1),'Model Inputs'!$B$27*(1+'Model Inputs'!$B$28)^(J474-3),'Model Inputs'!$B$27*(1+'Model Inputs'!$B$28)^(MAX(3,'Model Inputs'!$B$30+1)-3)*(1+'Model Inputs'!$B$29)^(J474-MAX(3,'Model Inputs'!$B$30+1)))))</f>
        <v>950000</v>
      </c>
      <c r="N474" s="236">
        <f>IF(J474&lt;=2,0,'Model Inputs'!$B$32*SIN(2*PI()*(J474-3+'Model Inputs'!$B$34)/MAX(1,'Model Inputs'!$B$33)))</f>
        <v>-0.1039230484541326</v>
      </c>
      <c r="O474" s="230">
        <f t="shared" si="244"/>
        <v>851273.10396857408</v>
      </c>
      <c r="P474" s="230">
        <f t="shared" si="277"/>
        <v>653837.51358640334</v>
      </c>
      <c r="Q474" s="230">
        <f>L474+P474+IF(J474=1,'Model Inputs'!$B$26,0)</f>
        <v>953837.51358640334</v>
      </c>
      <c r="R474" s="230">
        <f t="shared" si="245"/>
        <v>2861512.54075921</v>
      </c>
      <c r="S474" s="230">
        <f t="shared" si="246"/>
        <v>10300000</v>
      </c>
      <c r="T474" s="230">
        <f t="shared" si="247"/>
        <v>2861512.54075921</v>
      </c>
      <c r="U474" s="230">
        <f>MIN(T474,'Tax Assumptions'!$B$19)</f>
        <v>24500</v>
      </c>
      <c r="V474" s="230">
        <f>MAX(T474-U474-'Tax Assumptions'!$B$8,0)</f>
        <v>2820912.54075921</v>
      </c>
      <c r="W474" s="230">
        <f>MAX(T474-U474-'Tax Assumptions'!$B$9,0)</f>
        <v>2829012.54075921</v>
      </c>
      <c r="X474" s="230">
        <f>IF(V474=0,0,LOOKUP(V474,'Tax Assumptions'!$F$9:$F$15,'Tax Assumptions'!$I$9:$I$15)+(V474-LOOKUP(V474,'Tax Assumptions'!$F$9:$F$15,'Tax Assumptions'!$F$9:$F$15))*LOOKUP(V474,'Tax Assumptions'!$F$9:$F$15,'Tax Assumptions'!$H$9:$H$15))+MIN(MAX(T474,0),'Tax Assumptions'!$B$11)*'Tax Assumptions'!$B$10+MAX(T474,0)*'Tax Assumptions'!$B$12+MAX(MAX(T474,0)-'Tax Assumptions'!$B$14,0)*'Tax Assumptions'!$B$13+MIN(T474*'Tax Assumptions'!$B$15,'Tax Assumptions'!$B$16)+MIN(T474*'Tax Assumptions'!$B$17,'Tax Assumptions'!$B$18)+IF(W474=0,0,LOOKUP(W474,'Tax Assumptions'!$K$9:$K$17,'Tax Assumptions'!$N$9:$N$17)+(W474-LOOKUP(W474,'Tax Assumptions'!$K$9:$K$17,'Tax Assumptions'!$K$9:$K$17))*LOOKUP(W474,'Tax Assumptions'!$K$9:$K$17,'Tax Assumptions'!$M$9:$M$17))+IF(W474=0,0,LOOKUP(W474,'Tax Assumptions'!$P$9:$P$12,'Tax Assumptions'!$S$9:$S$12)+(W474-LOOKUP(W474,'Tax Assumptions'!$P$9:$P$12,'Tax Assumptions'!$P$9:$P$12))*LOOKUP(W474,'Tax Assumptions'!$P$9:$P$12,'Tax Assumptions'!$R$9:$R$12))</f>
        <v>1426764.0060518396</v>
      </c>
      <c r="Y474" s="230">
        <f t="shared" si="248"/>
        <v>1410248.5347073704</v>
      </c>
      <c r="Z474" s="230">
        <f>IF(J474&lt;=10,INDEX('Savings Projection'!$BL$19:$BL$28,J474),LOOKUP(2,1/('Savings Projection'!$BL$19:$BL$28&lt;&gt;""),'Savings Projection'!$BL$19:$BL$28))*(1+'Model Inputs'!$B$35)^(J474-1)+IF(J474&lt;=10,INDEX('Savings Projection'!$BM$19:$BM$28,J474),LOOKUP(2,1/('Savings Projection'!$BM$19:$BM$28&lt;&gt;""),'Savings Projection'!$BM$19:$BM$28))*(1+'Model Inputs'!$B$36)^(J474-1)</f>
        <v>144065.12767999998</v>
      </c>
      <c r="AA474" s="230">
        <f t="shared" si="249"/>
        <v>1266183.4070273705</v>
      </c>
      <c r="AB474" s="230">
        <f>MIN(MAX(AA474,0),'Tax Assumptions'!$B$20)</f>
        <v>7500</v>
      </c>
      <c r="AC474" s="230">
        <f t="shared" si="250"/>
        <v>1258683.4070273705</v>
      </c>
      <c r="AD474" s="230">
        <f>MAX(AD473*(1+'Model Inputs'!$B$13)+AC474,0)</f>
        <v>2330072.3098114617</v>
      </c>
      <c r="AE474" s="230">
        <f>MAX(AE473*(1+'Model Inputs'!$B$13)+U474+AB474,0)</f>
        <v>180386.97472</v>
      </c>
      <c r="AF474" s="230">
        <f t="shared" si="251"/>
        <v>2510459.2845314615</v>
      </c>
      <c r="AG474" s="226" t="str">
        <f t="shared" si="273"/>
        <v/>
      </c>
      <c r="AH474" s="226" t="str">
        <f t="shared" si="274"/>
        <v/>
      </c>
      <c r="AI474" s="226" t="str">
        <f t="shared" si="275"/>
        <v/>
      </c>
      <c r="AJ474" s="226" t="str">
        <f t="shared" si="276"/>
        <v/>
      </c>
    </row>
    <row r="475" spans="1:36" ht="18" customHeight="1" x14ac:dyDescent="0.2">
      <c r="A475" s="226" t="str">
        <f t="shared" si="265"/>
        <v>4Y -&gt; PM Y8 Upside</v>
      </c>
      <c r="B475" s="226">
        <f t="shared" si="266"/>
        <v>4</v>
      </c>
      <c r="C475" s="235">
        <f t="shared" si="267"/>
        <v>3</v>
      </c>
      <c r="D475" s="226">
        <f t="shared" si="268"/>
        <v>8</v>
      </c>
      <c r="E475" s="226" t="str">
        <f t="shared" si="269"/>
        <v>Upside</v>
      </c>
      <c r="F475" s="230">
        <f t="shared" si="270"/>
        <v>50000000</v>
      </c>
      <c r="G475" s="236">
        <f t="shared" si="271"/>
        <v>0.2</v>
      </c>
      <c r="H475" s="230">
        <f t="shared" si="272"/>
        <v>300000</v>
      </c>
      <c r="I475" s="236">
        <f t="shared" si="242"/>
        <v>0</v>
      </c>
      <c r="J475" s="234">
        <v>6</v>
      </c>
      <c r="K475" s="234">
        <f t="shared" si="243"/>
        <v>2031</v>
      </c>
      <c r="L475" s="230">
        <f>IF(J475=1,'Model Inputs'!$B$25*(13-'Model Inputs'!$B$23)/12,'Model Inputs'!$B$25)</f>
        <v>300000</v>
      </c>
      <c r="M475" s="230">
        <f>IF(J475=1,'Model Inputs'!$B$27*(13-'Model Inputs'!$B$23)/12,IF(J475=2,'Model Inputs'!$B$27,IF(J475&lt;=MAX(3,'Model Inputs'!$B$30+1),'Model Inputs'!$B$27*(1+'Model Inputs'!$B$28)^(J475-3),'Model Inputs'!$B$27*(1+'Model Inputs'!$B$28)^(MAX(3,'Model Inputs'!$B$30+1)-3)*(1+'Model Inputs'!$B$29)^(J475-MAX(3,'Model Inputs'!$B$30+1)))))</f>
        <v>1207333.5632986501</v>
      </c>
      <c r="N475" s="236">
        <f>IF(J475&lt;=2,0,'Model Inputs'!$B$32*SIN(2*PI()*(J475-3+'Model Inputs'!$B$34)/MAX(1,'Model Inputs'!$B$33)))</f>
        <v>-2.9391523179536474E-17</v>
      </c>
      <c r="O475" s="230">
        <f t="shared" si="244"/>
        <v>1207333.5632986501</v>
      </c>
      <c r="P475" s="230">
        <f t="shared" si="277"/>
        <v>818900.66583856498</v>
      </c>
      <c r="Q475" s="230">
        <f>L475+P475+IF(J475=1,'Model Inputs'!$B$26,0)</f>
        <v>1118900.665838565</v>
      </c>
      <c r="R475" s="230">
        <f t="shared" si="245"/>
        <v>3356701.9975156952</v>
      </c>
      <c r="S475" s="230">
        <f t="shared" si="246"/>
        <v>10300000</v>
      </c>
      <c r="T475" s="230">
        <f t="shared" si="247"/>
        <v>3356701.9975156952</v>
      </c>
      <c r="U475" s="230">
        <f>MIN(T475,'Tax Assumptions'!$B$19)</f>
        <v>24500</v>
      </c>
      <c r="V475" s="230">
        <f>MAX(T475-U475-'Tax Assumptions'!$B$8,0)</f>
        <v>3316101.9975156952</v>
      </c>
      <c r="W475" s="230">
        <f>MAX(T475-U475-'Tax Assumptions'!$B$9,0)</f>
        <v>3324201.9975156952</v>
      </c>
      <c r="X475" s="230">
        <f>IF(V475=0,0,LOOKUP(V475,'Tax Assumptions'!$F$9:$F$15,'Tax Assumptions'!$I$9:$I$15)+(V475-LOOKUP(V475,'Tax Assumptions'!$F$9:$F$15,'Tax Assumptions'!$F$9:$F$15))*LOOKUP(V475,'Tax Assumptions'!$F$9:$F$15,'Tax Assumptions'!$H$9:$H$15))+MIN(MAX(T475,0),'Tax Assumptions'!$B$11)*'Tax Assumptions'!$B$10+MAX(T475,0)*'Tax Assumptions'!$B$12+MAX(MAX(T475,0)-'Tax Assumptions'!$B$14,0)*'Tax Assumptions'!$B$13+MIN(T475*'Tax Assumptions'!$B$15,'Tax Assumptions'!$B$16)+MIN(T475*'Tax Assumptions'!$B$17,'Tax Assumptions'!$B$18)+IF(W475=0,0,LOOKUP(W475,'Tax Assumptions'!$K$9:$K$17,'Tax Assumptions'!$N$9:$N$17)+(W475-LOOKUP(W475,'Tax Assumptions'!$K$9:$K$17,'Tax Assumptions'!$K$9:$K$17))*LOOKUP(W475,'Tax Assumptions'!$K$9:$K$17,'Tax Assumptions'!$M$9:$M$17))+IF(W475=0,0,LOOKUP(W475,'Tax Assumptions'!$P$9:$P$12,'Tax Assumptions'!$S$9:$S$12)+(W475-LOOKUP(W475,'Tax Assumptions'!$P$9:$P$12,'Tax Assumptions'!$P$9:$P$12))*LOOKUP(W475,'Tax Assumptions'!$P$9:$P$12,'Tax Assumptions'!$R$9:$R$12))</f>
        <v>1688600.3832063989</v>
      </c>
      <c r="Y475" s="230">
        <f t="shared" si="248"/>
        <v>1643601.6143092962</v>
      </c>
      <c r="Z475" s="230">
        <f>IF(J475&lt;=10,INDEX('Savings Projection'!$BL$19:$BL$28,J475),LOOKUP(2,1/('Savings Projection'!$BL$19:$BL$28&lt;&gt;""),'Savings Projection'!$BL$19:$BL$28))*(1+'Model Inputs'!$B$35)^(J475-1)+IF(J475&lt;=10,INDEX('Savings Projection'!$BM$19:$BM$28,J475),LOOKUP(2,1/('Savings Projection'!$BM$19:$BM$28&lt;&gt;""),'Savings Projection'!$BM$19:$BM$28))*(1+'Model Inputs'!$B$36)^(J475-1)</f>
        <v>150705.62965899997</v>
      </c>
      <c r="AA475" s="230">
        <f t="shared" si="249"/>
        <v>1492895.9846502962</v>
      </c>
      <c r="AB475" s="230">
        <f>MIN(MAX(AA475,0),'Tax Assumptions'!$B$20)</f>
        <v>7500</v>
      </c>
      <c r="AC475" s="230">
        <f t="shared" si="250"/>
        <v>1485395.9846502962</v>
      </c>
      <c r="AD475" s="230">
        <f>MAX(AD474*(1+'Model Inputs'!$B$13)+AC475,0)</f>
        <v>3955272.6330504459</v>
      </c>
      <c r="AE475" s="230">
        <f>MAX(AE474*(1+'Model Inputs'!$B$13)+U475+AB475,0)</f>
        <v>223210.1932032</v>
      </c>
      <c r="AF475" s="230">
        <f t="shared" si="251"/>
        <v>4178482.8262536461</v>
      </c>
      <c r="AG475" s="226" t="str">
        <f t="shared" si="273"/>
        <v/>
      </c>
      <c r="AH475" s="226" t="str">
        <f t="shared" si="274"/>
        <v/>
      </c>
      <c r="AI475" s="226" t="str">
        <f t="shared" si="275"/>
        <v/>
      </c>
      <c r="AJ475" s="226" t="str">
        <f t="shared" si="276"/>
        <v/>
      </c>
    </row>
    <row r="476" spans="1:36" ht="18" customHeight="1" x14ac:dyDescent="0.2">
      <c r="A476" s="226" t="str">
        <f t="shared" si="265"/>
        <v>4Y -&gt; PM Y8 Upside</v>
      </c>
      <c r="B476" s="226">
        <f t="shared" si="266"/>
        <v>4</v>
      </c>
      <c r="C476" s="235">
        <f t="shared" si="267"/>
        <v>3</v>
      </c>
      <c r="D476" s="226">
        <f t="shared" si="268"/>
        <v>8</v>
      </c>
      <c r="E476" s="226" t="str">
        <f t="shared" si="269"/>
        <v>Upside</v>
      </c>
      <c r="F476" s="230">
        <f t="shared" si="270"/>
        <v>50000000</v>
      </c>
      <c r="G476" s="236">
        <f t="shared" si="271"/>
        <v>0.2</v>
      </c>
      <c r="H476" s="230">
        <f t="shared" si="272"/>
        <v>300000</v>
      </c>
      <c r="I476" s="236">
        <f t="shared" si="242"/>
        <v>0</v>
      </c>
      <c r="J476" s="234">
        <v>7</v>
      </c>
      <c r="K476" s="234">
        <f t="shared" si="243"/>
        <v>2032</v>
      </c>
      <c r="L476" s="230">
        <f>IF(J476=1,'Model Inputs'!$B$25*(13-'Model Inputs'!$B$23)/12,'Model Inputs'!$B$25)</f>
        <v>300000</v>
      </c>
      <c r="M476" s="230">
        <f>IF(J476=1,'Model Inputs'!$B$27*(13-'Model Inputs'!$B$23)/12,IF(J476=2,'Model Inputs'!$B$27,IF(J476&lt;=MAX(3,'Model Inputs'!$B$30+1),'Model Inputs'!$B$27*(1+'Model Inputs'!$B$28)^(J476-3),'Model Inputs'!$B$27*(1+'Model Inputs'!$B$28)^(MAX(3,'Model Inputs'!$B$30+1)-3)*(1+'Model Inputs'!$B$29)^(J476-MAX(3,'Model Inputs'!$B$30+1)))))</f>
        <v>1534372.9821762268</v>
      </c>
      <c r="N476" s="236">
        <f>IF(J476&lt;=2,0,'Model Inputs'!$B$32*SIN(2*PI()*(J476-3+'Model Inputs'!$B$34)/MAX(1,'Model Inputs'!$B$33)))</f>
        <v>0.10392304845413269</v>
      </c>
      <c r="O476" s="230">
        <f t="shared" si="244"/>
        <v>1693829.6999496389</v>
      </c>
      <c r="P476" s="230">
        <f t="shared" si="277"/>
        <v>1118318.448466131</v>
      </c>
      <c r="Q476" s="230">
        <f>L476+P476+IF(J476=1,'Model Inputs'!$B$26,0)</f>
        <v>1418318.448466131</v>
      </c>
      <c r="R476" s="230">
        <f t="shared" si="245"/>
        <v>4254955.3453983925</v>
      </c>
      <c r="S476" s="230">
        <f t="shared" si="246"/>
        <v>10300000</v>
      </c>
      <c r="T476" s="230">
        <f t="shared" si="247"/>
        <v>4254955.3453983925</v>
      </c>
      <c r="U476" s="230">
        <f>MIN(T476,'Tax Assumptions'!$B$19)</f>
        <v>24500</v>
      </c>
      <c r="V476" s="230">
        <f>MAX(T476-U476-'Tax Assumptions'!$B$8,0)</f>
        <v>4214355.3453983925</v>
      </c>
      <c r="W476" s="230">
        <f>MAX(T476-U476-'Tax Assumptions'!$B$9,0)</f>
        <v>4222455.3453983925</v>
      </c>
      <c r="X476" s="230">
        <f>IF(V476=0,0,LOOKUP(V476,'Tax Assumptions'!$F$9:$F$15,'Tax Assumptions'!$I$9:$I$15)+(V476-LOOKUP(V476,'Tax Assumptions'!$F$9:$F$15,'Tax Assumptions'!$F$9:$F$15))*LOOKUP(V476,'Tax Assumptions'!$F$9:$F$15,'Tax Assumptions'!$H$9:$H$15))+MIN(MAX(T476,0),'Tax Assumptions'!$B$11)*'Tax Assumptions'!$B$10+MAX(T476,0)*'Tax Assumptions'!$B$12+MAX(MAX(T476,0)-'Tax Assumptions'!$B$14,0)*'Tax Assumptions'!$B$13+MIN(T476*'Tax Assumptions'!$B$15,'Tax Assumptions'!$B$16)+MIN(T476*'Tax Assumptions'!$B$17,'Tax Assumptions'!$B$18)+IF(W476=0,0,LOOKUP(W476,'Tax Assumptions'!$K$9:$K$17,'Tax Assumptions'!$N$9:$N$17)+(W476-LOOKUP(W476,'Tax Assumptions'!$K$9:$K$17,'Tax Assumptions'!$K$9:$K$17))*LOOKUP(W476,'Tax Assumptions'!$K$9:$K$17,'Tax Assumptions'!$M$9:$M$17))+IF(W476=0,0,LOOKUP(W476,'Tax Assumptions'!$P$9:$P$12,'Tax Assumptions'!$S$9:$S$12)+(W476-LOOKUP(W476,'Tax Assumptions'!$P$9:$P$12,'Tax Assumptions'!$P$9:$P$12))*LOOKUP(W476,'Tax Assumptions'!$P$9:$P$12,'Tax Assumptions'!$R$9:$R$12))</f>
        <v>2163560.8234328539</v>
      </c>
      <c r="Y476" s="230">
        <f t="shared" si="248"/>
        <v>2066894.5219655386</v>
      </c>
      <c r="Z476" s="230">
        <f>IF(J476&lt;=10,INDEX('Savings Projection'!$BL$19:$BL$28,J476),LOOKUP(2,1/('Savings Projection'!$BL$19:$BL$28&lt;&gt;""),'Savings Projection'!$BL$19:$BL$28))*(1+'Model Inputs'!$B$35)^(J476-1)+IF(J476&lt;=10,INDEX('Savings Projection'!$BM$19:$BM$28,J476),LOOKUP(2,1/('Savings Projection'!$BM$19:$BM$28&lt;&gt;""),'Savings Projection'!$BM$19:$BM$28))*(1+'Model Inputs'!$B$36)^(J476-1)</f>
        <v>155226.79854876999</v>
      </c>
      <c r="AA476" s="230">
        <f t="shared" si="249"/>
        <v>1911667.7234167687</v>
      </c>
      <c r="AB476" s="230">
        <f>MIN(MAX(AA476,0),'Tax Assumptions'!$B$20)</f>
        <v>7500</v>
      </c>
      <c r="AC476" s="230">
        <f t="shared" si="250"/>
        <v>1904167.7234167687</v>
      </c>
      <c r="AD476" s="230">
        <f>MAX(AD475*(1+'Model Inputs'!$B$13)+AC476,0)</f>
        <v>6096756.714450242</v>
      </c>
      <c r="AE476" s="230">
        <f>MAX(AE475*(1+'Model Inputs'!$B$13)+U476+AB476,0)</f>
        <v>268602.80479539197</v>
      </c>
      <c r="AF476" s="230">
        <f t="shared" si="251"/>
        <v>6365359.5192456339</v>
      </c>
      <c r="AG476" s="226" t="str">
        <f t="shared" si="273"/>
        <v/>
      </c>
      <c r="AH476" s="226" t="str">
        <f t="shared" si="274"/>
        <v/>
      </c>
      <c r="AI476" s="226" t="str">
        <f t="shared" si="275"/>
        <v/>
      </c>
      <c r="AJ476" s="226" t="str">
        <f t="shared" si="276"/>
        <v/>
      </c>
    </row>
    <row r="477" spans="1:36" ht="18" customHeight="1" x14ac:dyDescent="0.2">
      <c r="A477" s="226" t="str">
        <f t="shared" si="265"/>
        <v>4Y -&gt; PM Y8 Upside</v>
      </c>
      <c r="B477" s="226">
        <f t="shared" si="266"/>
        <v>4</v>
      </c>
      <c r="C477" s="235">
        <f t="shared" si="267"/>
        <v>3</v>
      </c>
      <c r="D477" s="226">
        <f t="shared" si="268"/>
        <v>8</v>
      </c>
      <c r="E477" s="226" t="str">
        <f t="shared" si="269"/>
        <v>Upside</v>
      </c>
      <c r="F477" s="230">
        <f t="shared" si="270"/>
        <v>50000000</v>
      </c>
      <c r="G477" s="236">
        <f t="shared" si="271"/>
        <v>0.2</v>
      </c>
      <c r="H477" s="230">
        <f t="shared" si="272"/>
        <v>300000</v>
      </c>
      <c r="I477" s="236">
        <f t="shared" si="242"/>
        <v>0</v>
      </c>
      <c r="J477" s="234">
        <v>8</v>
      </c>
      <c r="K477" s="234">
        <f t="shared" si="243"/>
        <v>2033</v>
      </c>
      <c r="L477" s="230">
        <f>IF(J477=1,'Model Inputs'!$B$25*(13-'Model Inputs'!$B$23)/12,'Model Inputs'!$B$25)</f>
        <v>300000</v>
      </c>
      <c r="M477" s="230">
        <f>IF(J477=1,'Model Inputs'!$B$27*(13-'Model Inputs'!$B$23)/12,IF(J477=2,'Model Inputs'!$B$27,IF(J477&lt;=MAX(3,'Model Inputs'!$B$30+1),'Model Inputs'!$B$27*(1+'Model Inputs'!$B$28)^(J477-3),'Model Inputs'!$B$27*(1+'Model Inputs'!$B$28)^(MAX(3,'Model Inputs'!$B$30+1)-3)*(1+'Model Inputs'!$B$29)^(J477-MAX(3,'Model Inputs'!$B$30+1)))))</f>
        <v>1950000.0000000002</v>
      </c>
      <c r="N477" s="236">
        <f>IF(J477&lt;=2,0,'Model Inputs'!$B$32*SIN(2*PI()*(J477-3+'Model Inputs'!$B$34)/MAX(1,'Model Inputs'!$B$33)))</f>
        <v>-0.10392304845413264</v>
      </c>
      <c r="O477" s="230">
        <f t="shared" si="244"/>
        <v>1747350.0555144416</v>
      </c>
      <c r="P477" s="230">
        <f t="shared" si="277"/>
        <v>1572205.6657868917</v>
      </c>
      <c r="Q477" s="230">
        <f>L477+P477+IF(J477=1,'Model Inputs'!$B$26,0)</f>
        <v>1872205.6657868917</v>
      </c>
      <c r="R477" s="230">
        <f t="shared" si="245"/>
        <v>5616616.9973606747</v>
      </c>
      <c r="S477" s="230">
        <f t="shared" si="246"/>
        <v>10300000</v>
      </c>
      <c r="T477" s="230">
        <f t="shared" si="247"/>
        <v>10300000</v>
      </c>
      <c r="U477" s="230">
        <f>MIN(T477,'Tax Assumptions'!$B$19)</f>
        <v>24500</v>
      </c>
      <c r="V477" s="230">
        <f>MAX(T477-U477-'Tax Assumptions'!$B$8,0)</f>
        <v>10259400</v>
      </c>
      <c r="W477" s="230">
        <f>MAX(T477-U477-'Tax Assumptions'!$B$9,0)</f>
        <v>10267500</v>
      </c>
      <c r="X477" s="230">
        <f>IF(V477=0,0,LOOKUP(V477,'Tax Assumptions'!$F$9:$F$15,'Tax Assumptions'!$I$9:$I$15)+(V477-LOOKUP(V477,'Tax Assumptions'!$F$9:$F$15,'Tax Assumptions'!$F$9:$F$15))*LOOKUP(V477,'Tax Assumptions'!$F$9:$F$15,'Tax Assumptions'!$H$9:$H$15))+MIN(MAX(T477,0),'Tax Assumptions'!$B$11)*'Tax Assumptions'!$B$10+MAX(T477,0)*'Tax Assumptions'!$B$12+MAX(MAX(T477,0)-'Tax Assumptions'!$B$14,0)*'Tax Assumptions'!$B$13+MIN(T477*'Tax Assumptions'!$B$15,'Tax Assumptions'!$B$16)+MIN(T477*'Tax Assumptions'!$B$17,'Tax Assumptions'!$B$18)+IF(W477=0,0,LOOKUP(W477,'Tax Assumptions'!$K$9:$K$17,'Tax Assumptions'!$N$9:$N$17)+(W477-LOOKUP(W477,'Tax Assumptions'!$K$9:$K$17,'Tax Assumptions'!$K$9:$K$17))*LOOKUP(W477,'Tax Assumptions'!$K$9:$K$17,'Tax Assumptions'!$M$9:$M$17))+IF(W477=0,0,LOOKUP(W477,'Tax Assumptions'!$P$9:$P$12,'Tax Assumptions'!$S$9:$S$12)+(W477-LOOKUP(W477,'Tax Assumptions'!$P$9:$P$12,'Tax Assumptions'!$P$9:$P$12))*LOOKUP(W477,'Tax Assumptions'!$P$9:$P$12,'Tax Assumptions'!$R$9:$R$12))</f>
        <v>5394180.54</v>
      </c>
      <c r="Y477" s="230">
        <f t="shared" si="248"/>
        <v>4881319.46</v>
      </c>
      <c r="Z477" s="230">
        <f>IF(J477&lt;=10,INDEX('Savings Projection'!$BL$19:$BL$28,J477),LOOKUP(2,1/('Savings Projection'!$BL$19:$BL$28&lt;&gt;""),'Savings Projection'!$BL$19:$BL$28))*(1+'Model Inputs'!$B$35)^(J477-1)+IF(J477&lt;=10,INDEX('Savings Projection'!$BM$19:$BM$28,J477),LOOKUP(2,1/('Savings Projection'!$BM$19:$BM$28&lt;&gt;""),'Savings Projection'!$BM$19:$BM$28))*(1+'Model Inputs'!$B$36)^(J477-1)</f>
        <v>159883.60250523311</v>
      </c>
      <c r="AA477" s="230">
        <f t="shared" si="249"/>
        <v>4721435.8574947668</v>
      </c>
      <c r="AB477" s="230">
        <f>MIN(MAX(AA477,0),'Tax Assumptions'!$B$20)</f>
        <v>7500</v>
      </c>
      <c r="AC477" s="230">
        <f t="shared" si="250"/>
        <v>4713935.8574947668</v>
      </c>
      <c r="AD477" s="230">
        <f>MAX(AD476*(1+'Model Inputs'!$B$13)+AC477,0)</f>
        <v>11176497.974812023</v>
      </c>
      <c r="AE477" s="230">
        <f>MAX(AE476*(1+'Model Inputs'!$B$13)+U477+AB477,0)</f>
        <v>316718.97308311553</v>
      </c>
      <c r="AF477" s="230">
        <f t="shared" si="251"/>
        <v>11493216.947895139</v>
      </c>
      <c r="AG477" s="226" t="str">
        <f t="shared" si="273"/>
        <v/>
      </c>
      <c r="AH477" s="226" t="str">
        <f t="shared" si="274"/>
        <v/>
      </c>
      <c r="AI477" s="226" t="str">
        <f t="shared" si="275"/>
        <v/>
      </c>
      <c r="AJ477" s="226" t="str">
        <f t="shared" si="276"/>
        <v/>
      </c>
    </row>
    <row r="478" spans="1:36" ht="18" customHeight="1" x14ac:dyDescent="0.2">
      <c r="A478" s="226" t="str">
        <f t="shared" si="265"/>
        <v>4Y -&gt; PM Y8 Upside</v>
      </c>
      <c r="B478" s="226">
        <f t="shared" si="266"/>
        <v>4</v>
      </c>
      <c r="C478" s="235">
        <f t="shared" si="267"/>
        <v>3</v>
      </c>
      <c r="D478" s="226">
        <f t="shared" si="268"/>
        <v>8</v>
      </c>
      <c r="E478" s="226" t="str">
        <f t="shared" si="269"/>
        <v>Upside</v>
      </c>
      <c r="F478" s="230">
        <f t="shared" si="270"/>
        <v>50000000</v>
      </c>
      <c r="G478" s="236">
        <f t="shared" si="271"/>
        <v>0.2</v>
      </c>
      <c r="H478" s="230">
        <f t="shared" si="272"/>
        <v>300000</v>
      </c>
      <c r="I478" s="236">
        <f t="shared" si="242"/>
        <v>0</v>
      </c>
      <c r="J478" s="234">
        <v>9</v>
      </c>
      <c r="K478" s="234">
        <f t="shared" si="243"/>
        <v>2034</v>
      </c>
      <c r="L478" s="230">
        <f>IF(J478=1,'Model Inputs'!$B$25*(13-'Model Inputs'!$B$23)/12,'Model Inputs'!$B$25)</f>
        <v>300000</v>
      </c>
      <c r="M478" s="230">
        <f>IF(J478=1,'Model Inputs'!$B$27*(13-'Model Inputs'!$B$23)/12,IF(J478=2,'Model Inputs'!$B$27,IF(J478&lt;=MAX(3,'Model Inputs'!$B$30+1),'Model Inputs'!$B$27*(1+'Model Inputs'!$B$28)^(J478-3),'Model Inputs'!$B$27*(1+'Model Inputs'!$B$28)^(MAX(3,'Model Inputs'!$B$30+1)-3)*(1+'Model Inputs'!$B$29)^(J478-MAX(3,'Model Inputs'!$B$30+1)))))</f>
        <v>2478210.9983498608</v>
      </c>
      <c r="N478" s="236">
        <f>IF(J478&lt;=2,0,'Model Inputs'!$B$32*SIN(2*PI()*(J478-3+'Model Inputs'!$B$34)/MAX(1,'Model Inputs'!$B$33)))</f>
        <v>-5.8783046359072947E-17</v>
      </c>
      <c r="O478" s="230">
        <f t="shared" si="244"/>
        <v>2478210.9983498603</v>
      </c>
      <c r="P478" s="230">
        <f t="shared" si="277"/>
        <v>1733969.9666232408</v>
      </c>
      <c r="Q478" s="230">
        <f>L478+P478+IF(J478=1,'Model Inputs'!$B$26,0)</f>
        <v>2033969.9666232408</v>
      </c>
      <c r="R478" s="230">
        <f t="shared" si="245"/>
        <v>6101909.8998697223</v>
      </c>
      <c r="S478" s="230">
        <f t="shared" si="246"/>
        <v>10300000</v>
      </c>
      <c r="T478" s="230">
        <f t="shared" si="247"/>
        <v>10300000</v>
      </c>
      <c r="U478" s="230">
        <f>MIN(T478,'Tax Assumptions'!$B$19)</f>
        <v>24500</v>
      </c>
      <c r="V478" s="230">
        <f>MAX(T478-U478-'Tax Assumptions'!$B$8,0)</f>
        <v>10259400</v>
      </c>
      <c r="W478" s="230">
        <f>MAX(T478-U478-'Tax Assumptions'!$B$9,0)</f>
        <v>10267500</v>
      </c>
      <c r="X478" s="230">
        <f>IF(V478=0,0,LOOKUP(V478,'Tax Assumptions'!$F$9:$F$15,'Tax Assumptions'!$I$9:$I$15)+(V478-LOOKUP(V478,'Tax Assumptions'!$F$9:$F$15,'Tax Assumptions'!$F$9:$F$15))*LOOKUP(V478,'Tax Assumptions'!$F$9:$F$15,'Tax Assumptions'!$H$9:$H$15))+MIN(MAX(T478,0),'Tax Assumptions'!$B$11)*'Tax Assumptions'!$B$10+MAX(T478,0)*'Tax Assumptions'!$B$12+MAX(MAX(T478,0)-'Tax Assumptions'!$B$14,0)*'Tax Assumptions'!$B$13+MIN(T478*'Tax Assumptions'!$B$15,'Tax Assumptions'!$B$16)+MIN(T478*'Tax Assumptions'!$B$17,'Tax Assumptions'!$B$18)+IF(W478=0,0,LOOKUP(W478,'Tax Assumptions'!$K$9:$K$17,'Tax Assumptions'!$N$9:$N$17)+(W478-LOOKUP(W478,'Tax Assumptions'!$K$9:$K$17,'Tax Assumptions'!$K$9:$K$17))*LOOKUP(W478,'Tax Assumptions'!$K$9:$K$17,'Tax Assumptions'!$M$9:$M$17))+IF(W478=0,0,LOOKUP(W478,'Tax Assumptions'!$P$9:$P$12,'Tax Assumptions'!$S$9:$S$12)+(W478-LOOKUP(W478,'Tax Assumptions'!$P$9:$P$12,'Tax Assumptions'!$P$9:$P$12))*LOOKUP(W478,'Tax Assumptions'!$P$9:$P$12,'Tax Assumptions'!$R$9:$R$12))</f>
        <v>5394180.54</v>
      </c>
      <c r="Y478" s="230">
        <f t="shared" si="248"/>
        <v>4881319.46</v>
      </c>
      <c r="Z478" s="230">
        <f>IF(J478&lt;=10,INDEX('Savings Projection'!$BL$19:$BL$28,J478),LOOKUP(2,1/('Savings Projection'!$BL$19:$BL$28&lt;&gt;""),'Savings Projection'!$BL$19:$BL$28))*(1+'Model Inputs'!$B$35)^(J478-1)+IF(J478&lt;=10,INDEX('Savings Projection'!$BM$19:$BM$28,J478),LOOKUP(2,1/('Savings Projection'!$BM$19:$BM$28&lt;&gt;""),'Savings Projection'!$BM$19:$BM$28))*(1+'Model Inputs'!$B$36)^(J478-1)</f>
        <v>164680.11058039009</v>
      </c>
      <c r="AA478" s="230">
        <f t="shared" si="249"/>
        <v>4716639.3494196096</v>
      </c>
      <c r="AB478" s="230">
        <f>MIN(MAX(AA478,0),'Tax Assumptions'!$B$20)</f>
        <v>7500</v>
      </c>
      <c r="AC478" s="230">
        <f t="shared" si="250"/>
        <v>4709139.3494196096</v>
      </c>
      <c r="AD478" s="230">
        <f>MAX(AD477*(1+'Model Inputs'!$B$13)+AC478,0)</f>
        <v>16556227.202720355</v>
      </c>
      <c r="AE478" s="230">
        <f>MAX(AE477*(1+'Model Inputs'!$B$13)+U478+AB478,0)</f>
        <v>367722.11146810249</v>
      </c>
      <c r="AF478" s="230">
        <f t="shared" si="251"/>
        <v>16923949.314188458</v>
      </c>
      <c r="AG478" s="226">
        <f t="shared" si="273"/>
        <v>9</v>
      </c>
      <c r="AH478" s="226">
        <f t="shared" si="274"/>
        <v>9</v>
      </c>
      <c r="AI478" s="226" t="str">
        <f t="shared" si="275"/>
        <v/>
      </c>
      <c r="AJ478" s="226" t="str">
        <f t="shared" si="276"/>
        <v/>
      </c>
    </row>
    <row r="479" spans="1:36" ht="18" customHeight="1" x14ac:dyDescent="0.2">
      <c r="A479" s="226" t="str">
        <f t="shared" si="265"/>
        <v>4Y -&gt; PM Y8 Upside</v>
      </c>
      <c r="B479" s="226">
        <f t="shared" si="266"/>
        <v>4</v>
      </c>
      <c r="C479" s="235">
        <f t="shared" si="267"/>
        <v>3</v>
      </c>
      <c r="D479" s="226">
        <f t="shared" si="268"/>
        <v>8</v>
      </c>
      <c r="E479" s="226" t="str">
        <f t="shared" si="269"/>
        <v>Upside</v>
      </c>
      <c r="F479" s="230">
        <f t="shared" si="270"/>
        <v>50000000</v>
      </c>
      <c r="G479" s="236">
        <f t="shared" si="271"/>
        <v>0.2</v>
      </c>
      <c r="H479" s="230">
        <f t="shared" si="272"/>
        <v>300000</v>
      </c>
      <c r="I479" s="236">
        <f t="shared" si="242"/>
        <v>0</v>
      </c>
      <c r="J479" s="234">
        <v>10</v>
      </c>
      <c r="K479" s="234">
        <f t="shared" si="243"/>
        <v>2035</v>
      </c>
      <c r="L479" s="230">
        <f>IF(J479=1,'Model Inputs'!$B$25*(13-'Model Inputs'!$B$23)/12,'Model Inputs'!$B$25)</f>
        <v>300000</v>
      </c>
      <c r="M479" s="230">
        <f>IF(J479=1,'Model Inputs'!$B$27*(13-'Model Inputs'!$B$23)/12,IF(J479=2,'Model Inputs'!$B$27,IF(J479&lt;=MAX(3,'Model Inputs'!$B$30+1),'Model Inputs'!$B$27*(1+'Model Inputs'!$B$28)^(J479-3),'Model Inputs'!$B$27*(1+'Model Inputs'!$B$28)^(MAX(3,'Model Inputs'!$B$30+1)-3)*(1+'Model Inputs'!$B$29)^(J479-MAX(3,'Model Inputs'!$B$30+1)))))</f>
        <v>3149502.4370985711</v>
      </c>
      <c r="N479" s="236">
        <f>IF(J479&lt;=2,0,'Model Inputs'!$B$32*SIN(2*PI()*(J479-3+'Model Inputs'!$B$34)/MAX(1,'Model Inputs'!$B$33)))</f>
        <v>0.10392304845413271</v>
      </c>
      <c r="O479" s="230">
        <f t="shared" si="244"/>
        <v>3476808.331475575</v>
      </c>
      <c r="P479" s="230">
        <f t="shared" si="277"/>
        <v>2295495.7626410057</v>
      </c>
      <c r="Q479" s="230">
        <f>L479+P479+IF(J479=1,'Model Inputs'!$B$26,0)</f>
        <v>2595495.7626410057</v>
      </c>
      <c r="R479" s="230">
        <f t="shared" si="245"/>
        <v>7786487.2879230175</v>
      </c>
      <c r="S479" s="230">
        <f t="shared" si="246"/>
        <v>10300000</v>
      </c>
      <c r="T479" s="230">
        <f t="shared" si="247"/>
        <v>10300000</v>
      </c>
      <c r="U479" s="230">
        <f>MIN(T479,'Tax Assumptions'!$B$19)</f>
        <v>24500</v>
      </c>
      <c r="V479" s="230">
        <f>MAX(T479-U479-'Tax Assumptions'!$B$8,0)</f>
        <v>10259400</v>
      </c>
      <c r="W479" s="230">
        <f>MAX(T479-U479-'Tax Assumptions'!$B$9,0)</f>
        <v>10267500</v>
      </c>
      <c r="X479" s="230">
        <f>IF(V479=0,0,LOOKUP(V479,'Tax Assumptions'!$F$9:$F$15,'Tax Assumptions'!$I$9:$I$15)+(V479-LOOKUP(V479,'Tax Assumptions'!$F$9:$F$15,'Tax Assumptions'!$F$9:$F$15))*LOOKUP(V479,'Tax Assumptions'!$F$9:$F$15,'Tax Assumptions'!$H$9:$H$15))+MIN(MAX(T479,0),'Tax Assumptions'!$B$11)*'Tax Assumptions'!$B$10+MAX(T479,0)*'Tax Assumptions'!$B$12+MAX(MAX(T479,0)-'Tax Assumptions'!$B$14,0)*'Tax Assumptions'!$B$13+MIN(T479*'Tax Assumptions'!$B$15,'Tax Assumptions'!$B$16)+MIN(T479*'Tax Assumptions'!$B$17,'Tax Assumptions'!$B$18)+IF(W479=0,0,LOOKUP(W479,'Tax Assumptions'!$K$9:$K$17,'Tax Assumptions'!$N$9:$N$17)+(W479-LOOKUP(W479,'Tax Assumptions'!$K$9:$K$17,'Tax Assumptions'!$K$9:$K$17))*LOOKUP(W479,'Tax Assumptions'!$K$9:$K$17,'Tax Assumptions'!$M$9:$M$17))+IF(W479=0,0,LOOKUP(W479,'Tax Assumptions'!$P$9:$P$12,'Tax Assumptions'!$S$9:$S$12)+(W479-LOOKUP(W479,'Tax Assumptions'!$P$9:$P$12,'Tax Assumptions'!$P$9:$P$12))*LOOKUP(W479,'Tax Assumptions'!$P$9:$P$12,'Tax Assumptions'!$R$9:$R$12))</f>
        <v>5394180.54</v>
      </c>
      <c r="Y479" s="230">
        <f t="shared" si="248"/>
        <v>4881319.46</v>
      </c>
      <c r="Z479" s="230">
        <f>IF(J479&lt;=10,INDEX('Savings Projection'!$BL$19:$BL$28,J479),LOOKUP(2,1/('Savings Projection'!$BL$19:$BL$28&lt;&gt;""),'Savings Projection'!$BL$19:$BL$28))*(1+'Model Inputs'!$B$35)^(J479-1)+IF(J479&lt;=10,INDEX('Savings Projection'!$BM$19:$BM$28,J479),LOOKUP(2,1/('Savings Projection'!$BM$19:$BM$28&lt;&gt;""),'Savings Projection'!$BM$19:$BM$28))*(1+'Model Inputs'!$B$36)^(J479-1)</f>
        <v>169620.51389780178</v>
      </c>
      <c r="AA479" s="230">
        <f t="shared" si="249"/>
        <v>4711698.9461021982</v>
      </c>
      <c r="AB479" s="230">
        <f>MIN(MAX(AA479,0),'Tax Assumptions'!$B$20)</f>
        <v>7500</v>
      </c>
      <c r="AC479" s="230">
        <f t="shared" si="250"/>
        <v>4704198.9461021982</v>
      </c>
      <c r="AD479" s="230">
        <f>MAX(AD478*(1+'Model Inputs'!$B$13)+AC479,0)</f>
        <v>22253799.780985776</v>
      </c>
      <c r="AE479" s="230">
        <f>MAX(AE478*(1+'Model Inputs'!$B$13)+U479+AB479,0)</f>
        <v>421785.43815618864</v>
      </c>
      <c r="AF479" s="230">
        <f t="shared" si="251"/>
        <v>22675585.219141964</v>
      </c>
      <c r="AG479" s="226" t="str">
        <f t="shared" si="273"/>
        <v/>
      </c>
      <c r="AH479" s="226" t="str">
        <f t="shared" si="274"/>
        <v/>
      </c>
      <c r="AI479" s="226">
        <f t="shared" si="275"/>
        <v>10</v>
      </c>
      <c r="AJ479" s="226">
        <f t="shared" si="276"/>
        <v>10</v>
      </c>
    </row>
    <row r="480" spans="1:36" ht="18" customHeight="1" x14ac:dyDescent="0.2">
      <c r="A480" s="226" t="str">
        <f t="shared" si="265"/>
        <v>4Y -&gt; PM Y8 Upside</v>
      </c>
      <c r="B480" s="226">
        <f t="shared" si="266"/>
        <v>4</v>
      </c>
      <c r="C480" s="235">
        <f t="shared" si="267"/>
        <v>3</v>
      </c>
      <c r="D480" s="226">
        <f t="shared" si="268"/>
        <v>8</v>
      </c>
      <c r="E480" s="226" t="str">
        <f t="shared" si="269"/>
        <v>Upside</v>
      </c>
      <c r="F480" s="230">
        <f t="shared" si="270"/>
        <v>50000000</v>
      </c>
      <c r="G480" s="236">
        <f t="shared" si="271"/>
        <v>0.2</v>
      </c>
      <c r="H480" s="230">
        <f t="shared" si="272"/>
        <v>300000</v>
      </c>
      <c r="I480" s="236">
        <f t="shared" si="242"/>
        <v>0</v>
      </c>
      <c r="J480" s="234">
        <v>11</v>
      </c>
      <c r="K480" s="234">
        <f t="shared" si="243"/>
        <v>2036</v>
      </c>
      <c r="L480" s="230">
        <f>IF(J480=1,'Model Inputs'!$B$25*(13-'Model Inputs'!$B$23)/12,'Model Inputs'!$B$25)</f>
        <v>300000</v>
      </c>
      <c r="M480" s="230">
        <f>IF(J480=1,'Model Inputs'!$B$27*(13-'Model Inputs'!$B$23)/12,IF(J480=2,'Model Inputs'!$B$27,IF(J480&lt;=MAX(3,'Model Inputs'!$B$30+1),'Model Inputs'!$B$27*(1+'Model Inputs'!$B$28)^(J480-3),'Model Inputs'!$B$27*(1+'Model Inputs'!$B$28)^(MAX(3,'Model Inputs'!$B$30+1)-3)*(1+'Model Inputs'!$B$29)^(J480-MAX(3,'Model Inputs'!$B$30+1)))))</f>
        <v>4002631.578947369</v>
      </c>
      <c r="N480" s="236">
        <f>IF(J480&lt;=2,0,'Model Inputs'!$B$32*SIN(2*PI()*(J480-3+'Model Inputs'!$B$34)/MAX(1,'Model Inputs'!$B$33)))</f>
        <v>-0.10392304845413253</v>
      </c>
      <c r="O480" s="230">
        <f t="shared" si="244"/>
        <v>3586665.9034243808</v>
      </c>
      <c r="P480" s="230">
        <f t="shared" si="277"/>
        <v>3227158.9981941464</v>
      </c>
      <c r="Q480" s="230">
        <f>L480+P480+IF(J480=1,'Model Inputs'!$B$26,0)</f>
        <v>3527158.9981941464</v>
      </c>
      <c r="R480" s="230">
        <f t="shared" si="245"/>
        <v>10581476.994582439</v>
      </c>
      <c r="S480" s="230">
        <f t="shared" si="246"/>
        <v>10300000</v>
      </c>
      <c r="T480" s="230">
        <f t="shared" si="247"/>
        <v>10300000</v>
      </c>
      <c r="U480" s="230">
        <f>MIN(T480,'Tax Assumptions'!$B$19)</f>
        <v>24500</v>
      </c>
      <c r="V480" s="230">
        <f>MAX(T480-U480-'Tax Assumptions'!$B$8,0)</f>
        <v>10259400</v>
      </c>
      <c r="W480" s="230">
        <f>MAX(T480-U480-'Tax Assumptions'!$B$9,0)</f>
        <v>10267500</v>
      </c>
      <c r="X480" s="230">
        <f>IF(V480=0,0,LOOKUP(V480,'Tax Assumptions'!$F$9:$F$15,'Tax Assumptions'!$I$9:$I$15)+(V480-LOOKUP(V480,'Tax Assumptions'!$F$9:$F$15,'Tax Assumptions'!$F$9:$F$15))*LOOKUP(V480,'Tax Assumptions'!$F$9:$F$15,'Tax Assumptions'!$H$9:$H$15))+MIN(MAX(T480,0),'Tax Assumptions'!$B$11)*'Tax Assumptions'!$B$10+MAX(T480,0)*'Tax Assumptions'!$B$12+MAX(MAX(T480,0)-'Tax Assumptions'!$B$14,0)*'Tax Assumptions'!$B$13+MIN(T480*'Tax Assumptions'!$B$15,'Tax Assumptions'!$B$16)+MIN(T480*'Tax Assumptions'!$B$17,'Tax Assumptions'!$B$18)+IF(W480=0,0,LOOKUP(W480,'Tax Assumptions'!$K$9:$K$17,'Tax Assumptions'!$N$9:$N$17)+(W480-LOOKUP(W480,'Tax Assumptions'!$K$9:$K$17,'Tax Assumptions'!$K$9:$K$17))*LOOKUP(W480,'Tax Assumptions'!$K$9:$K$17,'Tax Assumptions'!$M$9:$M$17))+IF(W480=0,0,LOOKUP(W480,'Tax Assumptions'!$P$9:$P$12,'Tax Assumptions'!$S$9:$S$12)+(W480-LOOKUP(W480,'Tax Assumptions'!$P$9:$P$12,'Tax Assumptions'!$P$9:$P$12))*LOOKUP(W480,'Tax Assumptions'!$P$9:$P$12,'Tax Assumptions'!$R$9:$R$12))</f>
        <v>5394180.54</v>
      </c>
      <c r="Y480" s="230">
        <f t="shared" si="248"/>
        <v>4881319.46</v>
      </c>
      <c r="Z480" s="230">
        <f>IF(J480&lt;=10,INDEX('Savings Projection'!$BL$19:$BL$28,J480),LOOKUP(2,1/('Savings Projection'!$BL$19:$BL$28&lt;&gt;""),'Savings Projection'!$BL$19:$BL$28))*(1+'Model Inputs'!$B$35)^(J480-1)+IF(J480&lt;=10,INDEX('Savings Projection'!$BM$19:$BM$28,J480),LOOKUP(2,1/('Savings Projection'!$BM$19:$BM$28&lt;&gt;""),'Savings Projection'!$BM$19:$BM$28))*(1+'Model Inputs'!$B$36)^(J480-1)</f>
        <v>174709.12931473582</v>
      </c>
      <c r="AA480" s="230">
        <f t="shared" si="249"/>
        <v>4706610.3306852644</v>
      </c>
      <c r="AB480" s="230">
        <f>MIN(MAX(AA480,0),'Tax Assumptions'!$B$20)</f>
        <v>7500</v>
      </c>
      <c r="AC480" s="230">
        <f t="shared" si="250"/>
        <v>4699110.3306852644</v>
      </c>
      <c r="AD480" s="230">
        <f>MAX(AD479*(1+'Model Inputs'!$B$13)+AC480,0)</f>
        <v>28288138.098530188</v>
      </c>
      <c r="AE480" s="230">
        <f>MAX(AE479*(1+'Model Inputs'!$B$13)+U480+AB480,0)</f>
        <v>479092.56444555998</v>
      </c>
      <c r="AF480" s="230">
        <f t="shared" si="251"/>
        <v>28767230.662975747</v>
      </c>
      <c r="AG480" s="226" t="str">
        <f t="shared" si="273"/>
        <v/>
      </c>
      <c r="AH480" s="226" t="str">
        <f t="shared" si="274"/>
        <v/>
      </c>
      <c r="AI480" s="226" t="str">
        <f t="shared" si="275"/>
        <v/>
      </c>
      <c r="AJ480" s="226" t="str">
        <f t="shared" si="276"/>
        <v/>
      </c>
    </row>
    <row r="481" spans="1:36" ht="18" customHeight="1" x14ac:dyDescent="0.2">
      <c r="A481" s="226" t="str">
        <f t="shared" si="265"/>
        <v>4Y -&gt; PM Y8 Upside</v>
      </c>
      <c r="B481" s="226">
        <f t="shared" si="266"/>
        <v>4</v>
      </c>
      <c r="C481" s="235">
        <f t="shared" si="267"/>
        <v>3</v>
      </c>
      <c r="D481" s="226">
        <f t="shared" si="268"/>
        <v>8</v>
      </c>
      <c r="E481" s="226" t="str">
        <f t="shared" si="269"/>
        <v>Upside</v>
      </c>
      <c r="F481" s="230">
        <f t="shared" si="270"/>
        <v>50000000</v>
      </c>
      <c r="G481" s="236">
        <f t="shared" si="271"/>
        <v>0.2</v>
      </c>
      <c r="H481" s="230">
        <f t="shared" si="272"/>
        <v>300000</v>
      </c>
      <c r="I481" s="236">
        <f t="shared" si="242"/>
        <v>0</v>
      </c>
      <c r="J481" s="234">
        <v>12</v>
      </c>
      <c r="K481" s="234">
        <f t="shared" si="243"/>
        <v>2037</v>
      </c>
      <c r="L481" s="230">
        <f>IF(J481=1,'Model Inputs'!$B$25*(13-'Model Inputs'!$B$23)/12,'Model Inputs'!$B$25)</f>
        <v>300000</v>
      </c>
      <c r="M481" s="230">
        <f>IF(J481=1,'Model Inputs'!$B$27*(13-'Model Inputs'!$B$23)/12,IF(J481=2,'Model Inputs'!$B$27,IF(J481&lt;=MAX(3,'Model Inputs'!$B$30+1),'Model Inputs'!$B$27*(1+'Model Inputs'!$B$28)^(J481-3),'Model Inputs'!$B$27*(1+'Model Inputs'!$B$28)^(MAX(3,'Model Inputs'!$B$30+1)-3)*(1+'Model Inputs'!$B$29)^(J481-MAX(3,'Model Inputs'!$B$30+1)))))</f>
        <v>5086854.15450761</v>
      </c>
      <c r="N481" s="236">
        <f>IF(J481&lt;=2,0,'Model Inputs'!$B$32*SIN(2*PI()*(J481-3+'Model Inputs'!$B$34)/MAX(1,'Model Inputs'!$B$33)))</f>
        <v>-8.8174569538609421E-17</v>
      </c>
      <c r="O481" s="230">
        <f t="shared" si="244"/>
        <v>5086854.1545076091</v>
      </c>
      <c r="P481" s="230">
        <f t="shared" si="277"/>
        <v>3559201.5104371794</v>
      </c>
      <c r="Q481" s="230">
        <f>L481+P481+IF(J481=1,'Model Inputs'!$B$26,0)</f>
        <v>3859201.5104371794</v>
      </c>
      <c r="R481" s="230">
        <f t="shared" si="245"/>
        <v>11577604.531311538</v>
      </c>
      <c r="S481" s="230">
        <f t="shared" si="246"/>
        <v>10300000</v>
      </c>
      <c r="T481" s="230">
        <f t="shared" si="247"/>
        <v>10300000</v>
      </c>
      <c r="U481" s="230">
        <f>MIN(T481,'Tax Assumptions'!$B$19)</f>
        <v>24500</v>
      </c>
      <c r="V481" s="230">
        <f>MAX(T481-U481-'Tax Assumptions'!$B$8,0)</f>
        <v>10259400</v>
      </c>
      <c r="W481" s="230">
        <f>MAX(T481-U481-'Tax Assumptions'!$B$9,0)</f>
        <v>10267500</v>
      </c>
      <c r="X481" s="230">
        <f>IF(V481=0,0,LOOKUP(V481,'Tax Assumptions'!$F$9:$F$15,'Tax Assumptions'!$I$9:$I$15)+(V481-LOOKUP(V481,'Tax Assumptions'!$F$9:$F$15,'Tax Assumptions'!$F$9:$F$15))*LOOKUP(V481,'Tax Assumptions'!$F$9:$F$15,'Tax Assumptions'!$H$9:$H$15))+MIN(MAX(T481,0),'Tax Assumptions'!$B$11)*'Tax Assumptions'!$B$10+MAX(T481,0)*'Tax Assumptions'!$B$12+MAX(MAX(T481,0)-'Tax Assumptions'!$B$14,0)*'Tax Assumptions'!$B$13+MIN(T481*'Tax Assumptions'!$B$15,'Tax Assumptions'!$B$16)+MIN(T481*'Tax Assumptions'!$B$17,'Tax Assumptions'!$B$18)+IF(W481=0,0,LOOKUP(W481,'Tax Assumptions'!$K$9:$K$17,'Tax Assumptions'!$N$9:$N$17)+(W481-LOOKUP(W481,'Tax Assumptions'!$K$9:$K$17,'Tax Assumptions'!$K$9:$K$17))*LOOKUP(W481,'Tax Assumptions'!$K$9:$K$17,'Tax Assumptions'!$M$9:$M$17))+IF(W481=0,0,LOOKUP(W481,'Tax Assumptions'!$P$9:$P$12,'Tax Assumptions'!$S$9:$S$12)+(W481-LOOKUP(W481,'Tax Assumptions'!$P$9:$P$12,'Tax Assumptions'!$P$9:$P$12))*LOOKUP(W481,'Tax Assumptions'!$P$9:$P$12,'Tax Assumptions'!$R$9:$R$12))</f>
        <v>5394180.54</v>
      </c>
      <c r="Y481" s="230">
        <f t="shared" si="248"/>
        <v>4881319.46</v>
      </c>
      <c r="Z481" s="230">
        <f>IF(J481&lt;=10,INDEX('Savings Projection'!$BL$19:$BL$28,J481),LOOKUP(2,1/('Savings Projection'!$BL$19:$BL$28&lt;&gt;""),'Savings Projection'!$BL$19:$BL$28))*(1+'Model Inputs'!$B$35)^(J481-1)+IF(J481&lt;=10,INDEX('Savings Projection'!$BM$19:$BM$28,J481),LOOKUP(2,1/('Savings Projection'!$BM$19:$BM$28&lt;&gt;""),'Savings Projection'!$BM$19:$BM$28))*(1+'Model Inputs'!$B$36)^(J481-1)</f>
        <v>179950.4031941779</v>
      </c>
      <c r="AA481" s="230">
        <f t="shared" si="249"/>
        <v>4701369.0568058221</v>
      </c>
      <c r="AB481" s="230">
        <f>MIN(MAX(AA481,0),'Tax Assumptions'!$B$20)</f>
        <v>7500</v>
      </c>
      <c r="AC481" s="230">
        <f t="shared" si="250"/>
        <v>4693869.0568058221</v>
      </c>
      <c r="AD481" s="230">
        <f>MAX(AD480*(1+'Model Inputs'!$B$13)+AC481,0)</f>
        <v>34679295.441247821</v>
      </c>
      <c r="AE481" s="230">
        <f>MAX(AE480*(1+'Model Inputs'!$B$13)+U481+AB481,0)</f>
        <v>539838.11831229366</v>
      </c>
      <c r="AF481" s="230">
        <f t="shared" si="251"/>
        <v>35219133.559560113</v>
      </c>
      <c r="AG481" s="226" t="str">
        <f t="shared" si="273"/>
        <v/>
      </c>
      <c r="AH481" s="226" t="str">
        <f t="shared" si="274"/>
        <v/>
      </c>
      <c r="AI481" s="226" t="str">
        <f t="shared" si="275"/>
        <v/>
      </c>
      <c r="AJ481" s="226" t="str">
        <f t="shared" si="276"/>
        <v/>
      </c>
    </row>
    <row r="482" spans="1:36" ht="18" customHeight="1" x14ac:dyDescent="0.2">
      <c r="A482" s="226" t="str">
        <f t="shared" si="265"/>
        <v>4Y -&gt; PM Y8 Upside</v>
      </c>
      <c r="B482" s="226">
        <f t="shared" si="266"/>
        <v>4</v>
      </c>
      <c r="C482" s="235">
        <f t="shared" si="267"/>
        <v>3</v>
      </c>
      <c r="D482" s="226">
        <f t="shared" si="268"/>
        <v>8</v>
      </c>
      <c r="E482" s="226" t="str">
        <f t="shared" si="269"/>
        <v>Upside</v>
      </c>
      <c r="F482" s="230">
        <f t="shared" si="270"/>
        <v>50000000</v>
      </c>
      <c r="G482" s="236">
        <f t="shared" si="271"/>
        <v>0.2</v>
      </c>
      <c r="H482" s="230">
        <f t="shared" si="272"/>
        <v>300000</v>
      </c>
      <c r="I482" s="236">
        <f t="shared" si="242"/>
        <v>0</v>
      </c>
      <c r="J482" s="234">
        <v>13</v>
      </c>
      <c r="K482" s="234">
        <f t="shared" si="243"/>
        <v>2038</v>
      </c>
      <c r="L482" s="230">
        <f>IF(J482=1,'Model Inputs'!$B$25*(13-'Model Inputs'!$B$23)/12,'Model Inputs'!$B$25)</f>
        <v>300000</v>
      </c>
      <c r="M482" s="230">
        <f>IF(J482=1,'Model Inputs'!$B$27*(13-'Model Inputs'!$B$23)/12,IF(J482=2,'Model Inputs'!$B$27,IF(J482&lt;=MAX(3,'Model Inputs'!$B$30+1),'Model Inputs'!$B$27*(1+'Model Inputs'!$B$28)^(J482-3),'Model Inputs'!$B$27*(1+'Model Inputs'!$B$28)^(MAX(3,'Model Inputs'!$B$30+1)-3)*(1+'Model Inputs'!$B$29)^(J482-MAX(3,'Model Inputs'!$B$30+1)))))</f>
        <v>6464768.1603602255</v>
      </c>
      <c r="N482" s="236">
        <f>IF(J482&lt;=2,0,'Model Inputs'!$B$32*SIN(2*PI()*(J482-3+'Model Inputs'!$B$34)/MAX(1,'Model Inputs'!$B$33)))</f>
        <v>0.10392304845413261</v>
      </c>
      <c r="O482" s="230">
        <f t="shared" si="244"/>
        <v>7136606.5751340752</v>
      </c>
      <c r="P482" s="230">
        <f t="shared" si="277"/>
        <v>4711807.0917368019</v>
      </c>
      <c r="Q482" s="230">
        <f>L482+P482+IF(J482=1,'Model Inputs'!$B$26,0)</f>
        <v>5011807.0917368019</v>
      </c>
      <c r="R482" s="230">
        <f t="shared" si="245"/>
        <v>15035421.275210407</v>
      </c>
      <c r="S482" s="230">
        <f t="shared" si="246"/>
        <v>10300000</v>
      </c>
      <c r="T482" s="230">
        <f t="shared" si="247"/>
        <v>10300000</v>
      </c>
      <c r="U482" s="230">
        <f>MIN(T482,'Tax Assumptions'!$B$19)</f>
        <v>24500</v>
      </c>
      <c r="V482" s="230">
        <f>MAX(T482-U482-'Tax Assumptions'!$B$8,0)</f>
        <v>10259400</v>
      </c>
      <c r="W482" s="230">
        <f>MAX(T482-U482-'Tax Assumptions'!$B$9,0)</f>
        <v>10267500</v>
      </c>
      <c r="X482" s="230">
        <f>IF(V482=0,0,LOOKUP(V482,'Tax Assumptions'!$F$9:$F$15,'Tax Assumptions'!$I$9:$I$15)+(V482-LOOKUP(V482,'Tax Assumptions'!$F$9:$F$15,'Tax Assumptions'!$F$9:$F$15))*LOOKUP(V482,'Tax Assumptions'!$F$9:$F$15,'Tax Assumptions'!$H$9:$H$15))+MIN(MAX(T482,0),'Tax Assumptions'!$B$11)*'Tax Assumptions'!$B$10+MAX(T482,0)*'Tax Assumptions'!$B$12+MAX(MAX(T482,0)-'Tax Assumptions'!$B$14,0)*'Tax Assumptions'!$B$13+MIN(T482*'Tax Assumptions'!$B$15,'Tax Assumptions'!$B$16)+MIN(T482*'Tax Assumptions'!$B$17,'Tax Assumptions'!$B$18)+IF(W482=0,0,LOOKUP(W482,'Tax Assumptions'!$K$9:$K$17,'Tax Assumptions'!$N$9:$N$17)+(W482-LOOKUP(W482,'Tax Assumptions'!$K$9:$K$17,'Tax Assumptions'!$K$9:$K$17))*LOOKUP(W482,'Tax Assumptions'!$K$9:$K$17,'Tax Assumptions'!$M$9:$M$17))+IF(W482=0,0,LOOKUP(W482,'Tax Assumptions'!$P$9:$P$12,'Tax Assumptions'!$S$9:$S$12)+(W482-LOOKUP(W482,'Tax Assumptions'!$P$9:$P$12,'Tax Assumptions'!$P$9:$P$12))*LOOKUP(W482,'Tax Assumptions'!$P$9:$P$12,'Tax Assumptions'!$R$9:$R$12))</f>
        <v>5394180.54</v>
      </c>
      <c r="Y482" s="230">
        <f t="shared" si="248"/>
        <v>4881319.46</v>
      </c>
      <c r="Z482" s="230">
        <f>IF(J482&lt;=10,INDEX('Savings Projection'!$BL$19:$BL$28,J482),LOOKUP(2,1/('Savings Projection'!$BL$19:$BL$28&lt;&gt;""),'Savings Projection'!$BL$19:$BL$28))*(1+'Model Inputs'!$B$35)^(J482-1)+IF(J482&lt;=10,INDEX('Savings Projection'!$BM$19:$BM$28,J482),LOOKUP(2,1/('Savings Projection'!$BM$19:$BM$28&lt;&gt;""),'Savings Projection'!$BM$19:$BM$28))*(1+'Model Inputs'!$B$36)^(J482-1)</f>
        <v>185348.91529000323</v>
      </c>
      <c r="AA482" s="230">
        <f t="shared" si="249"/>
        <v>4695970.5447099963</v>
      </c>
      <c r="AB482" s="230">
        <f>MIN(MAX(AA482,0),'Tax Assumptions'!$B$20)</f>
        <v>7500</v>
      </c>
      <c r="AC482" s="230">
        <f t="shared" si="250"/>
        <v>4688470.5447099963</v>
      </c>
      <c r="AD482" s="230">
        <f>MAX(AD481*(1+'Model Inputs'!$B$13)+AC482,0)</f>
        <v>41448523.71243269</v>
      </c>
      <c r="AE482" s="230">
        <f>MAX(AE481*(1+'Model Inputs'!$B$13)+U482+AB482,0)</f>
        <v>604228.40541103133</v>
      </c>
      <c r="AF482" s="230">
        <f t="shared" si="251"/>
        <v>42052752.117843725</v>
      </c>
      <c r="AG482" s="226" t="str">
        <f t="shared" si="273"/>
        <v/>
      </c>
      <c r="AH482" s="226" t="str">
        <f t="shared" si="274"/>
        <v/>
      </c>
      <c r="AI482" s="226" t="str">
        <f t="shared" si="275"/>
        <v/>
      </c>
      <c r="AJ482" s="226" t="str">
        <f t="shared" si="276"/>
        <v/>
      </c>
    </row>
    <row r="483" spans="1:36" ht="18" customHeight="1" x14ac:dyDescent="0.2">
      <c r="A483" s="226" t="str">
        <f t="shared" si="265"/>
        <v>4Y -&gt; PM Y8 Upside</v>
      </c>
      <c r="B483" s="226">
        <f t="shared" si="266"/>
        <v>4</v>
      </c>
      <c r="C483" s="235">
        <f t="shared" si="267"/>
        <v>3</v>
      </c>
      <c r="D483" s="226">
        <f t="shared" si="268"/>
        <v>8</v>
      </c>
      <c r="E483" s="226" t="str">
        <f t="shared" si="269"/>
        <v>Upside</v>
      </c>
      <c r="F483" s="230">
        <f t="shared" si="270"/>
        <v>50000000</v>
      </c>
      <c r="G483" s="236">
        <f t="shared" si="271"/>
        <v>0.2</v>
      </c>
      <c r="H483" s="230">
        <f t="shared" si="272"/>
        <v>300000</v>
      </c>
      <c r="I483" s="236">
        <f t="shared" si="242"/>
        <v>0</v>
      </c>
      <c r="J483" s="234">
        <v>14</v>
      </c>
      <c r="K483" s="234">
        <f t="shared" si="243"/>
        <v>2039</v>
      </c>
      <c r="L483" s="230">
        <f>IF(J483=1,'Model Inputs'!$B$25*(13-'Model Inputs'!$B$23)/12,'Model Inputs'!$B$25)</f>
        <v>300000</v>
      </c>
      <c r="M483" s="230">
        <f>IF(J483=1,'Model Inputs'!$B$27*(13-'Model Inputs'!$B$23)/12,IF(J483=2,'Model Inputs'!$B$27,IF(J483&lt;=MAX(3,'Model Inputs'!$B$30+1),'Model Inputs'!$B$27*(1+'Model Inputs'!$B$28)^(J483-3),'Model Inputs'!$B$27*(1+'Model Inputs'!$B$28)^(MAX(3,'Model Inputs'!$B$30+1)-3)*(1+'Model Inputs'!$B$29)^(J483-MAX(3,'Model Inputs'!$B$30+1)))))</f>
        <v>8215927.9778393377</v>
      </c>
      <c r="N483" s="236">
        <f>IF(J483&lt;=2,0,'Model Inputs'!$B$32*SIN(2*PI()*(J483-3+'Model Inputs'!$B$34)/MAX(1,'Model Inputs'!$B$33)))</f>
        <v>-0.10392304845413251</v>
      </c>
      <c r="O483" s="230">
        <f t="shared" si="244"/>
        <v>7362103.6965026772</v>
      </c>
      <c r="P483" s="230">
        <f t="shared" si="277"/>
        <v>6624168.4699774589</v>
      </c>
      <c r="Q483" s="230">
        <f>L483+P483+IF(J483=1,'Model Inputs'!$B$26,0)</f>
        <v>6924168.4699774589</v>
      </c>
      <c r="R483" s="230">
        <f t="shared" si="245"/>
        <v>20772505.409932375</v>
      </c>
      <c r="S483" s="230">
        <f t="shared" si="246"/>
        <v>10300000</v>
      </c>
      <c r="T483" s="230">
        <f t="shared" si="247"/>
        <v>10300000</v>
      </c>
      <c r="U483" s="230">
        <f>MIN(T483,'Tax Assumptions'!$B$19)</f>
        <v>24500</v>
      </c>
      <c r="V483" s="230">
        <f>MAX(T483-U483-'Tax Assumptions'!$B$8,0)</f>
        <v>10259400</v>
      </c>
      <c r="W483" s="230">
        <f>MAX(T483-U483-'Tax Assumptions'!$B$9,0)</f>
        <v>10267500</v>
      </c>
      <c r="X483" s="230">
        <f>IF(V483=0,0,LOOKUP(V483,'Tax Assumptions'!$F$9:$F$15,'Tax Assumptions'!$I$9:$I$15)+(V483-LOOKUP(V483,'Tax Assumptions'!$F$9:$F$15,'Tax Assumptions'!$F$9:$F$15))*LOOKUP(V483,'Tax Assumptions'!$F$9:$F$15,'Tax Assumptions'!$H$9:$H$15))+MIN(MAX(T483,0),'Tax Assumptions'!$B$11)*'Tax Assumptions'!$B$10+MAX(T483,0)*'Tax Assumptions'!$B$12+MAX(MAX(T483,0)-'Tax Assumptions'!$B$14,0)*'Tax Assumptions'!$B$13+MIN(T483*'Tax Assumptions'!$B$15,'Tax Assumptions'!$B$16)+MIN(T483*'Tax Assumptions'!$B$17,'Tax Assumptions'!$B$18)+IF(W483=0,0,LOOKUP(W483,'Tax Assumptions'!$K$9:$K$17,'Tax Assumptions'!$N$9:$N$17)+(W483-LOOKUP(W483,'Tax Assumptions'!$K$9:$K$17,'Tax Assumptions'!$K$9:$K$17))*LOOKUP(W483,'Tax Assumptions'!$K$9:$K$17,'Tax Assumptions'!$M$9:$M$17))+IF(W483=0,0,LOOKUP(W483,'Tax Assumptions'!$P$9:$P$12,'Tax Assumptions'!$S$9:$S$12)+(W483-LOOKUP(W483,'Tax Assumptions'!$P$9:$P$12,'Tax Assumptions'!$P$9:$P$12))*LOOKUP(W483,'Tax Assumptions'!$P$9:$P$12,'Tax Assumptions'!$R$9:$R$12))</f>
        <v>5394180.54</v>
      </c>
      <c r="Y483" s="230">
        <f t="shared" si="248"/>
        <v>4881319.46</v>
      </c>
      <c r="Z483" s="230">
        <f>IF(J483&lt;=10,INDEX('Savings Projection'!$BL$19:$BL$28,J483),LOOKUP(2,1/('Savings Projection'!$BL$19:$BL$28&lt;&gt;""),'Savings Projection'!$BL$19:$BL$28))*(1+'Model Inputs'!$B$35)^(J483-1)+IF(J483&lt;=10,INDEX('Savings Projection'!$BM$19:$BM$28,J483),LOOKUP(2,1/('Savings Projection'!$BM$19:$BM$28&lt;&gt;""),'Savings Projection'!$BM$19:$BM$28))*(1+'Model Inputs'!$B$36)^(J483-1)</f>
        <v>190909.3827487033</v>
      </c>
      <c r="AA483" s="230">
        <f t="shared" si="249"/>
        <v>4690410.0772512965</v>
      </c>
      <c r="AB483" s="230">
        <f>MIN(MAX(AA483,0),'Tax Assumptions'!$B$20)</f>
        <v>7500</v>
      </c>
      <c r="AC483" s="230">
        <f t="shared" si="250"/>
        <v>4682910.0772512965</v>
      </c>
      <c r="AD483" s="230">
        <f>MAX(AD482*(1+'Model Inputs'!$B$13)+AC483,0)</f>
        <v>48618345.212429956</v>
      </c>
      <c r="AE483" s="230">
        <f>MAX(AE482*(1+'Model Inputs'!$B$13)+U483+AB483,0)</f>
        <v>672482.1097356932</v>
      </c>
      <c r="AF483" s="230">
        <f t="shared" si="251"/>
        <v>49290827.322165646</v>
      </c>
      <c r="AG483" s="226" t="str">
        <f t="shared" si="273"/>
        <v/>
      </c>
      <c r="AH483" s="226" t="str">
        <f t="shared" si="274"/>
        <v/>
      </c>
      <c r="AI483" s="226" t="str">
        <f t="shared" si="275"/>
        <v/>
      </c>
      <c r="AJ483" s="226" t="str">
        <f t="shared" si="276"/>
        <v/>
      </c>
    </row>
    <row r="484" spans="1:36" ht="18" customHeight="1" x14ac:dyDescent="0.2">
      <c r="A484" s="226" t="str">
        <f t="shared" si="265"/>
        <v>4Y -&gt; PM Y8 Upside</v>
      </c>
      <c r="B484" s="226">
        <f t="shared" si="266"/>
        <v>4</v>
      </c>
      <c r="C484" s="235">
        <f t="shared" si="267"/>
        <v>3</v>
      </c>
      <c r="D484" s="226">
        <f t="shared" si="268"/>
        <v>8</v>
      </c>
      <c r="E484" s="226" t="str">
        <f t="shared" si="269"/>
        <v>Upside</v>
      </c>
      <c r="F484" s="230">
        <f t="shared" si="270"/>
        <v>50000000</v>
      </c>
      <c r="G484" s="236">
        <f t="shared" si="271"/>
        <v>0.2</v>
      </c>
      <c r="H484" s="230">
        <f t="shared" si="272"/>
        <v>300000</v>
      </c>
      <c r="I484" s="236">
        <f t="shared" si="242"/>
        <v>0</v>
      </c>
      <c r="J484" s="234">
        <v>15</v>
      </c>
      <c r="K484" s="234">
        <f t="shared" si="243"/>
        <v>2040</v>
      </c>
      <c r="L484" s="230">
        <f>IF(J484=1,'Model Inputs'!$B$25*(13-'Model Inputs'!$B$23)/12,'Model Inputs'!$B$25)</f>
        <v>300000</v>
      </c>
      <c r="M484" s="230">
        <f>IF(J484=1,'Model Inputs'!$B$27*(13-'Model Inputs'!$B$23)/12,IF(J484=2,'Model Inputs'!$B$27,IF(J484&lt;=MAX(3,'Model Inputs'!$B$30+1),'Model Inputs'!$B$27*(1+'Model Inputs'!$B$28)^(J484-3),'Model Inputs'!$B$27*(1+'Model Inputs'!$B$28)^(MAX(3,'Model Inputs'!$B$30+1)-3)*(1+'Model Inputs'!$B$29)^(J484-MAX(3,'Model Inputs'!$B$30+1)))))</f>
        <v>10441437.475041937</v>
      </c>
      <c r="N484" s="236">
        <f>IF(J484&lt;=2,0,'Model Inputs'!$B$32*SIN(2*PI()*(J484-3+'Model Inputs'!$B$34)/MAX(1,'Model Inputs'!$B$33)))</f>
        <v>-1.1756609271814589E-16</v>
      </c>
      <c r="O484" s="230">
        <f t="shared" si="244"/>
        <v>10441437.475041935</v>
      </c>
      <c r="P484" s="230">
        <f t="shared" si="277"/>
        <v>7305729.4161605267</v>
      </c>
      <c r="Q484" s="230">
        <f>L484+P484+IF(J484=1,'Model Inputs'!$B$26,0)</f>
        <v>7605729.4161605267</v>
      </c>
      <c r="R484" s="230">
        <f t="shared" si="245"/>
        <v>22817188.248481579</v>
      </c>
      <c r="S484" s="230">
        <f t="shared" si="246"/>
        <v>10300000</v>
      </c>
      <c r="T484" s="230">
        <f t="shared" si="247"/>
        <v>10300000</v>
      </c>
      <c r="U484" s="230">
        <f>MIN(T484,'Tax Assumptions'!$B$19)</f>
        <v>24500</v>
      </c>
      <c r="V484" s="230">
        <f>MAX(T484-U484-'Tax Assumptions'!$B$8,0)</f>
        <v>10259400</v>
      </c>
      <c r="W484" s="230">
        <f>MAX(T484-U484-'Tax Assumptions'!$B$9,0)</f>
        <v>10267500</v>
      </c>
      <c r="X484" s="230">
        <f>IF(V484=0,0,LOOKUP(V484,'Tax Assumptions'!$F$9:$F$15,'Tax Assumptions'!$I$9:$I$15)+(V484-LOOKUP(V484,'Tax Assumptions'!$F$9:$F$15,'Tax Assumptions'!$F$9:$F$15))*LOOKUP(V484,'Tax Assumptions'!$F$9:$F$15,'Tax Assumptions'!$H$9:$H$15))+MIN(MAX(T484,0),'Tax Assumptions'!$B$11)*'Tax Assumptions'!$B$10+MAX(T484,0)*'Tax Assumptions'!$B$12+MAX(MAX(T484,0)-'Tax Assumptions'!$B$14,0)*'Tax Assumptions'!$B$13+MIN(T484*'Tax Assumptions'!$B$15,'Tax Assumptions'!$B$16)+MIN(T484*'Tax Assumptions'!$B$17,'Tax Assumptions'!$B$18)+IF(W484=0,0,LOOKUP(W484,'Tax Assumptions'!$K$9:$K$17,'Tax Assumptions'!$N$9:$N$17)+(W484-LOOKUP(W484,'Tax Assumptions'!$K$9:$K$17,'Tax Assumptions'!$K$9:$K$17))*LOOKUP(W484,'Tax Assumptions'!$K$9:$K$17,'Tax Assumptions'!$M$9:$M$17))+IF(W484=0,0,LOOKUP(W484,'Tax Assumptions'!$P$9:$P$12,'Tax Assumptions'!$S$9:$S$12)+(W484-LOOKUP(W484,'Tax Assumptions'!$P$9:$P$12,'Tax Assumptions'!$P$9:$P$12))*LOOKUP(W484,'Tax Assumptions'!$P$9:$P$12,'Tax Assumptions'!$R$9:$R$12))</f>
        <v>5394180.54</v>
      </c>
      <c r="Y484" s="230">
        <f t="shared" si="248"/>
        <v>4881319.46</v>
      </c>
      <c r="Z484" s="230">
        <f>IF(J484&lt;=10,INDEX('Savings Projection'!$BL$19:$BL$28,J484),LOOKUP(2,1/('Savings Projection'!$BL$19:$BL$28&lt;&gt;""),'Savings Projection'!$BL$19:$BL$28))*(1+'Model Inputs'!$B$35)^(J484-1)+IF(J484&lt;=10,INDEX('Savings Projection'!$BM$19:$BM$28,J484),LOOKUP(2,1/('Savings Projection'!$BM$19:$BM$28&lt;&gt;""),'Savings Projection'!$BM$19:$BM$28))*(1+'Model Inputs'!$B$36)^(J484-1)</f>
        <v>196636.66423116444</v>
      </c>
      <c r="AA484" s="230">
        <f t="shared" si="249"/>
        <v>4684682.7957688356</v>
      </c>
      <c r="AB484" s="230">
        <f>MIN(MAX(AA484,0),'Tax Assumptions'!$B$20)</f>
        <v>7500</v>
      </c>
      <c r="AC484" s="230">
        <f t="shared" si="250"/>
        <v>4677182.7957688356</v>
      </c>
      <c r="AD484" s="230">
        <f>MAX(AD483*(1+'Model Inputs'!$B$13)+AC484,0)</f>
        <v>56212628.720944591</v>
      </c>
      <c r="AE484" s="230">
        <f>MAX(AE483*(1+'Model Inputs'!$B$13)+U484+AB484,0)</f>
        <v>744831.03631983488</v>
      </c>
      <c r="AF484" s="230">
        <f t="shared" si="251"/>
        <v>56957459.757264428</v>
      </c>
      <c r="AG484" s="226" t="str">
        <f t="shared" si="273"/>
        <v/>
      </c>
      <c r="AH484" s="226" t="str">
        <f t="shared" si="274"/>
        <v/>
      </c>
      <c r="AI484" s="226" t="str">
        <f t="shared" si="275"/>
        <v/>
      </c>
      <c r="AJ484" s="226" t="str">
        <f t="shared" si="276"/>
        <v/>
      </c>
    </row>
    <row r="485" spans="1:36" ht="18" customHeight="1" x14ac:dyDescent="0.2">
      <c r="A485" s="226" t="str">
        <f t="shared" si="265"/>
        <v>4Y -&gt; PM Y8 Upside</v>
      </c>
      <c r="B485" s="226">
        <f t="shared" si="266"/>
        <v>4</v>
      </c>
      <c r="C485" s="235">
        <f t="shared" si="267"/>
        <v>3</v>
      </c>
      <c r="D485" s="226">
        <f t="shared" si="268"/>
        <v>8</v>
      </c>
      <c r="E485" s="226" t="str">
        <f t="shared" si="269"/>
        <v>Upside</v>
      </c>
      <c r="F485" s="230">
        <f t="shared" si="270"/>
        <v>50000000</v>
      </c>
      <c r="G485" s="236">
        <f t="shared" si="271"/>
        <v>0.2</v>
      </c>
      <c r="H485" s="230">
        <f t="shared" si="272"/>
        <v>300000</v>
      </c>
      <c r="I485" s="236">
        <f t="shared" si="242"/>
        <v>0</v>
      </c>
      <c r="J485" s="234">
        <v>16</v>
      </c>
      <c r="K485" s="234">
        <f t="shared" si="243"/>
        <v>2041</v>
      </c>
      <c r="L485" s="230">
        <f>IF(J485=1,'Model Inputs'!$B$25*(13-'Model Inputs'!$B$23)/12,'Model Inputs'!$B$25)</f>
        <v>300000</v>
      </c>
      <c r="M485" s="230">
        <f>IF(J485=1,'Model Inputs'!$B$27*(13-'Model Inputs'!$B$23)/12,IF(J485=2,'Model Inputs'!$B$27,IF(J485&lt;=MAX(3,'Model Inputs'!$B$30+1),'Model Inputs'!$B$27*(1+'Model Inputs'!$B$28)^(J485-3),'Model Inputs'!$B$27*(1+'Model Inputs'!$B$28)^(MAX(3,'Model Inputs'!$B$30+1)-3)*(1+'Model Inputs'!$B$29)^(J485-MAX(3,'Model Inputs'!$B$30+1)))))</f>
        <v>13269787.276528884</v>
      </c>
      <c r="N485" s="236">
        <f>IF(J485&lt;=2,0,'Model Inputs'!$B$32*SIN(2*PI()*(J485-3+'Model Inputs'!$B$34)/MAX(1,'Model Inputs'!$B$33)))</f>
        <v>0.10392304845413262</v>
      </c>
      <c r="O485" s="230">
        <f t="shared" si="244"/>
        <v>14648824.022643628</v>
      </c>
      <c r="P485" s="230">
        <f t="shared" si="277"/>
        <v>9671604.0304071214</v>
      </c>
      <c r="Q485" s="230">
        <f>L485+P485+IF(J485=1,'Model Inputs'!$B$26,0)</f>
        <v>9971604.0304071214</v>
      </c>
      <c r="R485" s="230">
        <f t="shared" si="245"/>
        <v>29914812.091221362</v>
      </c>
      <c r="S485" s="230">
        <f t="shared" si="246"/>
        <v>10300000</v>
      </c>
      <c r="T485" s="230">
        <f t="shared" si="247"/>
        <v>10300000</v>
      </c>
      <c r="U485" s="230">
        <f>MIN(T485,'Tax Assumptions'!$B$19)</f>
        <v>24500</v>
      </c>
      <c r="V485" s="230">
        <f>MAX(T485-U485-'Tax Assumptions'!$B$8,0)</f>
        <v>10259400</v>
      </c>
      <c r="W485" s="230">
        <f>MAX(T485-U485-'Tax Assumptions'!$B$9,0)</f>
        <v>10267500</v>
      </c>
      <c r="X485" s="230">
        <f>IF(V485=0,0,LOOKUP(V485,'Tax Assumptions'!$F$9:$F$15,'Tax Assumptions'!$I$9:$I$15)+(V485-LOOKUP(V485,'Tax Assumptions'!$F$9:$F$15,'Tax Assumptions'!$F$9:$F$15))*LOOKUP(V485,'Tax Assumptions'!$F$9:$F$15,'Tax Assumptions'!$H$9:$H$15))+MIN(MAX(T485,0),'Tax Assumptions'!$B$11)*'Tax Assumptions'!$B$10+MAX(T485,0)*'Tax Assumptions'!$B$12+MAX(MAX(T485,0)-'Tax Assumptions'!$B$14,0)*'Tax Assumptions'!$B$13+MIN(T485*'Tax Assumptions'!$B$15,'Tax Assumptions'!$B$16)+MIN(T485*'Tax Assumptions'!$B$17,'Tax Assumptions'!$B$18)+IF(W485=0,0,LOOKUP(W485,'Tax Assumptions'!$K$9:$K$17,'Tax Assumptions'!$N$9:$N$17)+(W485-LOOKUP(W485,'Tax Assumptions'!$K$9:$K$17,'Tax Assumptions'!$K$9:$K$17))*LOOKUP(W485,'Tax Assumptions'!$K$9:$K$17,'Tax Assumptions'!$M$9:$M$17))+IF(W485=0,0,LOOKUP(W485,'Tax Assumptions'!$P$9:$P$12,'Tax Assumptions'!$S$9:$S$12)+(W485-LOOKUP(W485,'Tax Assumptions'!$P$9:$P$12,'Tax Assumptions'!$P$9:$P$12))*LOOKUP(W485,'Tax Assumptions'!$P$9:$P$12,'Tax Assumptions'!$R$9:$R$12))</f>
        <v>5394180.54</v>
      </c>
      <c r="Y485" s="230">
        <f t="shared" si="248"/>
        <v>4881319.46</v>
      </c>
      <c r="Z485" s="230">
        <f>IF(J485&lt;=10,INDEX('Savings Projection'!$BL$19:$BL$28,J485),LOOKUP(2,1/('Savings Projection'!$BL$19:$BL$28&lt;&gt;""),'Savings Projection'!$BL$19:$BL$28))*(1+'Model Inputs'!$B$35)^(J485-1)+IF(J485&lt;=10,INDEX('Savings Projection'!$BM$19:$BM$28,J485),LOOKUP(2,1/('Savings Projection'!$BM$19:$BM$28&lt;&gt;""),'Savings Projection'!$BM$19:$BM$28))*(1+'Model Inputs'!$B$36)^(J485-1)</f>
        <v>202535.76415809937</v>
      </c>
      <c r="AA485" s="230">
        <f t="shared" si="249"/>
        <v>4678783.695841901</v>
      </c>
      <c r="AB485" s="230">
        <f>MIN(MAX(AA485,0),'Tax Assumptions'!$B$20)</f>
        <v>7500</v>
      </c>
      <c r="AC485" s="230">
        <f t="shared" si="250"/>
        <v>4671283.695841901</v>
      </c>
      <c r="AD485" s="230">
        <f>MAX(AD484*(1+'Model Inputs'!$B$13)+AC485,0)</f>
        <v>64256670.140043169</v>
      </c>
      <c r="AE485" s="230">
        <f>MAX(AE484*(1+'Model Inputs'!$B$13)+U485+AB485,0)</f>
        <v>821520.89849902503</v>
      </c>
      <c r="AF485" s="230">
        <f t="shared" si="251"/>
        <v>65078191.038542196</v>
      </c>
      <c r="AG485" s="226" t="str">
        <f t="shared" si="273"/>
        <v/>
      </c>
      <c r="AH485" s="226" t="str">
        <f t="shared" si="274"/>
        <v/>
      </c>
      <c r="AI485" s="226" t="str">
        <f t="shared" si="275"/>
        <v/>
      </c>
      <c r="AJ485" s="226" t="str">
        <f t="shared" si="276"/>
        <v/>
      </c>
    </row>
    <row r="486" spans="1:36" ht="18" customHeight="1" x14ac:dyDescent="0.2">
      <c r="A486" s="226" t="str">
        <f t="shared" si="265"/>
        <v>4Y -&gt; PM Y8 Upside</v>
      </c>
      <c r="B486" s="226">
        <f t="shared" si="266"/>
        <v>4</v>
      </c>
      <c r="C486" s="235">
        <f t="shared" si="267"/>
        <v>3</v>
      </c>
      <c r="D486" s="226">
        <f t="shared" si="268"/>
        <v>8</v>
      </c>
      <c r="E486" s="226" t="str">
        <f t="shared" si="269"/>
        <v>Upside</v>
      </c>
      <c r="F486" s="230">
        <f t="shared" si="270"/>
        <v>50000000</v>
      </c>
      <c r="G486" s="236">
        <f t="shared" si="271"/>
        <v>0.2</v>
      </c>
      <c r="H486" s="230">
        <f t="shared" si="272"/>
        <v>300000</v>
      </c>
      <c r="I486" s="236">
        <f t="shared" si="242"/>
        <v>0</v>
      </c>
      <c r="J486" s="234">
        <v>17</v>
      </c>
      <c r="K486" s="234">
        <f t="shared" si="243"/>
        <v>2042</v>
      </c>
      <c r="L486" s="230">
        <f>IF(J486=1,'Model Inputs'!$B$25*(13-'Model Inputs'!$B$23)/12,'Model Inputs'!$B$25)</f>
        <v>300000</v>
      </c>
      <c r="M486" s="230">
        <f>IF(J486=1,'Model Inputs'!$B$27*(13-'Model Inputs'!$B$23)/12,IF(J486=2,'Model Inputs'!$B$27,IF(J486&lt;=MAX(3,'Model Inputs'!$B$30+1),'Model Inputs'!$B$27*(1+'Model Inputs'!$B$28)^(J486-3),'Model Inputs'!$B$27*(1+'Model Inputs'!$B$28)^(MAX(3,'Model Inputs'!$B$30+1)-3)*(1+'Model Inputs'!$B$29)^(J486-MAX(3,'Model Inputs'!$B$30+1)))))</f>
        <v>16864273.217670217</v>
      </c>
      <c r="N486" s="236">
        <f>IF(J486&lt;=2,0,'Model Inputs'!$B$32*SIN(2*PI()*(J486-3+'Model Inputs'!$B$34)/MAX(1,'Model Inputs'!$B$33)))</f>
        <v>-0.1039230484541325</v>
      </c>
      <c r="O486" s="230">
        <f t="shared" si="244"/>
        <v>15111686.534926547</v>
      </c>
      <c r="P486" s="230">
        <f t="shared" si="277"/>
        <v>13596977.385743205</v>
      </c>
      <c r="Q486" s="230">
        <f>L486+P486+IF(J486=1,'Model Inputs'!$B$26,0)</f>
        <v>13896977.385743205</v>
      </c>
      <c r="R486" s="230">
        <f t="shared" si="245"/>
        <v>41690932.157229617</v>
      </c>
      <c r="S486" s="230">
        <f t="shared" si="246"/>
        <v>10300000</v>
      </c>
      <c r="T486" s="230">
        <f t="shared" si="247"/>
        <v>10300000</v>
      </c>
      <c r="U486" s="230">
        <f>MIN(T486,'Tax Assumptions'!$B$19)</f>
        <v>24500</v>
      </c>
      <c r="V486" s="230">
        <f>MAX(T486-U486-'Tax Assumptions'!$B$8,0)</f>
        <v>10259400</v>
      </c>
      <c r="W486" s="230">
        <f>MAX(T486-U486-'Tax Assumptions'!$B$9,0)</f>
        <v>10267500</v>
      </c>
      <c r="X486" s="230">
        <f>IF(V486=0,0,LOOKUP(V486,'Tax Assumptions'!$F$9:$F$15,'Tax Assumptions'!$I$9:$I$15)+(V486-LOOKUP(V486,'Tax Assumptions'!$F$9:$F$15,'Tax Assumptions'!$F$9:$F$15))*LOOKUP(V486,'Tax Assumptions'!$F$9:$F$15,'Tax Assumptions'!$H$9:$H$15))+MIN(MAX(T486,0),'Tax Assumptions'!$B$11)*'Tax Assumptions'!$B$10+MAX(T486,0)*'Tax Assumptions'!$B$12+MAX(MAX(T486,0)-'Tax Assumptions'!$B$14,0)*'Tax Assumptions'!$B$13+MIN(T486*'Tax Assumptions'!$B$15,'Tax Assumptions'!$B$16)+MIN(T486*'Tax Assumptions'!$B$17,'Tax Assumptions'!$B$18)+IF(W486=0,0,LOOKUP(W486,'Tax Assumptions'!$K$9:$K$17,'Tax Assumptions'!$N$9:$N$17)+(W486-LOOKUP(W486,'Tax Assumptions'!$K$9:$K$17,'Tax Assumptions'!$K$9:$K$17))*LOOKUP(W486,'Tax Assumptions'!$K$9:$K$17,'Tax Assumptions'!$M$9:$M$17))+IF(W486=0,0,LOOKUP(W486,'Tax Assumptions'!$P$9:$P$12,'Tax Assumptions'!$S$9:$S$12)+(W486-LOOKUP(W486,'Tax Assumptions'!$P$9:$P$12,'Tax Assumptions'!$P$9:$P$12))*LOOKUP(W486,'Tax Assumptions'!$P$9:$P$12,'Tax Assumptions'!$R$9:$R$12))</f>
        <v>5394180.54</v>
      </c>
      <c r="Y486" s="230">
        <f t="shared" si="248"/>
        <v>4881319.46</v>
      </c>
      <c r="Z486" s="230">
        <f>IF(J486&lt;=10,INDEX('Savings Projection'!$BL$19:$BL$28,J486),LOOKUP(2,1/('Savings Projection'!$BL$19:$BL$28&lt;&gt;""),'Savings Projection'!$BL$19:$BL$28))*(1+'Model Inputs'!$B$35)^(J486-1)+IF(J486&lt;=10,INDEX('Savings Projection'!$BM$19:$BM$28,J486),LOOKUP(2,1/('Savings Projection'!$BM$19:$BM$28&lt;&gt;""),'Savings Projection'!$BM$19:$BM$28))*(1+'Model Inputs'!$B$36)^(J486-1)</f>
        <v>208611.83708284231</v>
      </c>
      <c r="AA486" s="230">
        <f t="shared" si="249"/>
        <v>4672707.6229171576</v>
      </c>
      <c r="AB486" s="230">
        <f>MIN(MAX(AA486,0),'Tax Assumptions'!$B$20)</f>
        <v>7500</v>
      </c>
      <c r="AC486" s="230">
        <f t="shared" si="250"/>
        <v>4665207.6229171576</v>
      </c>
      <c r="AD486" s="230">
        <f>MAX(AD485*(1+'Model Inputs'!$B$13)+AC486,0)</f>
        <v>72777277.971362919</v>
      </c>
      <c r="AE486" s="230">
        <f>MAX(AE485*(1+'Model Inputs'!$B$13)+U486+AB486,0)</f>
        <v>902812.15240896656</v>
      </c>
      <c r="AF486" s="230">
        <f t="shared" si="251"/>
        <v>73680090.123771891</v>
      </c>
      <c r="AG486" s="226" t="str">
        <f t="shared" si="273"/>
        <v/>
      </c>
      <c r="AH486" s="226" t="str">
        <f t="shared" si="274"/>
        <v/>
      </c>
      <c r="AI486" s="226" t="str">
        <f t="shared" si="275"/>
        <v/>
      </c>
      <c r="AJ486" s="226" t="str">
        <f t="shared" si="276"/>
        <v/>
      </c>
    </row>
    <row r="487" spans="1:36" ht="18" customHeight="1" x14ac:dyDescent="0.2">
      <c r="A487" s="226" t="str">
        <f t="shared" si="265"/>
        <v>4Y -&gt; PM Y8 Upside</v>
      </c>
      <c r="B487" s="226">
        <f t="shared" si="266"/>
        <v>4</v>
      </c>
      <c r="C487" s="235">
        <f t="shared" si="267"/>
        <v>3</v>
      </c>
      <c r="D487" s="226">
        <f t="shared" si="268"/>
        <v>8</v>
      </c>
      <c r="E487" s="226" t="str">
        <f t="shared" si="269"/>
        <v>Upside</v>
      </c>
      <c r="F487" s="230">
        <f t="shared" si="270"/>
        <v>50000000</v>
      </c>
      <c r="G487" s="236">
        <f t="shared" si="271"/>
        <v>0.2</v>
      </c>
      <c r="H487" s="230">
        <f t="shared" si="272"/>
        <v>300000</v>
      </c>
      <c r="I487" s="236">
        <f t="shared" si="242"/>
        <v>0</v>
      </c>
      <c r="J487" s="234">
        <v>18</v>
      </c>
      <c r="K487" s="234">
        <f t="shared" si="243"/>
        <v>2043</v>
      </c>
      <c r="L487" s="230">
        <f>IF(J487=1,'Model Inputs'!$B$25*(13-'Model Inputs'!$B$23)/12,'Model Inputs'!$B$25)</f>
        <v>300000</v>
      </c>
      <c r="M487" s="230">
        <f>IF(J487=1,'Model Inputs'!$B$27*(13-'Model Inputs'!$B$23)/12,IF(J487=2,'Model Inputs'!$B$27,IF(J487&lt;=MAX(3,'Model Inputs'!$B$30+1),'Model Inputs'!$B$27*(1+'Model Inputs'!$B$28)^(J487-3),'Model Inputs'!$B$27*(1+'Model Inputs'!$B$28)^(MAX(3,'Model Inputs'!$B$30+1)-3)*(1+'Model Inputs'!$B$29)^(J487-MAX(3,'Model Inputs'!$B$30+1)))))</f>
        <v>21432424.290875554</v>
      </c>
      <c r="N487" s="236">
        <f>IF(J487&lt;=2,0,'Model Inputs'!$B$32*SIN(2*PI()*(J487-3+'Model Inputs'!$B$34)/MAX(1,'Model Inputs'!$B$33)))</f>
        <v>-5.7328325735374245E-16</v>
      </c>
      <c r="O487" s="230">
        <f t="shared" si="244"/>
        <v>21432424.290875543</v>
      </c>
      <c r="P487" s="230">
        <f t="shared" si="277"/>
        <v>14995970.906855816</v>
      </c>
      <c r="Q487" s="230">
        <f>L487+P487+IF(J487=1,'Model Inputs'!$B$26,0)</f>
        <v>15295970.906855816</v>
      </c>
      <c r="R487" s="230">
        <f t="shared" si="245"/>
        <v>45887912.72056745</v>
      </c>
      <c r="S487" s="230">
        <f t="shared" si="246"/>
        <v>10300000</v>
      </c>
      <c r="T487" s="230">
        <f t="shared" si="247"/>
        <v>10300000</v>
      </c>
      <c r="U487" s="230">
        <f>MIN(T487,'Tax Assumptions'!$B$19)</f>
        <v>24500</v>
      </c>
      <c r="V487" s="230">
        <f>MAX(T487-U487-'Tax Assumptions'!$B$8,0)</f>
        <v>10259400</v>
      </c>
      <c r="W487" s="230">
        <f>MAX(T487-U487-'Tax Assumptions'!$B$9,0)</f>
        <v>10267500</v>
      </c>
      <c r="X487" s="230">
        <f>IF(V487=0,0,LOOKUP(V487,'Tax Assumptions'!$F$9:$F$15,'Tax Assumptions'!$I$9:$I$15)+(V487-LOOKUP(V487,'Tax Assumptions'!$F$9:$F$15,'Tax Assumptions'!$F$9:$F$15))*LOOKUP(V487,'Tax Assumptions'!$F$9:$F$15,'Tax Assumptions'!$H$9:$H$15))+MIN(MAX(T487,0),'Tax Assumptions'!$B$11)*'Tax Assumptions'!$B$10+MAX(T487,0)*'Tax Assumptions'!$B$12+MAX(MAX(T487,0)-'Tax Assumptions'!$B$14,0)*'Tax Assumptions'!$B$13+MIN(T487*'Tax Assumptions'!$B$15,'Tax Assumptions'!$B$16)+MIN(T487*'Tax Assumptions'!$B$17,'Tax Assumptions'!$B$18)+IF(W487=0,0,LOOKUP(W487,'Tax Assumptions'!$K$9:$K$17,'Tax Assumptions'!$N$9:$N$17)+(W487-LOOKUP(W487,'Tax Assumptions'!$K$9:$K$17,'Tax Assumptions'!$K$9:$K$17))*LOOKUP(W487,'Tax Assumptions'!$K$9:$K$17,'Tax Assumptions'!$M$9:$M$17))+IF(W487=0,0,LOOKUP(W487,'Tax Assumptions'!$P$9:$P$12,'Tax Assumptions'!$S$9:$S$12)+(W487-LOOKUP(W487,'Tax Assumptions'!$P$9:$P$12,'Tax Assumptions'!$P$9:$P$12))*LOOKUP(W487,'Tax Assumptions'!$P$9:$P$12,'Tax Assumptions'!$R$9:$R$12))</f>
        <v>5394180.54</v>
      </c>
      <c r="Y487" s="230">
        <f t="shared" si="248"/>
        <v>4881319.46</v>
      </c>
      <c r="Z487" s="230">
        <f>IF(J487&lt;=10,INDEX('Savings Projection'!$BL$19:$BL$28,J487),LOOKUP(2,1/('Savings Projection'!$BL$19:$BL$28&lt;&gt;""),'Savings Projection'!$BL$19:$BL$28))*(1+'Model Inputs'!$B$35)^(J487-1)+IF(J487&lt;=10,INDEX('Savings Projection'!$BM$19:$BM$28,J487),LOOKUP(2,1/('Savings Projection'!$BM$19:$BM$28&lt;&gt;""),'Savings Projection'!$BM$19:$BM$28))*(1+'Model Inputs'!$B$36)^(J487-1)</f>
        <v>214870.1921953276</v>
      </c>
      <c r="AA487" s="230">
        <f t="shared" si="249"/>
        <v>4666449.267804672</v>
      </c>
      <c r="AB487" s="230">
        <f>MIN(MAX(AA487,0),'Tax Assumptions'!$B$20)</f>
        <v>7500</v>
      </c>
      <c r="AC487" s="230">
        <f t="shared" si="250"/>
        <v>4658949.267804672</v>
      </c>
      <c r="AD487" s="230">
        <f>MAX(AD486*(1+'Model Inputs'!$B$13)+AC487,0)</f>
        <v>81802863.91744937</v>
      </c>
      <c r="AE487" s="230">
        <f>MAX(AE486*(1+'Model Inputs'!$B$13)+U487+AB487,0)</f>
        <v>988980.88155350462</v>
      </c>
      <c r="AF487" s="230">
        <f t="shared" si="251"/>
        <v>82791844.799002871</v>
      </c>
      <c r="AG487" s="226" t="str">
        <f t="shared" si="273"/>
        <v/>
      </c>
      <c r="AH487" s="226" t="str">
        <f t="shared" si="274"/>
        <v/>
      </c>
      <c r="AI487" s="226" t="str">
        <f t="shared" si="275"/>
        <v/>
      </c>
      <c r="AJ487" s="226" t="str">
        <f t="shared" si="276"/>
        <v/>
      </c>
    </row>
    <row r="488" spans="1:36" ht="18" customHeight="1" x14ac:dyDescent="0.2">
      <c r="A488" s="226" t="str">
        <f t="shared" si="265"/>
        <v>4Y -&gt; PM Y8 Upside</v>
      </c>
      <c r="B488" s="226">
        <f t="shared" si="266"/>
        <v>4</v>
      </c>
      <c r="C488" s="235">
        <f t="shared" si="267"/>
        <v>3</v>
      </c>
      <c r="D488" s="226">
        <f t="shared" si="268"/>
        <v>8</v>
      </c>
      <c r="E488" s="226" t="str">
        <f t="shared" si="269"/>
        <v>Upside</v>
      </c>
      <c r="F488" s="230">
        <f t="shared" si="270"/>
        <v>50000000</v>
      </c>
      <c r="G488" s="236">
        <f t="shared" si="271"/>
        <v>0.2</v>
      </c>
      <c r="H488" s="230">
        <f t="shared" si="272"/>
        <v>300000</v>
      </c>
      <c r="I488" s="236">
        <f t="shared" si="242"/>
        <v>0</v>
      </c>
      <c r="J488" s="234">
        <v>19</v>
      </c>
      <c r="K488" s="234">
        <f t="shared" si="243"/>
        <v>2044</v>
      </c>
      <c r="L488" s="230">
        <f>IF(J488=1,'Model Inputs'!$B$25*(13-'Model Inputs'!$B$23)/12,'Model Inputs'!$B$25)</f>
        <v>300000</v>
      </c>
      <c r="M488" s="230">
        <f>IF(J488=1,'Model Inputs'!$B$27*(13-'Model Inputs'!$B$23)/12,IF(J488=2,'Model Inputs'!$B$27,IF(J488&lt;=MAX(3,'Model Inputs'!$B$30+1),'Model Inputs'!$B$27*(1+'Model Inputs'!$B$28)^(J488-3),'Model Inputs'!$B$27*(1+'Model Inputs'!$B$28)^(MAX(3,'Model Inputs'!$B$30+1)-3)*(1+'Model Inputs'!$B$29)^(J488-MAX(3,'Model Inputs'!$B$30+1)))))</f>
        <v>27237984.409717187</v>
      </c>
      <c r="N488" s="236">
        <f>IF(J488&lt;=2,0,'Model Inputs'!$B$32*SIN(2*PI()*(J488-3+'Model Inputs'!$B$34)/MAX(1,'Model Inputs'!$B$33)))</f>
        <v>0.10392304845413286</v>
      </c>
      <c r="O488" s="230">
        <f t="shared" si="244"/>
        <v>30068638.783321142</v>
      </c>
      <c r="P488" s="230">
        <f t="shared" si="277"/>
        <v>19852239.851888295</v>
      </c>
      <c r="Q488" s="230">
        <f>L488+P488+IF(J488=1,'Model Inputs'!$B$26,0)</f>
        <v>20152239.851888295</v>
      </c>
      <c r="R488" s="230">
        <f t="shared" si="245"/>
        <v>60456719.555664882</v>
      </c>
      <c r="S488" s="230">
        <f t="shared" si="246"/>
        <v>10300000</v>
      </c>
      <c r="T488" s="230">
        <f t="shared" si="247"/>
        <v>10300000</v>
      </c>
      <c r="U488" s="230">
        <f>MIN(T488,'Tax Assumptions'!$B$19)</f>
        <v>24500</v>
      </c>
      <c r="V488" s="230">
        <f>MAX(T488-U488-'Tax Assumptions'!$B$8,0)</f>
        <v>10259400</v>
      </c>
      <c r="W488" s="230">
        <f>MAX(T488-U488-'Tax Assumptions'!$B$9,0)</f>
        <v>10267500</v>
      </c>
      <c r="X488" s="230">
        <f>IF(V488=0,0,LOOKUP(V488,'Tax Assumptions'!$F$9:$F$15,'Tax Assumptions'!$I$9:$I$15)+(V488-LOOKUP(V488,'Tax Assumptions'!$F$9:$F$15,'Tax Assumptions'!$F$9:$F$15))*LOOKUP(V488,'Tax Assumptions'!$F$9:$F$15,'Tax Assumptions'!$H$9:$H$15))+MIN(MAX(T488,0),'Tax Assumptions'!$B$11)*'Tax Assumptions'!$B$10+MAX(T488,0)*'Tax Assumptions'!$B$12+MAX(MAX(T488,0)-'Tax Assumptions'!$B$14,0)*'Tax Assumptions'!$B$13+MIN(T488*'Tax Assumptions'!$B$15,'Tax Assumptions'!$B$16)+MIN(T488*'Tax Assumptions'!$B$17,'Tax Assumptions'!$B$18)+IF(W488=0,0,LOOKUP(W488,'Tax Assumptions'!$K$9:$K$17,'Tax Assumptions'!$N$9:$N$17)+(W488-LOOKUP(W488,'Tax Assumptions'!$K$9:$K$17,'Tax Assumptions'!$K$9:$K$17))*LOOKUP(W488,'Tax Assumptions'!$K$9:$K$17,'Tax Assumptions'!$M$9:$M$17))+IF(W488=0,0,LOOKUP(W488,'Tax Assumptions'!$P$9:$P$12,'Tax Assumptions'!$S$9:$S$12)+(W488-LOOKUP(W488,'Tax Assumptions'!$P$9:$P$12,'Tax Assumptions'!$P$9:$P$12))*LOOKUP(W488,'Tax Assumptions'!$P$9:$P$12,'Tax Assumptions'!$R$9:$R$12))</f>
        <v>5394180.54</v>
      </c>
      <c r="Y488" s="230">
        <f t="shared" si="248"/>
        <v>4881319.46</v>
      </c>
      <c r="Z488" s="230">
        <f>IF(J488&lt;=10,INDEX('Savings Projection'!$BL$19:$BL$28,J488),LOOKUP(2,1/('Savings Projection'!$BL$19:$BL$28&lt;&gt;""),'Savings Projection'!$BL$19:$BL$28))*(1+'Model Inputs'!$B$35)^(J488-1)+IF(J488&lt;=10,INDEX('Savings Projection'!$BM$19:$BM$28,J488),LOOKUP(2,1/('Savings Projection'!$BM$19:$BM$28&lt;&gt;""),'Savings Projection'!$BM$19:$BM$28))*(1+'Model Inputs'!$B$36)^(J488-1)</f>
        <v>221316.29796118743</v>
      </c>
      <c r="AA488" s="230">
        <f t="shared" si="249"/>
        <v>4660003.1620388124</v>
      </c>
      <c r="AB488" s="230">
        <f>MIN(MAX(AA488,0),'Tax Assumptions'!$B$20)</f>
        <v>7500</v>
      </c>
      <c r="AC488" s="230">
        <f t="shared" si="250"/>
        <v>4652503.1620388124</v>
      </c>
      <c r="AD488" s="230">
        <f>MAX(AD487*(1+'Model Inputs'!$B$13)+AC488,0)</f>
        <v>91363538.91453515</v>
      </c>
      <c r="AE488" s="230">
        <f>MAX(AE487*(1+'Model Inputs'!$B$13)+U488+AB488,0)</f>
        <v>1080319.7344467151</v>
      </c>
      <c r="AF488" s="230">
        <f t="shared" si="251"/>
        <v>92443858.648981869</v>
      </c>
      <c r="AG488" s="226" t="str">
        <f t="shared" si="273"/>
        <v/>
      </c>
      <c r="AH488" s="226" t="str">
        <f t="shared" si="274"/>
        <v/>
      </c>
      <c r="AI488" s="226" t="str">
        <f t="shared" si="275"/>
        <v/>
      </c>
      <c r="AJ488" s="226" t="str">
        <f t="shared" si="276"/>
        <v/>
      </c>
    </row>
    <row r="489" spans="1:36" ht="18" customHeight="1" x14ac:dyDescent="0.2">
      <c r="A489" s="226" t="str">
        <f t="shared" si="265"/>
        <v>4Y -&gt; PM Y8 Upside</v>
      </c>
      <c r="B489" s="226">
        <f t="shared" si="266"/>
        <v>4</v>
      </c>
      <c r="C489" s="235">
        <f t="shared" si="267"/>
        <v>3</v>
      </c>
      <c r="D489" s="226">
        <f t="shared" si="268"/>
        <v>8</v>
      </c>
      <c r="E489" s="226" t="str">
        <f t="shared" si="269"/>
        <v>Upside</v>
      </c>
      <c r="F489" s="230">
        <f t="shared" si="270"/>
        <v>50000000</v>
      </c>
      <c r="G489" s="236">
        <f t="shared" si="271"/>
        <v>0.2</v>
      </c>
      <c r="H489" s="230">
        <f t="shared" si="272"/>
        <v>300000</v>
      </c>
      <c r="I489" s="236">
        <f t="shared" si="242"/>
        <v>0</v>
      </c>
      <c r="J489" s="234">
        <v>20</v>
      </c>
      <c r="K489" s="234">
        <f t="shared" si="243"/>
        <v>2045</v>
      </c>
      <c r="L489" s="230">
        <f>IF(J489=1,'Model Inputs'!$B$25*(13-'Model Inputs'!$B$23)/12,'Model Inputs'!$B$25)</f>
        <v>300000</v>
      </c>
      <c r="M489" s="230">
        <f>IF(J489=1,'Model Inputs'!$B$27*(13-'Model Inputs'!$B$23)/12,IF(J489=2,'Model Inputs'!$B$27,IF(J489&lt;=MAX(3,'Model Inputs'!$B$30+1),'Model Inputs'!$B$27*(1+'Model Inputs'!$B$28)^(J489-3),'Model Inputs'!$B$27*(1+'Model Inputs'!$B$28)^(MAX(3,'Model Inputs'!$B$30+1)-3)*(1+'Model Inputs'!$B$29)^(J489-MAX(3,'Model Inputs'!$B$30+1)))))</f>
        <v>34616139.762586243</v>
      </c>
      <c r="N489" s="236">
        <f>IF(J489&lt;=2,0,'Model Inputs'!$B$32*SIN(2*PI()*(J489-3+'Model Inputs'!$B$34)/MAX(1,'Model Inputs'!$B$33)))</f>
        <v>-0.10392304845413269</v>
      </c>
      <c r="O489" s="230">
        <f t="shared" si="244"/>
        <v>31018724.992743965</v>
      </c>
      <c r="P489" s="230">
        <f t="shared" si="277"/>
        <v>27909585.160209741</v>
      </c>
      <c r="Q489" s="230">
        <f>L489+P489+IF(J489=1,'Model Inputs'!$B$26,0)</f>
        <v>28209585.160209741</v>
      </c>
      <c r="R489" s="230">
        <f t="shared" si="245"/>
        <v>84628755.480629221</v>
      </c>
      <c r="S489" s="230">
        <f t="shared" si="246"/>
        <v>10300000</v>
      </c>
      <c r="T489" s="230">
        <f t="shared" si="247"/>
        <v>10300000</v>
      </c>
      <c r="U489" s="230">
        <f>MIN(T489,'Tax Assumptions'!$B$19)</f>
        <v>24500</v>
      </c>
      <c r="V489" s="230">
        <f>MAX(T489-U489-'Tax Assumptions'!$B$8,0)</f>
        <v>10259400</v>
      </c>
      <c r="W489" s="230">
        <f>MAX(T489-U489-'Tax Assumptions'!$B$9,0)</f>
        <v>10267500</v>
      </c>
      <c r="X489" s="230">
        <f>IF(V489=0,0,LOOKUP(V489,'Tax Assumptions'!$F$9:$F$15,'Tax Assumptions'!$I$9:$I$15)+(V489-LOOKUP(V489,'Tax Assumptions'!$F$9:$F$15,'Tax Assumptions'!$F$9:$F$15))*LOOKUP(V489,'Tax Assumptions'!$F$9:$F$15,'Tax Assumptions'!$H$9:$H$15))+MIN(MAX(T489,0),'Tax Assumptions'!$B$11)*'Tax Assumptions'!$B$10+MAX(T489,0)*'Tax Assumptions'!$B$12+MAX(MAX(T489,0)-'Tax Assumptions'!$B$14,0)*'Tax Assumptions'!$B$13+MIN(T489*'Tax Assumptions'!$B$15,'Tax Assumptions'!$B$16)+MIN(T489*'Tax Assumptions'!$B$17,'Tax Assumptions'!$B$18)+IF(W489=0,0,LOOKUP(W489,'Tax Assumptions'!$K$9:$K$17,'Tax Assumptions'!$N$9:$N$17)+(W489-LOOKUP(W489,'Tax Assumptions'!$K$9:$K$17,'Tax Assumptions'!$K$9:$K$17))*LOOKUP(W489,'Tax Assumptions'!$K$9:$K$17,'Tax Assumptions'!$M$9:$M$17))+IF(W489=0,0,LOOKUP(W489,'Tax Assumptions'!$P$9:$P$12,'Tax Assumptions'!$S$9:$S$12)+(W489-LOOKUP(W489,'Tax Assumptions'!$P$9:$P$12,'Tax Assumptions'!$P$9:$P$12))*LOOKUP(W489,'Tax Assumptions'!$P$9:$P$12,'Tax Assumptions'!$R$9:$R$12))</f>
        <v>5394180.54</v>
      </c>
      <c r="Y489" s="230">
        <f t="shared" si="248"/>
        <v>4881319.46</v>
      </c>
      <c r="Z489" s="230">
        <f>IF(J489&lt;=10,INDEX('Savings Projection'!$BL$19:$BL$28,J489),LOOKUP(2,1/('Savings Projection'!$BL$19:$BL$28&lt;&gt;""),'Savings Projection'!$BL$19:$BL$28))*(1+'Model Inputs'!$B$35)^(J489-1)+IF(J489&lt;=10,INDEX('Savings Projection'!$BM$19:$BM$28,J489),LOOKUP(2,1/('Savings Projection'!$BM$19:$BM$28&lt;&gt;""),'Savings Projection'!$BM$19:$BM$28))*(1+'Model Inputs'!$B$36)^(J489-1)</f>
        <v>227955.78690002306</v>
      </c>
      <c r="AA489" s="230">
        <f t="shared" si="249"/>
        <v>4653363.673099977</v>
      </c>
      <c r="AB489" s="230">
        <f>MIN(MAX(AA489,0),'Tax Assumptions'!$B$20)</f>
        <v>7500</v>
      </c>
      <c r="AC489" s="230">
        <f t="shared" si="250"/>
        <v>4645863.673099977</v>
      </c>
      <c r="AD489" s="230">
        <f>MAX(AD488*(1+'Model Inputs'!$B$13)+AC489,0)</f>
        <v>101491214.92250724</v>
      </c>
      <c r="AE489" s="230">
        <f>MAX(AE488*(1+'Model Inputs'!$B$13)+U489+AB489,0)</f>
        <v>1177138.9185135181</v>
      </c>
      <c r="AF489" s="230">
        <f t="shared" si="251"/>
        <v>102668353.84102076</v>
      </c>
      <c r="AG489" s="226" t="str">
        <f t="shared" si="273"/>
        <v/>
      </c>
      <c r="AH489" s="226" t="str">
        <f t="shared" si="274"/>
        <v/>
      </c>
      <c r="AI489" s="226" t="str">
        <f t="shared" si="275"/>
        <v/>
      </c>
      <c r="AJ489" s="226" t="str">
        <f t="shared" si="276"/>
        <v/>
      </c>
    </row>
    <row r="490" spans="1:36" ht="18" customHeight="1" x14ac:dyDescent="0.2">
      <c r="A490" s="226" t="str">
        <f t="shared" si="265"/>
        <v>4Y -&gt; PM Y8 Upside</v>
      </c>
      <c r="B490" s="226">
        <f t="shared" si="266"/>
        <v>4</v>
      </c>
      <c r="C490" s="235">
        <f t="shared" si="267"/>
        <v>3</v>
      </c>
      <c r="D490" s="226">
        <f t="shared" si="268"/>
        <v>8</v>
      </c>
      <c r="E490" s="226" t="str">
        <f t="shared" si="269"/>
        <v>Upside</v>
      </c>
      <c r="F490" s="230">
        <f t="shared" si="270"/>
        <v>50000000</v>
      </c>
      <c r="G490" s="236">
        <f t="shared" si="271"/>
        <v>0.2</v>
      </c>
      <c r="H490" s="230">
        <f t="shared" si="272"/>
        <v>300000</v>
      </c>
      <c r="I490" s="236">
        <f t="shared" si="242"/>
        <v>0</v>
      </c>
      <c r="J490" s="234">
        <v>21</v>
      </c>
      <c r="K490" s="234">
        <f t="shared" si="243"/>
        <v>2046</v>
      </c>
      <c r="L490" s="230">
        <f>IF(J490=1,'Model Inputs'!$B$25*(13-'Model Inputs'!$B$23)/12,'Model Inputs'!$B$25)</f>
        <v>300000</v>
      </c>
      <c r="M490" s="230">
        <f>IF(J490=1,'Model Inputs'!$B$27*(13-'Model Inputs'!$B$23)/12,IF(J490=2,'Model Inputs'!$B$27,IF(J490&lt;=MAX(3,'Model Inputs'!$B$30+1),'Model Inputs'!$B$27*(1+'Model Inputs'!$B$28)^(J490-3),'Model Inputs'!$B$27*(1+'Model Inputs'!$B$28)^(MAX(3,'Model Inputs'!$B$30+1)-3)*(1+'Model Inputs'!$B$29)^(J490-MAX(3,'Model Inputs'!$B$30+1)))))</f>
        <v>43992870.912849829</v>
      </c>
      <c r="N490" s="236">
        <f>IF(J490&lt;=2,0,'Model Inputs'!$B$32*SIN(2*PI()*(J490-3+'Model Inputs'!$B$34)/MAX(1,'Model Inputs'!$B$33)))</f>
        <v>-1.7634913907721884E-16</v>
      </c>
      <c r="O490" s="230">
        <f t="shared" si="244"/>
        <v>43992870.912849821</v>
      </c>
      <c r="P490" s="230">
        <f t="shared" si="277"/>
        <v>30781203.440388259</v>
      </c>
      <c r="Q490" s="230">
        <f>L490+P490+IF(J490=1,'Model Inputs'!$B$26,0)</f>
        <v>31081203.440388259</v>
      </c>
      <c r="R490" s="230">
        <f t="shared" si="245"/>
        <v>93243610.321164772</v>
      </c>
      <c r="S490" s="230">
        <f t="shared" si="246"/>
        <v>10300000</v>
      </c>
      <c r="T490" s="230">
        <f t="shared" si="247"/>
        <v>10300000</v>
      </c>
      <c r="U490" s="230">
        <f>MIN(T490,'Tax Assumptions'!$B$19)</f>
        <v>24500</v>
      </c>
      <c r="V490" s="230">
        <f>MAX(T490-U490-'Tax Assumptions'!$B$8,0)</f>
        <v>10259400</v>
      </c>
      <c r="W490" s="230">
        <f>MAX(T490-U490-'Tax Assumptions'!$B$9,0)</f>
        <v>10267500</v>
      </c>
      <c r="X490" s="230">
        <f>IF(V490=0,0,LOOKUP(V490,'Tax Assumptions'!$F$9:$F$15,'Tax Assumptions'!$I$9:$I$15)+(V490-LOOKUP(V490,'Tax Assumptions'!$F$9:$F$15,'Tax Assumptions'!$F$9:$F$15))*LOOKUP(V490,'Tax Assumptions'!$F$9:$F$15,'Tax Assumptions'!$H$9:$H$15))+MIN(MAX(T490,0),'Tax Assumptions'!$B$11)*'Tax Assumptions'!$B$10+MAX(T490,0)*'Tax Assumptions'!$B$12+MAX(MAX(T490,0)-'Tax Assumptions'!$B$14,0)*'Tax Assumptions'!$B$13+MIN(T490*'Tax Assumptions'!$B$15,'Tax Assumptions'!$B$16)+MIN(T490*'Tax Assumptions'!$B$17,'Tax Assumptions'!$B$18)+IF(W490=0,0,LOOKUP(W490,'Tax Assumptions'!$K$9:$K$17,'Tax Assumptions'!$N$9:$N$17)+(W490-LOOKUP(W490,'Tax Assumptions'!$K$9:$K$17,'Tax Assumptions'!$K$9:$K$17))*LOOKUP(W490,'Tax Assumptions'!$K$9:$K$17,'Tax Assumptions'!$M$9:$M$17))+IF(W490=0,0,LOOKUP(W490,'Tax Assumptions'!$P$9:$P$12,'Tax Assumptions'!$S$9:$S$12)+(W490-LOOKUP(W490,'Tax Assumptions'!$P$9:$P$12,'Tax Assumptions'!$P$9:$P$12))*LOOKUP(W490,'Tax Assumptions'!$P$9:$P$12,'Tax Assumptions'!$R$9:$R$12))</f>
        <v>5394180.54</v>
      </c>
      <c r="Y490" s="230">
        <f t="shared" si="248"/>
        <v>4881319.46</v>
      </c>
      <c r="Z490" s="230">
        <f>IF(J490&lt;=10,INDEX('Savings Projection'!$BL$19:$BL$28,J490),LOOKUP(2,1/('Savings Projection'!$BL$19:$BL$28&lt;&gt;""),'Savings Projection'!$BL$19:$BL$28))*(1+'Model Inputs'!$B$35)^(J490-1)+IF(J490&lt;=10,INDEX('Savings Projection'!$BM$19:$BM$28,J490),LOOKUP(2,1/('Savings Projection'!$BM$19:$BM$28&lt;&gt;""),'Savings Projection'!$BM$19:$BM$28))*(1+'Model Inputs'!$B$36)^(J490-1)</f>
        <v>234794.46050702373</v>
      </c>
      <c r="AA490" s="230">
        <f t="shared" si="249"/>
        <v>4646524.9994929759</v>
      </c>
      <c r="AB490" s="230">
        <f>MIN(MAX(AA490,0),'Tax Assumptions'!$B$20)</f>
        <v>7500</v>
      </c>
      <c r="AC490" s="230">
        <f t="shared" si="250"/>
        <v>4639024.9994929759</v>
      </c>
      <c r="AD490" s="230">
        <f>MAX(AD489*(1+'Model Inputs'!$B$13)+AC490,0)</f>
        <v>112219712.81735066</v>
      </c>
      <c r="AE490" s="230">
        <f>MAX(AE489*(1+'Model Inputs'!$B$13)+U490+AB490,0)</f>
        <v>1279767.2536243291</v>
      </c>
      <c r="AF490" s="230">
        <f t="shared" si="251"/>
        <v>113499480.07097499</v>
      </c>
      <c r="AG490" s="226" t="str">
        <f t="shared" si="273"/>
        <v/>
      </c>
      <c r="AH490" s="226" t="str">
        <f t="shared" si="274"/>
        <v/>
      </c>
      <c r="AI490" s="226" t="str">
        <f t="shared" si="275"/>
        <v/>
      </c>
      <c r="AJ490" s="226" t="str">
        <f t="shared" si="276"/>
        <v/>
      </c>
    </row>
    <row r="491" spans="1:36" ht="18" customHeight="1" x14ac:dyDescent="0.2">
      <c r="A491" s="226" t="str">
        <f t="shared" si="265"/>
        <v>4Y -&gt; PM Y8 Upside</v>
      </c>
      <c r="B491" s="226">
        <f t="shared" si="266"/>
        <v>4</v>
      </c>
      <c r="C491" s="235">
        <f t="shared" si="267"/>
        <v>3</v>
      </c>
      <c r="D491" s="226">
        <f t="shared" si="268"/>
        <v>8</v>
      </c>
      <c r="E491" s="226" t="str">
        <f t="shared" si="269"/>
        <v>Upside</v>
      </c>
      <c r="F491" s="230">
        <f t="shared" si="270"/>
        <v>50000000</v>
      </c>
      <c r="G491" s="236">
        <f t="shared" si="271"/>
        <v>0.2</v>
      </c>
      <c r="H491" s="230">
        <f t="shared" si="272"/>
        <v>300000</v>
      </c>
      <c r="I491" s="236">
        <f t="shared" si="242"/>
        <v>0</v>
      </c>
      <c r="J491" s="234">
        <v>22</v>
      </c>
      <c r="K491" s="234">
        <f t="shared" si="243"/>
        <v>2047</v>
      </c>
      <c r="L491" s="230">
        <f>IF(J491=1,'Model Inputs'!$B$25*(13-'Model Inputs'!$B$23)/12,'Model Inputs'!$B$25)</f>
        <v>300000</v>
      </c>
      <c r="M491" s="230">
        <f>IF(J491=1,'Model Inputs'!$B$27*(13-'Model Inputs'!$B$23)/12,IF(J491=2,'Model Inputs'!$B$27,IF(J491&lt;=MAX(3,'Model Inputs'!$B$30+1),'Model Inputs'!$B$27*(1+'Model Inputs'!$B$28)^(J491-3),'Model Inputs'!$B$27*(1+'Model Inputs'!$B$28)^(MAX(3,'Model Inputs'!$B$30+1)-3)*(1+'Model Inputs'!$B$29)^(J491-MAX(3,'Model Inputs'!$B$30+1)))))</f>
        <v>55909546.9462616</v>
      </c>
      <c r="N491" s="236">
        <f>IF(J491&lt;=2,0,'Model Inputs'!$B$32*SIN(2*PI()*(J491-3+'Model Inputs'!$B$34)/MAX(1,'Model Inputs'!$B$33)))</f>
        <v>0.10392304845413287</v>
      </c>
      <c r="O491" s="230">
        <f t="shared" si="244"/>
        <v>61719837.502606563</v>
      </c>
      <c r="P491" s="230">
        <f t="shared" si="277"/>
        <v>40749334.43282336</v>
      </c>
      <c r="Q491" s="230">
        <f>L491+P491+IF(J491=1,'Model Inputs'!$B$26,0)</f>
        <v>41049334.43282336</v>
      </c>
      <c r="R491" s="230">
        <f t="shared" si="245"/>
        <v>123148003.29847008</v>
      </c>
      <c r="S491" s="230">
        <f t="shared" si="246"/>
        <v>10300000</v>
      </c>
      <c r="T491" s="230">
        <f t="shared" si="247"/>
        <v>10300000</v>
      </c>
      <c r="U491" s="230">
        <f>MIN(T491,'Tax Assumptions'!$B$19)</f>
        <v>24500</v>
      </c>
      <c r="V491" s="230">
        <f>MAX(T491-U491-'Tax Assumptions'!$B$8,0)</f>
        <v>10259400</v>
      </c>
      <c r="W491" s="230">
        <f>MAX(T491-U491-'Tax Assumptions'!$B$9,0)</f>
        <v>10267500</v>
      </c>
      <c r="X491" s="230">
        <f>IF(V491=0,0,LOOKUP(V491,'Tax Assumptions'!$F$9:$F$15,'Tax Assumptions'!$I$9:$I$15)+(V491-LOOKUP(V491,'Tax Assumptions'!$F$9:$F$15,'Tax Assumptions'!$F$9:$F$15))*LOOKUP(V491,'Tax Assumptions'!$F$9:$F$15,'Tax Assumptions'!$H$9:$H$15))+MIN(MAX(T491,0),'Tax Assumptions'!$B$11)*'Tax Assumptions'!$B$10+MAX(T491,0)*'Tax Assumptions'!$B$12+MAX(MAX(T491,0)-'Tax Assumptions'!$B$14,0)*'Tax Assumptions'!$B$13+MIN(T491*'Tax Assumptions'!$B$15,'Tax Assumptions'!$B$16)+MIN(T491*'Tax Assumptions'!$B$17,'Tax Assumptions'!$B$18)+IF(W491=0,0,LOOKUP(W491,'Tax Assumptions'!$K$9:$K$17,'Tax Assumptions'!$N$9:$N$17)+(W491-LOOKUP(W491,'Tax Assumptions'!$K$9:$K$17,'Tax Assumptions'!$K$9:$K$17))*LOOKUP(W491,'Tax Assumptions'!$K$9:$K$17,'Tax Assumptions'!$M$9:$M$17))+IF(W491=0,0,LOOKUP(W491,'Tax Assumptions'!$P$9:$P$12,'Tax Assumptions'!$S$9:$S$12)+(W491-LOOKUP(W491,'Tax Assumptions'!$P$9:$P$12,'Tax Assumptions'!$P$9:$P$12))*LOOKUP(W491,'Tax Assumptions'!$P$9:$P$12,'Tax Assumptions'!$R$9:$R$12))</f>
        <v>5394180.54</v>
      </c>
      <c r="Y491" s="230">
        <f t="shared" si="248"/>
        <v>4881319.46</v>
      </c>
      <c r="Z491" s="230">
        <f>IF(J491&lt;=10,INDEX('Savings Projection'!$BL$19:$BL$28,J491),LOOKUP(2,1/('Savings Projection'!$BL$19:$BL$28&lt;&gt;""),'Savings Projection'!$BL$19:$BL$28))*(1+'Model Inputs'!$B$35)^(J491-1)+IF(J491&lt;=10,INDEX('Savings Projection'!$BM$19:$BM$28,J491),LOOKUP(2,1/('Savings Projection'!$BM$19:$BM$28&lt;&gt;""),'Savings Projection'!$BM$19:$BM$28))*(1+'Model Inputs'!$B$36)^(J491-1)</f>
        <v>241838.2943222344</v>
      </c>
      <c r="AA491" s="230">
        <f t="shared" si="249"/>
        <v>4639481.1656777654</v>
      </c>
      <c r="AB491" s="230">
        <f>MIN(MAX(AA491,0),'Tax Assumptions'!$B$20)</f>
        <v>7500</v>
      </c>
      <c r="AC491" s="230">
        <f t="shared" si="250"/>
        <v>4631981.1656777654</v>
      </c>
      <c r="AD491" s="230">
        <f>MAX(AD490*(1+'Model Inputs'!$B$13)+AC491,0)</f>
        <v>123584876.75206947</v>
      </c>
      <c r="AE491" s="230">
        <f>MAX(AE490*(1+'Model Inputs'!$B$13)+U491+AB491,0)</f>
        <v>1388553.2888417889</v>
      </c>
      <c r="AF491" s="230">
        <f t="shared" si="251"/>
        <v>124973430.04091126</v>
      </c>
      <c r="AG491" s="226" t="str">
        <f t="shared" si="273"/>
        <v/>
      </c>
      <c r="AH491" s="226" t="str">
        <f t="shared" si="274"/>
        <v/>
      </c>
      <c r="AI491" s="226" t="str">
        <f t="shared" si="275"/>
        <v/>
      </c>
      <c r="AJ491" s="226" t="str">
        <f t="shared" si="276"/>
        <v/>
      </c>
    </row>
    <row r="492" spans="1:36" ht="18" customHeight="1" x14ac:dyDescent="0.2">
      <c r="A492" s="226" t="str">
        <f t="shared" si="265"/>
        <v>4Y -&gt; PM Y8 Upside</v>
      </c>
      <c r="B492" s="226">
        <f t="shared" si="266"/>
        <v>4</v>
      </c>
      <c r="C492" s="235">
        <f t="shared" si="267"/>
        <v>3</v>
      </c>
      <c r="D492" s="226">
        <f t="shared" si="268"/>
        <v>8</v>
      </c>
      <c r="E492" s="226" t="str">
        <f t="shared" si="269"/>
        <v>Upside</v>
      </c>
      <c r="F492" s="230">
        <f t="shared" si="270"/>
        <v>50000000</v>
      </c>
      <c r="G492" s="236">
        <f t="shared" si="271"/>
        <v>0.2</v>
      </c>
      <c r="H492" s="230">
        <f t="shared" si="272"/>
        <v>300000</v>
      </c>
      <c r="I492" s="236">
        <f t="shared" si="242"/>
        <v>0</v>
      </c>
      <c r="J492" s="234">
        <v>23</v>
      </c>
      <c r="K492" s="234">
        <f t="shared" si="243"/>
        <v>2048</v>
      </c>
      <c r="L492" s="230">
        <f>IF(J492=1,'Model Inputs'!$B$25*(13-'Model Inputs'!$B$23)/12,'Model Inputs'!$B$25)</f>
        <v>300000</v>
      </c>
      <c r="M492" s="230">
        <f>IF(J492=1,'Model Inputs'!$B$27*(13-'Model Inputs'!$B$23)/12,IF(J492=2,'Model Inputs'!$B$27,IF(J492&lt;=MAX(3,'Model Inputs'!$B$30+1),'Model Inputs'!$B$27*(1+'Model Inputs'!$B$28)^(J492-3),'Model Inputs'!$B$27*(1+'Model Inputs'!$B$28)^(MAX(3,'Model Inputs'!$B$30+1)-3)*(1+'Model Inputs'!$B$29)^(J492-MAX(3,'Model Inputs'!$B$30+1)))))</f>
        <v>71054181.617940187</v>
      </c>
      <c r="N492" s="236">
        <f>IF(J492&lt;=2,0,'Model Inputs'!$B$32*SIN(2*PI()*(J492-3+'Model Inputs'!$B$34)/MAX(1,'Model Inputs'!$B$33)))</f>
        <v>-0.10392304845413268</v>
      </c>
      <c r="O492" s="230">
        <f t="shared" si="244"/>
        <v>63670014.458790243</v>
      </c>
      <c r="P492" s="230">
        <f t="shared" si="277"/>
        <v>57288095.855167374</v>
      </c>
      <c r="Q492" s="230">
        <f>L492+P492+IF(J492=1,'Model Inputs'!$B$26,0)</f>
        <v>57588095.855167374</v>
      </c>
      <c r="R492" s="230">
        <f t="shared" si="245"/>
        <v>172764287.56550211</v>
      </c>
      <c r="S492" s="230">
        <f t="shared" si="246"/>
        <v>10300000</v>
      </c>
      <c r="T492" s="230">
        <f t="shared" si="247"/>
        <v>10300000</v>
      </c>
      <c r="U492" s="230">
        <f>MIN(T492,'Tax Assumptions'!$B$19)</f>
        <v>24500</v>
      </c>
      <c r="V492" s="230">
        <f>MAX(T492-U492-'Tax Assumptions'!$B$8,0)</f>
        <v>10259400</v>
      </c>
      <c r="W492" s="230">
        <f>MAX(T492-U492-'Tax Assumptions'!$B$9,0)</f>
        <v>10267500</v>
      </c>
      <c r="X492" s="230">
        <f>IF(V492=0,0,LOOKUP(V492,'Tax Assumptions'!$F$9:$F$15,'Tax Assumptions'!$I$9:$I$15)+(V492-LOOKUP(V492,'Tax Assumptions'!$F$9:$F$15,'Tax Assumptions'!$F$9:$F$15))*LOOKUP(V492,'Tax Assumptions'!$F$9:$F$15,'Tax Assumptions'!$H$9:$H$15))+MIN(MAX(T492,0),'Tax Assumptions'!$B$11)*'Tax Assumptions'!$B$10+MAX(T492,0)*'Tax Assumptions'!$B$12+MAX(MAX(T492,0)-'Tax Assumptions'!$B$14,0)*'Tax Assumptions'!$B$13+MIN(T492*'Tax Assumptions'!$B$15,'Tax Assumptions'!$B$16)+MIN(T492*'Tax Assumptions'!$B$17,'Tax Assumptions'!$B$18)+IF(W492=0,0,LOOKUP(W492,'Tax Assumptions'!$K$9:$K$17,'Tax Assumptions'!$N$9:$N$17)+(W492-LOOKUP(W492,'Tax Assumptions'!$K$9:$K$17,'Tax Assumptions'!$K$9:$K$17))*LOOKUP(W492,'Tax Assumptions'!$K$9:$K$17,'Tax Assumptions'!$M$9:$M$17))+IF(W492=0,0,LOOKUP(W492,'Tax Assumptions'!$P$9:$P$12,'Tax Assumptions'!$S$9:$S$12)+(W492-LOOKUP(W492,'Tax Assumptions'!$P$9:$P$12,'Tax Assumptions'!$P$9:$P$12))*LOOKUP(W492,'Tax Assumptions'!$P$9:$P$12,'Tax Assumptions'!$R$9:$R$12))</f>
        <v>5394180.54</v>
      </c>
      <c r="Y492" s="230">
        <f t="shared" si="248"/>
        <v>4881319.46</v>
      </c>
      <c r="Z492" s="230">
        <f>IF(J492&lt;=10,INDEX('Savings Projection'!$BL$19:$BL$28,J492),LOOKUP(2,1/('Savings Projection'!$BL$19:$BL$28&lt;&gt;""),'Savings Projection'!$BL$19:$BL$28))*(1+'Model Inputs'!$B$35)^(J492-1)+IF(J492&lt;=10,INDEX('Savings Projection'!$BM$19:$BM$28,J492),LOOKUP(2,1/('Savings Projection'!$BM$19:$BM$28&lt;&gt;""),'Savings Projection'!$BM$19:$BM$28))*(1+'Model Inputs'!$B$36)^(J492-1)</f>
        <v>249093.44315190148</v>
      </c>
      <c r="AA492" s="230">
        <f t="shared" si="249"/>
        <v>4632226.0168480985</v>
      </c>
      <c r="AB492" s="230">
        <f>MIN(MAX(AA492,0),'Tax Assumptions'!$B$20)</f>
        <v>7500</v>
      </c>
      <c r="AC492" s="230">
        <f t="shared" si="250"/>
        <v>4624726.0168480985</v>
      </c>
      <c r="AD492" s="230">
        <f>MAX(AD491*(1+'Model Inputs'!$B$13)+AC492,0)</f>
        <v>135624695.37404174</v>
      </c>
      <c r="AE492" s="230">
        <f>MAX(AE491*(1+'Model Inputs'!$B$13)+U492+AB492,0)</f>
        <v>1503866.4861722963</v>
      </c>
      <c r="AF492" s="230">
        <f t="shared" si="251"/>
        <v>137128561.86021402</v>
      </c>
      <c r="AG492" s="226" t="str">
        <f t="shared" si="273"/>
        <v/>
      </c>
      <c r="AH492" s="226" t="str">
        <f t="shared" si="274"/>
        <v/>
      </c>
      <c r="AI492" s="226" t="str">
        <f t="shared" si="275"/>
        <v/>
      </c>
      <c r="AJ492" s="226" t="str">
        <f t="shared" si="276"/>
        <v/>
      </c>
    </row>
    <row r="493" spans="1:36" ht="18" customHeight="1" x14ac:dyDescent="0.2">
      <c r="A493" s="226" t="str">
        <f t="shared" si="265"/>
        <v>4Y -&gt; PM Y8 Upside</v>
      </c>
      <c r="B493" s="226">
        <f t="shared" si="266"/>
        <v>4</v>
      </c>
      <c r="C493" s="235">
        <f t="shared" si="267"/>
        <v>3</v>
      </c>
      <c r="D493" s="226">
        <f t="shared" si="268"/>
        <v>8</v>
      </c>
      <c r="E493" s="226" t="str">
        <f t="shared" si="269"/>
        <v>Upside</v>
      </c>
      <c r="F493" s="230">
        <f t="shared" si="270"/>
        <v>50000000</v>
      </c>
      <c r="G493" s="236">
        <f t="shared" si="271"/>
        <v>0.2</v>
      </c>
      <c r="H493" s="230">
        <f t="shared" si="272"/>
        <v>300000</v>
      </c>
      <c r="I493" s="236">
        <f t="shared" si="242"/>
        <v>0</v>
      </c>
      <c r="J493" s="234">
        <v>24</v>
      </c>
      <c r="K493" s="234">
        <f t="shared" si="243"/>
        <v>2049</v>
      </c>
      <c r="L493" s="230">
        <f>IF(J493=1,'Model Inputs'!$B$25*(13-'Model Inputs'!$B$23)/12,'Model Inputs'!$B$25)</f>
        <v>300000</v>
      </c>
      <c r="M493" s="230">
        <f>IF(J493=1,'Model Inputs'!$B$27*(13-'Model Inputs'!$B$23)/12,IF(J493=2,'Model Inputs'!$B$27,IF(J493&lt;=MAX(3,'Model Inputs'!$B$30+1),'Model Inputs'!$B$27*(1+'Model Inputs'!$B$28)^(J493-3),'Model Inputs'!$B$27*(1+'Model Inputs'!$B$28)^(MAX(3,'Model Inputs'!$B$30+1)-3)*(1+'Model Inputs'!$B$29)^(J493-MAX(3,'Model Inputs'!$B$30+1)))))</f>
        <v>90301156.084270701</v>
      </c>
      <c r="N493" s="236">
        <f>IF(J493&lt;=2,0,'Model Inputs'!$B$32*SIN(2*PI()*(J493-3+'Model Inputs'!$B$34)/MAX(1,'Model Inputs'!$B$33)))</f>
        <v>-2.0574066225675533E-16</v>
      </c>
      <c r="O493" s="230">
        <f t="shared" si="244"/>
        <v>90301156.084270686</v>
      </c>
      <c r="P493" s="230">
        <f t="shared" si="277"/>
        <v>63182470.219744325</v>
      </c>
      <c r="Q493" s="230">
        <f>L493+P493+IF(J493=1,'Model Inputs'!$B$26,0)</f>
        <v>63482470.219744325</v>
      </c>
      <c r="R493" s="230">
        <f t="shared" si="245"/>
        <v>190447410.65923297</v>
      </c>
      <c r="S493" s="230">
        <f t="shared" si="246"/>
        <v>10300000</v>
      </c>
      <c r="T493" s="230">
        <f t="shared" si="247"/>
        <v>10300000</v>
      </c>
      <c r="U493" s="230">
        <f>MIN(T493,'Tax Assumptions'!$B$19)</f>
        <v>24500</v>
      </c>
      <c r="V493" s="230">
        <f>MAX(T493-U493-'Tax Assumptions'!$B$8,0)</f>
        <v>10259400</v>
      </c>
      <c r="W493" s="230">
        <f>MAX(T493-U493-'Tax Assumptions'!$B$9,0)</f>
        <v>10267500</v>
      </c>
      <c r="X493" s="230">
        <f>IF(V493=0,0,LOOKUP(V493,'Tax Assumptions'!$F$9:$F$15,'Tax Assumptions'!$I$9:$I$15)+(V493-LOOKUP(V493,'Tax Assumptions'!$F$9:$F$15,'Tax Assumptions'!$F$9:$F$15))*LOOKUP(V493,'Tax Assumptions'!$F$9:$F$15,'Tax Assumptions'!$H$9:$H$15))+MIN(MAX(T493,0),'Tax Assumptions'!$B$11)*'Tax Assumptions'!$B$10+MAX(T493,0)*'Tax Assumptions'!$B$12+MAX(MAX(T493,0)-'Tax Assumptions'!$B$14,0)*'Tax Assumptions'!$B$13+MIN(T493*'Tax Assumptions'!$B$15,'Tax Assumptions'!$B$16)+MIN(T493*'Tax Assumptions'!$B$17,'Tax Assumptions'!$B$18)+IF(W493=0,0,LOOKUP(W493,'Tax Assumptions'!$K$9:$K$17,'Tax Assumptions'!$N$9:$N$17)+(W493-LOOKUP(W493,'Tax Assumptions'!$K$9:$K$17,'Tax Assumptions'!$K$9:$K$17))*LOOKUP(W493,'Tax Assumptions'!$K$9:$K$17,'Tax Assumptions'!$M$9:$M$17))+IF(W493=0,0,LOOKUP(W493,'Tax Assumptions'!$P$9:$P$12,'Tax Assumptions'!$S$9:$S$12)+(W493-LOOKUP(W493,'Tax Assumptions'!$P$9:$P$12,'Tax Assumptions'!$P$9:$P$12))*LOOKUP(W493,'Tax Assumptions'!$P$9:$P$12,'Tax Assumptions'!$R$9:$R$12))</f>
        <v>5394180.54</v>
      </c>
      <c r="Y493" s="230">
        <f t="shared" si="248"/>
        <v>4881319.46</v>
      </c>
      <c r="Z493" s="230">
        <f>IF(J493&lt;=10,INDEX('Savings Projection'!$BL$19:$BL$28,J493),LOOKUP(2,1/('Savings Projection'!$BL$19:$BL$28&lt;&gt;""),'Savings Projection'!$BL$19:$BL$28))*(1+'Model Inputs'!$B$35)^(J493-1)+IF(J493&lt;=10,INDEX('Savings Projection'!$BM$19:$BM$28,J493),LOOKUP(2,1/('Savings Projection'!$BM$19:$BM$28&lt;&gt;""),'Savings Projection'!$BM$19:$BM$28))*(1+'Model Inputs'!$B$36)^(J493-1)</f>
        <v>256566.24644645851</v>
      </c>
      <c r="AA493" s="230">
        <f t="shared" si="249"/>
        <v>4624753.2135535413</v>
      </c>
      <c r="AB493" s="230">
        <f>MIN(MAX(AA493,0),'Tax Assumptions'!$B$20)</f>
        <v>7500</v>
      </c>
      <c r="AC493" s="230">
        <f t="shared" si="250"/>
        <v>4617253.2135535413</v>
      </c>
      <c r="AD493" s="230">
        <f>MAX(AD492*(1+'Model Inputs'!$B$13)+AC493,0)</f>
        <v>148379430.31003779</v>
      </c>
      <c r="AE493" s="230">
        <f>MAX(AE492*(1+'Model Inputs'!$B$13)+U493+AB493,0)</f>
        <v>1626098.4753426341</v>
      </c>
      <c r="AF493" s="230">
        <f t="shared" si="251"/>
        <v>150005528.78538042</v>
      </c>
      <c r="AG493" s="226" t="str">
        <f t="shared" si="273"/>
        <v/>
      </c>
      <c r="AH493" s="226" t="str">
        <f t="shared" si="274"/>
        <v/>
      </c>
      <c r="AI493" s="226" t="str">
        <f t="shared" si="275"/>
        <v/>
      </c>
      <c r="AJ493" s="226" t="str">
        <f t="shared" si="276"/>
        <v/>
      </c>
    </row>
    <row r="494" spans="1:36" ht="18" customHeight="1" x14ac:dyDescent="0.2">
      <c r="A494" s="226" t="str">
        <f t="shared" si="265"/>
        <v>4Y -&gt; PM Y8 Upside</v>
      </c>
      <c r="B494" s="226">
        <f t="shared" si="266"/>
        <v>4</v>
      </c>
      <c r="C494" s="235">
        <f t="shared" si="267"/>
        <v>3</v>
      </c>
      <c r="D494" s="226">
        <f t="shared" si="268"/>
        <v>8</v>
      </c>
      <c r="E494" s="226" t="str">
        <f t="shared" si="269"/>
        <v>Upside</v>
      </c>
      <c r="F494" s="230">
        <f t="shared" si="270"/>
        <v>50000000</v>
      </c>
      <c r="G494" s="236">
        <f t="shared" si="271"/>
        <v>0.2</v>
      </c>
      <c r="H494" s="230">
        <f t="shared" si="272"/>
        <v>300000</v>
      </c>
      <c r="I494" s="236">
        <f t="shared" si="242"/>
        <v>0</v>
      </c>
      <c r="J494" s="234">
        <v>25</v>
      </c>
      <c r="K494" s="234">
        <f t="shared" si="243"/>
        <v>2050</v>
      </c>
      <c r="L494" s="230">
        <f>IF(J494=1,'Model Inputs'!$B$25*(13-'Model Inputs'!$B$23)/12,'Model Inputs'!$B$25)</f>
        <v>300000</v>
      </c>
      <c r="M494" s="230">
        <f>IF(J494=1,'Model Inputs'!$B$27*(13-'Model Inputs'!$B$23)/12,IF(J494=2,'Model Inputs'!$B$27,IF(J494&lt;=MAX(3,'Model Inputs'!$B$30+1),'Model Inputs'!$B$27*(1+'Model Inputs'!$B$28)^(J494-3),'Model Inputs'!$B$27*(1+'Model Inputs'!$B$28)^(MAX(3,'Model Inputs'!$B$30+1)-3)*(1+'Model Inputs'!$B$29)^(J494-MAX(3,'Model Inputs'!$B$30+1)))))</f>
        <v>114761701.62653697</v>
      </c>
      <c r="N494" s="236">
        <f>IF(J494&lt;=2,0,'Model Inputs'!$B$32*SIN(2*PI()*(J494-3+'Model Inputs'!$B$34)/MAX(1,'Model Inputs'!$B$33)))</f>
        <v>0.10392304845413287</v>
      </c>
      <c r="O494" s="230">
        <f t="shared" si="244"/>
        <v>126688087.50535031</v>
      </c>
      <c r="P494" s="230">
        <f t="shared" si="277"/>
        <v>83643370.677900568</v>
      </c>
      <c r="Q494" s="230">
        <f>L494+P494+IF(J494=1,'Model Inputs'!$B$26,0)</f>
        <v>83943370.677900568</v>
      </c>
      <c r="R494" s="230">
        <f t="shared" si="245"/>
        <v>251830112.03370172</v>
      </c>
      <c r="S494" s="230">
        <f t="shared" si="246"/>
        <v>10300000</v>
      </c>
      <c r="T494" s="230">
        <f t="shared" si="247"/>
        <v>10300000</v>
      </c>
      <c r="U494" s="230">
        <f>MIN(T494,'Tax Assumptions'!$B$19)</f>
        <v>24500</v>
      </c>
      <c r="V494" s="230">
        <f>MAX(T494-U494-'Tax Assumptions'!$B$8,0)</f>
        <v>10259400</v>
      </c>
      <c r="W494" s="230">
        <f>MAX(T494-U494-'Tax Assumptions'!$B$9,0)</f>
        <v>10267500</v>
      </c>
      <c r="X494" s="230">
        <f>IF(V494=0,0,LOOKUP(V494,'Tax Assumptions'!$F$9:$F$15,'Tax Assumptions'!$I$9:$I$15)+(V494-LOOKUP(V494,'Tax Assumptions'!$F$9:$F$15,'Tax Assumptions'!$F$9:$F$15))*LOOKUP(V494,'Tax Assumptions'!$F$9:$F$15,'Tax Assumptions'!$H$9:$H$15))+MIN(MAX(T494,0),'Tax Assumptions'!$B$11)*'Tax Assumptions'!$B$10+MAX(T494,0)*'Tax Assumptions'!$B$12+MAX(MAX(T494,0)-'Tax Assumptions'!$B$14,0)*'Tax Assumptions'!$B$13+MIN(T494*'Tax Assumptions'!$B$15,'Tax Assumptions'!$B$16)+MIN(T494*'Tax Assumptions'!$B$17,'Tax Assumptions'!$B$18)+IF(W494=0,0,LOOKUP(W494,'Tax Assumptions'!$K$9:$K$17,'Tax Assumptions'!$N$9:$N$17)+(W494-LOOKUP(W494,'Tax Assumptions'!$K$9:$K$17,'Tax Assumptions'!$K$9:$K$17))*LOOKUP(W494,'Tax Assumptions'!$K$9:$K$17,'Tax Assumptions'!$M$9:$M$17))+IF(W494=0,0,LOOKUP(W494,'Tax Assumptions'!$P$9:$P$12,'Tax Assumptions'!$S$9:$S$12)+(W494-LOOKUP(W494,'Tax Assumptions'!$P$9:$P$12,'Tax Assumptions'!$P$9:$P$12))*LOOKUP(W494,'Tax Assumptions'!$P$9:$P$12,'Tax Assumptions'!$R$9:$R$12))</f>
        <v>5394180.54</v>
      </c>
      <c r="Y494" s="230">
        <f t="shared" si="248"/>
        <v>4881319.46</v>
      </c>
      <c r="Z494" s="230">
        <f>IF(J494&lt;=10,INDEX('Savings Projection'!$BL$19:$BL$28,J494),LOOKUP(2,1/('Savings Projection'!$BL$19:$BL$28&lt;&gt;""),'Savings Projection'!$BL$19:$BL$28))*(1+'Model Inputs'!$B$35)^(J494-1)+IF(J494&lt;=10,INDEX('Savings Projection'!$BM$19:$BM$28,J494),LOOKUP(2,1/('Savings Projection'!$BM$19:$BM$28&lt;&gt;""),'Savings Projection'!$BM$19:$BM$28))*(1+'Model Inputs'!$B$36)^(J494-1)</f>
        <v>264263.23383985227</v>
      </c>
      <c r="AA494" s="230">
        <f t="shared" si="249"/>
        <v>4617056.2261601482</v>
      </c>
      <c r="AB494" s="230">
        <f>MIN(MAX(AA494,0),'Tax Assumptions'!$B$20)</f>
        <v>7500</v>
      </c>
      <c r="AC494" s="230">
        <f t="shared" si="250"/>
        <v>4609556.2261601482</v>
      </c>
      <c r="AD494" s="230">
        <f>MAX(AD493*(1+'Model Inputs'!$B$13)+AC494,0)</f>
        <v>161891752.35480019</v>
      </c>
      <c r="AE494" s="230">
        <f>MAX(AE493*(1+'Model Inputs'!$B$13)+U494+AB494,0)</f>
        <v>1755664.3838631923</v>
      </c>
      <c r="AF494" s="230">
        <f t="shared" si="251"/>
        <v>163647416.73866338</v>
      </c>
      <c r="AG494" s="226" t="str">
        <f t="shared" si="273"/>
        <v/>
      </c>
      <c r="AH494" s="226" t="str">
        <f t="shared" si="274"/>
        <v/>
      </c>
      <c r="AI494" s="226" t="str">
        <f t="shared" si="275"/>
        <v/>
      </c>
      <c r="AJ494" s="226" t="str">
        <f t="shared" si="276"/>
        <v/>
      </c>
    </row>
    <row r="495" spans="1:36" ht="18" customHeight="1" x14ac:dyDescent="0.2">
      <c r="A495" s="226" t="str">
        <f t="shared" si="265"/>
        <v>4Y -&gt; PM Y8 Upside</v>
      </c>
      <c r="B495" s="226">
        <f t="shared" si="266"/>
        <v>4</v>
      </c>
      <c r="C495" s="235">
        <f t="shared" si="267"/>
        <v>3</v>
      </c>
      <c r="D495" s="226">
        <f t="shared" si="268"/>
        <v>8</v>
      </c>
      <c r="E495" s="226" t="str">
        <f t="shared" si="269"/>
        <v>Upside</v>
      </c>
      <c r="F495" s="230">
        <f t="shared" si="270"/>
        <v>50000000</v>
      </c>
      <c r="G495" s="236">
        <f t="shared" si="271"/>
        <v>0.2</v>
      </c>
      <c r="H495" s="230">
        <f t="shared" si="272"/>
        <v>300000</v>
      </c>
      <c r="I495" s="236">
        <f t="shared" si="242"/>
        <v>0</v>
      </c>
      <c r="J495" s="234">
        <v>26</v>
      </c>
      <c r="K495" s="234">
        <f t="shared" si="243"/>
        <v>2051</v>
      </c>
      <c r="L495" s="230">
        <f>IF(J495=1,'Model Inputs'!$B$25*(13-'Model Inputs'!$B$23)/12,'Model Inputs'!$B$25)</f>
        <v>300000</v>
      </c>
      <c r="M495" s="230">
        <f>IF(J495=1,'Model Inputs'!$B$27*(13-'Model Inputs'!$B$23)/12,IF(J495=2,'Model Inputs'!$B$27,IF(J495&lt;=MAX(3,'Model Inputs'!$B$30+1),'Model Inputs'!$B$27*(1+'Model Inputs'!$B$28)^(J495-3),'Model Inputs'!$B$27*(1+'Model Inputs'!$B$28)^(MAX(3,'Model Inputs'!$B$30+1)-3)*(1+'Model Inputs'!$B$29)^(J495-MAX(3,'Model Inputs'!$B$30+1)))))</f>
        <v>145848057.00524563</v>
      </c>
      <c r="N495" s="236">
        <f>IF(J495&lt;=2,0,'Model Inputs'!$B$32*SIN(2*PI()*(J495-3+'Model Inputs'!$B$34)/MAX(1,'Model Inputs'!$B$33)))</f>
        <v>-0.10392304845413224</v>
      </c>
      <c r="O495" s="230">
        <f t="shared" si="244"/>
        <v>130691082.31014845</v>
      </c>
      <c r="P495" s="230">
        <f t="shared" si="277"/>
        <v>117591354.65008041</v>
      </c>
      <c r="Q495" s="230">
        <f>L495+P495+IF(J495=1,'Model Inputs'!$B$26,0)</f>
        <v>117891354.65008041</v>
      </c>
      <c r="R495" s="230">
        <f t="shared" si="245"/>
        <v>353674063.95024121</v>
      </c>
      <c r="S495" s="230">
        <f t="shared" si="246"/>
        <v>10300000</v>
      </c>
      <c r="T495" s="230">
        <f t="shared" si="247"/>
        <v>10300000</v>
      </c>
      <c r="U495" s="230">
        <f>MIN(T495,'Tax Assumptions'!$B$19)</f>
        <v>24500</v>
      </c>
      <c r="V495" s="230">
        <f>MAX(T495-U495-'Tax Assumptions'!$B$8,0)</f>
        <v>10259400</v>
      </c>
      <c r="W495" s="230">
        <f>MAX(T495-U495-'Tax Assumptions'!$B$9,0)</f>
        <v>10267500</v>
      </c>
      <c r="X495" s="230">
        <f>IF(V495=0,0,LOOKUP(V495,'Tax Assumptions'!$F$9:$F$15,'Tax Assumptions'!$I$9:$I$15)+(V495-LOOKUP(V495,'Tax Assumptions'!$F$9:$F$15,'Tax Assumptions'!$F$9:$F$15))*LOOKUP(V495,'Tax Assumptions'!$F$9:$F$15,'Tax Assumptions'!$H$9:$H$15))+MIN(MAX(T495,0),'Tax Assumptions'!$B$11)*'Tax Assumptions'!$B$10+MAX(T495,0)*'Tax Assumptions'!$B$12+MAX(MAX(T495,0)-'Tax Assumptions'!$B$14,0)*'Tax Assumptions'!$B$13+MIN(T495*'Tax Assumptions'!$B$15,'Tax Assumptions'!$B$16)+MIN(T495*'Tax Assumptions'!$B$17,'Tax Assumptions'!$B$18)+IF(W495=0,0,LOOKUP(W495,'Tax Assumptions'!$K$9:$K$17,'Tax Assumptions'!$N$9:$N$17)+(W495-LOOKUP(W495,'Tax Assumptions'!$K$9:$K$17,'Tax Assumptions'!$K$9:$K$17))*LOOKUP(W495,'Tax Assumptions'!$K$9:$K$17,'Tax Assumptions'!$M$9:$M$17))+IF(W495=0,0,LOOKUP(W495,'Tax Assumptions'!$P$9:$P$12,'Tax Assumptions'!$S$9:$S$12)+(W495-LOOKUP(W495,'Tax Assumptions'!$P$9:$P$12,'Tax Assumptions'!$P$9:$P$12))*LOOKUP(W495,'Tax Assumptions'!$P$9:$P$12,'Tax Assumptions'!$R$9:$R$12))</f>
        <v>5394180.54</v>
      </c>
      <c r="Y495" s="230">
        <f t="shared" si="248"/>
        <v>4881319.46</v>
      </c>
      <c r="Z495" s="230">
        <f>IF(J495&lt;=10,INDEX('Savings Projection'!$BL$19:$BL$28,J495),LOOKUP(2,1/('Savings Projection'!$BL$19:$BL$28&lt;&gt;""),'Savings Projection'!$BL$19:$BL$28))*(1+'Model Inputs'!$B$35)^(J495-1)+IF(J495&lt;=10,INDEX('Savings Projection'!$BM$19:$BM$28,J495),LOOKUP(2,1/('Savings Projection'!$BM$19:$BM$28&lt;&gt;""),'Savings Projection'!$BM$19:$BM$28))*(1+'Model Inputs'!$B$36)^(J495-1)</f>
        <v>272191.13085504784</v>
      </c>
      <c r="AA495" s="230">
        <f t="shared" si="249"/>
        <v>4609128.3291449519</v>
      </c>
      <c r="AB495" s="230">
        <f>MIN(MAX(AA495,0),'Tax Assumptions'!$B$20)</f>
        <v>7500</v>
      </c>
      <c r="AC495" s="230">
        <f t="shared" si="250"/>
        <v>4601628.3291449519</v>
      </c>
      <c r="AD495" s="230">
        <f>MAX(AD494*(1+'Model Inputs'!$B$13)+AC495,0)</f>
        <v>176206885.82523316</v>
      </c>
      <c r="AE495" s="230">
        <f>MAX(AE494*(1+'Model Inputs'!$B$13)+U495+AB495,0)</f>
        <v>1893004.2468949838</v>
      </c>
      <c r="AF495" s="230">
        <f t="shared" si="251"/>
        <v>178099890.07212815</v>
      </c>
      <c r="AG495" s="226" t="str">
        <f t="shared" si="273"/>
        <v/>
      </c>
      <c r="AH495" s="226" t="str">
        <f t="shared" si="274"/>
        <v/>
      </c>
      <c r="AI495" s="226" t="str">
        <f t="shared" si="275"/>
        <v/>
      </c>
      <c r="AJ495" s="226" t="str">
        <f t="shared" si="276"/>
        <v/>
      </c>
    </row>
    <row r="496" spans="1:36" ht="18" customHeight="1" x14ac:dyDescent="0.2">
      <c r="A496" s="226" t="str">
        <f t="shared" si="265"/>
        <v>4Y -&gt; PM Y8 Upside</v>
      </c>
      <c r="B496" s="226">
        <f t="shared" si="266"/>
        <v>4</v>
      </c>
      <c r="C496" s="235">
        <f t="shared" si="267"/>
        <v>3</v>
      </c>
      <c r="D496" s="226">
        <f t="shared" si="268"/>
        <v>8</v>
      </c>
      <c r="E496" s="226" t="str">
        <f t="shared" si="269"/>
        <v>Upside</v>
      </c>
      <c r="F496" s="230">
        <f t="shared" si="270"/>
        <v>50000000</v>
      </c>
      <c r="G496" s="236">
        <f t="shared" si="271"/>
        <v>0.2</v>
      </c>
      <c r="H496" s="230">
        <f t="shared" si="272"/>
        <v>300000</v>
      </c>
      <c r="I496" s="236">
        <f t="shared" si="242"/>
        <v>0</v>
      </c>
      <c r="J496" s="234">
        <v>27</v>
      </c>
      <c r="K496" s="234">
        <f t="shared" si="243"/>
        <v>2052</v>
      </c>
      <c r="L496" s="230">
        <f>IF(J496=1,'Model Inputs'!$B$25*(13-'Model Inputs'!$B$23)/12,'Model Inputs'!$B$25)</f>
        <v>300000</v>
      </c>
      <c r="M496" s="230">
        <f>IF(J496=1,'Model Inputs'!$B$27*(13-'Model Inputs'!$B$23)/12,IF(J496=2,'Model Inputs'!$B$27,IF(J496&lt;=MAX(3,'Model Inputs'!$B$30+1),'Model Inputs'!$B$27*(1+'Model Inputs'!$B$28)^(J496-3),'Model Inputs'!$B$27*(1+'Model Inputs'!$B$28)^(MAX(3,'Model Inputs'!$B$30+1)-3)*(1+'Model Inputs'!$B$29)^(J496-MAX(3,'Model Inputs'!$B$30+1)))))</f>
        <v>185355004.59402937</v>
      </c>
      <c r="N496" s="236">
        <f>IF(J496&lt;=2,0,'Model Inputs'!$B$32*SIN(2*PI()*(J496-3+'Model Inputs'!$B$34)/MAX(1,'Model Inputs'!$B$33)))</f>
        <v>-2.3513218543629179E-16</v>
      </c>
      <c r="O496" s="230">
        <f t="shared" si="244"/>
        <v>185355004.59402934</v>
      </c>
      <c r="P496" s="230">
        <f t="shared" si="277"/>
        <v>129690333.6089489</v>
      </c>
      <c r="Q496" s="230">
        <f>L496+P496+IF(J496=1,'Model Inputs'!$B$26,0)</f>
        <v>129990333.6089489</v>
      </c>
      <c r="R496" s="230">
        <f t="shared" si="245"/>
        <v>389971000.82684672</v>
      </c>
      <c r="S496" s="230">
        <f t="shared" si="246"/>
        <v>10300000</v>
      </c>
      <c r="T496" s="230">
        <f t="shared" si="247"/>
        <v>10300000</v>
      </c>
      <c r="U496" s="230">
        <f>MIN(T496,'Tax Assumptions'!$B$19)</f>
        <v>24500</v>
      </c>
      <c r="V496" s="230">
        <f>MAX(T496-U496-'Tax Assumptions'!$B$8,0)</f>
        <v>10259400</v>
      </c>
      <c r="W496" s="230">
        <f>MAX(T496-U496-'Tax Assumptions'!$B$9,0)</f>
        <v>10267500</v>
      </c>
      <c r="X496" s="230">
        <f>IF(V496=0,0,LOOKUP(V496,'Tax Assumptions'!$F$9:$F$15,'Tax Assumptions'!$I$9:$I$15)+(V496-LOOKUP(V496,'Tax Assumptions'!$F$9:$F$15,'Tax Assumptions'!$F$9:$F$15))*LOOKUP(V496,'Tax Assumptions'!$F$9:$F$15,'Tax Assumptions'!$H$9:$H$15))+MIN(MAX(T496,0),'Tax Assumptions'!$B$11)*'Tax Assumptions'!$B$10+MAX(T496,0)*'Tax Assumptions'!$B$12+MAX(MAX(T496,0)-'Tax Assumptions'!$B$14,0)*'Tax Assumptions'!$B$13+MIN(T496*'Tax Assumptions'!$B$15,'Tax Assumptions'!$B$16)+MIN(T496*'Tax Assumptions'!$B$17,'Tax Assumptions'!$B$18)+IF(W496=0,0,LOOKUP(W496,'Tax Assumptions'!$K$9:$K$17,'Tax Assumptions'!$N$9:$N$17)+(W496-LOOKUP(W496,'Tax Assumptions'!$K$9:$K$17,'Tax Assumptions'!$K$9:$K$17))*LOOKUP(W496,'Tax Assumptions'!$K$9:$K$17,'Tax Assumptions'!$M$9:$M$17))+IF(W496=0,0,LOOKUP(W496,'Tax Assumptions'!$P$9:$P$12,'Tax Assumptions'!$S$9:$S$12)+(W496-LOOKUP(W496,'Tax Assumptions'!$P$9:$P$12,'Tax Assumptions'!$P$9:$P$12))*LOOKUP(W496,'Tax Assumptions'!$P$9:$P$12,'Tax Assumptions'!$R$9:$R$12))</f>
        <v>5394180.54</v>
      </c>
      <c r="Y496" s="230">
        <f t="shared" si="248"/>
        <v>4881319.46</v>
      </c>
      <c r="Z496" s="230">
        <f>IF(J496&lt;=10,INDEX('Savings Projection'!$BL$19:$BL$28,J496),LOOKUP(2,1/('Savings Projection'!$BL$19:$BL$28&lt;&gt;""),'Savings Projection'!$BL$19:$BL$28))*(1+'Model Inputs'!$B$35)^(J496-1)+IF(J496&lt;=10,INDEX('Savings Projection'!$BM$19:$BM$28,J496),LOOKUP(2,1/('Savings Projection'!$BM$19:$BM$28&lt;&gt;""),'Savings Projection'!$BM$19:$BM$28))*(1+'Model Inputs'!$B$36)^(J496-1)</f>
        <v>280356.86478069925</v>
      </c>
      <c r="AA496" s="230">
        <f t="shared" si="249"/>
        <v>4600962.5952193011</v>
      </c>
      <c r="AB496" s="230">
        <f>MIN(MAX(AA496,0),'Tax Assumptions'!$B$20)</f>
        <v>7500</v>
      </c>
      <c r="AC496" s="230">
        <f t="shared" si="250"/>
        <v>4593462.5952193011</v>
      </c>
      <c r="AD496" s="230">
        <f>MAX(AD495*(1+'Model Inputs'!$B$13)+AC496,0)</f>
        <v>191372761.56996647</v>
      </c>
      <c r="AE496" s="230">
        <f>MAX(AE495*(1+'Model Inputs'!$B$13)+U496+AB496,0)</f>
        <v>2038584.5017086829</v>
      </c>
      <c r="AF496" s="230">
        <f t="shared" si="251"/>
        <v>193411346.07167515</v>
      </c>
      <c r="AG496" s="226" t="str">
        <f t="shared" si="273"/>
        <v/>
      </c>
      <c r="AH496" s="226" t="str">
        <f t="shared" si="274"/>
        <v/>
      </c>
      <c r="AI496" s="226" t="str">
        <f t="shared" si="275"/>
        <v/>
      </c>
      <c r="AJ496" s="226" t="str">
        <f t="shared" si="276"/>
        <v/>
      </c>
    </row>
    <row r="497" spans="1:36" ht="18" customHeight="1" x14ac:dyDescent="0.2">
      <c r="A497" s="226" t="str">
        <f t="shared" si="265"/>
        <v>4Y -&gt; PM Y8 Upside</v>
      </c>
      <c r="B497" s="226">
        <f t="shared" si="266"/>
        <v>4</v>
      </c>
      <c r="C497" s="235">
        <f t="shared" si="267"/>
        <v>3</v>
      </c>
      <c r="D497" s="226">
        <f t="shared" si="268"/>
        <v>8</v>
      </c>
      <c r="E497" s="226" t="str">
        <f t="shared" si="269"/>
        <v>Upside</v>
      </c>
      <c r="F497" s="230">
        <f t="shared" si="270"/>
        <v>50000000</v>
      </c>
      <c r="G497" s="236">
        <f t="shared" si="271"/>
        <v>0.2</v>
      </c>
      <c r="H497" s="230">
        <f t="shared" si="272"/>
        <v>300000</v>
      </c>
      <c r="I497" s="236">
        <f t="shared" si="242"/>
        <v>0</v>
      </c>
      <c r="J497" s="234">
        <v>28</v>
      </c>
      <c r="K497" s="234">
        <f t="shared" si="243"/>
        <v>2053</v>
      </c>
      <c r="L497" s="230">
        <f>IF(J497=1,'Model Inputs'!$B$25*(13-'Model Inputs'!$B$23)/12,'Model Inputs'!$B$25)</f>
        <v>300000</v>
      </c>
      <c r="M497" s="230">
        <f>IF(J497=1,'Model Inputs'!$B$27*(13-'Model Inputs'!$B$23)/12,IF(J497=2,'Model Inputs'!$B$27,IF(J497&lt;=MAX(3,'Model Inputs'!$B$30+1),'Model Inputs'!$B$27*(1+'Model Inputs'!$B$28)^(J497-3),'Model Inputs'!$B$27*(1+'Model Inputs'!$B$28)^(MAX(3,'Model Inputs'!$B$30+1)-3)*(1+'Model Inputs'!$B$29)^(J497-MAX(3,'Model Inputs'!$B$30+1)))))</f>
        <v>235563492.81236541</v>
      </c>
      <c r="N497" s="236">
        <f>IF(J497&lt;=2,0,'Model Inputs'!$B$32*SIN(2*PI()*(J497-3+'Model Inputs'!$B$34)/MAX(1,'Model Inputs'!$B$33)))</f>
        <v>0.10392304845413247</v>
      </c>
      <c r="O497" s="230">
        <f t="shared" si="244"/>
        <v>260043969.08992955</v>
      </c>
      <c r="P497" s="230">
        <f t="shared" si="277"/>
        <v>171689024.02305913</v>
      </c>
      <c r="Q497" s="230">
        <f>L497+P497+IF(J497=1,'Model Inputs'!$B$26,0)</f>
        <v>171989024.02305913</v>
      </c>
      <c r="R497" s="230">
        <f t="shared" si="245"/>
        <v>515967072.06917739</v>
      </c>
      <c r="S497" s="230">
        <f t="shared" si="246"/>
        <v>10300000</v>
      </c>
      <c r="T497" s="230">
        <f t="shared" si="247"/>
        <v>10300000</v>
      </c>
      <c r="U497" s="230">
        <f>MIN(T497,'Tax Assumptions'!$B$19)</f>
        <v>24500</v>
      </c>
      <c r="V497" s="230">
        <f>MAX(T497-U497-'Tax Assumptions'!$B$8,0)</f>
        <v>10259400</v>
      </c>
      <c r="W497" s="230">
        <f>MAX(T497-U497-'Tax Assumptions'!$B$9,0)</f>
        <v>10267500</v>
      </c>
      <c r="X497" s="230">
        <f>IF(V497=0,0,LOOKUP(V497,'Tax Assumptions'!$F$9:$F$15,'Tax Assumptions'!$I$9:$I$15)+(V497-LOOKUP(V497,'Tax Assumptions'!$F$9:$F$15,'Tax Assumptions'!$F$9:$F$15))*LOOKUP(V497,'Tax Assumptions'!$F$9:$F$15,'Tax Assumptions'!$H$9:$H$15))+MIN(MAX(T497,0),'Tax Assumptions'!$B$11)*'Tax Assumptions'!$B$10+MAX(T497,0)*'Tax Assumptions'!$B$12+MAX(MAX(T497,0)-'Tax Assumptions'!$B$14,0)*'Tax Assumptions'!$B$13+MIN(T497*'Tax Assumptions'!$B$15,'Tax Assumptions'!$B$16)+MIN(T497*'Tax Assumptions'!$B$17,'Tax Assumptions'!$B$18)+IF(W497=0,0,LOOKUP(W497,'Tax Assumptions'!$K$9:$K$17,'Tax Assumptions'!$N$9:$N$17)+(W497-LOOKUP(W497,'Tax Assumptions'!$K$9:$K$17,'Tax Assumptions'!$K$9:$K$17))*LOOKUP(W497,'Tax Assumptions'!$K$9:$K$17,'Tax Assumptions'!$M$9:$M$17))+IF(W497=0,0,LOOKUP(W497,'Tax Assumptions'!$P$9:$P$12,'Tax Assumptions'!$S$9:$S$12)+(W497-LOOKUP(W497,'Tax Assumptions'!$P$9:$P$12,'Tax Assumptions'!$P$9:$P$12))*LOOKUP(W497,'Tax Assumptions'!$P$9:$P$12,'Tax Assumptions'!$R$9:$R$12))</f>
        <v>5394180.54</v>
      </c>
      <c r="Y497" s="230">
        <f t="shared" si="248"/>
        <v>4881319.46</v>
      </c>
      <c r="Z497" s="230">
        <f>IF(J497&lt;=10,INDEX('Savings Projection'!$BL$19:$BL$28,J497),LOOKUP(2,1/('Savings Projection'!$BL$19:$BL$28&lt;&gt;""),'Savings Projection'!$BL$19:$BL$28))*(1+'Model Inputs'!$B$35)^(J497-1)+IF(J497&lt;=10,INDEX('Savings Projection'!$BM$19:$BM$28,J497),LOOKUP(2,1/('Savings Projection'!$BM$19:$BM$28&lt;&gt;""),'Savings Projection'!$BM$19:$BM$28))*(1+'Model Inputs'!$B$36)^(J497-1)</f>
        <v>288767.57072412025</v>
      </c>
      <c r="AA497" s="230">
        <f t="shared" si="249"/>
        <v>4592551.8892758796</v>
      </c>
      <c r="AB497" s="230">
        <f>MIN(MAX(AA497,0),'Tax Assumptions'!$B$20)</f>
        <v>7500</v>
      </c>
      <c r="AC497" s="230">
        <f t="shared" si="250"/>
        <v>4585051.8892758796</v>
      </c>
      <c r="AD497" s="230">
        <f>MAX(AD496*(1+'Model Inputs'!$B$13)+AC497,0)</f>
        <v>207440179.15344036</v>
      </c>
      <c r="AE497" s="230">
        <f>MAX(AE496*(1+'Model Inputs'!$B$13)+U497+AB497,0)</f>
        <v>2192899.5718112038</v>
      </c>
      <c r="AF497" s="230">
        <f t="shared" si="251"/>
        <v>209633078.72525156</v>
      </c>
      <c r="AG497" s="226" t="str">
        <f t="shared" si="273"/>
        <v/>
      </c>
      <c r="AH497" s="226" t="str">
        <f t="shared" si="274"/>
        <v/>
      </c>
      <c r="AI497" s="226" t="str">
        <f t="shared" si="275"/>
        <v/>
      </c>
      <c r="AJ497" s="226" t="str">
        <f t="shared" si="276"/>
        <v/>
      </c>
    </row>
    <row r="498" spans="1:36" ht="18" customHeight="1" x14ac:dyDescent="0.2">
      <c r="A498" s="226" t="str">
        <f t="shared" si="265"/>
        <v>4Y -&gt; PM Y8 Upside</v>
      </c>
      <c r="B498" s="226">
        <f t="shared" si="266"/>
        <v>4</v>
      </c>
      <c r="C498" s="235">
        <f t="shared" si="267"/>
        <v>3</v>
      </c>
      <c r="D498" s="226">
        <f t="shared" si="268"/>
        <v>8</v>
      </c>
      <c r="E498" s="226" t="str">
        <f t="shared" si="269"/>
        <v>Upside</v>
      </c>
      <c r="F498" s="230">
        <f t="shared" si="270"/>
        <v>50000000</v>
      </c>
      <c r="G498" s="236">
        <f t="shared" si="271"/>
        <v>0.2</v>
      </c>
      <c r="H498" s="230">
        <f t="shared" si="272"/>
        <v>300000</v>
      </c>
      <c r="I498" s="236">
        <f t="shared" ref="I498:I561" si="278">$J$17</f>
        <v>0</v>
      </c>
      <c r="J498" s="234">
        <v>29</v>
      </c>
      <c r="K498" s="234">
        <f t="shared" ref="K498:K561" si="279">2025+J498</f>
        <v>2054</v>
      </c>
      <c r="L498" s="230">
        <f>IF(J498=1,'Model Inputs'!$B$25*(13-'Model Inputs'!$B$23)/12,'Model Inputs'!$B$25)</f>
        <v>300000</v>
      </c>
      <c r="M498" s="230">
        <f>IF(J498=1,'Model Inputs'!$B$27*(13-'Model Inputs'!$B$23)/12,IF(J498=2,'Model Inputs'!$B$27,IF(J498&lt;=MAX(3,'Model Inputs'!$B$30+1),'Model Inputs'!$B$27*(1+'Model Inputs'!$B$28)^(J498-3),'Model Inputs'!$B$27*(1+'Model Inputs'!$B$28)^(MAX(3,'Model Inputs'!$B$30+1)-3)*(1+'Model Inputs'!$B$29)^(J498-MAX(3,'Model Inputs'!$B$30+1)))))</f>
        <v>299372327.53708321</v>
      </c>
      <c r="N498" s="236">
        <f>IF(J498&lt;=2,0,'Model Inputs'!$B$32*SIN(2*PI()*(J498-3+'Model Inputs'!$B$34)/MAX(1,'Model Inputs'!$B$33)))</f>
        <v>-0.10392304845413265</v>
      </c>
      <c r="O498" s="230">
        <f t="shared" ref="O498:O561" si="280">M498*(1+N498)</f>
        <v>268260642.63662043</v>
      </c>
      <c r="P498" s="230">
        <f t="shared" si="277"/>
        <v>241371727.96595448</v>
      </c>
      <c r="Q498" s="230">
        <f>L498+P498+IF(J498=1,'Model Inputs'!$B$26,0)</f>
        <v>241671727.96595448</v>
      </c>
      <c r="R498" s="230">
        <f t="shared" ref="R498:R561" si="281">IF(J498&lt;=B498,Q498,Q498*C498)</f>
        <v>725015183.89786339</v>
      </c>
      <c r="S498" s="230">
        <f t="shared" ref="S498:S561" si="282">H498+F498*G498*(1+I498)^MAX(0,J498-D498)</f>
        <v>10300000</v>
      </c>
      <c r="T498" s="230">
        <f t="shared" ref="T498:T561" si="283">IF(J498&gt;=D498,S498,R498)</f>
        <v>10300000</v>
      </c>
      <c r="U498" s="230">
        <f>MIN(T498,'Tax Assumptions'!$B$19)</f>
        <v>24500</v>
      </c>
      <c r="V498" s="230">
        <f>MAX(T498-U498-'Tax Assumptions'!$B$8,0)</f>
        <v>10259400</v>
      </c>
      <c r="W498" s="230">
        <f>MAX(T498-U498-'Tax Assumptions'!$B$9,0)</f>
        <v>10267500</v>
      </c>
      <c r="X498" s="230">
        <f>IF(V498=0,0,LOOKUP(V498,'Tax Assumptions'!$F$9:$F$15,'Tax Assumptions'!$I$9:$I$15)+(V498-LOOKUP(V498,'Tax Assumptions'!$F$9:$F$15,'Tax Assumptions'!$F$9:$F$15))*LOOKUP(V498,'Tax Assumptions'!$F$9:$F$15,'Tax Assumptions'!$H$9:$H$15))+MIN(MAX(T498,0),'Tax Assumptions'!$B$11)*'Tax Assumptions'!$B$10+MAX(T498,0)*'Tax Assumptions'!$B$12+MAX(MAX(T498,0)-'Tax Assumptions'!$B$14,0)*'Tax Assumptions'!$B$13+MIN(T498*'Tax Assumptions'!$B$15,'Tax Assumptions'!$B$16)+MIN(T498*'Tax Assumptions'!$B$17,'Tax Assumptions'!$B$18)+IF(W498=0,0,LOOKUP(W498,'Tax Assumptions'!$K$9:$K$17,'Tax Assumptions'!$N$9:$N$17)+(W498-LOOKUP(W498,'Tax Assumptions'!$K$9:$K$17,'Tax Assumptions'!$K$9:$K$17))*LOOKUP(W498,'Tax Assumptions'!$K$9:$K$17,'Tax Assumptions'!$M$9:$M$17))+IF(W498=0,0,LOOKUP(W498,'Tax Assumptions'!$P$9:$P$12,'Tax Assumptions'!$S$9:$S$12)+(W498-LOOKUP(W498,'Tax Assumptions'!$P$9:$P$12,'Tax Assumptions'!$P$9:$P$12))*LOOKUP(W498,'Tax Assumptions'!$P$9:$P$12,'Tax Assumptions'!$R$9:$R$12))</f>
        <v>5394180.54</v>
      </c>
      <c r="Y498" s="230">
        <f t="shared" ref="Y498:Y561" si="284">T498-U498-X498</f>
        <v>4881319.46</v>
      </c>
      <c r="Z498" s="230">
        <f>IF(J498&lt;=10,INDEX('Savings Projection'!$BL$19:$BL$28,J498),LOOKUP(2,1/('Savings Projection'!$BL$19:$BL$28&lt;&gt;""),'Savings Projection'!$BL$19:$BL$28))*(1+'Model Inputs'!$B$35)^(J498-1)+IF(J498&lt;=10,INDEX('Savings Projection'!$BM$19:$BM$28,J498),LOOKUP(2,1/('Savings Projection'!$BM$19:$BM$28&lt;&gt;""),'Savings Projection'!$BM$19:$BM$28))*(1+'Model Inputs'!$B$36)^(J498-1)</f>
        <v>297430.59784584382</v>
      </c>
      <c r="AA498" s="230">
        <f t="shared" ref="AA498:AA561" si="285">Y498-Z498</f>
        <v>4583888.862154156</v>
      </c>
      <c r="AB498" s="230">
        <f>MIN(MAX(AA498,0),'Tax Assumptions'!$B$20)</f>
        <v>7500</v>
      </c>
      <c r="AC498" s="230">
        <f t="shared" ref="AC498:AC561" si="286">AA498-AB498</f>
        <v>4576388.862154156</v>
      </c>
      <c r="AD498" s="230">
        <f>MAX(AD497*(1+'Model Inputs'!$B$13)+AC498,0)</f>
        <v>224462978.76480094</v>
      </c>
      <c r="AE498" s="230">
        <f>MAX(AE497*(1+'Model Inputs'!$B$13)+U498+AB498,0)</f>
        <v>2356473.5461198762</v>
      </c>
      <c r="AF498" s="230">
        <f t="shared" ref="AF498:AF561" si="287">AD498+AE498</f>
        <v>226819452.3109208</v>
      </c>
      <c r="AG498" s="226" t="str">
        <f t="shared" si="273"/>
        <v/>
      </c>
      <c r="AH498" s="226" t="str">
        <f t="shared" si="274"/>
        <v/>
      </c>
      <c r="AI498" s="226" t="str">
        <f t="shared" si="275"/>
        <v/>
      </c>
      <c r="AJ498" s="226" t="str">
        <f t="shared" si="276"/>
        <v/>
      </c>
    </row>
    <row r="499" spans="1:36" ht="18" customHeight="1" x14ac:dyDescent="0.2">
      <c r="A499" s="226" t="str">
        <f t="shared" si="265"/>
        <v>4Y -&gt; PM Y8 Upside</v>
      </c>
      <c r="B499" s="226">
        <f t="shared" si="266"/>
        <v>4</v>
      </c>
      <c r="C499" s="235">
        <f t="shared" si="267"/>
        <v>3</v>
      </c>
      <c r="D499" s="226">
        <f t="shared" si="268"/>
        <v>8</v>
      </c>
      <c r="E499" s="226" t="str">
        <f t="shared" si="269"/>
        <v>Upside</v>
      </c>
      <c r="F499" s="230">
        <f t="shared" si="270"/>
        <v>50000000</v>
      </c>
      <c r="G499" s="236">
        <f t="shared" si="271"/>
        <v>0.2</v>
      </c>
      <c r="H499" s="230">
        <f t="shared" si="272"/>
        <v>300000</v>
      </c>
      <c r="I499" s="236">
        <f t="shared" si="278"/>
        <v>0</v>
      </c>
      <c r="J499" s="234">
        <v>30</v>
      </c>
      <c r="K499" s="234">
        <f t="shared" si="279"/>
        <v>2055</v>
      </c>
      <c r="L499" s="230">
        <f>IF(J499=1,'Model Inputs'!$B$25*(13-'Model Inputs'!$B$23)/12,'Model Inputs'!$B$25)</f>
        <v>300000</v>
      </c>
      <c r="M499" s="230">
        <f>IF(J499=1,'Model Inputs'!$B$27*(13-'Model Inputs'!$B$23)/12,IF(J499=2,'Model Inputs'!$B$27,IF(J499&lt;=MAX(3,'Model Inputs'!$B$30+1),'Model Inputs'!$B$27*(1+'Model Inputs'!$B$28)^(J499-3),'Model Inputs'!$B$27*(1+'Model Inputs'!$B$28)^(MAX(3,'Model Inputs'!$B$30+1)-3)*(1+'Model Inputs'!$B$29)^(J499-MAX(3,'Model Inputs'!$B$30+1)))))</f>
        <v>380465535.74563926</v>
      </c>
      <c r="N499" s="236">
        <f>IF(J499&lt;=2,0,'Model Inputs'!$B$32*SIN(2*PI()*(J499-3+'Model Inputs'!$B$34)/MAX(1,'Model Inputs'!$B$33)))</f>
        <v>-2.645237086158283E-16</v>
      </c>
      <c r="O499" s="230">
        <f t="shared" si="280"/>
        <v>380465535.7456392</v>
      </c>
      <c r="P499" s="230">
        <f t="shared" si="277"/>
        <v>266206474.24994773</v>
      </c>
      <c r="Q499" s="230">
        <f>L499+P499+IF(J499=1,'Model Inputs'!$B$26,0)</f>
        <v>266506474.24994773</v>
      </c>
      <c r="R499" s="230">
        <f t="shared" si="281"/>
        <v>799519422.74984312</v>
      </c>
      <c r="S499" s="230">
        <f t="shared" si="282"/>
        <v>10300000</v>
      </c>
      <c r="T499" s="230">
        <f t="shared" si="283"/>
        <v>10300000</v>
      </c>
      <c r="U499" s="230">
        <f>MIN(T499,'Tax Assumptions'!$B$19)</f>
        <v>24500</v>
      </c>
      <c r="V499" s="230">
        <f>MAX(T499-U499-'Tax Assumptions'!$B$8,0)</f>
        <v>10259400</v>
      </c>
      <c r="W499" s="230">
        <f>MAX(T499-U499-'Tax Assumptions'!$B$9,0)</f>
        <v>10267500</v>
      </c>
      <c r="X499" s="230">
        <f>IF(V499=0,0,LOOKUP(V499,'Tax Assumptions'!$F$9:$F$15,'Tax Assumptions'!$I$9:$I$15)+(V499-LOOKUP(V499,'Tax Assumptions'!$F$9:$F$15,'Tax Assumptions'!$F$9:$F$15))*LOOKUP(V499,'Tax Assumptions'!$F$9:$F$15,'Tax Assumptions'!$H$9:$H$15))+MIN(MAX(T499,0),'Tax Assumptions'!$B$11)*'Tax Assumptions'!$B$10+MAX(T499,0)*'Tax Assumptions'!$B$12+MAX(MAX(T499,0)-'Tax Assumptions'!$B$14,0)*'Tax Assumptions'!$B$13+MIN(T499*'Tax Assumptions'!$B$15,'Tax Assumptions'!$B$16)+MIN(T499*'Tax Assumptions'!$B$17,'Tax Assumptions'!$B$18)+IF(W499=0,0,LOOKUP(W499,'Tax Assumptions'!$K$9:$K$17,'Tax Assumptions'!$N$9:$N$17)+(W499-LOOKUP(W499,'Tax Assumptions'!$K$9:$K$17,'Tax Assumptions'!$K$9:$K$17))*LOOKUP(W499,'Tax Assumptions'!$K$9:$K$17,'Tax Assumptions'!$M$9:$M$17))+IF(W499=0,0,LOOKUP(W499,'Tax Assumptions'!$P$9:$P$12,'Tax Assumptions'!$S$9:$S$12)+(W499-LOOKUP(W499,'Tax Assumptions'!$P$9:$P$12,'Tax Assumptions'!$P$9:$P$12))*LOOKUP(W499,'Tax Assumptions'!$P$9:$P$12,'Tax Assumptions'!$R$9:$R$12))</f>
        <v>5394180.54</v>
      </c>
      <c r="Y499" s="230">
        <f t="shared" si="284"/>
        <v>4881319.46</v>
      </c>
      <c r="Z499" s="230">
        <f>IF(J499&lt;=10,INDEX('Savings Projection'!$BL$19:$BL$28,J499),LOOKUP(2,1/('Savings Projection'!$BL$19:$BL$28&lt;&gt;""),'Savings Projection'!$BL$19:$BL$28))*(1+'Model Inputs'!$B$35)^(J499-1)+IF(J499&lt;=10,INDEX('Savings Projection'!$BM$19:$BM$28,J499),LOOKUP(2,1/('Savings Projection'!$BM$19:$BM$28&lt;&gt;""),'Savings Projection'!$BM$19:$BM$28))*(1+'Model Inputs'!$B$36)^(J499-1)</f>
        <v>306353.51578121912</v>
      </c>
      <c r="AA499" s="230">
        <f t="shared" si="285"/>
        <v>4574965.9442187808</v>
      </c>
      <c r="AB499" s="230">
        <f>MIN(MAX(AA499,0),'Tax Assumptions'!$B$20)</f>
        <v>7500</v>
      </c>
      <c r="AC499" s="230">
        <f t="shared" si="286"/>
        <v>4567465.9442187808</v>
      </c>
      <c r="AD499" s="230">
        <f>MAX(AD498*(1+'Model Inputs'!$B$13)+AC499,0)</f>
        <v>242498223.43490779</v>
      </c>
      <c r="AE499" s="230">
        <f>MAX(AE498*(1+'Model Inputs'!$B$13)+U499+AB499,0)</f>
        <v>2529861.958887069</v>
      </c>
      <c r="AF499" s="230">
        <f t="shared" si="287"/>
        <v>245028085.39379486</v>
      </c>
      <c r="AG499" s="226" t="str">
        <f t="shared" si="273"/>
        <v/>
      </c>
      <c r="AH499" s="226" t="str">
        <f t="shared" si="274"/>
        <v/>
      </c>
      <c r="AI499" s="226" t="str">
        <f t="shared" si="275"/>
        <v/>
      </c>
      <c r="AJ499" s="226" t="str">
        <f t="shared" si="276"/>
        <v/>
      </c>
    </row>
    <row r="500" spans="1:36" ht="18" customHeight="1" x14ac:dyDescent="0.2">
      <c r="A500" s="226" t="str">
        <f t="shared" ref="A500:A529" si="288">$A$37</f>
        <v>4Y -&gt; PM Y8 Tail</v>
      </c>
      <c r="B500" s="226">
        <f t="shared" ref="B500:B529" si="289">$B$37</f>
        <v>4</v>
      </c>
      <c r="C500" s="235">
        <f t="shared" ref="C500:C529" si="290">$C$37</f>
        <v>3</v>
      </c>
      <c r="D500" s="226">
        <f t="shared" ref="D500:D529" si="291">$D$37</f>
        <v>8</v>
      </c>
      <c r="E500" s="226" t="str">
        <f t="shared" ref="E500:E529" si="292">$E$37</f>
        <v>Tail</v>
      </c>
      <c r="F500" s="230">
        <f t="shared" ref="F500:F529" si="293">$F$37</f>
        <v>100000000</v>
      </c>
      <c r="G500" s="236">
        <f t="shared" ref="G500:G529" si="294">$G$37</f>
        <v>0.15</v>
      </c>
      <c r="H500" s="230">
        <f t="shared" ref="H500:H529" si="295">$H$37</f>
        <v>300000</v>
      </c>
      <c r="I500" s="236">
        <f t="shared" si="278"/>
        <v>0</v>
      </c>
      <c r="J500" s="234">
        <v>1</v>
      </c>
      <c r="K500" s="234">
        <f t="shared" si="279"/>
        <v>2026</v>
      </c>
      <c r="L500" s="230">
        <f>IF(J500=1,'Model Inputs'!$B$25*(13-'Model Inputs'!$B$23)/12,'Model Inputs'!$B$25)</f>
        <v>100000</v>
      </c>
      <c r="M500" s="230">
        <f>IF(J500=1,'Model Inputs'!$B$27*(13-'Model Inputs'!$B$23)/12,IF(J500=2,'Model Inputs'!$B$27,IF(J500&lt;=MAX(3,'Model Inputs'!$B$30+1),'Model Inputs'!$B$27*(1+'Model Inputs'!$B$28)^(J500-3),'Model Inputs'!$B$27*(1+'Model Inputs'!$B$28)^(MAX(3,'Model Inputs'!$B$30+1)-3)*(1+'Model Inputs'!$B$29)^(J500-MAX(3,'Model Inputs'!$B$30+1)))))</f>
        <v>150000</v>
      </c>
      <c r="N500" s="236">
        <f>IF(J500&lt;=2,0,'Model Inputs'!$B$32*SIN(2*PI()*(J500-3+'Model Inputs'!$B$34)/MAX(1,'Model Inputs'!$B$33)))</f>
        <v>0</v>
      </c>
      <c r="O500" s="230">
        <f t="shared" si="280"/>
        <v>150000</v>
      </c>
      <c r="P500" s="230">
        <f>0</f>
        <v>0</v>
      </c>
      <c r="Q500" s="230">
        <f>L500+P500+IF(J500=1,'Model Inputs'!$B$26,0)</f>
        <v>550000</v>
      </c>
      <c r="R500" s="230">
        <f t="shared" si="281"/>
        <v>550000</v>
      </c>
      <c r="S500" s="230">
        <f t="shared" si="282"/>
        <v>15300000</v>
      </c>
      <c r="T500" s="230">
        <f t="shared" si="283"/>
        <v>550000</v>
      </c>
      <c r="U500" s="230">
        <f>MIN(T500,'Tax Assumptions'!$B$19)</f>
        <v>24500</v>
      </c>
      <c r="V500" s="230">
        <f>MAX(T500-U500-'Tax Assumptions'!$B$8,0)</f>
        <v>509400</v>
      </c>
      <c r="W500" s="230">
        <f>MAX(T500-U500-'Tax Assumptions'!$B$9,0)</f>
        <v>517500</v>
      </c>
      <c r="X500" s="230">
        <f>IF(V500=0,0,LOOKUP(V500,'Tax Assumptions'!$F$9:$F$15,'Tax Assumptions'!$I$9:$I$15)+(V500-LOOKUP(V500,'Tax Assumptions'!$F$9:$F$15,'Tax Assumptions'!$F$9:$F$15))*LOOKUP(V500,'Tax Assumptions'!$F$9:$F$15,'Tax Assumptions'!$H$9:$H$15))+MIN(MAX(T500,0),'Tax Assumptions'!$B$11)*'Tax Assumptions'!$B$10+MAX(T500,0)*'Tax Assumptions'!$B$12+MAX(MAX(T500,0)-'Tax Assumptions'!$B$14,0)*'Tax Assumptions'!$B$13+MIN(T500*'Tax Assumptions'!$B$15,'Tax Assumptions'!$B$16)+MIN(T500*'Tax Assumptions'!$B$17,'Tax Assumptions'!$B$18)+IF(W500=0,0,LOOKUP(W500,'Tax Assumptions'!$K$9:$K$17,'Tax Assumptions'!$N$9:$N$17)+(W500-LOOKUP(W500,'Tax Assumptions'!$K$9:$K$17,'Tax Assumptions'!$K$9:$K$17))*LOOKUP(W500,'Tax Assumptions'!$K$9:$K$17,'Tax Assumptions'!$M$9:$M$17))+IF(W500=0,0,LOOKUP(W500,'Tax Assumptions'!$P$9:$P$12,'Tax Assumptions'!$S$9:$S$12)+(W500-LOOKUP(W500,'Tax Assumptions'!$P$9:$P$12,'Tax Assumptions'!$P$9:$P$12))*LOOKUP(W500,'Tax Assumptions'!$P$9:$P$12,'Tax Assumptions'!$R$9:$R$12))</f>
        <v>222834.53000000003</v>
      </c>
      <c r="Y500" s="230">
        <f t="shared" si="284"/>
        <v>302665.46999999997</v>
      </c>
      <c r="Z500" s="230">
        <f>IF(J500&lt;=10,INDEX('Savings Projection'!$BL$19:$BL$28,J500),LOOKUP(2,1/('Savings Projection'!$BL$19:$BL$28&lt;&gt;""),'Savings Projection'!$BL$19:$BL$28))*(1+'Model Inputs'!$B$35)^(J500-1)+IF(J500&lt;=10,INDEX('Savings Projection'!$BM$19:$BM$28,J500),LOOKUP(2,1/('Savings Projection'!$BM$19:$BM$28&lt;&gt;""),'Savings Projection'!$BM$19:$BM$28))*(1+'Model Inputs'!$B$36)^(J500-1)</f>
        <v>118000</v>
      </c>
      <c r="AA500" s="230">
        <f t="shared" si="285"/>
        <v>184665.46999999997</v>
      </c>
      <c r="AB500" s="230">
        <f>MIN(MAX(AA500,0),'Tax Assumptions'!$B$20)</f>
        <v>7500</v>
      </c>
      <c r="AC500" s="230">
        <f t="shared" si="286"/>
        <v>177165.46999999997</v>
      </c>
      <c r="AD500" s="230">
        <f>MAX('Model Inputs'!$B$7*(1+'Model Inputs'!$B$13)+AC500,0)</f>
        <v>336165.47</v>
      </c>
      <c r="AE500" s="230">
        <f>MAX(('Model Inputs'!$B$8+'Model Inputs'!$B$9+'Model Inputs'!$B$10)*(1+'Model Inputs'!$B$13)+U500+AB500,0)</f>
        <v>32000</v>
      </c>
      <c r="AF500" s="230">
        <f t="shared" si="287"/>
        <v>368165.47</v>
      </c>
      <c r="AG500" s="226" t="str">
        <f>IF(AND(AF500&gt;=$F$14,0&lt;$F$14),J500,"")</f>
        <v/>
      </c>
      <c r="AH500" s="226" t="str">
        <f>IF(AND(AF500&gt;=$F$15,0&lt;$F$15),J500,"")</f>
        <v/>
      </c>
      <c r="AI500" s="226" t="str">
        <f>IF(AND(AF500&gt;=$F$16,0&lt;$F$16),J500,"")</f>
        <v/>
      </c>
      <c r="AJ500" s="226" t="str">
        <f>IF(AND(AF500&gt;=$F$17,0&lt;$F$17),J500,"")</f>
        <v/>
      </c>
    </row>
    <row r="501" spans="1:36" ht="18" customHeight="1" x14ac:dyDescent="0.2">
      <c r="A501" s="226" t="str">
        <f t="shared" si="288"/>
        <v>4Y -&gt; PM Y8 Tail</v>
      </c>
      <c r="B501" s="226">
        <f t="shared" si="289"/>
        <v>4</v>
      </c>
      <c r="C501" s="235">
        <f t="shared" si="290"/>
        <v>3</v>
      </c>
      <c r="D501" s="226">
        <f t="shared" si="291"/>
        <v>8</v>
      </c>
      <c r="E501" s="226" t="str">
        <f t="shared" si="292"/>
        <v>Tail</v>
      </c>
      <c r="F501" s="230">
        <f t="shared" si="293"/>
        <v>100000000</v>
      </c>
      <c r="G501" s="236">
        <f t="shared" si="294"/>
        <v>0.15</v>
      </c>
      <c r="H501" s="230">
        <f t="shared" si="295"/>
        <v>300000</v>
      </c>
      <c r="I501" s="236">
        <f t="shared" si="278"/>
        <v>0</v>
      </c>
      <c r="J501" s="234">
        <v>2</v>
      </c>
      <c r="K501" s="234">
        <f t="shared" si="279"/>
        <v>2027</v>
      </c>
      <c r="L501" s="230">
        <f>IF(J501=1,'Model Inputs'!$B$25*(13-'Model Inputs'!$B$23)/12,'Model Inputs'!$B$25)</f>
        <v>300000</v>
      </c>
      <c r="M501" s="230">
        <f>IF(J501=1,'Model Inputs'!$B$27*(13-'Model Inputs'!$B$23)/12,IF(J501=2,'Model Inputs'!$B$27,IF(J501&lt;=MAX(3,'Model Inputs'!$B$30+1),'Model Inputs'!$B$27*(1+'Model Inputs'!$B$28)^(J501-3),'Model Inputs'!$B$27*(1+'Model Inputs'!$B$28)^(MAX(3,'Model Inputs'!$B$30+1)-3)*(1+'Model Inputs'!$B$29)^(J501-MAX(3,'Model Inputs'!$B$30+1)))))</f>
        <v>450000</v>
      </c>
      <c r="N501" s="236">
        <f>IF(J501&lt;=2,0,'Model Inputs'!$B$32*SIN(2*PI()*(J501-3+'Model Inputs'!$B$34)/MAX(1,'Model Inputs'!$B$33)))</f>
        <v>0</v>
      </c>
      <c r="O501" s="230">
        <f t="shared" si="280"/>
        <v>450000</v>
      </c>
      <c r="P501" s="230">
        <f>0.75*O500</f>
        <v>112500</v>
      </c>
      <c r="Q501" s="230">
        <f>L501+P501+IF(J501=1,'Model Inputs'!$B$26,0)</f>
        <v>412500</v>
      </c>
      <c r="R501" s="230">
        <f t="shared" si="281"/>
        <v>412500</v>
      </c>
      <c r="S501" s="230">
        <f t="shared" si="282"/>
        <v>15300000</v>
      </c>
      <c r="T501" s="230">
        <f t="shared" si="283"/>
        <v>412500</v>
      </c>
      <c r="U501" s="230">
        <f>MIN(T501,'Tax Assumptions'!$B$19)</f>
        <v>24500</v>
      </c>
      <c r="V501" s="230">
        <f>MAX(T501-U501-'Tax Assumptions'!$B$8,0)</f>
        <v>371900</v>
      </c>
      <c r="W501" s="230">
        <f>MAX(T501-U501-'Tax Assumptions'!$B$9,0)</f>
        <v>380000</v>
      </c>
      <c r="X501" s="230">
        <f>IF(V501=0,0,LOOKUP(V501,'Tax Assumptions'!$F$9:$F$15,'Tax Assumptions'!$I$9:$I$15)+(V501-LOOKUP(V501,'Tax Assumptions'!$F$9:$F$15,'Tax Assumptions'!$F$9:$F$15))*LOOKUP(V501,'Tax Assumptions'!$F$9:$F$15,'Tax Assumptions'!$H$9:$H$15))+MIN(MAX(T501,0),'Tax Assumptions'!$B$11)*'Tax Assumptions'!$B$10+MAX(T501,0)*'Tax Assumptions'!$B$12+MAX(MAX(T501,0)-'Tax Assumptions'!$B$14,0)*'Tax Assumptions'!$B$13+MIN(T501*'Tax Assumptions'!$B$15,'Tax Assumptions'!$B$16)+MIN(T501*'Tax Assumptions'!$B$17,'Tax Assumptions'!$B$18)+IF(W501=0,0,LOOKUP(W501,'Tax Assumptions'!$K$9:$K$17,'Tax Assumptions'!$N$9:$N$17)+(W501-LOOKUP(W501,'Tax Assumptions'!$K$9:$K$17,'Tax Assumptions'!$K$9:$K$17))*LOOKUP(W501,'Tax Assumptions'!$K$9:$K$17,'Tax Assumptions'!$M$9:$M$17))+IF(W501=0,0,LOOKUP(W501,'Tax Assumptions'!$P$9:$P$12,'Tax Assumptions'!$S$9:$S$12)+(W501-LOOKUP(W501,'Tax Assumptions'!$P$9:$P$12,'Tax Assumptions'!$P$9:$P$12))*LOOKUP(W501,'Tax Assumptions'!$P$9:$P$12,'Tax Assumptions'!$R$9:$R$12))</f>
        <v>156730.03</v>
      </c>
      <c r="Y501" s="230">
        <f t="shared" si="284"/>
        <v>231269.97</v>
      </c>
      <c r="Z501" s="230">
        <f>IF(J501&lt;=10,INDEX('Savings Projection'!$BL$19:$BL$28,J501),LOOKUP(2,1/('Savings Projection'!$BL$19:$BL$28&lt;&gt;""),'Savings Projection'!$BL$19:$BL$28))*(1+'Model Inputs'!$B$35)^(J501-1)+IF(J501&lt;=10,INDEX('Savings Projection'!$BM$19:$BM$28,J501),LOOKUP(2,1/('Savings Projection'!$BM$19:$BM$28&lt;&gt;""),'Savings Projection'!$BM$19:$BM$28))*(1+'Model Inputs'!$B$36)^(J501-1)</f>
        <v>121540</v>
      </c>
      <c r="AA501" s="230">
        <f t="shared" si="285"/>
        <v>109729.97</v>
      </c>
      <c r="AB501" s="230">
        <f>MIN(MAX(AA501,0),'Tax Assumptions'!$B$20)</f>
        <v>7500</v>
      </c>
      <c r="AC501" s="230">
        <f t="shared" si="286"/>
        <v>102229.97</v>
      </c>
      <c r="AD501" s="230">
        <f>MAX(AD500*(1+'Model Inputs'!$B$13)+AC501,0)</f>
        <v>458565.36820000003</v>
      </c>
      <c r="AE501" s="230">
        <f>MAX(AE500*(1+'Model Inputs'!$B$13)+U501+AB501,0)</f>
        <v>65920</v>
      </c>
      <c r="AF501" s="230">
        <f t="shared" si="287"/>
        <v>524485.36820000003</v>
      </c>
      <c r="AG501" s="226" t="str">
        <f t="shared" ref="AG501:AG529" si="296">IF(AND(AF501&gt;=$F$14,AF500&lt;$F$14),J501,"")</f>
        <v/>
      </c>
      <c r="AH501" s="226" t="str">
        <f t="shared" ref="AH501:AH529" si="297">IF(AND(AF501&gt;=$F$15,AF500&lt;$F$15),J501,"")</f>
        <v/>
      </c>
      <c r="AI501" s="226" t="str">
        <f t="shared" ref="AI501:AI529" si="298">IF(AND(AF501&gt;=$F$16,AF500&lt;$F$16),J501,"")</f>
        <v/>
      </c>
      <c r="AJ501" s="226" t="str">
        <f t="shared" ref="AJ501:AJ529" si="299">IF(AND(AF501&gt;=$F$17,AF500&lt;$F$17),J501,"")</f>
        <v/>
      </c>
    </row>
    <row r="502" spans="1:36" ht="18" customHeight="1" x14ac:dyDescent="0.2">
      <c r="A502" s="226" t="str">
        <f t="shared" si="288"/>
        <v>4Y -&gt; PM Y8 Tail</v>
      </c>
      <c r="B502" s="226">
        <f t="shared" si="289"/>
        <v>4</v>
      </c>
      <c r="C502" s="235">
        <f t="shared" si="290"/>
        <v>3</v>
      </c>
      <c r="D502" s="226">
        <f t="shared" si="291"/>
        <v>8</v>
      </c>
      <c r="E502" s="226" t="str">
        <f t="shared" si="292"/>
        <v>Tail</v>
      </c>
      <c r="F502" s="230">
        <f t="shared" si="293"/>
        <v>100000000</v>
      </c>
      <c r="G502" s="236">
        <f t="shared" si="294"/>
        <v>0.15</v>
      </c>
      <c r="H502" s="230">
        <f t="shared" si="295"/>
        <v>300000</v>
      </c>
      <c r="I502" s="236">
        <f t="shared" si="278"/>
        <v>0</v>
      </c>
      <c r="J502" s="234">
        <v>3</v>
      </c>
      <c r="K502" s="234">
        <f t="shared" si="279"/>
        <v>2028</v>
      </c>
      <c r="L502" s="230">
        <f>IF(J502=1,'Model Inputs'!$B$25*(13-'Model Inputs'!$B$23)/12,'Model Inputs'!$B$25)</f>
        <v>300000</v>
      </c>
      <c r="M502" s="230">
        <f>IF(J502=1,'Model Inputs'!$B$27*(13-'Model Inputs'!$B$23)/12,IF(J502=2,'Model Inputs'!$B$27,IF(J502&lt;=MAX(3,'Model Inputs'!$B$30+1),'Model Inputs'!$B$27*(1+'Model Inputs'!$B$28)^(J502-3),'Model Inputs'!$B$27*(1+'Model Inputs'!$B$28)^(MAX(3,'Model Inputs'!$B$30+1)-3)*(1+'Model Inputs'!$B$29)^(J502-MAX(3,'Model Inputs'!$B$30+1)))))</f>
        <v>450000</v>
      </c>
      <c r="N502" s="236">
        <f>IF(J502&lt;=2,0,'Model Inputs'!$B$32*SIN(2*PI()*(J502-3+'Model Inputs'!$B$34)/MAX(1,'Model Inputs'!$B$33)))</f>
        <v>0</v>
      </c>
      <c r="O502" s="230">
        <f t="shared" si="280"/>
        <v>450000</v>
      </c>
      <c r="P502" s="230">
        <f t="shared" ref="P502:P529" si="300">0.75*O501+0.25*O500</f>
        <v>375000</v>
      </c>
      <c r="Q502" s="230">
        <f>L502+P502+IF(J502=1,'Model Inputs'!$B$26,0)</f>
        <v>675000</v>
      </c>
      <c r="R502" s="230">
        <f t="shared" si="281"/>
        <v>675000</v>
      </c>
      <c r="S502" s="230">
        <f t="shared" si="282"/>
        <v>15300000</v>
      </c>
      <c r="T502" s="230">
        <f t="shared" si="283"/>
        <v>675000</v>
      </c>
      <c r="U502" s="230">
        <f>MIN(T502,'Tax Assumptions'!$B$19)</f>
        <v>24500</v>
      </c>
      <c r="V502" s="230">
        <f>MAX(T502-U502-'Tax Assumptions'!$B$8,0)</f>
        <v>634400</v>
      </c>
      <c r="W502" s="230">
        <f>MAX(T502-U502-'Tax Assumptions'!$B$9,0)</f>
        <v>642500</v>
      </c>
      <c r="X502" s="230">
        <f>IF(V502=0,0,LOOKUP(V502,'Tax Assumptions'!$F$9:$F$15,'Tax Assumptions'!$I$9:$I$15)+(V502-LOOKUP(V502,'Tax Assumptions'!$F$9:$F$15,'Tax Assumptions'!$F$9:$F$15))*LOOKUP(V502,'Tax Assumptions'!$F$9:$F$15,'Tax Assumptions'!$H$9:$H$15))+MIN(MAX(T502,0),'Tax Assumptions'!$B$11)*'Tax Assumptions'!$B$10+MAX(T502,0)*'Tax Assumptions'!$B$12+MAX(MAX(T502,0)-'Tax Assumptions'!$B$14,0)*'Tax Assumptions'!$B$13+MIN(T502*'Tax Assumptions'!$B$15,'Tax Assumptions'!$B$16)+MIN(T502*'Tax Assumptions'!$B$17,'Tax Assumptions'!$B$18)+IF(W502=0,0,LOOKUP(W502,'Tax Assumptions'!$K$9:$K$17,'Tax Assumptions'!$N$9:$N$17)+(W502-LOOKUP(W502,'Tax Assumptions'!$K$9:$K$17,'Tax Assumptions'!$K$9:$K$17))*LOOKUP(W502,'Tax Assumptions'!$K$9:$K$17,'Tax Assumptions'!$M$9:$M$17))+IF(W502=0,0,LOOKUP(W502,'Tax Assumptions'!$P$9:$P$12,'Tax Assumptions'!$S$9:$S$12)+(W502-LOOKUP(W502,'Tax Assumptions'!$P$9:$P$12,'Tax Assumptions'!$P$9:$P$12))*LOOKUP(W502,'Tax Assumptions'!$P$9:$P$12,'Tax Assumptions'!$R$9:$R$12))</f>
        <v>282929.53000000003</v>
      </c>
      <c r="Y502" s="230">
        <f t="shared" si="284"/>
        <v>367570.47</v>
      </c>
      <c r="Z502" s="230">
        <f>IF(J502&lt;=10,INDEX('Savings Projection'!$BL$19:$BL$28,J502),LOOKUP(2,1/('Savings Projection'!$BL$19:$BL$28&lt;&gt;""),'Savings Projection'!$BL$19:$BL$28))*(1+'Model Inputs'!$B$35)^(J502-1)+IF(J502&lt;=10,INDEX('Savings Projection'!$BM$19:$BM$28,J502),LOOKUP(2,1/('Savings Projection'!$BM$19:$BM$28&lt;&gt;""),'Savings Projection'!$BM$19:$BM$28))*(1+'Model Inputs'!$B$36)^(J502-1)</f>
        <v>135795.20000000001</v>
      </c>
      <c r="AA502" s="230">
        <f t="shared" si="285"/>
        <v>231775.26999999996</v>
      </c>
      <c r="AB502" s="230">
        <f>MIN(MAX(AA502,0),'Tax Assumptions'!$B$20)</f>
        <v>7500</v>
      </c>
      <c r="AC502" s="230">
        <f t="shared" si="286"/>
        <v>224275.26999999996</v>
      </c>
      <c r="AD502" s="230">
        <f>MAX(AD501*(1+'Model Inputs'!$B$13)+AC502,0)</f>
        <v>710354.56029199995</v>
      </c>
      <c r="AE502" s="230">
        <f>MAX(AE501*(1+'Model Inputs'!$B$13)+U502+AB502,0)</f>
        <v>101875.2</v>
      </c>
      <c r="AF502" s="230">
        <f t="shared" si="287"/>
        <v>812229.7602919999</v>
      </c>
      <c r="AG502" s="226" t="str">
        <f t="shared" si="296"/>
        <v/>
      </c>
      <c r="AH502" s="226" t="str">
        <f t="shared" si="297"/>
        <v/>
      </c>
      <c r="AI502" s="226" t="str">
        <f t="shared" si="298"/>
        <v/>
      </c>
      <c r="AJ502" s="226" t="str">
        <f t="shared" si="299"/>
        <v/>
      </c>
    </row>
    <row r="503" spans="1:36" ht="18" customHeight="1" x14ac:dyDescent="0.2">
      <c r="A503" s="226" t="str">
        <f t="shared" si="288"/>
        <v>4Y -&gt; PM Y8 Tail</v>
      </c>
      <c r="B503" s="226">
        <f t="shared" si="289"/>
        <v>4</v>
      </c>
      <c r="C503" s="235">
        <f t="shared" si="290"/>
        <v>3</v>
      </c>
      <c r="D503" s="226">
        <f t="shared" si="291"/>
        <v>8</v>
      </c>
      <c r="E503" s="226" t="str">
        <f t="shared" si="292"/>
        <v>Tail</v>
      </c>
      <c r="F503" s="230">
        <f t="shared" si="293"/>
        <v>100000000</v>
      </c>
      <c r="G503" s="236">
        <f t="shared" si="294"/>
        <v>0.15</v>
      </c>
      <c r="H503" s="230">
        <f t="shared" si="295"/>
        <v>300000</v>
      </c>
      <c r="I503" s="236">
        <f t="shared" si="278"/>
        <v>0</v>
      </c>
      <c r="J503" s="234">
        <v>4</v>
      </c>
      <c r="K503" s="234">
        <f t="shared" si="279"/>
        <v>2029</v>
      </c>
      <c r="L503" s="230">
        <f>IF(J503=1,'Model Inputs'!$B$25*(13-'Model Inputs'!$B$23)/12,'Model Inputs'!$B$25)</f>
        <v>300000</v>
      </c>
      <c r="M503" s="230">
        <f>IF(J503=1,'Model Inputs'!$B$27*(13-'Model Inputs'!$B$23)/12,IF(J503=2,'Model Inputs'!$B$27,IF(J503&lt;=MAX(3,'Model Inputs'!$B$30+1),'Model Inputs'!$B$27*(1+'Model Inputs'!$B$28)^(J503-3),'Model Inputs'!$B$27*(1+'Model Inputs'!$B$28)^(MAX(3,'Model Inputs'!$B$30+1)-3)*(1+'Model Inputs'!$B$29)^(J503-MAX(3,'Model Inputs'!$B$30+1)))))</f>
        <v>653834.84153110103</v>
      </c>
      <c r="N503" s="236">
        <f>IF(J503&lt;=2,0,'Model Inputs'!$B$32*SIN(2*PI()*(J503-3+'Model Inputs'!$B$34)/MAX(1,'Model Inputs'!$B$33)))</f>
        <v>0.10392304845413264</v>
      </c>
      <c r="O503" s="230">
        <f t="shared" si="280"/>
        <v>721783.35144853778</v>
      </c>
      <c r="P503" s="230">
        <f t="shared" si="300"/>
        <v>450000</v>
      </c>
      <c r="Q503" s="230">
        <f>L503+P503+IF(J503=1,'Model Inputs'!$B$26,0)</f>
        <v>750000</v>
      </c>
      <c r="R503" s="230">
        <f t="shared" si="281"/>
        <v>750000</v>
      </c>
      <c r="S503" s="230">
        <f t="shared" si="282"/>
        <v>15300000</v>
      </c>
      <c r="T503" s="230">
        <f t="shared" si="283"/>
        <v>750000</v>
      </c>
      <c r="U503" s="230">
        <f>MIN(T503,'Tax Assumptions'!$B$19)</f>
        <v>24500</v>
      </c>
      <c r="V503" s="230">
        <f>MAX(T503-U503-'Tax Assumptions'!$B$8,0)</f>
        <v>709400</v>
      </c>
      <c r="W503" s="230">
        <f>MAX(T503-U503-'Tax Assumptions'!$B$9,0)</f>
        <v>717500</v>
      </c>
      <c r="X503" s="230">
        <f>IF(V503=0,0,LOOKUP(V503,'Tax Assumptions'!$F$9:$F$15,'Tax Assumptions'!$I$9:$I$15)+(V503-LOOKUP(V503,'Tax Assumptions'!$F$9:$F$15,'Tax Assumptions'!$F$9:$F$15))*LOOKUP(V503,'Tax Assumptions'!$F$9:$F$15,'Tax Assumptions'!$H$9:$H$15))+MIN(MAX(T503,0),'Tax Assumptions'!$B$11)*'Tax Assumptions'!$B$10+MAX(T503,0)*'Tax Assumptions'!$B$12+MAX(MAX(T503,0)-'Tax Assumptions'!$B$14,0)*'Tax Assumptions'!$B$13+MIN(T503*'Tax Assumptions'!$B$15,'Tax Assumptions'!$B$16)+MIN(T503*'Tax Assumptions'!$B$17,'Tax Assumptions'!$B$18)+IF(W503=0,0,LOOKUP(W503,'Tax Assumptions'!$K$9:$K$17,'Tax Assumptions'!$N$9:$N$17)+(W503-LOOKUP(W503,'Tax Assumptions'!$K$9:$K$17,'Tax Assumptions'!$K$9:$K$17))*LOOKUP(W503,'Tax Assumptions'!$K$9:$K$17,'Tax Assumptions'!$M$9:$M$17))+IF(W503=0,0,LOOKUP(W503,'Tax Assumptions'!$P$9:$P$12,'Tax Assumptions'!$S$9:$S$12)+(W503-LOOKUP(W503,'Tax Assumptions'!$P$9:$P$12,'Tax Assumptions'!$P$9:$P$12))*LOOKUP(W503,'Tax Assumptions'!$P$9:$P$12,'Tax Assumptions'!$R$9:$R$12))</f>
        <v>320362.53000000003</v>
      </c>
      <c r="Y503" s="230">
        <f t="shared" si="284"/>
        <v>405137.47</v>
      </c>
      <c r="Z503" s="230">
        <f>IF(J503&lt;=10,INDEX('Savings Projection'!$BL$19:$BL$28,J503),LOOKUP(2,1/('Savings Projection'!$BL$19:$BL$28&lt;&gt;""),'Savings Projection'!$BL$19:$BL$28))*(1+'Model Inputs'!$B$35)^(J503-1)+IF(J503&lt;=10,INDEX('Savings Projection'!$BM$19:$BM$28,J503),LOOKUP(2,1/('Savings Projection'!$BM$19:$BM$28&lt;&gt;""),'Savings Projection'!$BM$19:$BM$28))*(1+'Model Inputs'!$B$36)^(J503-1)</f>
        <v>139869.05600000001</v>
      </c>
      <c r="AA503" s="230">
        <f t="shared" si="285"/>
        <v>265268.41399999999</v>
      </c>
      <c r="AB503" s="230">
        <f>MIN(MAX(AA503,0),'Tax Assumptions'!$B$20)</f>
        <v>7500</v>
      </c>
      <c r="AC503" s="230">
        <f t="shared" si="286"/>
        <v>257768.41399999999</v>
      </c>
      <c r="AD503" s="230">
        <f>MAX(AD502*(1+'Model Inputs'!$B$13)+AC503,0)</f>
        <v>1010744.2479095199</v>
      </c>
      <c r="AE503" s="230">
        <f>MAX(AE502*(1+'Model Inputs'!$B$13)+U503+AB503,0)</f>
        <v>139987.712</v>
      </c>
      <c r="AF503" s="230">
        <f t="shared" si="287"/>
        <v>1150731.9599095199</v>
      </c>
      <c r="AG503" s="226" t="str">
        <f t="shared" si="296"/>
        <v/>
      </c>
      <c r="AH503" s="226" t="str">
        <f t="shared" si="297"/>
        <v/>
      </c>
      <c r="AI503" s="226" t="str">
        <f t="shared" si="298"/>
        <v/>
      </c>
      <c r="AJ503" s="226" t="str">
        <f t="shared" si="299"/>
        <v/>
      </c>
    </row>
    <row r="504" spans="1:36" ht="18" customHeight="1" x14ac:dyDescent="0.2">
      <c r="A504" s="226" t="str">
        <f t="shared" si="288"/>
        <v>4Y -&gt; PM Y8 Tail</v>
      </c>
      <c r="B504" s="226">
        <f t="shared" si="289"/>
        <v>4</v>
      </c>
      <c r="C504" s="235">
        <f t="shared" si="290"/>
        <v>3</v>
      </c>
      <c r="D504" s="226">
        <f t="shared" si="291"/>
        <v>8</v>
      </c>
      <c r="E504" s="226" t="str">
        <f t="shared" si="292"/>
        <v>Tail</v>
      </c>
      <c r="F504" s="230">
        <f t="shared" si="293"/>
        <v>100000000</v>
      </c>
      <c r="G504" s="236">
        <f t="shared" si="294"/>
        <v>0.15</v>
      </c>
      <c r="H504" s="230">
        <f t="shared" si="295"/>
        <v>300000</v>
      </c>
      <c r="I504" s="236">
        <f t="shared" si="278"/>
        <v>0</v>
      </c>
      <c r="J504" s="234">
        <v>5</v>
      </c>
      <c r="K504" s="234">
        <f t="shared" si="279"/>
        <v>2030</v>
      </c>
      <c r="L504" s="230">
        <f>IF(J504=1,'Model Inputs'!$B$25*(13-'Model Inputs'!$B$23)/12,'Model Inputs'!$B$25)</f>
        <v>300000</v>
      </c>
      <c r="M504" s="230">
        <f>IF(J504=1,'Model Inputs'!$B$27*(13-'Model Inputs'!$B$23)/12,IF(J504=2,'Model Inputs'!$B$27,IF(J504&lt;=MAX(3,'Model Inputs'!$B$30+1),'Model Inputs'!$B$27*(1+'Model Inputs'!$B$28)^(J504-3),'Model Inputs'!$B$27*(1+'Model Inputs'!$B$28)^(MAX(3,'Model Inputs'!$B$30+1)-3)*(1+'Model Inputs'!$B$29)^(J504-MAX(3,'Model Inputs'!$B$30+1)))))</f>
        <v>950000</v>
      </c>
      <c r="N504" s="236">
        <f>IF(J504&lt;=2,0,'Model Inputs'!$B$32*SIN(2*PI()*(J504-3+'Model Inputs'!$B$34)/MAX(1,'Model Inputs'!$B$33)))</f>
        <v>-0.1039230484541326</v>
      </c>
      <c r="O504" s="230">
        <f t="shared" si="280"/>
        <v>851273.10396857408</v>
      </c>
      <c r="P504" s="230">
        <f t="shared" si="300"/>
        <v>653837.51358640334</v>
      </c>
      <c r="Q504" s="230">
        <f>L504+P504+IF(J504=1,'Model Inputs'!$B$26,0)</f>
        <v>953837.51358640334</v>
      </c>
      <c r="R504" s="230">
        <f t="shared" si="281"/>
        <v>2861512.54075921</v>
      </c>
      <c r="S504" s="230">
        <f t="shared" si="282"/>
        <v>15300000</v>
      </c>
      <c r="T504" s="230">
        <f t="shared" si="283"/>
        <v>2861512.54075921</v>
      </c>
      <c r="U504" s="230">
        <f>MIN(T504,'Tax Assumptions'!$B$19)</f>
        <v>24500</v>
      </c>
      <c r="V504" s="230">
        <f>MAX(T504-U504-'Tax Assumptions'!$B$8,0)</f>
        <v>2820912.54075921</v>
      </c>
      <c r="W504" s="230">
        <f>MAX(T504-U504-'Tax Assumptions'!$B$9,0)</f>
        <v>2829012.54075921</v>
      </c>
      <c r="X504" s="230">
        <f>IF(V504=0,0,LOOKUP(V504,'Tax Assumptions'!$F$9:$F$15,'Tax Assumptions'!$I$9:$I$15)+(V504-LOOKUP(V504,'Tax Assumptions'!$F$9:$F$15,'Tax Assumptions'!$F$9:$F$15))*LOOKUP(V504,'Tax Assumptions'!$F$9:$F$15,'Tax Assumptions'!$H$9:$H$15))+MIN(MAX(T504,0),'Tax Assumptions'!$B$11)*'Tax Assumptions'!$B$10+MAX(T504,0)*'Tax Assumptions'!$B$12+MAX(MAX(T504,0)-'Tax Assumptions'!$B$14,0)*'Tax Assumptions'!$B$13+MIN(T504*'Tax Assumptions'!$B$15,'Tax Assumptions'!$B$16)+MIN(T504*'Tax Assumptions'!$B$17,'Tax Assumptions'!$B$18)+IF(W504=0,0,LOOKUP(W504,'Tax Assumptions'!$K$9:$K$17,'Tax Assumptions'!$N$9:$N$17)+(W504-LOOKUP(W504,'Tax Assumptions'!$K$9:$K$17,'Tax Assumptions'!$K$9:$K$17))*LOOKUP(W504,'Tax Assumptions'!$K$9:$K$17,'Tax Assumptions'!$M$9:$M$17))+IF(W504=0,0,LOOKUP(W504,'Tax Assumptions'!$P$9:$P$12,'Tax Assumptions'!$S$9:$S$12)+(W504-LOOKUP(W504,'Tax Assumptions'!$P$9:$P$12,'Tax Assumptions'!$P$9:$P$12))*LOOKUP(W504,'Tax Assumptions'!$P$9:$P$12,'Tax Assumptions'!$R$9:$R$12))</f>
        <v>1426764.0060518396</v>
      </c>
      <c r="Y504" s="230">
        <f t="shared" si="284"/>
        <v>1410248.5347073704</v>
      </c>
      <c r="Z504" s="230">
        <f>IF(J504&lt;=10,INDEX('Savings Projection'!$BL$19:$BL$28,J504),LOOKUP(2,1/('Savings Projection'!$BL$19:$BL$28&lt;&gt;""),'Savings Projection'!$BL$19:$BL$28))*(1+'Model Inputs'!$B$35)^(J504-1)+IF(J504&lt;=10,INDEX('Savings Projection'!$BM$19:$BM$28,J504),LOOKUP(2,1/('Savings Projection'!$BM$19:$BM$28&lt;&gt;""),'Savings Projection'!$BM$19:$BM$28))*(1+'Model Inputs'!$B$36)^(J504-1)</f>
        <v>144065.12767999998</v>
      </c>
      <c r="AA504" s="230">
        <f t="shared" si="285"/>
        <v>1266183.4070273705</v>
      </c>
      <c r="AB504" s="230">
        <f>MIN(MAX(AA504,0),'Tax Assumptions'!$B$20)</f>
        <v>7500</v>
      </c>
      <c r="AC504" s="230">
        <f t="shared" si="286"/>
        <v>1258683.4070273705</v>
      </c>
      <c r="AD504" s="230">
        <f>MAX(AD503*(1+'Model Inputs'!$B$13)+AC504,0)</f>
        <v>2330072.3098114617</v>
      </c>
      <c r="AE504" s="230">
        <f>MAX(AE503*(1+'Model Inputs'!$B$13)+U504+AB504,0)</f>
        <v>180386.97472</v>
      </c>
      <c r="AF504" s="230">
        <f t="shared" si="287"/>
        <v>2510459.2845314615</v>
      </c>
      <c r="AG504" s="226" t="str">
        <f t="shared" si="296"/>
        <v/>
      </c>
      <c r="AH504" s="226" t="str">
        <f t="shared" si="297"/>
        <v/>
      </c>
      <c r="AI504" s="226" t="str">
        <f t="shared" si="298"/>
        <v/>
      </c>
      <c r="AJ504" s="226" t="str">
        <f t="shared" si="299"/>
        <v/>
      </c>
    </row>
    <row r="505" spans="1:36" ht="18" customHeight="1" x14ac:dyDescent="0.2">
      <c r="A505" s="226" t="str">
        <f t="shared" si="288"/>
        <v>4Y -&gt; PM Y8 Tail</v>
      </c>
      <c r="B505" s="226">
        <f t="shared" si="289"/>
        <v>4</v>
      </c>
      <c r="C505" s="235">
        <f t="shared" si="290"/>
        <v>3</v>
      </c>
      <c r="D505" s="226">
        <f t="shared" si="291"/>
        <v>8</v>
      </c>
      <c r="E505" s="226" t="str">
        <f t="shared" si="292"/>
        <v>Tail</v>
      </c>
      <c r="F505" s="230">
        <f t="shared" si="293"/>
        <v>100000000</v>
      </c>
      <c r="G505" s="236">
        <f t="shared" si="294"/>
        <v>0.15</v>
      </c>
      <c r="H505" s="230">
        <f t="shared" si="295"/>
        <v>300000</v>
      </c>
      <c r="I505" s="236">
        <f t="shared" si="278"/>
        <v>0</v>
      </c>
      <c r="J505" s="234">
        <v>6</v>
      </c>
      <c r="K505" s="234">
        <f t="shared" si="279"/>
        <v>2031</v>
      </c>
      <c r="L505" s="230">
        <f>IF(J505=1,'Model Inputs'!$B$25*(13-'Model Inputs'!$B$23)/12,'Model Inputs'!$B$25)</f>
        <v>300000</v>
      </c>
      <c r="M505" s="230">
        <f>IF(J505=1,'Model Inputs'!$B$27*(13-'Model Inputs'!$B$23)/12,IF(J505=2,'Model Inputs'!$B$27,IF(J505&lt;=MAX(3,'Model Inputs'!$B$30+1),'Model Inputs'!$B$27*(1+'Model Inputs'!$B$28)^(J505-3),'Model Inputs'!$B$27*(1+'Model Inputs'!$B$28)^(MAX(3,'Model Inputs'!$B$30+1)-3)*(1+'Model Inputs'!$B$29)^(J505-MAX(3,'Model Inputs'!$B$30+1)))))</f>
        <v>1207333.5632986501</v>
      </c>
      <c r="N505" s="236">
        <f>IF(J505&lt;=2,0,'Model Inputs'!$B$32*SIN(2*PI()*(J505-3+'Model Inputs'!$B$34)/MAX(1,'Model Inputs'!$B$33)))</f>
        <v>-2.9391523179536474E-17</v>
      </c>
      <c r="O505" s="230">
        <f t="shared" si="280"/>
        <v>1207333.5632986501</v>
      </c>
      <c r="P505" s="230">
        <f t="shared" si="300"/>
        <v>818900.66583856498</v>
      </c>
      <c r="Q505" s="230">
        <f>L505+P505+IF(J505=1,'Model Inputs'!$B$26,0)</f>
        <v>1118900.665838565</v>
      </c>
      <c r="R505" s="230">
        <f t="shared" si="281"/>
        <v>3356701.9975156952</v>
      </c>
      <c r="S505" s="230">
        <f t="shared" si="282"/>
        <v>15300000</v>
      </c>
      <c r="T505" s="230">
        <f t="shared" si="283"/>
        <v>3356701.9975156952</v>
      </c>
      <c r="U505" s="230">
        <f>MIN(T505,'Tax Assumptions'!$B$19)</f>
        <v>24500</v>
      </c>
      <c r="V505" s="230">
        <f>MAX(T505-U505-'Tax Assumptions'!$B$8,0)</f>
        <v>3316101.9975156952</v>
      </c>
      <c r="W505" s="230">
        <f>MAX(T505-U505-'Tax Assumptions'!$B$9,0)</f>
        <v>3324201.9975156952</v>
      </c>
      <c r="X505" s="230">
        <f>IF(V505=0,0,LOOKUP(V505,'Tax Assumptions'!$F$9:$F$15,'Tax Assumptions'!$I$9:$I$15)+(V505-LOOKUP(V505,'Tax Assumptions'!$F$9:$F$15,'Tax Assumptions'!$F$9:$F$15))*LOOKUP(V505,'Tax Assumptions'!$F$9:$F$15,'Tax Assumptions'!$H$9:$H$15))+MIN(MAX(T505,0),'Tax Assumptions'!$B$11)*'Tax Assumptions'!$B$10+MAX(T505,0)*'Tax Assumptions'!$B$12+MAX(MAX(T505,0)-'Tax Assumptions'!$B$14,0)*'Tax Assumptions'!$B$13+MIN(T505*'Tax Assumptions'!$B$15,'Tax Assumptions'!$B$16)+MIN(T505*'Tax Assumptions'!$B$17,'Tax Assumptions'!$B$18)+IF(W505=0,0,LOOKUP(W505,'Tax Assumptions'!$K$9:$K$17,'Tax Assumptions'!$N$9:$N$17)+(W505-LOOKUP(W505,'Tax Assumptions'!$K$9:$K$17,'Tax Assumptions'!$K$9:$K$17))*LOOKUP(W505,'Tax Assumptions'!$K$9:$K$17,'Tax Assumptions'!$M$9:$M$17))+IF(W505=0,0,LOOKUP(W505,'Tax Assumptions'!$P$9:$P$12,'Tax Assumptions'!$S$9:$S$12)+(W505-LOOKUP(W505,'Tax Assumptions'!$P$9:$P$12,'Tax Assumptions'!$P$9:$P$12))*LOOKUP(W505,'Tax Assumptions'!$P$9:$P$12,'Tax Assumptions'!$R$9:$R$12))</f>
        <v>1688600.3832063989</v>
      </c>
      <c r="Y505" s="230">
        <f t="shared" si="284"/>
        <v>1643601.6143092962</v>
      </c>
      <c r="Z505" s="230">
        <f>IF(J505&lt;=10,INDEX('Savings Projection'!$BL$19:$BL$28,J505),LOOKUP(2,1/('Savings Projection'!$BL$19:$BL$28&lt;&gt;""),'Savings Projection'!$BL$19:$BL$28))*(1+'Model Inputs'!$B$35)^(J505-1)+IF(J505&lt;=10,INDEX('Savings Projection'!$BM$19:$BM$28,J505),LOOKUP(2,1/('Savings Projection'!$BM$19:$BM$28&lt;&gt;""),'Savings Projection'!$BM$19:$BM$28))*(1+'Model Inputs'!$B$36)^(J505-1)</f>
        <v>150705.62965899997</v>
      </c>
      <c r="AA505" s="230">
        <f t="shared" si="285"/>
        <v>1492895.9846502962</v>
      </c>
      <c r="AB505" s="230">
        <f>MIN(MAX(AA505,0),'Tax Assumptions'!$B$20)</f>
        <v>7500</v>
      </c>
      <c r="AC505" s="230">
        <f t="shared" si="286"/>
        <v>1485395.9846502962</v>
      </c>
      <c r="AD505" s="230">
        <f>MAX(AD504*(1+'Model Inputs'!$B$13)+AC505,0)</f>
        <v>3955272.6330504459</v>
      </c>
      <c r="AE505" s="230">
        <f>MAX(AE504*(1+'Model Inputs'!$B$13)+U505+AB505,0)</f>
        <v>223210.1932032</v>
      </c>
      <c r="AF505" s="230">
        <f t="shared" si="287"/>
        <v>4178482.8262536461</v>
      </c>
      <c r="AG505" s="226" t="str">
        <f t="shared" si="296"/>
        <v/>
      </c>
      <c r="AH505" s="226" t="str">
        <f t="shared" si="297"/>
        <v/>
      </c>
      <c r="AI505" s="226" t="str">
        <f t="shared" si="298"/>
        <v/>
      </c>
      <c r="AJ505" s="226" t="str">
        <f t="shared" si="299"/>
        <v/>
      </c>
    </row>
    <row r="506" spans="1:36" ht="18" customHeight="1" x14ac:dyDescent="0.2">
      <c r="A506" s="226" t="str">
        <f t="shared" si="288"/>
        <v>4Y -&gt; PM Y8 Tail</v>
      </c>
      <c r="B506" s="226">
        <f t="shared" si="289"/>
        <v>4</v>
      </c>
      <c r="C506" s="235">
        <f t="shared" si="290"/>
        <v>3</v>
      </c>
      <c r="D506" s="226">
        <f t="shared" si="291"/>
        <v>8</v>
      </c>
      <c r="E506" s="226" t="str">
        <f t="shared" si="292"/>
        <v>Tail</v>
      </c>
      <c r="F506" s="230">
        <f t="shared" si="293"/>
        <v>100000000</v>
      </c>
      <c r="G506" s="236">
        <f t="shared" si="294"/>
        <v>0.15</v>
      </c>
      <c r="H506" s="230">
        <f t="shared" si="295"/>
        <v>300000</v>
      </c>
      <c r="I506" s="236">
        <f t="shared" si="278"/>
        <v>0</v>
      </c>
      <c r="J506" s="234">
        <v>7</v>
      </c>
      <c r="K506" s="234">
        <f t="shared" si="279"/>
        <v>2032</v>
      </c>
      <c r="L506" s="230">
        <f>IF(J506=1,'Model Inputs'!$B$25*(13-'Model Inputs'!$B$23)/12,'Model Inputs'!$B$25)</f>
        <v>300000</v>
      </c>
      <c r="M506" s="230">
        <f>IF(J506=1,'Model Inputs'!$B$27*(13-'Model Inputs'!$B$23)/12,IF(J506=2,'Model Inputs'!$B$27,IF(J506&lt;=MAX(3,'Model Inputs'!$B$30+1),'Model Inputs'!$B$27*(1+'Model Inputs'!$B$28)^(J506-3),'Model Inputs'!$B$27*(1+'Model Inputs'!$B$28)^(MAX(3,'Model Inputs'!$B$30+1)-3)*(1+'Model Inputs'!$B$29)^(J506-MAX(3,'Model Inputs'!$B$30+1)))))</f>
        <v>1534372.9821762268</v>
      </c>
      <c r="N506" s="236">
        <f>IF(J506&lt;=2,0,'Model Inputs'!$B$32*SIN(2*PI()*(J506-3+'Model Inputs'!$B$34)/MAX(1,'Model Inputs'!$B$33)))</f>
        <v>0.10392304845413269</v>
      </c>
      <c r="O506" s="230">
        <f t="shared" si="280"/>
        <v>1693829.6999496389</v>
      </c>
      <c r="P506" s="230">
        <f t="shared" si="300"/>
        <v>1118318.448466131</v>
      </c>
      <c r="Q506" s="230">
        <f>L506+P506+IF(J506=1,'Model Inputs'!$B$26,0)</f>
        <v>1418318.448466131</v>
      </c>
      <c r="R506" s="230">
        <f t="shared" si="281"/>
        <v>4254955.3453983925</v>
      </c>
      <c r="S506" s="230">
        <f t="shared" si="282"/>
        <v>15300000</v>
      </c>
      <c r="T506" s="230">
        <f t="shared" si="283"/>
        <v>4254955.3453983925</v>
      </c>
      <c r="U506" s="230">
        <f>MIN(T506,'Tax Assumptions'!$B$19)</f>
        <v>24500</v>
      </c>
      <c r="V506" s="230">
        <f>MAX(T506-U506-'Tax Assumptions'!$B$8,0)</f>
        <v>4214355.3453983925</v>
      </c>
      <c r="W506" s="230">
        <f>MAX(T506-U506-'Tax Assumptions'!$B$9,0)</f>
        <v>4222455.3453983925</v>
      </c>
      <c r="X506" s="230">
        <f>IF(V506=0,0,LOOKUP(V506,'Tax Assumptions'!$F$9:$F$15,'Tax Assumptions'!$I$9:$I$15)+(V506-LOOKUP(V506,'Tax Assumptions'!$F$9:$F$15,'Tax Assumptions'!$F$9:$F$15))*LOOKUP(V506,'Tax Assumptions'!$F$9:$F$15,'Tax Assumptions'!$H$9:$H$15))+MIN(MAX(T506,0),'Tax Assumptions'!$B$11)*'Tax Assumptions'!$B$10+MAX(T506,0)*'Tax Assumptions'!$B$12+MAX(MAX(T506,0)-'Tax Assumptions'!$B$14,0)*'Tax Assumptions'!$B$13+MIN(T506*'Tax Assumptions'!$B$15,'Tax Assumptions'!$B$16)+MIN(T506*'Tax Assumptions'!$B$17,'Tax Assumptions'!$B$18)+IF(W506=0,0,LOOKUP(W506,'Tax Assumptions'!$K$9:$K$17,'Tax Assumptions'!$N$9:$N$17)+(W506-LOOKUP(W506,'Tax Assumptions'!$K$9:$K$17,'Tax Assumptions'!$K$9:$K$17))*LOOKUP(W506,'Tax Assumptions'!$K$9:$K$17,'Tax Assumptions'!$M$9:$M$17))+IF(W506=0,0,LOOKUP(W506,'Tax Assumptions'!$P$9:$P$12,'Tax Assumptions'!$S$9:$S$12)+(W506-LOOKUP(W506,'Tax Assumptions'!$P$9:$P$12,'Tax Assumptions'!$P$9:$P$12))*LOOKUP(W506,'Tax Assumptions'!$P$9:$P$12,'Tax Assumptions'!$R$9:$R$12))</f>
        <v>2163560.8234328539</v>
      </c>
      <c r="Y506" s="230">
        <f t="shared" si="284"/>
        <v>2066894.5219655386</v>
      </c>
      <c r="Z506" s="230">
        <f>IF(J506&lt;=10,INDEX('Savings Projection'!$BL$19:$BL$28,J506),LOOKUP(2,1/('Savings Projection'!$BL$19:$BL$28&lt;&gt;""),'Savings Projection'!$BL$19:$BL$28))*(1+'Model Inputs'!$B$35)^(J506-1)+IF(J506&lt;=10,INDEX('Savings Projection'!$BM$19:$BM$28,J506),LOOKUP(2,1/('Savings Projection'!$BM$19:$BM$28&lt;&gt;""),'Savings Projection'!$BM$19:$BM$28))*(1+'Model Inputs'!$B$36)^(J506-1)</f>
        <v>155226.79854876999</v>
      </c>
      <c r="AA506" s="230">
        <f t="shared" si="285"/>
        <v>1911667.7234167687</v>
      </c>
      <c r="AB506" s="230">
        <f>MIN(MAX(AA506,0),'Tax Assumptions'!$B$20)</f>
        <v>7500</v>
      </c>
      <c r="AC506" s="230">
        <f t="shared" si="286"/>
        <v>1904167.7234167687</v>
      </c>
      <c r="AD506" s="230">
        <f>MAX(AD505*(1+'Model Inputs'!$B$13)+AC506,0)</f>
        <v>6096756.714450242</v>
      </c>
      <c r="AE506" s="230">
        <f>MAX(AE505*(1+'Model Inputs'!$B$13)+U506+AB506,0)</f>
        <v>268602.80479539197</v>
      </c>
      <c r="AF506" s="230">
        <f t="shared" si="287"/>
        <v>6365359.5192456339</v>
      </c>
      <c r="AG506" s="226" t="str">
        <f t="shared" si="296"/>
        <v/>
      </c>
      <c r="AH506" s="226" t="str">
        <f t="shared" si="297"/>
        <v/>
      </c>
      <c r="AI506" s="226" t="str">
        <f t="shared" si="298"/>
        <v/>
      </c>
      <c r="AJ506" s="226" t="str">
        <f t="shared" si="299"/>
        <v/>
      </c>
    </row>
    <row r="507" spans="1:36" ht="18" customHeight="1" x14ac:dyDescent="0.2">
      <c r="A507" s="226" t="str">
        <f t="shared" si="288"/>
        <v>4Y -&gt; PM Y8 Tail</v>
      </c>
      <c r="B507" s="226">
        <f t="shared" si="289"/>
        <v>4</v>
      </c>
      <c r="C507" s="235">
        <f t="shared" si="290"/>
        <v>3</v>
      </c>
      <c r="D507" s="226">
        <f t="shared" si="291"/>
        <v>8</v>
      </c>
      <c r="E507" s="226" t="str">
        <f t="shared" si="292"/>
        <v>Tail</v>
      </c>
      <c r="F507" s="230">
        <f t="shared" si="293"/>
        <v>100000000</v>
      </c>
      <c r="G507" s="236">
        <f t="shared" si="294"/>
        <v>0.15</v>
      </c>
      <c r="H507" s="230">
        <f t="shared" si="295"/>
        <v>300000</v>
      </c>
      <c r="I507" s="236">
        <f t="shared" si="278"/>
        <v>0</v>
      </c>
      <c r="J507" s="234">
        <v>8</v>
      </c>
      <c r="K507" s="234">
        <f t="shared" si="279"/>
        <v>2033</v>
      </c>
      <c r="L507" s="230">
        <f>IF(J507=1,'Model Inputs'!$B$25*(13-'Model Inputs'!$B$23)/12,'Model Inputs'!$B$25)</f>
        <v>300000</v>
      </c>
      <c r="M507" s="230">
        <f>IF(J507=1,'Model Inputs'!$B$27*(13-'Model Inputs'!$B$23)/12,IF(J507=2,'Model Inputs'!$B$27,IF(J507&lt;=MAX(3,'Model Inputs'!$B$30+1),'Model Inputs'!$B$27*(1+'Model Inputs'!$B$28)^(J507-3),'Model Inputs'!$B$27*(1+'Model Inputs'!$B$28)^(MAX(3,'Model Inputs'!$B$30+1)-3)*(1+'Model Inputs'!$B$29)^(J507-MAX(3,'Model Inputs'!$B$30+1)))))</f>
        <v>1950000.0000000002</v>
      </c>
      <c r="N507" s="236">
        <f>IF(J507&lt;=2,0,'Model Inputs'!$B$32*SIN(2*PI()*(J507-3+'Model Inputs'!$B$34)/MAX(1,'Model Inputs'!$B$33)))</f>
        <v>-0.10392304845413264</v>
      </c>
      <c r="O507" s="230">
        <f t="shared" si="280"/>
        <v>1747350.0555144416</v>
      </c>
      <c r="P507" s="230">
        <f t="shared" si="300"/>
        <v>1572205.6657868917</v>
      </c>
      <c r="Q507" s="230">
        <f>L507+P507+IF(J507=1,'Model Inputs'!$B$26,0)</f>
        <v>1872205.6657868917</v>
      </c>
      <c r="R507" s="230">
        <f t="shared" si="281"/>
        <v>5616616.9973606747</v>
      </c>
      <c r="S507" s="230">
        <f t="shared" si="282"/>
        <v>15300000</v>
      </c>
      <c r="T507" s="230">
        <f t="shared" si="283"/>
        <v>15300000</v>
      </c>
      <c r="U507" s="230">
        <f>MIN(T507,'Tax Assumptions'!$B$19)</f>
        <v>24500</v>
      </c>
      <c r="V507" s="230">
        <f>MAX(T507-U507-'Tax Assumptions'!$B$8,0)</f>
        <v>15259400</v>
      </c>
      <c r="W507" s="230">
        <f>MAX(T507-U507-'Tax Assumptions'!$B$9,0)</f>
        <v>15267500</v>
      </c>
      <c r="X507" s="230">
        <f>IF(V507=0,0,LOOKUP(V507,'Tax Assumptions'!$F$9:$F$15,'Tax Assumptions'!$I$9:$I$15)+(V507-LOOKUP(V507,'Tax Assumptions'!$F$9:$F$15,'Tax Assumptions'!$F$9:$F$15))*LOOKUP(V507,'Tax Assumptions'!$F$9:$F$15,'Tax Assumptions'!$H$9:$H$15))+MIN(MAX(T507,0),'Tax Assumptions'!$B$11)*'Tax Assumptions'!$B$10+MAX(T507,0)*'Tax Assumptions'!$B$12+MAX(MAX(T507,0)-'Tax Assumptions'!$B$14,0)*'Tax Assumptions'!$B$13+MIN(T507*'Tax Assumptions'!$B$15,'Tax Assumptions'!$B$16)+MIN(T507*'Tax Assumptions'!$B$17,'Tax Assumptions'!$B$18)+IF(W507=0,0,LOOKUP(W507,'Tax Assumptions'!$K$9:$K$17,'Tax Assumptions'!$N$9:$N$17)+(W507-LOOKUP(W507,'Tax Assumptions'!$K$9:$K$17,'Tax Assumptions'!$K$9:$K$17))*LOOKUP(W507,'Tax Assumptions'!$K$9:$K$17,'Tax Assumptions'!$M$9:$M$17))+IF(W507=0,0,LOOKUP(W507,'Tax Assumptions'!$P$9:$P$12,'Tax Assumptions'!$S$9:$S$12)+(W507-LOOKUP(W507,'Tax Assumptions'!$P$9:$P$12,'Tax Assumptions'!$P$9:$P$12))*LOOKUP(W507,'Tax Assumptions'!$P$9:$P$12,'Tax Assumptions'!$R$9:$R$12))</f>
        <v>8070480.54</v>
      </c>
      <c r="Y507" s="230">
        <f t="shared" si="284"/>
        <v>7205019.46</v>
      </c>
      <c r="Z507" s="230">
        <f>IF(J507&lt;=10,INDEX('Savings Projection'!$BL$19:$BL$28,J507),LOOKUP(2,1/('Savings Projection'!$BL$19:$BL$28&lt;&gt;""),'Savings Projection'!$BL$19:$BL$28))*(1+'Model Inputs'!$B$35)^(J507-1)+IF(J507&lt;=10,INDEX('Savings Projection'!$BM$19:$BM$28,J507),LOOKUP(2,1/('Savings Projection'!$BM$19:$BM$28&lt;&gt;""),'Savings Projection'!$BM$19:$BM$28))*(1+'Model Inputs'!$B$36)^(J507-1)</f>
        <v>159883.60250523311</v>
      </c>
      <c r="AA507" s="230">
        <f t="shared" si="285"/>
        <v>7045135.8574947668</v>
      </c>
      <c r="AB507" s="230">
        <f>MIN(MAX(AA507,0),'Tax Assumptions'!$B$20)</f>
        <v>7500</v>
      </c>
      <c r="AC507" s="230">
        <f t="shared" si="286"/>
        <v>7037635.8574947668</v>
      </c>
      <c r="AD507" s="230">
        <f>MAX(AD506*(1+'Model Inputs'!$B$13)+AC507,0)</f>
        <v>13500197.974812023</v>
      </c>
      <c r="AE507" s="230">
        <f>MAX(AE506*(1+'Model Inputs'!$B$13)+U507+AB507,0)</f>
        <v>316718.97308311553</v>
      </c>
      <c r="AF507" s="230">
        <f t="shared" si="287"/>
        <v>13816916.947895139</v>
      </c>
      <c r="AG507" s="226" t="str">
        <f t="shared" si="296"/>
        <v/>
      </c>
      <c r="AH507" s="226" t="str">
        <f t="shared" si="297"/>
        <v/>
      </c>
      <c r="AI507" s="226" t="str">
        <f t="shared" si="298"/>
        <v/>
      </c>
      <c r="AJ507" s="226" t="str">
        <f t="shared" si="299"/>
        <v/>
      </c>
    </row>
    <row r="508" spans="1:36" ht="18" customHeight="1" x14ac:dyDescent="0.2">
      <c r="A508" s="226" t="str">
        <f t="shared" si="288"/>
        <v>4Y -&gt; PM Y8 Tail</v>
      </c>
      <c r="B508" s="226">
        <f t="shared" si="289"/>
        <v>4</v>
      </c>
      <c r="C508" s="235">
        <f t="shared" si="290"/>
        <v>3</v>
      </c>
      <c r="D508" s="226">
        <f t="shared" si="291"/>
        <v>8</v>
      </c>
      <c r="E508" s="226" t="str">
        <f t="shared" si="292"/>
        <v>Tail</v>
      </c>
      <c r="F508" s="230">
        <f t="shared" si="293"/>
        <v>100000000</v>
      </c>
      <c r="G508" s="236">
        <f t="shared" si="294"/>
        <v>0.15</v>
      </c>
      <c r="H508" s="230">
        <f t="shared" si="295"/>
        <v>300000</v>
      </c>
      <c r="I508" s="236">
        <f t="shared" si="278"/>
        <v>0</v>
      </c>
      <c r="J508" s="234">
        <v>9</v>
      </c>
      <c r="K508" s="234">
        <f t="shared" si="279"/>
        <v>2034</v>
      </c>
      <c r="L508" s="230">
        <f>IF(J508=1,'Model Inputs'!$B$25*(13-'Model Inputs'!$B$23)/12,'Model Inputs'!$B$25)</f>
        <v>300000</v>
      </c>
      <c r="M508" s="230">
        <f>IF(J508=1,'Model Inputs'!$B$27*(13-'Model Inputs'!$B$23)/12,IF(J508=2,'Model Inputs'!$B$27,IF(J508&lt;=MAX(3,'Model Inputs'!$B$30+1),'Model Inputs'!$B$27*(1+'Model Inputs'!$B$28)^(J508-3),'Model Inputs'!$B$27*(1+'Model Inputs'!$B$28)^(MAX(3,'Model Inputs'!$B$30+1)-3)*(1+'Model Inputs'!$B$29)^(J508-MAX(3,'Model Inputs'!$B$30+1)))))</f>
        <v>2478210.9983498608</v>
      </c>
      <c r="N508" s="236">
        <f>IF(J508&lt;=2,0,'Model Inputs'!$B$32*SIN(2*PI()*(J508-3+'Model Inputs'!$B$34)/MAX(1,'Model Inputs'!$B$33)))</f>
        <v>-5.8783046359072947E-17</v>
      </c>
      <c r="O508" s="230">
        <f t="shared" si="280"/>
        <v>2478210.9983498603</v>
      </c>
      <c r="P508" s="230">
        <f t="shared" si="300"/>
        <v>1733969.9666232408</v>
      </c>
      <c r="Q508" s="230">
        <f>L508+P508+IF(J508=1,'Model Inputs'!$B$26,0)</f>
        <v>2033969.9666232408</v>
      </c>
      <c r="R508" s="230">
        <f t="shared" si="281"/>
        <v>6101909.8998697223</v>
      </c>
      <c r="S508" s="230">
        <f t="shared" si="282"/>
        <v>15300000</v>
      </c>
      <c r="T508" s="230">
        <f t="shared" si="283"/>
        <v>15300000</v>
      </c>
      <c r="U508" s="230">
        <f>MIN(T508,'Tax Assumptions'!$B$19)</f>
        <v>24500</v>
      </c>
      <c r="V508" s="230">
        <f>MAX(T508-U508-'Tax Assumptions'!$B$8,0)</f>
        <v>15259400</v>
      </c>
      <c r="W508" s="230">
        <f>MAX(T508-U508-'Tax Assumptions'!$B$9,0)</f>
        <v>15267500</v>
      </c>
      <c r="X508" s="230">
        <f>IF(V508=0,0,LOOKUP(V508,'Tax Assumptions'!$F$9:$F$15,'Tax Assumptions'!$I$9:$I$15)+(V508-LOOKUP(V508,'Tax Assumptions'!$F$9:$F$15,'Tax Assumptions'!$F$9:$F$15))*LOOKUP(V508,'Tax Assumptions'!$F$9:$F$15,'Tax Assumptions'!$H$9:$H$15))+MIN(MAX(T508,0),'Tax Assumptions'!$B$11)*'Tax Assumptions'!$B$10+MAX(T508,0)*'Tax Assumptions'!$B$12+MAX(MAX(T508,0)-'Tax Assumptions'!$B$14,0)*'Tax Assumptions'!$B$13+MIN(T508*'Tax Assumptions'!$B$15,'Tax Assumptions'!$B$16)+MIN(T508*'Tax Assumptions'!$B$17,'Tax Assumptions'!$B$18)+IF(W508=0,0,LOOKUP(W508,'Tax Assumptions'!$K$9:$K$17,'Tax Assumptions'!$N$9:$N$17)+(W508-LOOKUP(W508,'Tax Assumptions'!$K$9:$K$17,'Tax Assumptions'!$K$9:$K$17))*LOOKUP(W508,'Tax Assumptions'!$K$9:$K$17,'Tax Assumptions'!$M$9:$M$17))+IF(W508=0,0,LOOKUP(W508,'Tax Assumptions'!$P$9:$P$12,'Tax Assumptions'!$S$9:$S$12)+(W508-LOOKUP(W508,'Tax Assumptions'!$P$9:$P$12,'Tax Assumptions'!$P$9:$P$12))*LOOKUP(W508,'Tax Assumptions'!$P$9:$P$12,'Tax Assumptions'!$R$9:$R$12))</f>
        <v>8070480.54</v>
      </c>
      <c r="Y508" s="230">
        <f t="shared" si="284"/>
        <v>7205019.46</v>
      </c>
      <c r="Z508" s="230">
        <f>IF(J508&lt;=10,INDEX('Savings Projection'!$BL$19:$BL$28,J508),LOOKUP(2,1/('Savings Projection'!$BL$19:$BL$28&lt;&gt;""),'Savings Projection'!$BL$19:$BL$28))*(1+'Model Inputs'!$B$35)^(J508-1)+IF(J508&lt;=10,INDEX('Savings Projection'!$BM$19:$BM$28,J508),LOOKUP(2,1/('Savings Projection'!$BM$19:$BM$28&lt;&gt;""),'Savings Projection'!$BM$19:$BM$28))*(1+'Model Inputs'!$B$36)^(J508-1)</f>
        <v>164680.11058039009</v>
      </c>
      <c r="AA508" s="230">
        <f t="shared" si="285"/>
        <v>7040339.3494196096</v>
      </c>
      <c r="AB508" s="230">
        <f>MIN(MAX(AA508,0),'Tax Assumptions'!$B$20)</f>
        <v>7500</v>
      </c>
      <c r="AC508" s="230">
        <f t="shared" si="286"/>
        <v>7032839.3494196096</v>
      </c>
      <c r="AD508" s="230">
        <f>MAX(AD507*(1+'Model Inputs'!$B$13)+AC508,0)</f>
        <v>21343049.202720355</v>
      </c>
      <c r="AE508" s="230">
        <f>MAX(AE507*(1+'Model Inputs'!$B$13)+U508+AB508,0)</f>
        <v>367722.11146810249</v>
      </c>
      <c r="AF508" s="230">
        <f t="shared" si="287"/>
        <v>21710771.314188458</v>
      </c>
      <c r="AG508" s="226">
        <f t="shared" si="296"/>
        <v>9</v>
      </c>
      <c r="AH508" s="226">
        <f t="shared" si="297"/>
        <v>9</v>
      </c>
      <c r="AI508" s="226">
        <f t="shared" si="298"/>
        <v>9</v>
      </c>
      <c r="AJ508" s="226">
        <f t="shared" si="299"/>
        <v>9</v>
      </c>
    </row>
    <row r="509" spans="1:36" ht="18" customHeight="1" x14ac:dyDescent="0.2">
      <c r="A509" s="226" t="str">
        <f t="shared" si="288"/>
        <v>4Y -&gt; PM Y8 Tail</v>
      </c>
      <c r="B509" s="226">
        <f t="shared" si="289"/>
        <v>4</v>
      </c>
      <c r="C509" s="235">
        <f t="shared" si="290"/>
        <v>3</v>
      </c>
      <c r="D509" s="226">
        <f t="shared" si="291"/>
        <v>8</v>
      </c>
      <c r="E509" s="226" t="str">
        <f t="shared" si="292"/>
        <v>Tail</v>
      </c>
      <c r="F509" s="230">
        <f t="shared" si="293"/>
        <v>100000000</v>
      </c>
      <c r="G509" s="236">
        <f t="shared" si="294"/>
        <v>0.15</v>
      </c>
      <c r="H509" s="230">
        <f t="shared" si="295"/>
        <v>300000</v>
      </c>
      <c r="I509" s="236">
        <f t="shared" si="278"/>
        <v>0</v>
      </c>
      <c r="J509" s="234">
        <v>10</v>
      </c>
      <c r="K509" s="234">
        <f t="shared" si="279"/>
        <v>2035</v>
      </c>
      <c r="L509" s="230">
        <f>IF(J509=1,'Model Inputs'!$B$25*(13-'Model Inputs'!$B$23)/12,'Model Inputs'!$B$25)</f>
        <v>300000</v>
      </c>
      <c r="M509" s="230">
        <f>IF(J509=1,'Model Inputs'!$B$27*(13-'Model Inputs'!$B$23)/12,IF(J509=2,'Model Inputs'!$B$27,IF(J509&lt;=MAX(3,'Model Inputs'!$B$30+1),'Model Inputs'!$B$27*(1+'Model Inputs'!$B$28)^(J509-3),'Model Inputs'!$B$27*(1+'Model Inputs'!$B$28)^(MAX(3,'Model Inputs'!$B$30+1)-3)*(1+'Model Inputs'!$B$29)^(J509-MAX(3,'Model Inputs'!$B$30+1)))))</f>
        <v>3149502.4370985711</v>
      </c>
      <c r="N509" s="236">
        <f>IF(J509&lt;=2,0,'Model Inputs'!$B$32*SIN(2*PI()*(J509-3+'Model Inputs'!$B$34)/MAX(1,'Model Inputs'!$B$33)))</f>
        <v>0.10392304845413271</v>
      </c>
      <c r="O509" s="230">
        <f t="shared" si="280"/>
        <v>3476808.331475575</v>
      </c>
      <c r="P509" s="230">
        <f t="shared" si="300"/>
        <v>2295495.7626410057</v>
      </c>
      <c r="Q509" s="230">
        <f>L509+P509+IF(J509=1,'Model Inputs'!$B$26,0)</f>
        <v>2595495.7626410057</v>
      </c>
      <c r="R509" s="230">
        <f t="shared" si="281"/>
        <v>7786487.2879230175</v>
      </c>
      <c r="S509" s="230">
        <f t="shared" si="282"/>
        <v>15300000</v>
      </c>
      <c r="T509" s="230">
        <f t="shared" si="283"/>
        <v>15300000</v>
      </c>
      <c r="U509" s="230">
        <f>MIN(T509,'Tax Assumptions'!$B$19)</f>
        <v>24500</v>
      </c>
      <c r="V509" s="230">
        <f>MAX(T509-U509-'Tax Assumptions'!$B$8,0)</f>
        <v>15259400</v>
      </c>
      <c r="W509" s="230">
        <f>MAX(T509-U509-'Tax Assumptions'!$B$9,0)</f>
        <v>15267500</v>
      </c>
      <c r="X509" s="230">
        <f>IF(V509=0,0,LOOKUP(V509,'Tax Assumptions'!$F$9:$F$15,'Tax Assumptions'!$I$9:$I$15)+(V509-LOOKUP(V509,'Tax Assumptions'!$F$9:$F$15,'Tax Assumptions'!$F$9:$F$15))*LOOKUP(V509,'Tax Assumptions'!$F$9:$F$15,'Tax Assumptions'!$H$9:$H$15))+MIN(MAX(T509,0),'Tax Assumptions'!$B$11)*'Tax Assumptions'!$B$10+MAX(T509,0)*'Tax Assumptions'!$B$12+MAX(MAX(T509,0)-'Tax Assumptions'!$B$14,0)*'Tax Assumptions'!$B$13+MIN(T509*'Tax Assumptions'!$B$15,'Tax Assumptions'!$B$16)+MIN(T509*'Tax Assumptions'!$B$17,'Tax Assumptions'!$B$18)+IF(W509=0,0,LOOKUP(W509,'Tax Assumptions'!$K$9:$K$17,'Tax Assumptions'!$N$9:$N$17)+(W509-LOOKUP(W509,'Tax Assumptions'!$K$9:$K$17,'Tax Assumptions'!$K$9:$K$17))*LOOKUP(W509,'Tax Assumptions'!$K$9:$K$17,'Tax Assumptions'!$M$9:$M$17))+IF(W509=0,0,LOOKUP(W509,'Tax Assumptions'!$P$9:$P$12,'Tax Assumptions'!$S$9:$S$12)+(W509-LOOKUP(W509,'Tax Assumptions'!$P$9:$P$12,'Tax Assumptions'!$P$9:$P$12))*LOOKUP(W509,'Tax Assumptions'!$P$9:$P$12,'Tax Assumptions'!$R$9:$R$12))</f>
        <v>8070480.54</v>
      </c>
      <c r="Y509" s="230">
        <f t="shared" si="284"/>
        <v>7205019.46</v>
      </c>
      <c r="Z509" s="230">
        <f>IF(J509&lt;=10,INDEX('Savings Projection'!$BL$19:$BL$28,J509),LOOKUP(2,1/('Savings Projection'!$BL$19:$BL$28&lt;&gt;""),'Savings Projection'!$BL$19:$BL$28))*(1+'Model Inputs'!$B$35)^(J509-1)+IF(J509&lt;=10,INDEX('Savings Projection'!$BM$19:$BM$28,J509),LOOKUP(2,1/('Savings Projection'!$BM$19:$BM$28&lt;&gt;""),'Savings Projection'!$BM$19:$BM$28))*(1+'Model Inputs'!$B$36)^(J509-1)</f>
        <v>169620.51389780178</v>
      </c>
      <c r="AA509" s="230">
        <f t="shared" si="285"/>
        <v>7035398.9461021982</v>
      </c>
      <c r="AB509" s="230">
        <f>MIN(MAX(AA509,0),'Tax Assumptions'!$B$20)</f>
        <v>7500</v>
      </c>
      <c r="AC509" s="230">
        <f t="shared" si="286"/>
        <v>7027898.9461021982</v>
      </c>
      <c r="AD509" s="230">
        <f>MAX(AD508*(1+'Model Inputs'!$B$13)+AC509,0)</f>
        <v>29651531.100985777</v>
      </c>
      <c r="AE509" s="230">
        <f>MAX(AE508*(1+'Model Inputs'!$B$13)+U509+AB509,0)</f>
        <v>421785.43815618864</v>
      </c>
      <c r="AF509" s="230">
        <f t="shared" si="287"/>
        <v>30073316.539141964</v>
      </c>
      <c r="AG509" s="226" t="str">
        <f t="shared" si="296"/>
        <v/>
      </c>
      <c r="AH509" s="226" t="str">
        <f t="shared" si="297"/>
        <v/>
      </c>
      <c r="AI509" s="226" t="str">
        <f t="shared" si="298"/>
        <v/>
      </c>
      <c r="AJ509" s="226" t="str">
        <f t="shared" si="299"/>
        <v/>
      </c>
    </row>
    <row r="510" spans="1:36" ht="18" customHeight="1" x14ac:dyDescent="0.2">
      <c r="A510" s="226" t="str">
        <f t="shared" si="288"/>
        <v>4Y -&gt; PM Y8 Tail</v>
      </c>
      <c r="B510" s="226">
        <f t="shared" si="289"/>
        <v>4</v>
      </c>
      <c r="C510" s="235">
        <f t="shared" si="290"/>
        <v>3</v>
      </c>
      <c r="D510" s="226">
        <f t="shared" si="291"/>
        <v>8</v>
      </c>
      <c r="E510" s="226" t="str">
        <f t="shared" si="292"/>
        <v>Tail</v>
      </c>
      <c r="F510" s="230">
        <f t="shared" si="293"/>
        <v>100000000</v>
      </c>
      <c r="G510" s="236">
        <f t="shared" si="294"/>
        <v>0.15</v>
      </c>
      <c r="H510" s="230">
        <f t="shared" si="295"/>
        <v>300000</v>
      </c>
      <c r="I510" s="236">
        <f t="shared" si="278"/>
        <v>0</v>
      </c>
      <c r="J510" s="234">
        <v>11</v>
      </c>
      <c r="K510" s="234">
        <f t="shared" si="279"/>
        <v>2036</v>
      </c>
      <c r="L510" s="230">
        <f>IF(J510=1,'Model Inputs'!$B$25*(13-'Model Inputs'!$B$23)/12,'Model Inputs'!$B$25)</f>
        <v>300000</v>
      </c>
      <c r="M510" s="230">
        <f>IF(J510=1,'Model Inputs'!$B$27*(13-'Model Inputs'!$B$23)/12,IF(J510=2,'Model Inputs'!$B$27,IF(J510&lt;=MAX(3,'Model Inputs'!$B$30+1),'Model Inputs'!$B$27*(1+'Model Inputs'!$B$28)^(J510-3),'Model Inputs'!$B$27*(1+'Model Inputs'!$B$28)^(MAX(3,'Model Inputs'!$B$30+1)-3)*(1+'Model Inputs'!$B$29)^(J510-MAX(3,'Model Inputs'!$B$30+1)))))</f>
        <v>4002631.578947369</v>
      </c>
      <c r="N510" s="236">
        <f>IF(J510&lt;=2,0,'Model Inputs'!$B$32*SIN(2*PI()*(J510-3+'Model Inputs'!$B$34)/MAX(1,'Model Inputs'!$B$33)))</f>
        <v>-0.10392304845413253</v>
      </c>
      <c r="O510" s="230">
        <f t="shared" si="280"/>
        <v>3586665.9034243808</v>
      </c>
      <c r="P510" s="230">
        <f t="shared" si="300"/>
        <v>3227158.9981941464</v>
      </c>
      <c r="Q510" s="230">
        <f>L510+P510+IF(J510=1,'Model Inputs'!$B$26,0)</f>
        <v>3527158.9981941464</v>
      </c>
      <c r="R510" s="230">
        <f t="shared" si="281"/>
        <v>10581476.994582439</v>
      </c>
      <c r="S510" s="230">
        <f t="shared" si="282"/>
        <v>15300000</v>
      </c>
      <c r="T510" s="230">
        <f t="shared" si="283"/>
        <v>15300000</v>
      </c>
      <c r="U510" s="230">
        <f>MIN(T510,'Tax Assumptions'!$B$19)</f>
        <v>24500</v>
      </c>
      <c r="V510" s="230">
        <f>MAX(T510-U510-'Tax Assumptions'!$B$8,0)</f>
        <v>15259400</v>
      </c>
      <c r="W510" s="230">
        <f>MAX(T510-U510-'Tax Assumptions'!$B$9,0)</f>
        <v>15267500</v>
      </c>
      <c r="X510" s="230">
        <f>IF(V510=0,0,LOOKUP(V510,'Tax Assumptions'!$F$9:$F$15,'Tax Assumptions'!$I$9:$I$15)+(V510-LOOKUP(V510,'Tax Assumptions'!$F$9:$F$15,'Tax Assumptions'!$F$9:$F$15))*LOOKUP(V510,'Tax Assumptions'!$F$9:$F$15,'Tax Assumptions'!$H$9:$H$15))+MIN(MAX(T510,0),'Tax Assumptions'!$B$11)*'Tax Assumptions'!$B$10+MAX(T510,0)*'Tax Assumptions'!$B$12+MAX(MAX(T510,0)-'Tax Assumptions'!$B$14,0)*'Tax Assumptions'!$B$13+MIN(T510*'Tax Assumptions'!$B$15,'Tax Assumptions'!$B$16)+MIN(T510*'Tax Assumptions'!$B$17,'Tax Assumptions'!$B$18)+IF(W510=0,0,LOOKUP(W510,'Tax Assumptions'!$K$9:$K$17,'Tax Assumptions'!$N$9:$N$17)+(W510-LOOKUP(W510,'Tax Assumptions'!$K$9:$K$17,'Tax Assumptions'!$K$9:$K$17))*LOOKUP(W510,'Tax Assumptions'!$K$9:$K$17,'Tax Assumptions'!$M$9:$M$17))+IF(W510=0,0,LOOKUP(W510,'Tax Assumptions'!$P$9:$P$12,'Tax Assumptions'!$S$9:$S$12)+(W510-LOOKUP(W510,'Tax Assumptions'!$P$9:$P$12,'Tax Assumptions'!$P$9:$P$12))*LOOKUP(W510,'Tax Assumptions'!$P$9:$P$12,'Tax Assumptions'!$R$9:$R$12))</f>
        <v>8070480.54</v>
      </c>
      <c r="Y510" s="230">
        <f t="shared" si="284"/>
        <v>7205019.46</v>
      </c>
      <c r="Z510" s="230">
        <f>IF(J510&lt;=10,INDEX('Savings Projection'!$BL$19:$BL$28,J510),LOOKUP(2,1/('Savings Projection'!$BL$19:$BL$28&lt;&gt;""),'Savings Projection'!$BL$19:$BL$28))*(1+'Model Inputs'!$B$35)^(J510-1)+IF(J510&lt;=10,INDEX('Savings Projection'!$BM$19:$BM$28,J510),LOOKUP(2,1/('Savings Projection'!$BM$19:$BM$28&lt;&gt;""),'Savings Projection'!$BM$19:$BM$28))*(1+'Model Inputs'!$B$36)^(J510-1)</f>
        <v>174709.12931473582</v>
      </c>
      <c r="AA510" s="230">
        <f t="shared" si="285"/>
        <v>7030310.3306852644</v>
      </c>
      <c r="AB510" s="230">
        <f>MIN(MAX(AA510,0),'Tax Assumptions'!$B$20)</f>
        <v>7500</v>
      </c>
      <c r="AC510" s="230">
        <f t="shared" si="286"/>
        <v>7022810.3306852644</v>
      </c>
      <c r="AD510" s="230">
        <f>MAX(AD509*(1+'Model Inputs'!$B$13)+AC510,0)</f>
        <v>38453433.297730185</v>
      </c>
      <c r="AE510" s="230">
        <f>MAX(AE509*(1+'Model Inputs'!$B$13)+U510+AB510,0)</f>
        <v>479092.56444555998</v>
      </c>
      <c r="AF510" s="230">
        <f t="shared" si="287"/>
        <v>38932525.862175748</v>
      </c>
      <c r="AG510" s="226" t="str">
        <f t="shared" si="296"/>
        <v/>
      </c>
      <c r="AH510" s="226" t="str">
        <f t="shared" si="297"/>
        <v/>
      </c>
      <c r="AI510" s="226" t="str">
        <f t="shared" si="298"/>
        <v/>
      </c>
      <c r="AJ510" s="226" t="str">
        <f t="shared" si="299"/>
        <v/>
      </c>
    </row>
    <row r="511" spans="1:36" ht="18" customHeight="1" x14ac:dyDescent="0.2">
      <c r="A511" s="226" t="str">
        <f t="shared" si="288"/>
        <v>4Y -&gt; PM Y8 Tail</v>
      </c>
      <c r="B511" s="226">
        <f t="shared" si="289"/>
        <v>4</v>
      </c>
      <c r="C511" s="235">
        <f t="shared" si="290"/>
        <v>3</v>
      </c>
      <c r="D511" s="226">
        <f t="shared" si="291"/>
        <v>8</v>
      </c>
      <c r="E511" s="226" t="str">
        <f t="shared" si="292"/>
        <v>Tail</v>
      </c>
      <c r="F511" s="230">
        <f t="shared" si="293"/>
        <v>100000000</v>
      </c>
      <c r="G511" s="236">
        <f t="shared" si="294"/>
        <v>0.15</v>
      </c>
      <c r="H511" s="230">
        <f t="shared" si="295"/>
        <v>300000</v>
      </c>
      <c r="I511" s="236">
        <f t="shared" si="278"/>
        <v>0</v>
      </c>
      <c r="J511" s="234">
        <v>12</v>
      </c>
      <c r="K511" s="234">
        <f t="shared" si="279"/>
        <v>2037</v>
      </c>
      <c r="L511" s="230">
        <f>IF(J511=1,'Model Inputs'!$B$25*(13-'Model Inputs'!$B$23)/12,'Model Inputs'!$B$25)</f>
        <v>300000</v>
      </c>
      <c r="M511" s="230">
        <f>IF(J511=1,'Model Inputs'!$B$27*(13-'Model Inputs'!$B$23)/12,IF(J511=2,'Model Inputs'!$B$27,IF(J511&lt;=MAX(3,'Model Inputs'!$B$30+1),'Model Inputs'!$B$27*(1+'Model Inputs'!$B$28)^(J511-3),'Model Inputs'!$B$27*(1+'Model Inputs'!$B$28)^(MAX(3,'Model Inputs'!$B$30+1)-3)*(1+'Model Inputs'!$B$29)^(J511-MAX(3,'Model Inputs'!$B$30+1)))))</f>
        <v>5086854.15450761</v>
      </c>
      <c r="N511" s="236">
        <f>IF(J511&lt;=2,0,'Model Inputs'!$B$32*SIN(2*PI()*(J511-3+'Model Inputs'!$B$34)/MAX(1,'Model Inputs'!$B$33)))</f>
        <v>-8.8174569538609421E-17</v>
      </c>
      <c r="O511" s="230">
        <f t="shared" si="280"/>
        <v>5086854.1545076091</v>
      </c>
      <c r="P511" s="230">
        <f t="shared" si="300"/>
        <v>3559201.5104371794</v>
      </c>
      <c r="Q511" s="230">
        <f>L511+P511+IF(J511=1,'Model Inputs'!$B$26,0)</f>
        <v>3859201.5104371794</v>
      </c>
      <c r="R511" s="230">
        <f t="shared" si="281"/>
        <v>11577604.531311538</v>
      </c>
      <c r="S511" s="230">
        <f t="shared" si="282"/>
        <v>15300000</v>
      </c>
      <c r="T511" s="230">
        <f t="shared" si="283"/>
        <v>15300000</v>
      </c>
      <c r="U511" s="230">
        <f>MIN(T511,'Tax Assumptions'!$B$19)</f>
        <v>24500</v>
      </c>
      <c r="V511" s="230">
        <f>MAX(T511-U511-'Tax Assumptions'!$B$8,0)</f>
        <v>15259400</v>
      </c>
      <c r="W511" s="230">
        <f>MAX(T511-U511-'Tax Assumptions'!$B$9,0)</f>
        <v>15267500</v>
      </c>
      <c r="X511" s="230">
        <f>IF(V511=0,0,LOOKUP(V511,'Tax Assumptions'!$F$9:$F$15,'Tax Assumptions'!$I$9:$I$15)+(V511-LOOKUP(V511,'Tax Assumptions'!$F$9:$F$15,'Tax Assumptions'!$F$9:$F$15))*LOOKUP(V511,'Tax Assumptions'!$F$9:$F$15,'Tax Assumptions'!$H$9:$H$15))+MIN(MAX(T511,0),'Tax Assumptions'!$B$11)*'Tax Assumptions'!$B$10+MAX(T511,0)*'Tax Assumptions'!$B$12+MAX(MAX(T511,0)-'Tax Assumptions'!$B$14,0)*'Tax Assumptions'!$B$13+MIN(T511*'Tax Assumptions'!$B$15,'Tax Assumptions'!$B$16)+MIN(T511*'Tax Assumptions'!$B$17,'Tax Assumptions'!$B$18)+IF(W511=0,0,LOOKUP(W511,'Tax Assumptions'!$K$9:$K$17,'Tax Assumptions'!$N$9:$N$17)+(W511-LOOKUP(W511,'Tax Assumptions'!$K$9:$K$17,'Tax Assumptions'!$K$9:$K$17))*LOOKUP(W511,'Tax Assumptions'!$K$9:$K$17,'Tax Assumptions'!$M$9:$M$17))+IF(W511=0,0,LOOKUP(W511,'Tax Assumptions'!$P$9:$P$12,'Tax Assumptions'!$S$9:$S$12)+(W511-LOOKUP(W511,'Tax Assumptions'!$P$9:$P$12,'Tax Assumptions'!$P$9:$P$12))*LOOKUP(W511,'Tax Assumptions'!$P$9:$P$12,'Tax Assumptions'!$R$9:$R$12))</f>
        <v>8070480.54</v>
      </c>
      <c r="Y511" s="230">
        <f t="shared" si="284"/>
        <v>7205019.46</v>
      </c>
      <c r="Z511" s="230">
        <f>IF(J511&lt;=10,INDEX('Savings Projection'!$BL$19:$BL$28,J511),LOOKUP(2,1/('Savings Projection'!$BL$19:$BL$28&lt;&gt;""),'Savings Projection'!$BL$19:$BL$28))*(1+'Model Inputs'!$B$35)^(J511-1)+IF(J511&lt;=10,INDEX('Savings Projection'!$BM$19:$BM$28,J511),LOOKUP(2,1/('Savings Projection'!$BM$19:$BM$28&lt;&gt;""),'Savings Projection'!$BM$19:$BM$28))*(1+'Model Inputs'!$B$36)^(J511-1)</f>
        <v>179950.4031941779</v>
      </c>
      <c r="AA511" s="230">
        <f t="shared" si="285"/>
        <v>7025069.0568058221</v>
      </c>
      <c r="AB511" s="230">
        <f>MIN(MAX(AA511,0),'Tax Assumptions'!$B$20)</f>
        <v>7500</v>
      </c>
      <c r="AC511" s="230">
        <f t="shared" si="286"/>
        <v>7017569.0568058221</v>
      </c>
      <c r="AD511" s="230">
        <f>MAX(AD510*(1+'Model Inputs'!$B$13)+AC511,0)</f>
        <v>47778208.352399819</v>
      </c>
      <c r="AE511" s="230">
        <f>MAX(AE510*(1+'Model Inputs'!$B$13)+U511+AB511,0)</f>
        <v>539838.11831229366</v>
      </c>
      <c r="AF511" s="230">
        <f t="shared" si="287"/>
        <v>48318046.47071211</v>
      </c>
      <c r="AG511" s="226" t="str">
        <f t="shared" si="296"/>
        <v/>
      </c>
      <c r="AH511" s="226" t="str">
        <f t="shared" si="297"/>
        <v/>
      </c>
      <c r="AI511" s="226" t="str">
        <f t="shared" si="298"/>
        <v/>
      </c>
      <c r="AJ511" s="226" t="str">
        <f t="shared" si="299"/>
        <v/>
      </c>
    </row>
    <row r="512" spans="1:36" ht="18" customHeight="1" x14ac:dyDescent="0.2">
      <c r="A512" s="226" t="str">
        <f t="shared" si="288"/>
        <v>4Y -&gt; PM Y8 Tail</v>
      </c>
      <c r="B512" s="226">
        <f t="shared" si="289"/>
        <v>4</v>
      </c>
      <c r="C512" s="235">
        <f t="shared" si="290"/>
        <v>3</v>
      </c>
      <c r="D512" s="226">
        <f t="shared" si="291"/>
        <v>8</v>
      </c>
      <c r="E512" s="226" t="str">
        <f t="shared" si="292"/>
        <v>Tail</v>
      </c>
      <c r="F512" s="230">
        <f t="shared" si="293"/>
        <v>100000000</v>
      </c>
      <c r="G512" s="236">
        <f t="shared" si="294"/>
        <v>0.15</v>
      </c>
      <c r="H512" s="230">
        <f t="shared" si="295"/>
        <v>300000</v>
      </c>
      <c r="I512" s="236">
        <f t="shared" si="278"/>
        <v>0</v>
      </c>
      <c r="J512" s="234">
        <v>13</v>
      </c>
      <c r="K512" s="234">
        <f t="shared" si="279"/>
        <v>2038</v>
      </c>
      <c r="L512" s="230">
        <f>IF(J512=1,'Model Inputs'!$B$25*(13-'Model Inputs'!$B$23)/12,'Model Inputs'!$B$25)</f>
        <v>300000</v>
      </c>
      <c r="M512" s="230">
        <f>IF(J512=1,'Model Inputs'!$B$27*(13-'Model Inputs'!$B$23)/12,IF(J512=2,'Model Inputs'!$B$27,IF(J512&lt;=MAX(3,'Model Inputs'!$B$30+1),'Model Inputs'!$B$27*(1+'Model Inputs'!$B$28)^(J512-3),'Model Inputs'!$B$27*(1+'Model Inputs'!$B$28)^(MAX(3,'Model Inputs'!$B$30+1)-3)*(1+'Model Inputs'!$B$29)^(J512-MAX(3,'Model Inputs'!$B$30+1)))))</f>
        <v>6464768.1603602255</v>
      </c>
      <c r="N512" s="236">
        <f>IF(J512&lt;=2,0,'Model Inputs'!$B$32*SIN(2*PI()*(J512-3+'Model Inputs'!$B$34)/MAX(1,'Model Inputs'!$B$33)))</f>
        <v>0.10392304845413261</v>
      </c>
      <c r="O512" s="230">
        <f t="shared" si="280"/>
        <v>7136606.5751340752</v>
      </c>
      <c r="P512" s="230">
        <f t="shared" si="300"/>
        <v>4711807.0917368019</v>
      </c>
      <c r="Q512" s="230">
        <f>L512+P512+IF(J512=1,'Model Inputs'!$B$26,0)</f>
        <v>5011807.0917368019</v>
      </c>
      <c r="R512" s="230">
        <f t="shared" si="281"/>
        <v>15035421.275210407</v>
      </c>
      <c r="S512" s="230">
        <f t="shared" si="282"/>
        <v>15300000</v>
      </c>
      <c r="T512" s="230">
        <f t="shared" si="283"/>
        <v>15300000</v>
      </c>
      <c r="U512" s="230">
        <f>MIN(T512,'Tax Assumptions'!$B$19)</f>
        <v>24500</v>
      </c>
      <c r="V512" s="230">
        <f>MAX(T512-U512-'Tax Assumptions'!$B$8,0)</f>
        <v>15259400</v>
      </c>
      <c r="W512" s="230">
        <f>MAX(T512-U512-'Tax Assumptions'!$B$9,0)</f>
        <v>15267500</v>
      </c>
      <c r="X512" s="230">
        <f>IF(V512=0,0,LOOKUP(V512,'Tax Assumptions'!$F$9:$F$15,'Tax Assumptions'!$I$9:$I$15)+(V512-LOOKUP(V512,'Tax Assumptions'!$F$9:$F$15,'Tax Assumptions'!$F$9:$F$15))*LOOKUP(V512,'Tax Assumptions'!$F$9:$F$15,'Tax Assumptions'!$H$9:$H$15))+MIN(MAX(T512,0),'Tax Assumptions'!$B$11)*'Tax Assumptions'!$B$10+MAX(T512,0)*'Tax Assumptions'!$B$12+MAX(MAX(T512,0)-'Tax Assumptions'!$B$14,0)*'Tax Assumptions'!$B$13+MIN(T512*'Tax Assumptions'!$B$15,'Tax Assumptions'!$B$16)+MIN(T512*'Tax Assumptions'!$B$17,'Tax Assumptions'!$B$18)+IF(W512=0,0,LOOKUP(W512,'Tax Assumptions'!$K$9:$K$17,'Tax Assumptions'!$N$9:$N$17)+(W512-LOOKUP(W512,'Tax Assumptions'!$K$9:$K$17,'Tax Assumptions'!$K$9:$K$17))*LOOKUP(W512,'Tax Assumptions'!$K$9:$K$17,'Tax Assumptions'!$M$9:$M$17))+IF(W512=0,0,LOOKUP(W512,'Tax Assumptions'!$P$9:$P$12,'Tax Assumptions'!$S$9:$S$12)+(W512-LOOKUP(W512,'Tax Assumptions'!$P$9:$P$12,'Tax Assumptions'!$P$9:$P$12))*LOOKUP(W512,'Tax Assumptions'!$P$9:$P$12,'Tax Assumptions'!$R$9:$R$12))</f>
        <v>8070480.54</v>
      </c>
      <c r="Y512" s="230">
        <f t="shared" si="284"/>
        <v>7205019.46</v>
      </c>
      <c r="Z512" s="230">
        <f>IF(J512&lt;=10,INDEX('Savings Projection'!$BL$19:$BL$28,J512),LOOKUP(2,1/('Savings Projection'!$BL$19:$BL$28&lt;&gt;""),'Savings Projection'!$BL$19:$BL$28))*(1+'Model Inputs'!$B$35)^(J512-1)+IF(J512&lt;=10,INDEX('Savings Projection'!$BM$19:$BM$28,J512),LOOKUP(2,1/('Savings Projection'!$BM$19:$BM$28&lt;&gt;""),'Savings Projection'!$BM$19:$BM$28))*(1+'Model Inputs'!$B$36)^(J512-1)</f>
        <v>185348.91529000323</v>
      </c>
      <c r="AA512" s="230">
        <f t="shared" si="285"/>
        <v>7019670.5447099963</v>
      </c>
      <c r="AB512" s="230">
        <f>MIN(MAX(AA512,0),'Tax Assumptions'!$B$20)</f>
        <v>7500</v>
      </c>
      <c r="AC512" s="230">
        <f t="shared" si="286"/>
        <v>7012170.5447099963</v>
      </c>
      <c r="AD512" s="230">
        <f>MAX(AD511*(1+'Model Inputs'!$B$13)+AC512,0)</f>
        <v>57657071.398253806</v>
      </c>
      <c r="AE512" s="230">
        <f>MAX(AE511*(1+'Model Inputs'!$B$13)+U512+AB512,0)</f>
        <v>604228.40541103133</v>
      </c>
      <c r="AF512" s="230">
        <f t="shared" si="287"/>
        <v>58261299.803664841</v>
      </c>
      <c r="AG512" s="226" t="str">
        <f t="shared" si="296"/>
        <v/>
      </c>
      <c r="AH512" s="226" t="str">
        <f t="shared" si="297"/>
        <v/>
      </c>
      <c r="AI512" s="226" t="str">
        <f t="shared" si="298"/>
        <v/>
      </c>
      <c r="AJ512" s="226" t="str">
        <f t="shared" si="299"/>
        <v/>
      </c>
    </row>
    <row r="513" spans="1:36" ht="18" customHeight="1" x14ac:dyDescent="0.2">
      <c r="A513" s="226" t="str">
        <f t="shared" si="288"/>
        <v>4Y -&gt; PM Y8 Tail</v>
      </c>
      <c r="B513" s="226">
        <f t="shared" si="289"/>
        <v>4</v>
      </c>
      <c r="C513" s="235">
        <f t="shared" si="290"/>
        <v>3</v>
      </c>
      <c r="D513" s="226">
        <f t="shared" si="291"/>
        <v>8</v>
      </c>
      <c r="E513" s="226" t="str">
        <f t="shared" si="292"/>
        <v>Tail</v>
      </c>
      <c r="F513" s="230">
        <f t="shared" si="293"/>
        <v>100000000</v>
      </c>
      <c r="G513" s="236">
        <f t="shared" si="294"/>
        <v>0.15</v>
      </c>
      <c r="H513" s="230">
        <f t="shared" si="295"/>
        <v>300000</v>
      </c>
      <c r="I513" s="236">
        <f t="shared" si="278"/>
        <v>0</v>
      </c>
      <c r="J513" s="234">
        <v>14</v>
      </c>
      <c r="K513" s="234">
        <f t="shared" si="279"/>
        <v>2039</v>
      </c>
      <c r="L513" s="230">
        <f>IF(J513=1,'Model Inputs'!$B$25*(13-'Model Inputs'!$B$23)/12,'Model Inputs'!$B$25)</f>
        <v>300000</v>
      </c>
      <c r="M513" s="230">
        <f>IF(J513=1,'Model Inputs'!$B$27*(13-'Model Inputs'!$B$23)/12,IF(J513=2,'Model Inputs'!$B$27,IF(J513&lt;=MAX(3,'Model Inputs'!$B$30+1),'Model Inputs'!$B$27*(1+'Model Inputs'!$B$28)^(J513-3),'Model Inputs'!$B$27*(1+'Model Inputs'!$B$28)^(MAX(3,'Model Inputs'!$B$30+1)-3)*(1+'Model Inputs'!$B$29)^(J513-MAX(3,'Model Inputs'!$B$30+1)))))</f>
        <v>8215927.9778393377</v>
      </c>
      <c r="N513" s="236">
        <f>IF(J513&lt;=2,0,'Model Inputs'!$B$32*SIN(2*PI()*(J513-3+'Model Inputs'!$B$34)/MAX(1,'Model Inputs'!$B$33)))</f>
        <v>-0.10392304845413251</v>
      </c>
      <c r="O513" s="230">
        <f t="shared" si="280"/>
        <v>7362103.6965026772</v>
      </c>
      <c r="P513" s="230">
        <f t="shared" si="300"/>
        <v>6624168.4699774589</v>
      </c>
      <c r="Q513" s="230">
        <f>L513+P513+IF(J513=1,'Model Inputs'!$B$26,0)</f>
        <v>6924168.4699774589</v>
      </c>
      <c r="R513" s="230">
        <f t="shared" si="281"/>
        <v>20772505.409932375</v>
      </c>
      <c r="S513" s="230">
        <f t="shared" si="282"/>
        <v>15300000</v>
      </c>
      <c r="T513" s="230">
        <f t="shared" si="283"/>
        <v>15300000</v>
      </c>
      <c r="U513" s="230">
        <f>MIN(T513,'Tax Assumptions'!$B$19)</f>
        <v>24500</v>
      </c>
      <c r="V513" s="230">
        <f>MAX(T513-U513-'Tax Assumptions'!$B$8,0)</f>
        <v>15259400</v>
      </c>
      <c r="W513" s="230">
        <f>MAX(T513-U513-'Tax Assumptions'!$B$9,0)</f>
        <v>15267500</v>
      </c>
      <c r="X513" s="230">
        <f>IF(V513=0,0,LOOKUP(V513,'Tax Assumptions'!$F$9:$F$15,'Tax Assumptions'!$I$9:$I$15)+(V513-LOOKUP(V513,'Tax Assumptions'!$F$9:$F$15,'Tax Assumptions'!$F$9:$F$15))*LOOKUP(V513,'Tax Assumptions'!$F$9:$F$15,'Tax Assumptions'!$H$9:$H$15))+MIN(MAX(T513,0),'Tax Assumptions'!$B$11)*'Tax Assumptions'!$B$10+MAX(T513,0)*'Tax Assumptions'!$B$12+MAX(MAX(T513,0)-'Tax Assumptions'!$B$14,0)*'Tax Assumptions'!$B$13+MIN(T513*'Tax Assumptions'!$B$15,'Tax Assumptions'!$B$16)+MIN(T513*'Tax Assumptions'!$B$17,'Tax Assumptions'!$B$18)+IF(W513=0,0,LOOKUP(W513,'Tax Assumptions'!$K$9:$K$17,'Tax Assumptions'!$N$9:$N$17)+(W513-LOOKUP(W513,'Tax Assumptions'!$K$9:$K$17,'Tax Assumptions'!$K$9:$K$17))*LOOKUP(W513,'Tax Assumptions'!$K$9:$K$17,'Tax Assumptions'!$M$9:$M$17))+IF(W513=0,0,LOOKUP(W513,'Tax Assumptions'!$P$9:$P$12,'Tax Assumptions'!$S$9:$S$12)+(W513-LOOKUP(W513,'Tax Assumptions'!$P$9:$P$12,'Tax Assumptions'!$P$9:$P$12))*LOOKUP(W513,'Tax Assumptions'!$P$9:$P$12,'Tax Assumptions'!$R$9:$R$12))</f>
        <v>8070480.54</v>
      </c>
      <c r="Y513" s="230">
        <f t="shared" si="284"/>
        <v>7205019.46</v>
      </c>
      <c r="Z513" s="230">
        <f>IF(J513&lt;=10,INDEX('Savings Projection'!$BL$19:$BL$28,J513),LOOKUP(2,1/('Savings Projection'!$BL$19:$BL$28&lt;&gt;""),'Savings Projection'!$BL$19:$BL$28))*(1+'Model Inputs'!$B$35)^(J513-1)+IF(J513&lt;=10,INDEX('Savings Projection'!$BM$19:$BM$28,J513),LOOKUP(2,1/('Savings Projection'!$BM$19:$BM$28&lt;&gt;""),'Savings Projection'!$BM$19:$BM$28))*(1+'Model Inputs'!$B$36)^(J513-1)</f>
        <v>190909.3827487033</v>
      </c>
      <c r="AA513" s="230">
        <f t="shared" si="285"/>
        <v>7014110.0772512965</v>
      </c>
      <c r="AB513" s="230">
        <f>MIN(MAX(AA513,0),'Tax Assumptions'!$B$20)</f>
        <v>7500</v>
      </c>
      <c r="AC513" s="230">
        <f t="shared" si="286"/>
        <v>7006610.0772512965</v>
      </c>
      <c r="AD513" s="230">
        <f>MAX(AD512*(1+'Model Inputs'!$B$13)+AC513,0)</f>
        <v>68123105.759400338</v>
      </c>
      <c r="AE513" s="230">
        <f>MAX(AE512*(1+'Model Inputs'!$B$13)+U513+AB513,0)</f>
        <v>672482.1097356932</v>
      </c>
      <c r="AF513" s="230">
        <f t="shared" si="287"/>
        <v>68795587.869136035</v>
      </c>
      <c r="AG513" s="226" t="str">
        <f t="shared" si="296"/>
        <v/>
      </c>
      <c r="AH513" s="226" t="str">
        <f t="shared" si="297"/>
        <v/>
      </c>
      <c r="AI513" s="226" t="str">
        <f t="shared" si="298"/>
        <v/>
      </c>
      <c r="AJ513" s="226" t="str">
        <f t="shared" si="299"/>
        <v/>
      </c>
    </row>
    <row r="514" spans="1:36" ht="18" customHeight="1" x14ac:dyDescent="0.2">
      <c r="A514" s="226" t="str">
        <f t="shared" si="288"/>
        <v>4Y -&gt; PM Y8 Tail</v>
      </c>
      <c r="B514" s="226">
        <f t="shared" si="289"/>
        <v>4</v>
      </c>
      <c r="C514" s="235">
        <f t="shared" si="290"/>
        <v>3</v>
      </c>
      <c r="D514" s="226">
        <f t="shared" si="291"/>
        <v>8</v>
      </c>
      <c r="E514" s="226" t="str">
        <f t="shared" si="292"/>
        <v>Tail</v>
      </c>
      <c r="F514" s="230">
        <f t="shared" si="293"/>
        <v>100000000</v>
      </c>
      <c r="G514" s="236">
        <f t="shared" si="294"/>
        <v>0.15</v>
      </c>
      <c r="H514" s="230">
        <f t="shared" si="295"/>
        <v>300000</v>
      </c>
      <c r="I514" s="236">
        <f t="shared" si="278"/>
        <v>0</v>
      </c>
      <c r="J514" s="234">
        <v>15</v>
      </c>
      <c r="K514" s="234">
        <f t="shared" si="279"/>
        <v>2040</v>
      </c>
      <c r="L514" s="230">
        <f>IF(J514=1,'Model Inputs'!$B$25*(13-'Model Inputs'!$B$23)/12,'Model Inputs'!$B$25)</f>
        <v>300000</v>
      </c>
      <c r="M514" s="230">
        <f>IF(J514=1,'Model Inputs'!$B$27*(13-'Model Inputs'!$B$23)/12,IF(J514=2,'Model Inputs'!$B$27,IF(J514&lt;=MAX(3,'Model Inputs'!$B$30+1),'Model Inputs'!$B$27*(1+'Model Inputs'!$B$28)^(J514-3),'Model Inputs'!$B$27*(1+'Model Inputs'!$B$28)^(MAX(3,'Model Inputs'!$B$30+1)-3)*(1+'Model Inputs'!$B$29)^(J514-MAX(3,'Model Inputs'!$B$30+1)))))</f>
        <v>10441437.475041937</v>
      </c>
      <c r="N514" s="236">
        <f>IF(J514&lt;=2,0,'Model Inputs'!$B$32*SIN(2*PI()*(J514-3+'Model Inputs'!$B$34)/MAX(1,'Model Inputs'!$B$33)))</f>
        <v>-1.1756609271814589E-16</v>
      </c>
      <c r="O514" s="230">
        <f t="shared" si="280"/>
        <v>10441437.475041935</v>
      </c>
      <c r="P514" s="230">
        <f t="shared" si="300"/>
        <v>7305729.4161605267</v>
      </c>
      <c r="Q514" s="230">
        <f>L514+P514+IF(J514=1,'Model Inputs'!$B$26,0)</f>
        <v>7605729.4161605267</v>
      </c>
      <c r="R514" s="230">
        <f t="shared" si="281"/>
        <v>22817188.248481579</v>
      </c>
      <c r="S514" s="230">
        <f t="shared" si="282"/>
        <v>15300000</v>
      </c>
      <c r="T514" s="230">
        <f t="shared" si="283"/>
        <v>15300000</v>
      </c>
      <c r="U514" s="230">
        <f>MIN(T514,'Tax Assumptions'!$B$19)</f>
        <v>24500</v>
      </c>
      <c r="V514" s="230">
        <f>MAX(T514-U514-'Tax Assumptions'!$B$8,0)</f>
        <v>15259400</v>
      </c>
      <c r="W514" s="230">
        <f>MAX(T514-U514-'Tax Assumptions'!$B$9,0)</f>
        <v>15267500</v>
      </c>
      <c r="X514" s="230">
        <f>IF(V514=0,0,LOOKUP(V514,'Tax Assumptions'!$F$9:$F$15,'Tax Assumptions'!$I$9:$I$15)+(V514-LOOKUP(V514,'Tax Assumptions'!$F$9:$F$15,'Tax Assumptions'!$F$9:$F$15))*LOOKUP(V514,'Tax Assumptions'!$F$9:$F$15,'Tax Assumptions'!$H$9:$H$15))+MIN(MAX(T514,0),'Tax Assumptions'!$B$11)*'Tax Assumptions'!$B$10+MAX(T514,0)*'Tax Assumptions'!$B$12+MAX(MAX(T514,0)-'Tax Assumptions'!$B$14,0)*'Tax Assumptions'!$B$13+MIN(T514*'Tax Assumptions'!$B$15,'Tax Assumptions'!$B$16)+MIN(T514*'Tax Assumptions'!$B$17,'Tax Assumptions'!$B$18)+IF(W514=0,0,LOOKUP(W514,'Tax Assumptions'!$K$9:$K$17,'Tax Assumptions'!$N$9:$N$17)+(W514-LOOKUP(W514,'Tax Assumptions'!$K$9:$K$17,'Tax Assumptions'!$K$9:$K$17))*LOOKUP(W514,'Tax Assumptions'!$K$9:$K$17,'Tax Assumptions'!$M$9:$M$17))+IF(W514=0,0,LOOKUP(W514,'Tax Assumptions'!$P$9:$P$12,'Tax Assumptions'!$S$9:$S$12)+(W514-LOOKUP(W514,'Tax Assumptions'!$P$9:$P$12,'Tax Assumptions'!$P$9:$P$12))*LOOKUP(W514,'Tax Assumptions'!$P$9:$P$12,'Tax Assumptions'!$R$9:$R$12))</f>
        <v>8070480.54</v>
      </c>
      <c r="Y514" s="230">
        <f t="shared" si="284"/>
        <v>7205019.46</v>
      </c>
      <c r="Z514" s="230">
        <f>IF(J514&lt;=10,INDEX('Savings Projection'!$BL$19:$BL$28,J514),LOOKUP(2,1/('Savings Projection'!$BL$19:$BL$28&lt;&gt;""),'Savings Projection'!$BL$19:$BL$28))*(1+'Model Inputs'!$B$35)^(J514-1)+IF(J514&lt;=10,INDEX('Savings Projection'!$BM$19:$BM$28,J514),LOOKUP(2,1/('Savings Projection'!$BM$19:$BM$28&lt;&gt;""),'Savings Projection'!$BM$19:$BM$28))*(1+'Model Inputs'!$B$36)^(J514-1)</f>
        <v>196636.66423116444</v>
      </c>
      <c r="AA514" s="230">
        <f t="shared" si="285"/>
        <v>7008382.7957688356</v>
      </c>
      <c r="AB514" s="230">
        <f>MIN(MAX(AA514,0),'Tax Assumptions'!$B$20)</f>
        <v>7500</v>
      </c>
      <c r="AC514" s="230">
        <f t="shared" si="286"/>
        <v>7000882.7957688356</v>
      </c>
      <c r="AD514" s="230">
        <f>MAX(AD513*(1+'Model Inputs'!$B$13)+AC514,0)</f>
        <v>79211374.900733203</v>
      </c>
      <c r="AE514" s="230">
        <f>MAX(AE513*(1+'Model Inputs'!$B$13)+U514+AB514,0)</f>
        <v>744831.03631983488</v>
      </c>
      <c r="AF514" s="230">
        <f t="shared" si="287"/>
        <v>79956205.93705304</v>
      </c>
      <c r="AG514" s="226" t="str">
        <f t="shared" si="296"/>
        <v/>
      </c>
      <c r="AH514" s="226" t="str">
        <f t="shared" si="297"/>
        <v/>
      </c>
      <c r="AI514" s="226" t="str">
        <f t="shared" si="298"/>
        <v/>
      </c>
      <c r="AJ514" s="226" t="str">
        <f t="shared" si="299"/>
        <v/>
      </c>
    </row>
    <row r="515" spans="1:36" ht="18" customHeight="1" x14ac:dyDescent="0.2">
      <c r="A515" s="226" t="str">
        <f t="shared" si="288"/>
        <v>4Y -&gt; PM Y8 Tail</v>
      </c>
      <c r="B515" s="226">
        <f t="shared" si="289"/>
        <v>4</v>
      </c>
      <c r="C515" s="235">
        <f t="shared" si="290"/>
        <v>3</v>
      </c>
      <c r="D515" s="226">
        <f t="shared" si="291"/>
        <v>8</v>
      </c>
      <c r="E515" s="226" t="str">
        <f t="shared" si="292"/>
        <v>Tail</v>
      </c>
      <c r="F515" s="230">
        <f t="shared" si="293"/>
        <v>100000000</v>
      </c>
      <c r="G515" s="236">
        <f t="shared" si="294"/>
        <v>0.15</v>
      </c>
      <c r="H515" s="230">
        <f t="shared" si="295"/>
        <v>300000</v>
      </c>
      <c r="I515" s="236">
        <f t="shared" si="278"/>
        <v>0</v>
      </c>
      <c r="J515" s="234">
        <v>16</v>
      </c>
      <c r="K515" s="234">
        <f t="shared" si="279"/>
        <v>2041</v>
      </c>
      <c r="L515" s="230">
        <f>IF(J515=1,'Model Inputs'!$B$25*(13-'Model Inputs'!$B$23)/12,'Model Inputs'!$B$25)</f>
        <v>300000</v>
      </c>
      <c r="M515" s="230">
        <f>IF(J515=1,'Model Inputs'!$B$27*(13-'Model Inputs'!$B$23)/12,IF(J515=2,'Model Inputs'!$B$27,IF(J515&lt;=MAX(3,'Model Inputs'!$B$30+1),'Model Inputs'!$B$27*(1+'Model Inputs'!$B$28)^(J515-3),'Model Inputs'!$B$27*(1+'Model Inputs'!$B$28)^(MAX(3,'Model Inputs'!$B$30+1)-3)*(1+'Model Inputs'!$B$29)^(J515-MAX(3,'Model Inputs'!$B$30+1)))))</f>
        <v>13269787.276528884</v>
      </c>
      <c r="N515" s="236">
        <f>IF(J515&lt;=2,0,'Model Inputs'!$B$32*SIN(2*PI()*(J515-3+'Model Inputs'!$B$34)/MAX(1,'Model Inputs'!$B$33)))</f>
        <v>0.10392304845413262</v>
      </c>
      <c r="O515" s="230">
        <f t="shared" si="280"/>
        <v>14648824.022643628</v>
      </c>
      <c r="P515" s="230">
        <f t="shared" si="300"/>
        <v>9671604.0304071214</v>
      </c>
      <c r="Q515" s="230">
        <f>L515+P515+IF(J515=1,'Model Inputs'!$B$26,0)</f>
        <v>9971604.0304071214</v>
      </c>
      <c r="R515" s="230">
        <f t="shared" si="281"/>
        <v>29914812.091221362</v>
      </c>
      <c r="S515" s="230">
        <f t="shared" si="282"/>
        <v>15300000</v>
      </c>
      <c r="T515" s="230">
        <f t="shared" si="283"/>
        <v>15300000</v>
      </c>
      <c r="U515" s="230">
        <f>MIN(T515,'Tax Assumptions'!$B$19)</f>
        <v>24500</v>
      </c>
      <c r="V515" s="230">
        <f>MAX(T515-U515-'Tax Assumptions'!$B$8,0)</f>
        <v>15259400</v>
      </c>
      <c r="W515" s="230">
        <f>MAX(T515-U515-'Tax Assumptions'!$B$9,0)</f>
        <v>15267500</v>
      </c>
      <c r="X515" s="230">
        <f>IF(V515=0,0,LOOKUP(V515,'Tax Assumptions'!$F$9:$F$15,'Tax Assumptions'!$I$9:$I$15)+(V515-LOOKUP(V515,'Tax Assumptions'!$F$9:$F$15,'Tax Assumptions'!$F$9:$F$15))*LOOKUP(V515,'Tax Assumptions'!$F$9:$F$15,'Tax Assumptions'!$H$9:$H$15))+MIN(MAX(T515,0),'Tax Assumptions'!$B$11)*'Tax Assumptions'!$B$10+MAX(T515,0)*'Tax Assumptions'!$B$12+MAX(MAX(T515,0)-'Tax Assumptions'!$B$14,0)*'Tax Assumptions'!$B$13+MIN(T515*'Tax Assumptions'!$B$15,'Tax Assumptions'!$B$16)+MIN(T515*'Tax Assumptions'!$B$17,'Tax Assumptions'!$B$18)+IF(W515=0,0,LOOKUP(W515,'Tax Assumptions'!$K$9:$K$17,'Tax Assumptions'!$N$9:$N$17)+(W515-LOOKUP(W515,'Tax Assumptions'!$K$9:$K$17,'Tax Assumptions'!$K$9:$K$17))*LOOKUP(W515,'Tax Assumptions'!$K$9:$K$17,'Tax Assumptions'!$M$9:$M$17))+IF(W515=0,0,LOOKUP(W515,'Tax Assumptions'!$P$9:$P$12,'Tax Assumptions'!$S$9:$S$12)+(W515-LOOKUP(W515,'Tax Assumptions'!$P$9:$P$12,'Tax Assumptions'!$P$9:$P$12))*LOOKUP(W515,'Tax Assumptions'!$P$9:$P$12,'Tax Assumptions'!$R$9:$R$12))</f>
        <v>8070480.54</v>
      </c>
      <c r="Y515" s="230">
        <f t="shared" si="284"/>
        <v>7205019.46</v>
      </c>
      <c r="Z515" s="230">
        <f>IF(J515&lt;=10,INDEX('Savings Projection'!$BL$19:$BL$28,J515),LOOKUP(2,1/('Savings Projection'!$BL$19:$BL$28&lt;&gt;""),'Savings Projection'!$BL$19:$BL$28))*(1+'Model Inputs'!$B$35)^(J515-1)+IF(J515&lt;=10,INDEX('Savings Projection'!$BM$19:$BM$28,J515),LOOKUP(2,1/('Savings Projection'!$BM$19:$BM$28&lt;&gt;""),'Savings Projection'!$BM$19:$BM$28))*(1+'Model Inputs'!$B$36)^(J515-1)</f>
        <v>202535.76415809937</v>
      </c>
      <c r="AA515" s="230">
        <f t="shared" si="285"/>
        <v>7002483.695841901</v>
      </c>
      <c r="AB515" s="230">
        <f>MIN(MAX(AA515,0),'Tax Assumptions'!$B$20)</f>
        <v>7500</v>
      </c>
      <c r="AC515" s="230">
        <f t="shared" si="286"/>
        <v>6994983.695841901</v>
      </c>
      <c r="AD515" s="230">
        <f>MAX(AD514*(1+'Model Inputs'!$B$13)+AC515,0)</f>
        <v>90959041.090619087</v>
      </c>
      <c r="AE515" s="230">
        <f>MAX(AE514*(1+'Model Inputs'!$B$13)+U515+AB515,0)</f>
        <v>821520.89849902503</v>
      </c>
      <c r="AF515" s="230">
        <f t="shared" si="287"/>
        <v>91780561.989118114</v>
      </c>
      <c r="AG515" s="226" t="str">
        <f t="shared" si="296"/>
        <v/>
      </c>
      <c r="AH515" s="226" t="str">
        <f t="shared" si="297"/>
        <v/>
      </c>
      <c r="AI515" s="226" t="str">
        <f t="shared" si="298"/>
        <v/>
      </c>
      <c r="AJ515" s="226" t="str">
        <f t="shared" si="299"/>
        <v/>
      </c>
    </row>
    <row r="516" spans="1:36" ht="18" customHeight="1" x14ac:dyDescent="0.2">
      <c r="A516" s="226" t="str">
        <f t="shared" si="288"/>
        <v>4Y -&gt; PM Y8 Tail</v>
      </c>
      <c r="B516" s="226">
        <f t="shared" si="289"/>
        <v>4</v>
      </c>
      <c r="C516" s="235">
        <f t="shared" si="290"/>
        <v>3</v>
      </c>
      <c r="D516" s="226">
        <f t="shared" si="291"/>
        <v>8</v>
      </c>
      <c r="E516" s="226" t="str">
        <f t="shared" si="292"/>
        <v>Tail</v>
      </c>
      <c r="F516" s="230">
        <f t="shared" si="293"/>
        <v>100000000</v>
      </c>
      <c r="G516" s="236">
        <f t="shared" si="294"/>
        <v>0.15</v>
      </c>
      <c r="H516" s="230">
        <f t="shared" si="295"/>
        <v>300000</v>
      </c>
      <c r="I516" s="236">
        <f t="shared" si="278"/>
        <v>0</v>
      </c>
      <c r="J516" s="234">
        <v>17</v>
      </c>
      <c r="K516" s="234">
        <f t="shared" si="279"/>
        <v>2042</v>
      </c>
      <c r="L516" s="230">
        <f>IF(J516=1,'Model Inputs'!$B$25*(13-'Model Inputs'!$B$23)/12,'Model Inputs'!$B$25)</f>
        <v>300000</v>
      </c>
      <c r="M516" s="230">
        <f>IF(J516=1,'Model Inputs'!$B$27*(13-'Model Inputs'!$B$23)/12,IF(J516=2,'Model Inputs'!$B$27,IF(J516&lt;=MAX(3,'Model Inputs'!$B$30+1),'Model Inputs'!$B$27*(1+'Model Inputs'!$B$28)^(J516-3),'Model Inputs'!$B$27*(1+'Model Inputs'!$B$28)^(MAX(3,'Model Inputs'!$B$30+1)-3)*(1+'Model Inputs'!$B$29)^(J516-MAX(3,'Model Inputs'!$B$30+1)))))</f>
        <v>16864273.217670217</v>
      </c>
      <c r="N516" s="236">
        <f>IF(J516&lt;=2,0,'Model Inputs'!$B$32*SIN(2*PI()*(J516-3+'Model Inputs'!$B$34)/MAX(1,'Model Inputs'!$B$33)))</f>
        <v>-0.1039230484541325</v>
      </c>
      <c r="O516" s="230">
        <f t="shared" si="280"/>
        <v>15111686.534926547</v>
      </c>
      <c r="P516" s="230">
        <f t="shared" si="300"/>
        <v>13596977.385743205</v>
      </c>
      <c r="Q516" s="230">
        <f>L516+P516+IF(J516=1,'Model Inputs'!$B$26,0)</f>
        <v>13896977.385743205</v>
      </c>
      <c r="R516" s="230">
        <f t="shared" si="281"/>
        <v>41690932.157229617</v>
      </c>
      <c r="S516" s="230">
        <f t="shared" si="282"/>
        <v>15300000</v>
      </c>
      <c r="T516" s="230">
        <f t="shared" si="283"/>
        <v>15300000</v>
      </c>
      <c r="U516" s="230">
        <f>MIN(T516,'Tax Assumptions'!$B$19)</f>
        <v>24500</v>
      </c>
      <c r="V516" s="230">
        <f>MAX(T516-U516-'Tax Assumptions'!$B$8,0)</f>
        <v>15259400</v>
      </c>
      <c r="W516" s="230">
        <f>MAX(T516-U516-'Tax Assumptions'!$B$9,0)</f>
        <v>15267500</v>
      </c>
      <c r="X516" s="230">
        <f>IF(V516=0,0,LOOKUP(V516,'Tax Assumptions'!$F$9:$F$15,'Tax Assumptions'!$I$9:$I$15)+(V516-LOOKUP(V516,'Tax Assumptions'!$F$9:$F$15,'Tax Assumptions'!$F$9:$F$15))*LOOKUP(V516,'Tax Assumptions'!$F$9:$F$15,'Tax Assumptions'!$H$9:$H$15))+MIN(MAX(T516,0),'Tax Assumptions'!$B$11)*'Tax Assumptions'!$B$10+MAX(T516,0)*'Tax Assumptions'!$B$12+MAX(MAX(T516,0)-'Tax Assumptions'!$B$14,0)*'Tax Assumptions'!$B$13+MIN(T516*'Tax Assumptions'!$B$15,'Tax Assumptions'!$B$16)+MIN(T516*'Tax Assumptions'!$B$17,'Tax Assumptions'!$B$18)+IF(W516=0,0,LOOKUP(W516,'Tax Assumptions'!$K$9:$K$17,'Tax Assumptions'!$N$9:$N$17)+(W516-LOOKUP(W516,'Tax Assumptions'!$K$9:$K$17,'Tax Assumptions'!$K$9:$K$17))*LOOKUP(W516,'Tax Assumptions'!$K$9:$K$17,'Tax Assumptions'!$M$9:$M$17))+IF(W516=0,0,LOOKUP(W516,'Tax Assumptions'!$P$9:$P$12,'Tax Assumptions'!$S$9:$S$12)+(W516-LOOKUP(W516,'Tax Assumptions'!$P$9:$P$12,'Tax Assumptions'!$P$9:$P$12))*LOOKUP(W516,'Tax Assumptions'!$P$9:$P$12,'Tax Assumptions'!$R$9:$R$12))</f>
        <v>8070480.54</v>
      </c>
      <c r="Y516" s="230">
        <f t="shared" si="284"/>
        <v>7205019.46</v>
      </c>
      <c r="Z516" s="230">
        <f>IF(J516&lt;=10,INDEX('Savings Projection'!$BL$19:$BL$28,J516),LOOKUP(2,1/('Savings Projection'!$BL$19:$BL$28&lt;&gt;""),'Savings Projection'!$BL$19:$BL$28))*(1+'Model Inputs'!$B$35)^(J516-1)+IF(J516&lt;=10,INDEX('Savings Projection'!$BM$19:$BM$28,J516),LOOKUP(2,1/('Savings Projection'!$BM$19:$BM$28&lt;&gt;""),'Savings Projection'!$BM$19:$BM$28))*(1+'Model Inputs'!$B$36)^(J516-1)</f>
        <v>208611.83708284231</v>
      </c>
      <c r="AA516" s="230">
        <f t="shared" si="285"/>
        <v>6996407.6229171576</v>
      </c>
      <c r="AB516" s="230">
        <f>MIN(MAX(AA516,0),'Tax Assumptions'!$B$20)</f>
        <v>7500</v>
      </c>
      <c r="AC516" s="230">
        <f t="shared" si="286"/>
        <v>6988907.6229171576</v>
      </c>
      <c r="AD516" s="230">
        <f>MAX(AD515*(1+'Model Inputs'!$B$13)+AC516,0)</f>
        <v>103405491.17897339</v>
      </c>
      <c r="AE516" s="230">
        <f>MAX(AE515*(1+'Model Inputs'!$B$13)+U516+AB516,0)</f>
        <v>902812.15240896656</v>
      </c>
      <c r="AF516" s="230">
        <f t="shared" si="287"/>
        <v>104308303.33138236</v>
      </c>
      <c r="AG516" s="226" t="str">
        <f t="shared" si="296"/>
        <v/>
      </c>
      <c r="AH516" s="226" t="str">
        <f t="shared" si="297"/>
        <v/>
      </c>
      <c r="AI516" s="226" t="str">
        <f t="shared" si="298"/>
        <v/>
      </c>
      <c r="AJ516" s="226" t="str">
        <f t="shared" si="299"/>
        <v/>
      </c>
    </row>
    <row r="517" spans="1:36" ht="18" customHeight="1" x14ac:dyDescent="0.2">
      <c r="A517" s="226" t="str">
        <f t="shared" si="288"/>
        <v>4Y -&gt; PM Y8 Tail</v>
      </c>
      <c r="B517" s="226">
        <f t="shared" si="289"/>
        <v>4</v>
      </c>
      <c r="C517" s="235">
        <f t="shared" si="290"/>
        <v>3</v>
      </c>
      <c r="D517" s="226">
        <f t="shared" si="291"/>
        <v>8</v>
      </c>
      <c r="E517" s="226" t="str">
        <f t="shared" si="292"/>
        <v>Tail</v>
      </c>
      <c r="F517" s="230">
        <f t="shared" si="293"/>
        <v>100000000</v>
      </c>
      <c r="G517" s="236">
        <f t="shared" si="294"/>
        <v>0.15</v>
      </c>
      <c r="H517" s="230">
        <f t="shared" si="295"/>
        <v>300000</v>
      </c>
      <c r="I517" s="236">
        <f t="shared" si="278"/>
        <v>0</v>
      </c>
      <c r="J517" s="234">
        <v>18</v>
      </c>
      <c r="K517" s="234">
        <f t="shared" si="279"/>
        <v>2043</v>
      </c>
      <c r="L517" s="230">
        <f>IF(J517=1,'Model Inputs'!$B$25*(13-'Model Inputs'!$B$23)/12,'Model Inputs'!$B$25)</f>
        <v>300000</v>
      </c>
      <c r="M517" s="230">
        <f>IF(J517=1,'Model Inputs'!$B$27*(13-'Model Inputs'!$B$23)/12,IF(J517=2,'Model Inputs'!$B$27,IF(J517&lt;=MAX(3,'Model Inputs'!$B$30+1),'Model Inputs'!$B$27*(1+'Model Inputs'!$B$28)^(J517-3),'Model Inputs'!$B$27*(1+'Model Inputs'!$B$28)^(MAX(3,'Model Inputs'!$B$30+1)-3)*(1+'Model Inputs'!$B$29)^(J517-MAX(3,'Model Inputs'!$B$30+1)))))</f>
        <v>21432424.290875554</v>
      </c>
      <c r="N517" s="236">
        <f>IF(J517&lt;=2,0,'Model Inputs'!$B$32*SIN(2*PI()*(J517-3+'Model Inputs'!$B$34)/MAX(1,'Model Inputs'!$B$33)))</f>
        <v>-5.7328325735374245E-16</v>
      </c>
      <c r="O517" s="230">
        <f t="shared" si="280"/>
        <v>21432424.290875543</v>
      </c>
      <c r="P517" s="230">
        <f t="shared" si="300"/>
        <v>14995970.906855816</v>
      </c>
      <c r="Q517" s="230">
        <f>L517+P517+IF(J517=1,'Model Inputs'!$B$26,0)</f>
        <v>15295970.906855816</v>
      </c>
      <c r="R517" s="230">
        <f t="shared" si="281"/>
        <v>45887912.72056745</v>
      </c>
      <c r="S517" s="230">
        <f t="shared" si="282"/>
        <v>15300000</v>
      </c>
      <c r="T517" s="230">
        <f t="shared" si="283"/>
        <v>15300000</v>
      </c>
      <c r="U517" s="230">
        <f>MIN(T517,'Tax Assumptions'!$B$19)</f>
        <v>24500</v>
      </c>
      <c r="V517" s="230">
        <f>MAX(T517-U517-'Tax Assumptions'!$B$8,0)</f>
        <v>15259400</v>
      </c>
      <c r="W517" s="230">
        <f>MAX(T517-U517-'Tax Assumptions'!$B$9,0)</f>
        <v>15267500</v>
      </c>
      <c r="X517" s="230">
        <f>IF(V517=0,0,LOOKUP(V517,'Tax Assumptions'!$F$9:$F$15,'Tax Assumptions'!$I$9:$I$15)+(V517-LOOKUP(V517,'Tax Assumptions'!$F$9:$F$15,'Tax Assumptions'!$F$9:$F$15))*LOOKUP(V517,'Tax Assumptions'!$F$9:$F$15,'Tax Assumptions'!$H$9:$H$15))+MIN(MAX(T517,0),'Tax Assumptions'!$B$11)*'Tax Assumptions'!$B$10+MAX(T517,0)*'Tax Assumptions'!$B$12+MAX(MAX(T517,0)-'Tax Assumptions'!$B$14,0)*'Tax Assumptions'!$B$13+MIN(T517*'Tax Assumptions'!$B$15,'Tax Assumptions'!$B$16)+MIN(T517*'Tax Assumptions'!$B$17,'Tax Assumptions'!$B$18)+IF(W517=0,0,LOOKUP(W517,'Tax Assumptions'!$K$9:$K$17,'Tax Assumptions'!$N$9:$N$17)+(W517-LOOKUP(W517,'Tax Assumptions'!$K$9:$K$17,'Tax Assumptions'!$K$9:$K$17))*LOOKUP(W517,'Tax Assumptions'!$K$9:$K$17,'Tax Assumptions'!$M$9:$M$17))+IF(W517=0,0,LOOKUP(W517,'Tax Assumptions'!$P$9:$P$12,'Tax Assumptions'!$S$9:$S$12)+(W517-LOOKUP(W517,'Tax Assumptions'!$P$9:$P$12,'Tax Assumptions'!$P$9:$P$12))*LOOKUP(W517,'Tax Assumptions'!$P$9:$P$12,'Tax Assumptions'!$R$9:$R$12))</f>
        <v>8070480.54</v>
      </c>
      <c r="Y517" s="230">
        <f t="shared" si="284"/>
        <v>7205019.46</v>
      </c>
      <c r="Z517" s="230">
        <f>IF(J517&lt;=10,INDEX('Savings Projection'!$BL$19:$BL$28,J517),LOOKUP(2,1/('Savings Projection'!$BL$19:$BL$28&lt;&gt;""),'Savings Projection'!$BL$19:$BL$28))*(1+'Model Inputs'!$B$35)^(J517-1)+IF(J517&lt;=10,INDEX('Savings Projection'!$BM$19:$BM$28,J517),LOOKUP(2,1/('Savings Projection'!$BM$19:$BM$28&lt;&gt;""),'Savings Projection'!$BM$19:$BM$28))*(1+'Model Inputs'!$B$36)^(J517-1)</f>
        <v>214870.1921953276</v>
      </c>
      <c r="AA517" s="230">
        <f t="shared" si="285"/>
        <v>6990149.267804672</v>
      </c>
      <c r="AB517" s="230">
        <f>MIN(MAX(AA517,0),'Tax Assumptions'!$B$20)</f>
        <v>7500</v>
      </c>
      <c r="AC517" s="230">
        <f t="shared" si="286"/>
        <v>6982649.267804672</v>
      </c>
      <c r="AD517" s="230">
        <f>MAX(AD516*(1+'Model Inputs'!$B$13)+AC517,0)</f>
        <v>116592469.91751647</v>
      </c>
      <c r="AE517" s="230">
        <f>MAX(AE516*(1+'Model Inputs'!$B$13)+U517+AB517,0)</f>
        <v>988980.88155350462</v>
      </c>
      <c r="AF517" s="230">
        <f t="shared" si="287"/>
        <v>117581450.79906997</v>
      </c>
      <c r="AG517" s="226" t="str">
        <f t="shared" si="296"/>
        <v/>
      </c>
      <c r="AH517" s="226" t="str">
        <f t="shared" si="297"/>
        <v/>
      </c>
      <c r="AI517" s="226" t="str">
        <f t="shared" si="298"/>
        <v/>
      </c>
      <c r="AJ517" s="226" t="str">
        <f t="shared" si="299"/>
        <v/>
      </c>
    </row>
    <row r="518" spans="1:36" ht="18" customHeight="1" x14ac:dyDescent="0.2">
      <c r="A518" s="226" t="str">
        <f t="shared" si="288"/>
        <v>4Y -&gt; PM Y8 Tail</v>
      </c>
      <c r="B518" s="226">
        <f t="shared" si="289"/>
        <v>4</v>
      </c>
      <c r="C518" s="235">
        <f t="shared" si="290"/>
        <v>3</v>
      </c>
      <c r="D518" s="226">
        <f t="shared" si="291"/>
        <v>8</v>
      </c>
      <c r="E518" s="226" t="str">
        <f t="shared" si="292"/>
        <v>Tail</v>
      </c>
      <c r="F518" s="230">
        <f t="shared" si="293"/>
        <v>100000000</v>
      </c>
      <c r="G518" s="236">
        <f t="shared" si="294"/>
        <v>0.15</v>
      </c>
      <c r="H518" s="230">
        <f t="shared" si="295"/>
        <v>300000</v>
      </c>
      <c r="I518" s="236">
        <f t="shared" si="278"/>
        <v>0</v>
      </c>
      <c r="J518" s="234">
        <v>19</v>
      </c>
      <c r="K518" s="234">
        <f t="shared" si="279"/>
        <v>2044</v>
      </c>
      <c r="L518" s="230">
        <f>IF(J518=1,'Model Inputs'!$B$25*(13-'Model Inputs'!$B$23)/12,'Model Inputs'!$B$25)</f>
        <v>300000</v>
      </c>
      <c r="M518" s="230">
        <f>IF(J518=1,'Model Inputs'!$B$27*(13-'Model Inputs'!$B$23)/12,IF(J518=2,'Model Inputs'!$B$27,IF(J518&lt;=MAX(3,'Model Inputs'!$B$30+1),'Model Inputs'!$B$27*(1+'Model Inputs'!$B$28)^(J518-3),'Model Inputs'!$B$27*(1+'Model Inputs'!$B$28)^(MAX(3,'Model Inputs'!$B$30+1)-3)*(1+'Model Inputs'!$B$29)^(J518-MAX(3,'Model Inputs'!$B$30+1)))))</f>
        <v>27237984.409717187</v>
      </c>
      <c r="N518" s="236">
        <f>IF(J518&lt;=2,0,'Model Inputs'!$B$32*SIN(2*PI()*(J518-3+'Model Inputs'!$B$34)/MAX(1,'Model Inputs'!$B$33)))</f>
        <v>0.10392304845413286</v>
      </c>
      <c r="O518" s="230">
        <f t="shared" si="280"/>
        <v>30068638.783321142</v>
      </c>
      <c r="P518" s="230">
        <f t="shared" si="300"/>
        <v>19852239.851888295</v>
      </c>
      <c r="Q518" s="230">
        <f>L518+P518+IF(J518=1,'Model Inputs'!$B$26,0)</f>
        <v>20152239.851888295</v>
      </c>
      <c r="R518" s="230">
        <f t="shared" si="281"/>
        <v>60456719.555664882</v>
      </c>
      <c r="S518" s="230">
        <f t="shared" si="282"/>
        <v>15300000</v>
      </c>
      <c r="T518" s="230">
        <f t="shared" si="283"/>
        <v>15300000</v>
      </c>
      <c r="U518" s="230">
        <f>MIN(T518,'Tax Assumptions'!$B$19)</f>
        <v>24500</v>
      </c>
      <c r="V518" s="230">
        <f>MAX(T518-U518-'Tax Assumptions'!$B$8,0)</f>
        <v>15259400</v>
      </c>
      <c r="W518" s="230">
        <f>MAX(T518-U518-'Tax Assumptions'!$B$9,0)</f>
        <v>15267500</v>
      </c>
      <c r="X518" s="230">
        <f>IF(V518=0,0,LOOKUP(V518,'Tax Assumptions'!$F$9:$F$15,'Tax Assumptions'!$I$9:$I$15)+(V518-LOOKUP(V518,'Tax Assumptions'!$F$9:$F$15,'Tax Assumptions'!$F$9:$F$15))*LOOKUP(V518,'Tax Assumptions'!$F$9:$F$15,'Tax Assumptions'!$H$9:$H$15))+MIN(MAX(T518,0),'Tax Assumptions'!$B$11)*'Tax Assumptions'!$B$10+MAX(T518,0)*'Tax Assumptions'!$B$12+MAX(MAX(T518,0)-'Tax Assumptions'!$B$14,0)*'Tax Assumptions'!$B$13+MIN(T518*'Tax Assumptions'!$B$15,'Tax Assumptions'!$B$16)+MIN(T518*'Tax Assumptions'!$B$17,'Tax Assumptions'!$B$18)+IF(W518=0,0,LOOKUP(W518,'Tax Assumptions'!$K$9:$K$17,'Tax Assumptions'!$N$9:$N$17)+(W518-LOOKUP(W518,'Tax Assumptions'!$K$9:$K$17,'Tax Assumptions'!$K$9:$K$17))*LOOKUP(W518,'Tax Assumptions'!$K$9:$K$17,'Tax Assumptions'!$M$9:$M$17))+IF(W518=0,0,LOOKUP(W518,'Tax Assumptions'!$P$9:$P$12,'Tax Assumptions'!$S$9:$S$12)+(W518-LOOKUP(W518,'Tax Assumptions'!$P$9:$P$12,'Tax Assumptions'!$P$9:$P$12))*LOOKUP(W518,'Tax Assumptions'!$P$9:$P$12,'Tax Assumptions'!$R$9:$R$12))</f>
        <v>8070480.54</v>
      </c>
      <c r="Y518" s="230">
        <f t="shared" si="284"/>
        <v>7205019.46</v>
      </c>
      <c r="Z518" s="230">
        <f>IF(J518&lt;=10,INDEX('Savings Projection'!$BL$19:$BL$28,J518),LOOKUP(2,1/('Savings Projection'!$BL$19:$BL$28&lt;&gt;""),'Savings Projection'!$BL$19:$BL$28))*(1+'Model Inputs'!$B$35)^(J518-1)+IF(J518&lt;=10,INDEX('Savings Projection'!$BM$19:$BM$28,J518),LOOKUP(2,1/('Savings Projection'!$BM$19:$BM$28&lt;&gt;""),'Savings Projection'!$BM$19:$BM$28))*(1+'Model Inputs'!$B$36)^(J518-1)</f>
        <v>221316.29796118743</v>
      </c>
      <c r="AA518" s="230">
        <f t="shared" si="285"/>
        <v>6983703.1620388124</v>
      </c>
      <c r="AB518" s="230">
        <f>MIN(MAX(AA518,0),'Tax Assumptions'!$B$20)</f>
        <v>7500</v>
      </c>
      <c r="AC518" s="230">
        <f t="shared" si="286"/>
        <v>6976203.1620388124</v>
      </c>
      <c r="AD518" s="230">
        <f>MAX(AD517*(1+'Model Inputs'!$B$13)+AC518,0)</f>
        <v>130564221.27460629</v>
      </c>
      <c r="AE518" s="230">
        <f>MAX(AE517*(1+'Model Inputs'!$B$13)+U518+AB518,0)</f>
        <v>1080319.7344467151</v>
      </c>
      <c r="AF518" s="230">
        <f t="shared" si="287"/>
        <v>131644541.00905301</v>
      </c>
      <c r="AG518" s="226" t="str">
        <f t="shared" si="296"/>
        <v/>
      </c>
      <c r="AH518" s="226" t="str">
        <f t="shared" si="297"/>
        <v/>
      </c>
      <c r="AI518" s="226" t="str">
        <f t="shared" si="298"/>
        <v/>
      </c>
      <c r="AJ518" s="226" t="str">
        <f t="shared" si="299"/>
        <v/>
      </c>
    </row>
    <row r="519" spans="1:36" ht="18" customHeight="1" x14ac:dyDescent="0.2">
      <c r="A519" s="226" t="str">
        <f t="shared" si="288"/>
        <v>4Y -&gt; PM Y8 Tail</v>
      </c>
      <c r="B519" s="226">
        <f t="shared" si="289"/>
        <v>4</v>
      </c>
      <c r="C519" s="235">
        <f t="shared" si="290"/>
        <v>3</v>
      </c>
      <c r="D519" s="226">
        <f t="shared" si="291"/>
        <v>8</v>
      </c>
      <c r="E519" s="226" t="str">
        <f t="shared" si="292"/>
        <v>Tail</v>
      </c>
      <c r="F519" s="230">
        <f t="shared" si="293"/>
        <v>100000000</v>
      </c>
      <c r="G519" s="236">
        <f t="shared" si="294"/>
        <v>0.15</v>
      </c>
      <c r="H519" s="230">
        <f t="shared" si="295"/>
        <v>300000</v>
      </c>
      <c r="I519" s="236">
        <f t="shared" si="278"/>
        <v>0</v>
      </c>
      <c r="J519" s="234">
        <v>20</v>
      </c>
      <c r="K519" s="234">
        <f t="shared" si="279"/>
        <v>2045</v>
      </c>
      <c r="L519" s="230">
        <f>IF(J519=1,'Model Inputs'!$B$25*(13-'Model Inputs'!$B$23)/12,'Model Inputs'!$B$25)</f>
        <v>300000</v>
      </c>
      <c r="M519" s="230">
        <f>IF(J519=1,'Model Inputs'!$B$27*(13-'Model Inputs'!$B$23)/12,IF(J519=2,'Model Inputs'!$B$27,IF(J519&lt;=MAX(3,'Model Inputs'!$B$30+1),'Model Inputs'!$B$27*(1+'Model Inputs'!$B$28)^(J519-3),'Model Inputs'!$B$27*(1+'Model Inputs'!$B$28)^(MAX(3,'Model Inputs'!$B$30+1)-3)*(1+'Model Inputs'!$B$29)^(J519-MAX(3,'Model Inputs'!$B$30+1)))))</f>
        <v>34616139.762586243</v>
      </c>
      <c r="N519" s="236">
        <f>IF(J519&lt;=2,0,'Model Inputs'!$B$32*SIN(2*PI()*(J519-3+'Model Inputs'!$B$34)/MAX(1,'Model Inputs'!$B$33)))</f>
        <v>-0.10392304845413269</v>
      </c>
      <c r="O519" s="230">
        <f t="shared" si="280"/>
        <v>31018724.992743965</v>
      </c>
      <c r="P519" s="230">
        <f t="shared" si="300"/>
        <v>27909585.160209741</v>
      </c>
      <c r="Q519" s="230">
        <f>L519+P519+IF(J519=1,'Model Inputs'!$B$26,0)</f>
        <v>28209585.160209741</v>
      </c>
      <c r="R519" s="230">
        <f t="shared" si="281"/>
        <v>84628755.480629221</v>
      </c>
      <c r="S519" s="230">
        <f t="shared" si="282"/>
        <v>15300000</v>
      </c>
      <c r="T519" s="230">
        <f t="shared" si="283"/>
        <v>15300000</v>
      </c>
      <c r="U519" s="230">
        <f>MIN(T519,'Tax Assumptions'!$B$19)</f>
        <v>24500</v>
      </c>
      <c r="V519" s="230">
        <f>MAX(T519-U519-'Tax Assumptions'!$B$8,0)</f>
        <v>15259400</v>
      </c>
      <c r="W519" s="230">
        <f>MAX(T519-U519-'Tax Assumptions'!$B$9,0)</f>
        <v>15267500</v>
      </c>
      <c r="X519" s="230">
        <f>IF(V519=0,0,LOOKUP(V519,'Tax Assumptions'!$F$9:$F$15,'Tax Assumptions'!$I$9:$I$15)+(V519-LOOKUP(V519,'Tax Assumptions'!$F$9:$F$15,'Tax Assumptions'!$F$9:$F$15))*LOOKUP(V519,'Tax Assumptions'!$F$9:$F$15,'Tax Assumptions'!$H$9:$H$15))+MIN(MAX(T519,0),'Tax Assumptions'!$B$11)*'Tax Assumptions'!$B$10+MAX(T519,0)*'Tax Assumptions'!$B$12+MAX(MAX(T519,0)-'Tax Assumptions'!$B$14,0)*'Tax Assumptions'!$B$13+MIN(T519*'Tax Assumptions'!$B$15,'Tax Assumptions'!$B$16)+MIN(T519*'Tax Assumptions'!$B$17,'Tax Assumptions'!$B$18)+IF(W519=0,0,LOOKUP(W519,'Tax Assumptions'!$K$9:$K$17,'Tax Assumptions'!$N$9:$N$17)+(W519-LOOKUP(W519,'Tax Assumptions'!$K$9:$K$17,'Tax Assumptions'!$K$9:$K$17))*LOOKUP(W519,'Tax Assumptions'!$K$9:$K$17,'Tax Assumptions'!$M$9:$M$17))+IF(W519=0,0,LOOKUP(W519,'Tax Assumptions'!$P$9:$P$12,'Tax Assumptions'!$S$9:$S$12)+(W519-LOOKUP(W519,'Tax Assumptions'!$P$9:$P$12,'Tax Assumptions'!$P$9:$P$12))*LOOKUP(W519,'Tax Assumptions'!$P$9:$P$12,'Tax Assumptions'!$R$9:$R$12))</f>
        <v>8070480.54</v>
      </c>
      <c r="Y519" s="230">
        <f t="shared" si="284"/>
        <v>7205019.46</v>
      </c>
      <c r="Z519" s="230">
        <f>IF(J519&lt;=10,INDEX('Savings Projection'!$BL$19:$BL$28,J519),LOOKUP(2,1/('Savings Projection'!$BL$19:$BL$28&lt;&gt;""),'Savings Projection'!$BL$19:$BL$28))*(1+'Model Inputs'!$B$35)^(J519-1)+IF(J519&lt;=10,INDEX('Savings Projection'!$BM$19:$BM$28,J519),LOOKUP(2,1/('Savings Projection'!$BM$19:$BM$28&lt;&gt;""),'Savings Projection'!$BM$19:$BM$28))*(1+'Model Inputs'!$B$36)^(J519-1)</f>
        <v>227955.78690002306</v>
      </c>
      <c r="AA519" s="230">
        <f t="shared" si="285"/>
        <v>6977063.673099977</v>
      </c>
      <c r="AB519" s="230">
        <f>MIN(MAX(AA519,0),'Tax Assumptions'!$B$20)</f>
        <v>7500</v>
      </c>
      <c r="AC519" s="230">
        <f t="shared" si="286"/>
        <v>6969563.673099977</v>
      </c>
      <c r="AD519" s="230">
        <f>MAX(AD518*(1+'Model Inputs'!$B$13)+AC519,0)</f>
        <v>145367638.22418264</v>
      </c>
      <c r="AE519" s="230">
        <f>MAX(AE518*(1+'Model Inputs'!$B$13)+U519+AB519,0)</f>
        <v>1177138.9185135181</v>
      </c>
      <c r="AF519" s="230">
        <f t="shared" si="287"/>
        <v>146544777.14269614</v>
      </c>
      <c r="AG519" s="226" t="str">
        <f t="shared" si="296"/>
        <v/>
      </c>
      <c r="AH519" s="226" t="str">
        <f t="shared" si="297"/>
        <v/>
      </c>
      <c r="AI519" s="226" t="str">
        <f t="shared" si="298"/>
        <v/>
      </c>
      <c r="AJ519" s="226" t="str">
        <f t="shared" si="299"/>
        <v/>
      </c>
    </row>
    <row r="520" spans="1:36" ht="18" customHeight="1" x14ac:dyDescent="0.2">
      <c r="A520" s="226" t="str">
        <f t="shared" si="288"/>
        <v>4Y -&gt; PM Y8 Tail</v>
      </c>
      <c r="B520" s="226">
        <f t="shared" si="289"/>
        <v>4</v>
      </c>
      <c r="C520" s="235">
        <f t="shared" si="290"/>
        <v>3</v>
      </c>
      <c r="D520" s="226">
        <f t="shared" si="291"/>
        <v>8</v>
      </c>
      <c r="E520" s="226" t="str">
        <f t="shared" si="292"/>
        <v>Tail</v>
      </c>
      <c r="F520" s="230">
        <f t="shared" si="293"/>
        <v>100000000</v>
      </c>
      <c r="G520" s="236">
        <f t="shared" si="294"/>
        <v>0.15</v>
      </c>
      <c r="H520" s="230">
        <f t="shared" si="295"/>
        <v>300000</v>
      </c>
      <c r="I520" s="236">
        <f t="shared" si="278"/>
        <v>0</v>
      </c>
      <c r="J520" s="234">
        <v>21</v>
      </c>
      <c r="K520" s="234">
        <f t="shared" si="279"/>
        <v>2046</v>
      </c>
      <c r="L520" s="230">
        <f>IF(J520=1,'Model Inputs'!$B$25*(13-'Model Inputs'!$B$23)/12,'Model Inputs'!$B$25)</f>
        <v>300000</v>
      </c>
      <c r="M520" s="230">
        <f>IF(J520=1,'Model Inputs'!$B$27*(13-'Model Inputs'!$B$23)/12,IF(J520=2,'Model Inputs'!$B$27,IF(J520&lt;=MAX(3,'Model Inputs'!$B$30+1),'Model Inputs'!$B$27*(1+'Model Inputs'!$B$28)^(J520-3),'Model Inputs'!$B$27*(1+'Model Inputs'!$B$28)^(MAX(3,'Model Inputs'!$B$30+1)-3)*(1+'Model Inputs'!$B$29)^(J520-MAX(3,'Model Inputs'!$B$30+1)))))</f>
        <v>43992870.912849829</v>
      </c>
      <c r="N520" s="236">
        <f>IF(J520&lt;=2,0,'Model Inputs'!$B$32*SIN(2*PI()*(J520-3+'Model Inputs'!$B$34)/MAX(1,'Model Inputs'!$B$33)))</f>
        <v>-1.7634913907721884E-16</v>
      </c>
      <c r="O520" s="230">
        <f t="shared" si="280"/>
        <v>43992870.912849821</v>
      </c>
      <c r="P520" s="230">
        <f t="shared" si="300"/>
        <v>30781203.440388259</v>
      </c>
      <c r="Q520" s="230">
        <f>L520+P520+IF(J520=1,'Model Inputs'!$B$26,0)</f>
        <v>31081203.440388259</v>
      </c>
      <c r="R520" s="230">
        <f t="shared" si="281"/>
        <v>93243610.321164772</v>
      </c>
      <c r="S520" s="230">
        <f t="shared" si="282"/>
        <v>15300000</v>
      </c>
      <c r="T520" s="230">
        <f t="shared" si="283"/>
        <v>15300000</v>
      </c>
      <c r="U520" s="230">
        <f>MIN(T520,'Tax Assumptions'!$B$19)</f>
        <v>24500</v>
      </c>
      <c r="V520" s="230">
        <f>MAX(T520-U520-'Tax Assumptions'!$B$8,0)</f>
        <v>15259400</v>
      </c>
      <c r="W520" s="230">
        <f>MAX(T520-U520-'Tax Assumptions'!$B$9,0)</f>
        <v>15267500</v>
      </c>
      <c r="X520" s="230">
        <f>IF(V520=0,0,LOOKUP(V520,'Tax Assumptions'!$F$9:$F$15,'Tax Assumptions'!$I$9:$I$15)+(V520-LOOKUP(V520,'Tax Assumptions'!$F$9:$F$15,'Tax Assumptions'!$F$9:$F$15))*LOOKUP(V520,'Tax Assumptions'!$F$9:$F$15,'Tax Assumptions'!$H$9:$H$15))+MIN(MAX(T520,0),'Tax Assumptions'!$B$11)*'Tax Assumptions'!$B$10+MAX(T520,0)*'Tax Assumptions'!$B$12+MAX(MAX(T520,0)-'Tax Assumptions'!$B$14,0)*'Tax Assumptions'!$B$13+MIN(T520*'Tax Assumptions'!$B$15,'Tax Assumptions'!$B$16)+MIN(T520*'Tax Assumptions'!$B$17,'Tax Assumptions'!$B$18)+IF(W520=0,0,LOOKUP(W520,'Tax Assumptions'!$K$9:$K$17,'Tax Assumptions'!$N$9:$N$17)+(W520-LOOKUP(W520,'Tax Assumptions'!$K$9:$K$17,'Tax Assumptions'!$K$9:$K$17))*LOOKUP(W520,'Tax Assumptions'!$K$9:$K$17,'Tax Assumptions'!$M$9:$M$17))+IF(W520=0,0,LOOKUP(W520,'Tax Assumptions'!$P$9:$P$12,'Tax Assumptions'!$S$9:$S$12)+(W520-LOOKUP(W520,'Tax Assumptions'!$P$9:$P$12,'Tax Assumptions'!$P$9:$P$12))*LOOKUP(W520,'Tax Assumptions'!$P$9:$P$12,'Tax Assumptions'!$R$9:$R$12))</f>
        <v>8070480.54</v>
      </c>
      <c r="Y520" s="230">
        <f t="shared" si="284"/>
        <v>7205019.46</v>
      </c>
      <c r="Z520" s="230">
        <f>IF(J520&lt;=10,INDEX('Savings Projection'!$BL$19:$BL$28,J520),LOOKUP(2,1/('Savings Projection'!$BL$19:$BL$28&lt;&gt;""),'Savings Projection'!$BL$19:$BL$28))*(1+'Model Inputs'!$B$35)^(J520-1)+IF(J520&lt;=10,INDEX('Savings Projection'!$BM$19:$BM$28,J520),LOOKUP(2,1/('Savings Projection'!$BM$19:$BM$28&lt;&gt;""),'Savings Projection'!$BM$19:$BM$28))*(1+'Model Inputs'!$B$36)^(J520-1)</f>
        <v>234794.46050702373</v>
      </c>
      <c r="AA520" s="230">
        <f t="shared" si="285"/>
        <v>6970224.9994929759</v>
      </c>
      <c r="AB520" s="230">
        <f>MIN(MAX(AA520,0),'Tax Assumptions'!$B$20)</f>
        <v>7500</v>
      </c>
      <c r="AC520" s="230">
        <f t="shared" si="286"/>
        <v>6962724.9994929759</v>
      </c>
      <c r="AD520" s="230">
        <f>MAX(AD519*(1+'Model Inputs'!$B$13)+AC520,0)</f>
        <v>161052421.51712656</v>
      </c>
      <c r="AE520" s="230">
        <f>MAX(AE519*(1+'Model Inputs'!$B$13)+U520+AB520,0)</f>
        <v>1279767.2536243291</v>
      </c>
      <c r="AF520" s="230">
        <f t="shared" si="287"/>
        <v>162332188.77075088</v>
      </c>
      <c r="AG520" s="226" t="str">
        <f t="shared" si="296"/>
        <v/>
      </c>
      <c r="AH520" s="226" t="str">
        <f t="shared" si="297"/>
        <v/>
      </c>
      <c r="AI520" s="226" t="str">
        <f t="shared" si="298"/>
        <v/>
      </c>
      <c r="AJ520" s="226" t="str">
        <f t="shared" si="299"/>
        <v/>
      </c>
    </row>
    <row r="521" spans="1:36" ht="18" customHeight="1" x14ac:dyDescent="0.2">
      <c r="A521" s="226" t="str">
        <f t="shared" si="288"/>
        <v>4Y -&gt; PM Y8 Tail</v>
      </c>
      <c r="B521" s="226">
        <f t="shared" si="289"/>
        <v>4</v>
      </c>
      <c r="C521" s="235">
        <f t="shared" si="290"/>
        <v>3</v>
      </c>
      <c r="D521" s="226">
        <f t="shared" si="291"/>
        <v>8</v>
      </c>
      <c r="E521" s="226" t="str">
        <f t="shared" si="292"/>
        <v>Tail</v>
      </c>
      <c r="F521" s="230">
        <f t="shared" si="293"/>
        <v>100000000</v>
      </c>
      <c r="G521" s="236">
        <f t="shared" si="294"/>
        <v>0.15</v>
      </c>
      <c r="H521" s="230">
        <f t="shared" si="295"/>
        <v>300000</v>
      </c>
      <c r="I521" s="236">
        <f t="shared" si="278"/>
        <v>0</v>
      </c>
      <c r="J521" s="234">
        <v>22</v>
      </c>
      <c r="K521" s="234">
        <f t="shared" si="279"/>
        <v>2047</v>
      </c>
      <c r="L521" s="230">
        <f>IF(J521=1,'Model Inputs'!$B$25*(13-'Model Inputs'!$B$23)/12,'Model Inputs'!$B$25)</f>
        <v>300000</v>
      </c>
      <c r="M521" s="230">
        <f>IF(J521=1,'Model Inputs'!$B$27*(13-'Model Inputs'!$B$23)/12,IF(J521=2,'Model Inputs'!$B$27,IF(J521&lt;=MAX(3,'Model Inputs'!$B$30+1),'Model Inputs'!$B$27*(1+'Model Inputs'!$B$28)^(J521-3),'Model Inputs'!$B$27*(1+'Model Inputs'!$B$28)^(MAX(3,'Model Inputs'!$B$30+1)-3)*(1+'Model Inputs'!$B$29)^(J521-MAX(3,'Model Inputs'!$B$30+1)))))</f>
        <v>55909546.9462616</v>
      </c>
      <c r="N521" s="236">
        <f>IF(J521&lt;=2,0,'Model Inputs'!$B$32*SIN(2*PI()*(J521-3+'Model Inputs'!$B$34)/MAX(1,'Model Inputs'!$B$33)))</f>
        <v>0.10392304845413287</v>
      </c>
      <c r="O521" s="230">
        <f t="shared" si="280"/>
        <v>61719837.502606563</v>
      </c>
      <c r="P521" s="230">
        <f t="shared" si="300"/>
        <v>40749334.43282336</v>
      </c>
      <c r="Q521" s="230">
        <f>L521+P521+IF(J521=1,'Model Inputs'!$B$26,0)</f>
        <v>41049334.43282336</v>
      </c>
      <c r="R521" s="230">
        <f t="shared" si="281"/>
        <v>123148003.29847008</v>
      </c>
      <c r="S521" s="230">
        <f t="shared" si="282"/>
        <v>15300000</v>
      </c>
      <c r="T521" s="230">
        <f t="shared" si="283"/>
        <v>15300000</v>
      </c>
      <c r="U521" s="230">
        <f>MIN(T521,'Tax Assumptions'!$B$19)</f>
        <v>24500</v>
      </c>
      <c r="V521" s="230">
        <f>MAX(T521-U521-'Tax Assumptions'!$B$8,0)</f>
        <v>15259400</v>
      </c>
      <c r="W521" s="230">
        <f>MAX(T521-U521-'Tax Assumptions'!$B$9,0)</f>
        <v>15267500</v>
      </c>
      <c r="X521" s="230">
        <f>IF(V521=0,0,LOOKUP(V521,'Tax Assumptions'!$F$9:$F$15,'Tax Assumptions'!$I$9:$I$15)+(V521-LOOKUP(V521,'Tax Assumptions'!$F$9:$F$15,'Tax Assumptions'!$F$9:$F$15))*LOOKUP(V521,'Tax Assumptions'!$F$9:$F$15,'Tax Assumptions'!$H$9:$H$15))+MIN(MAX(T521,0),'Tax Assumptions'!$B$11)*'Tax Assumptions'!$B$10+MAX(T521,0)*'Tax Assumptions'!$B$12+MAX(MAX(T521,0)-'Tax Assumptions'!$B$14,0)*'Tax Assumptions'!$B$13+MIN(T521*'Tax Assumptions'!$B$15,'Tax Assumptions'!$B$16)+MIN(T521*'Tax Assumptions'!$B$17,'Tax Assumptions'!$B$18)+IF(W521=0,0,LOOKUP(W521,'Tax Assumptions'!$K$9:$K$17,'Tax Assumptions'!$N$9:$N$17)+(W521-LOOKUP(W521,'Tax Assumptions'!$K$9:$K$17,'Tax Assumptions'!$K$9:$K$17))*LOOKUP(W521,'Tax Assumptions'!$K$9:$K$17,'Tax Assumptions'!$M$9:$M$17))+IF(W521=0,0,LOOKUP(W521,'Tax Assumptions'!$P$9:$P$12,'Tax Assumptions'!$S$9:$S$12)+(W521-LOOKUP(W521,'Tax Assumptions'!$P$9:$P$12,'Tax Assumptions'!$P$9:$P$12))*LOOKUP(W521,'Tax Assumptions'!$P$9:$P$12,'Tax Assumptions'!$R$9:$R$12))</f>
        <v>8070480.54</v>
      </c>
      <c r="Y521" s="230">
        <f t="shared" si="284"/>
        <v>7205019.46</v>
      </c>
      <c r="Z521" s="230">
        <f>IF(J521&lt;=10,INDEX('Savings Projection'!$BL$19:$BL$28,J521),LOOKUP(2,1/('Savings Projection'!$BL$19:$BL$28&lt;&gt;""),'Savings Projection'!$BL$19:$BL$28))*(1+'Model Inputs'!$B$35)^(J521-1)+IF(J521&lt;=10,INDEX('Savings Projection'!$BM$19:$BM$28,J521),LOOKUP(2,1/('Savings Projection'!$BM$19:$BM$28&lt;&gt;""),'Savings Projection'!$BM$19:$BM$28))*(1+'Model Inputs'!$B$36)^(J521-1)</f>
        <v>241838.2943222344</v>
      </c>
      <c r="AA521" s="230">
        <f t="shared" si="285"/>
        <v>6963181.1656777654</v>
      </c>
      <c r="AB521" s="230">
        <f>MIN(MAX(AA521,0),'Tax Assumptions'!$B$20)</f>
        <v>7500</v>
      </c>
      <c r="AC521" s="230">
        <f t="shared" si="286"/>
        <v>6955681.1656777654</v>
      </c>
      <c r="AD521" s="230">
        <f>MAX(AD520*(1+'Model Inputs'!$B$13)+AC521,0)</f>
        <v>177671247.97383192</v>
      </c>
      <c r="AE521" s="230">
        <f>MAX(AE520*(1+'Model Inputs'!$B$13)+U521+AB521,0)</f>
        <v>1388553.2888417889</v>
      </c>
      <c r="AF521" s="230">
        <f t="shared" si="287"/>
        <v>179059801.26267371</v>
      </c>
      <c r="AG521" s="226" t="str">
        <f t="shared" si="296"/>
        <v/>
      </c>
      <c r="AH521" s="226" t="str">
        <f t="shared" si="297"/>
        <v/>
      </c>
      <c r="AI521" s="226" t="str">
        <f t="shared" si="298"/>
        <v/>
      </c>
      <c r="AJ521" s="226" t="str">
        <f t="shared" si="299"/>
        <v/>
      </c>
    </row>
    <row r="522" spans="1:36" ht="18" customHeight="1" x14ac:dyDescent="0.2">
      <c r="A522" s="226" t="str">
        <f t="shared" si="288"/>
        <v>4Y -&gt; PM Y8 Tail</v>
      </c>
      <c r="B522" s="226">
        <f t="shared" si="289"/>
        <v>4</v>
      </c>
      <c r="C522" s="235">
        <f t="shared" si="290"/>
        <v>3</v>
      </c>
      <c r="D522" s="226">
        <f t="shared" si="291"/>
        <v>8</v>
      </c>
      <c r="E522" s="226" t="str">
        <f t="shared" si="292"/>
        <v>Tail</v>
      </c>
      <c r="F522" s="230">
        <f t="shared" si="293"/>
        <v>100000000</v>
      </c>
      <c r="G522" s="236">
        <f t="shared" si="294"/>
        <v>0.15</v>
      </c>
      <c r="H522" s="230">
        <f t="shared" si="295"/>
        <v>300000</v>
      </c>
      <c r="I522" s="236">
        <f t="shared" si="278"/>
        <v>0</v>
      </c>
      <c r="J522" s="234">
        <v>23</v>
      </c>
      <c r="K522" s="234">
        <f t="shared" si="279"/>
        <v>2048</v>
      </c>
      <c r="L522" s="230">
        <f>IF(J522=1,'Model Inputs'!$B$25*(13-'Model Inputs'!$B$23)/12,'Model Inputs'!$B$25)</f>
        <v>300000</v>
      </c>
      <c r="M522" s="230">
        <f>IF(J522=1,'Model Inputs'!$B$27*(13-'Model Inputs'!$B$23)/12,IF(J522=2,'Model Inputs'!$B$27,IF(J522&lt;=MAX(3,'Model Inputs'!$B$30+1),'Model Inputs'!$B$27*(1+'Model Inputs'!$B$28)^(J522-3),'Model Inputs'!$B$27*(1+'Model Inputs'!$B$28)^(MAX(3,'Model Inputs'!$B$30+1)-3)*(1+'Model Inputs'!$B$29)^(J522-MAX(3,'Model Inputs'!$B$30+1)))))</f>
        <v>71054181.617940187</v>
      </c>
      <c r="N522" s="236">
        <f>IF(J522&lt;=2,0,'Model Inputs'!$B$32*SIN(2*PI()*(J522-3+'Model Inputs'!$B$34)/MAX(1,'Model Inputs'!$B$33)))</f>
        <v>-0.10392304845413268</v>
      </c>
      <c r="O522" s="230">
        <f t="shared" si="280"/>
        <v>63670014.458790243</v>
      </c>
      <c r="P522" s="230">
        <f t="shared" si="300"/>
        <v>57288095.855167374</v>
      </c>
      <c r="Q522" s="230">
        <f>L522+P522+IF(J522=1,'Model Inputs'!$B$26,0)</f>
        <v>57588095.855167374</v>
      </c>
      <c r="R522" s="230">
        <f t="shared" si="281"/>
        <v>172764287.56550211</v>
      </c>
      <c r="S522" s="230">
        <f t="shared" si="282"/>
        <v>15300000</v>
      </c>
      <c r="T522" s="230">
        <f t="shared" si="283"/>
        <v>15300000</v>
      </c>
      <c r="U522" s="230">
        <f>MIN(T522,'Tax Assumptions'!$B$19)</f>
        <v>24500</v>
      </c>
      <c r="V522" s="230">
        <f>MAX(T522-U522-'Tax Assumptions'!$B$8,0)</f>
        <v>15259400</v>
      </c>
      <c r="W522" s="230">
        <f>MAX(T522-U522-'Tax Assumptions'!$B$9,0)</f>
        <v>15267500</v>
      </c>
      <c r="X522" s="230">
        <f>IF(V522=0,0,LOOKUP(V522,'Tax Assumptions'!$F$9:$F$15,'Tax Assumptions'!$I$9:$I$15)+(V522-LOOKUP(V522,'Tax Assumptions'!$F$9:$F$15,'Tax Assumptions'!$F$9:$F$15))*LOOKUP(V522,'Tax Assumptions'!$F$9:$F$15,'Tax Assumptions'!$H$9:$H$15))+MIN(MAX(T522,0),'Tax Assumptions'!$B$11)*'Tax Assumptions'!$B$10+MAX(T522,0)*'Tax Assumptions'!$B$12+MAX(MAX(T522,0)-'Tax Assumptions'!$B$14,0)*'Tax Assumptions'!$B$13+MIN(T522*'Tax Assumptions'!$B$15,'Tax Assumptions'!$B$16)+MIN(T522*'Tax Assumptions'!$B$17,'Tax Assumptions'!$B$18)+IF(W522=0,0,LOOKUP(W522,'Tax Assumptions'!$K$9:$K$17,'Tax Assumptions'!$N$9:$N$17)+(W522-LOOKUP(W522,'Tax Assumptions'!$K$9:$K$17,'Tax Assumptions'!$K$9:$K$17))*LOOKUP(W522,'Tax Assumptions'!$K$9:$K$17,'Tax Assumptions'!$M$9:$M$17))+IF(W522=0,0,LOOKUP(W522,'Tax Assumptions'!$P$9:$P$12,'Tax Assumptions'!$S$9:$S$12)+(W522-LOOKUP(W522,'Tax Assumptions'!$P$9:$P$12,'Tax Assumptions'!$P$9:$P$12))*LOOKUP(W522,'Tax Assumptions'!$P$9:$P$12,'Tax Assumptions'!$R$9:$R$12))</f>
        <v>8070480.54</v>
      </c>
      <c r="Y522" s="230">
        <f t="shared" si="284"/>
        <v>7205019.46</v>
      </c>
      <c r="Z522" s="230">
        <f>IF(J522&lt;=10,INDEX('Savings Projection'!$BL$19:$BL$28,J522),LOOKUP(2,1/('Savings Projection'!$BL$19:$BL$28&lt;&gt;""),'Savings Projection'!$BL$19:$BL$28))*(1+'Model Inputs'!$B$35)^(J522-1)+IF(J522&lt;=10,INDEX('Savings Projection'!$BM$19:$BM$28,J522),LOOKUP(2,1/('Savings Projection'!$BM$19:$BM$28&lt;&gt;""),'Savings Projection'!$BM$19:$BM$28))*(1+'Model Inputs'!$B$36)^(J522-1)</f>
        <v>249093.44315190148</v>
      </c>
      <c r="AA522" s="230">
        <f t="shared" si="285"/>
        <v>6955926.0168480985</v>
      </c>
      <c r="AB522" s="230">
        <f>MIN(MAX(AA522,0),'Tax Assumptions'!$B$20)</f>
        <v>7500</v>
      </c>
      <c r="AC522" s="230">
        <f t="shared" si="286"/>
        <v>6948426.0168480985</v>
      </c>
      <c r="AD522" s="230">
        <f>MAX(AD521*(1+'Model Inputs'!$B$13)+AC522,0)</f>
        <v>195279948.86910993</v>
      </c>
      <c r="AE522" s="230">
        <f>MAX(AE521*(1+'Model Inputs'!$B$13)+U522+AB522,0)</f>
        <v>1503866.4861722963</v>
      </c>
      <c r="AF522" s="230">
        <f t="shared" si="287"/>
        <v>196783815.35528222</v>
      </c>
      <c r="AG522" s="226" t="str">
        <f t="shared" si="296"/>
        <v/>
      </c>
      <c r="AH522" s="226" t="str">
        <f t="shared" si="297"/>
        <v/>
      </c>
      <c r="AI522" s="226" t="str">
        <f t="shared" si="298"/>
        <v/>
      </c>
      <c r="AJ522" s="226" t="str">
        <f t="shared" si="299"/>
        <v/>
      </c>
    </row>
    <row r="523" spans="1:36" ht="18" customHeight="1" x14ac:dyDescent="0.2">
      <c r="A523" s="226" t="str">
        <f t="shared" si="288"/>
        <v>4Y -&gt; PM Y8 Tail</v>
      </c>
      <c r="B523" s="226">
        <f t="shared" si="289"/>
        <v>4</v>
      </c>
      <c r="C523" s="235">
        <f t="shared" si="290"/>
        <v>3</v>
      </c>
      <c r="D523" s="226">
        <f t="shared" si="291"/>
        <v>8</v>
      </c>
      <c r="E523" s="226" t="str">
        <f t="shared" si="292"/>
        <v>Tail</v>
      </c>
      <c r="F523" s="230">
        <f t="shared" si="293"/>
        <v>100000000</v>
      </c>
      <c r="G523" s="236">
        <f t="shared" si="294"/>
        <v>0.15</v>
      </c>
      <c r="H523" s="230">
        <f t="shared" si="295"/>
        <v>300000</v>
      </c>
      <c r="I523" s="236">
        <f t="shared" si="278"/>
        <v>0</v>
      </c>
      <c r="J523" s="234">
        <v>24</v>
      </c>
      <c r="K523" s="234">
        <f t="shared" si="279"/>
        <v>2049</v>
      </c>
      <c r="L523" s="230">
        <f>IF(J523=1,'Model Inputs'!$B$25*(13-'Model Inputs'!$B$23)/12,'Model Inputs'!$B$25)</f>
        <v>300000</v>
      </c>
      <c r="M523" s="230">
        <f>IF(J523=1,'Model Inputs'!$B$27*(13-'Model Inputs'!$B$23)/12,IF(J523=2,'Model Inputs'!$B$27,IF(J523&lt;=MAX(3,'Model Inputs'!$B$30+1),'Model Inputs'!$B$27*(1+'Model Inputs'!$B$28)^(J523-3),'Model Inputs'!$B$27*(1+'Model Inputs'!$B$28)^(MAX(3,'Model Inputs'!$B$30+1)-3)*(1+'Model Inputs'!$B$29)^(J523-MAX(3,'Model Inputs'!$B$30+1)))))</f>
        <v>90301156.084270701</v>
      </c>
      <c r="N523" s="236">
        <f>IF(J523&lt;=2,0,'Model Inputs'!$B$32*SIN(2*PI()*(J523-3+'Model Inputs'!$B$34)/MAX(1,'Model Inputs'!$B$33)))</f>
        <v>-2.0574066225675533E-16</v>
      </c>
      <c r="O523" s="230">
        <f t="shared" si="280"/>
        <v>90301156.084270686</v>
      </c>
      <c r="P523" s="230">
        <f t="shared" si="300"/>
        <v>63182470.219744325</v>
      </c>
      <c r="Q523" s="230">
        <f>L523+P523+IF(J523=1,'Model Inputs'!$B$26,0)</f>
        <v>63482470.219744325</v>
      </c>
      <c r="R523" s="230">
        <f t="shared" si="281"/>
        <v>190447410.65923297</v>
      </c>
      <c r="S523" s="230">
        <f t="shared" si="282"/>
        <v>15300000</v>
      </c>
      <c r="T523" s="230">
        <f t="shared" si="283"/>
        <v>15300000</v>
      </c>
      <c r="U523" s="230">
        <f>MIN(T523,'Tax Assumptions'!$B$19)</f>
        <v>24500</v>
      </c>
      <c r="V523" s="230">
        <f>MAX(T523-U523-'Tax Assumptions'!$B$8,0)</f>
        <v>15259400</v>
      </c>
      <c r="W523" s="230">
        <f>MAX(T523-U523-'Tax Assumptions'!$B$9,0)</f>
        <v>15267500</v>
      </c>
      <c r="X523" s="230">
        <f>IF(V523=0,0,LOOKUP(V523,'Tax Assumptions'!$F$9:$F$15,'Tax Assumptions'!$I$9:$I$15)+(V523-LOOKUP(V523,'Tax Assumptions'!$F$9:$F$15,'Tax Assumptions'!$F$9:$F$15))*LOOKUP(V523,'Tax Assumptions'!$F$9:$F$15,'Tax Assumptions'!$H$9:$H$15))+MIN(MAX(T523,0),'Tax Assumptions'!$B$11)*'Tax Assumptions'!$B$10+MAX(T523,0)*'Tax Assumptions'!$B$12+MAX(MAX(T523,0)-'Tax Assumptions'!$B$14,0)*'Tax Assumptions'!$B$13+MIN(T523*'Tax Assumptions'!$B$15,'Tax Assumptions'!$B$16)+MIN(T523*'Tax Assumptions'!$B$17,'Tax Assumptions'!$B$18)+IF(W523=0,0,LOOKUP(W523,'Tax Assumptions'!$K$9:$K$17,'Tax Assumptions'!$N$9:$N$17)+(W523-LOOKUP(W523,'Tax Assumptions'!$K$9:$K$17,'Tax Assumptions'!$K$9:$K$17))*LOOKUP(W523,'Tax Assumptions'!$K$9:$K$17,'Tax Assumptions'!$M$9:$M$17))+IF(W523=0,0,LOOKUP(W523,'Tax Assumptions'!$P$9:$P$12,'Tax Assumptions'!$S$9:$S$12)+(W523-LOOKUP(W523,'Tax Assumptions'!$P$9:$P$12,'Tax Assumptions'!$P$9:$P$12))*LOOKUP(W523,'Tax Assumptions'!$P$9:$P$12,'Tax Assumptions'!$R$9:$R$12))</f>
        <v>8070480.54</v>
      </c>
      <c r="Y523" s="230">
        <f t="shared" si="284"/>
        <v>7205019.46</v>
      </c>
      <c r="Z523" s="230">
        <f>IF(J523&lt;=10,INDEX('Savings Projection'!$BL$19:$BL$28,J523),LOOKUP(2,1/('Savings Projection'!$BL$19:$BL$28&lt;&gt;""),'Savings Projection'!$BL$19:$BL$28))*(1+'Model Inputs'!$B$35)^(J523-1)+IF(J523&lt;=10,INDEX('Savings Projection'!$BM$19:$BM$28,J523),LOOKUP(2,1/('Savings Projection'!$BM$19:$BM$28&lt;&gt;""),'Savings Projection'!$BM$19:$BM$28))*(1+'Model Inputs'!$B$36)^(J523-1)</f>
        <v>256566.24644645851</v>
      </c>
      <c r="AA523" s="230">
        <f t="shared" si="285"/>
        <v>6948453.2135535413</v>
      </c>
      <c r="AB523" s="230">
        <f>MIN(MAX(AA523,0),'Tax Assumptions'!$B$20)</f>
        <v>7500</v>
      </c>
      <c r="AC523" s="230">
        <f t="shared" si="286"/>
        <v>6940953.2135535413</v>
      </c>
      <c r="AD523" s="230">
        <f>MAX(AD522*(1+'Model Inputs'!$B$13)+AC523,0)</f>
        <v>213937699.01481009</v>
      </c>
      <c r="AE523" s="230">
        <f>MAX(AE522*(1+'Model Inputs'!$B$13)+U523+AB523,0)</f>
        <v>1626098.4753426341</v>
      </c>
      <c r="AF523" s="230">
        <f t="shared" si="287"/>
        <v>215563797.49015272</v>
      </c>
      <c r="AG523" s="226" t="str">
        <f t="shared" si="296"/>
        <v/>
      </c>
      <c r="AH523" s="226" t="str">
        <f t="shared" si="297"/>
        <v/>
      </c>
      <c r="AI523" s="226" t="str">
        <f t="shared" si="298"/>
        <v/>
      </c>
      <c r="AJ523" s="226" t="str">
        <f t="shared" si="299"/>
        <v/>
      </c>
    </row>
    <row r="524" spans="1:36" ht="18" customHeight="1" x14ac:dyDescent="0.2">
      <c r="A524" s="226" t="str">
        <f t="shared" si="288"/>
        <v>4Y -&gt; PM Y8 Tail</v>
      </c>
      <c r="B524" s="226">
        <f t="shared" si="289"/>
        <v>4</v>
      </c>
      <c r="C524" s="235">
        <f t="shared" si="290"/>
        <v>3</v>
      </c>
      <c r="D524" s="226">
        <f t="shared" si="291"/>
        <v>8</v>
      </c>
      <c r="E524" s="226" t="str">
        <f t="shared" si="292"/>
        <v>Tail</v>
      </c>
      <c r="F524" s="230">
        <f t="shared" si="293"/>
        <v>100000000</v>
      </c>
      <c r="G524" s="236">
        <f t="shared" si="294"/>
        <v>0.15</v>
      </c>
      <c r="H524" s="230">
        <f t="shared" si="295"/>
        <v>300000</v>
      </c>
      <c r="I524" s="236">
        <f t="shared" si="278"/>
        <v>0</v>
      </c>
      <c r="J524" s="234">
        <v>25</v>
      </c>
      <c r="K524" s="234">
        <f t="shared" si="279"/>
        <v>2050</v>
      </c>
      <c r="L524" s="230">
        <f>IF(J524=1,'Model Inputs'!$B$25*(13-'Model Inputs'!$B$23)/12,'Model Inputs'!$B$25)</f>
        <v>300000</v>
      </c>
      <c r="M524" s="230">
        <f>IF(J524=1,'Model Inputs'!$B$27*(13-'Model Inputs'!$B$23)/12,IF(J524=2,'Model Inputs'!$B$27,IF(J524&lt;=MAX(3,'Model Inputs'!$B$30+1),'Model Inputs'!$B$27*(1+'Model Inputs'!$B$28)^(J524-3),'Model Inputs'!$B$27*(1+'Model Inputs'!$B$28)^(MAX(3,'Model Inputs'!$B$30+1)-3)*(1+'Model Inputs'!$B$29)^(J524-MAX(3,'Model Inputs'!$B$30+1)))))</f>
        <v>114761701.62653697</v>
      </c>
      <c r="N524" s="236">
        <f>IF(J524&lt;=2,0,'Model Inputs'!$B$32*SIN(2*PI()*(J524-3+'Model Inputs'!$B$34)/MAX(1,'Model Inputs'!$B$33)))</f>
        <v>0.10392304845413287</v>
      </c>
      <c r="O524" s="230">
        <f t="shared" si="280"/>
        <v>126688087.50535031</v>
      </c>
      <c r="P524" s="230">
        <f t="shared" si="300"/>
        <v>83643370.677900568</v>
      </c>
      <c r="Q524" s="230">
        <f>L524+P524+IF(J524=1,'Model Inputs'!$B$26,0)</f>
        <v>83943370.677900568</v>
      </c>
      <c r="R524" s="230">
        <f t="shared" si="281"/>
        <v>251830112.03370172</v>
      </c>
      <c r="S524" s="230">
        <f t="shared" si="282"/>
        <v>15300000</v>
      </c>
      <c r="T524" s="230">
        <f t="shared" si="283"/>
        <v>15300000</v>
      </c>
      <c r="U524" s="230">
        <f>MIN(T524,'Tax Assumptions'!$B$19)</f>
        <v>24500</v>
      </c>
      <c r="V524" s="230">
        <f>MAX(T524-U524-'Tax Assumptions'!$B$8,0)</f>
        <v>15259400</v>
      </c>
      <c r="W524" s="230">
        <f>MAX(T524-U524-'Tax Assumptions'!$B$9,0)</f>
        <v>15267500</v>
      </c>
      <c r="X524" s="230">
        <f>IF(V524=0,0,LOOKUP(V524,'Tax Assumptions'!$F$9:$F$15,'Tax Assumptions'!$I$9:$I$15)+(V524-LOOKUP(V524,'Tax Assumptions'!$F$9:$F$15,'Tax Assumptions'!$F$9:$F$15))*LOOKUP(V524,'Tax Assumptions'!$F$9:$F$15,'Tax Assumptions'!$H$9:$H$15))+MIN(MAX(T524,0),'Tax Assumptions'!$B$11)*'Tax Assumptions'!$B$10+MAX(T524,0)*'Tax Assumptions'!$B$12+MAX(MAX(T524,0)-'Tax Assumptions'!$B$14,0)*'Tax Assumptions'!$B$13+MIN(T524*'Tax Assumptions'!$B$15,'Tax Assumptions'!$B$16)+MIN(T524*'Tax Assumptions'!$B$17,'Tax Assumptions'!$B$18)+IF(W524=0,0,LOOKUP(W524,'Tax Assumptions'!$K$9:$K$17,'Tax Assumptions'!$N$9:$N$17)+(W524-LOOKUP(W524,'Tax Assumptions'!$K$9:$K$17,'Tax Assumptions'!$K$9:$K$17))*LOOKUP(W524,'Tax Assumptions'!$K$9:$K$17,'Tax Assumptions'!$M$9:$M$17))+IF(W524=0,0,LOOKUP(W524,'Tax Assumptions'!$P$9:$P$12,'Tax Assumptions'!$S$9:$S$12)+(W524-LOOKUP(W524,'Tax Assumptions'!$P$9:$P$12,'Tax Assumptions'!$P$9:$P$12))*LOOKUP(W524,'Tax Assumptions'!$P$9:$P$12,'Tax Assumptions'!$R$9:$R$12))</f>
        <v>8070480.54</v>
      </c>
      <c r="Y524" s="230">
        <f t="shared" si="284"/>
        <v>7205019.46</v>
      </c>
      <c r="Z524" s="230">
        <f>IF(J524&lt;=10,INDEX('Savings Projection'!$BL$19:$BL$28,J524),LOOKUP(2,1/('Savings Projection'!$BL$19:$BL$28&lt;&gt;""),'Savings Projection'!$BL$19:$BL$28))*(1+'Model Inputs'!$B$35)^(J524-1)+IF(J524&lt;=10,INDEX('Savings Projection'!$BM$19:$BM$28,J524),LOOKUP(2,1/('Savings Projection'!$BM$19:$BM$28&lt;&gt;""),'Savings Projection'!$BM$19:$BM$28))*(1+'Model Inputs'!$B$36)^(J524-1)</f>
        <v>264263.23383985227</v>
      </c>
      <c r="AA524" s="230">
        <f t="shared" si="285"/>
        <v>6940756.2261601482</v>
      </c>
      <c r="AB524" s="230">
        <f>MIN(MAX(AA524,0),'Tax Assumptions'!$B$20)</f>
        <v>7500</v>
      </c>
      <c r="AC524" s="230">
        <f t="shared" si="286"/>
        <v>6933256.2261601482</v>
      </c>
      <c r="AD524" s="230">
        <f>MAX(AD523*(1+'Model Inputs'!$B$13)+AC524,0)</f>
        <v>233707217.18185884</v>
      </c>
      <c r="AE524" s="230">
        <f>MAX(AE523*(1+'Model Inputs'!$B$13)+U524+AB524,0)</f>
        <v>1755664.3838631923</v>
      </c>
      <c r="AF524" s="230">
        <f t="shared" si="287"/>
        <v>235462881.56572202</v>
      </c>
      <c r="AG524" s="226" t="str">
        <f t="shared" si="296"/>
        <v/>
      </c>
      <c r="AH524" s="226" t="str">
        <f t="shared" si="297"/>
        <v/>
      </c>
      <c r="AI524" s="226" t="str">
        <f t="shared" si="298"/>
        <v/>
      </c>
      <c r="AJ524" s="226" t="str">
        <f t="shared" si="299"/>
        <v/>
      </c>
    </row>
    <row r="525" spans="1:36" ht="18" customHeight="1" x14ac:dyDescent="0.2">
      <c r="A525" s="226" t="str">
        <f t="shared" si="288"/>
        <v>4Y -&gt; PM Y8 Tail</v>
      </c>
      <c r="B525" s="226">
        <f t="shared" si="289"/>
        <v>4</v>
      </c>
      <c r="C525" s="235">
        <f t="shared" si="290"/>
        <v>3</v>
      </c>
      <c r="D525" s="226">
        <f t="shared" si="291"/>
        <v>8</v>
      </c>
      <c r="E525" s="226" t="str">
        <f t="shared" si="292"/>
        <v>Tail</v>
      </c>
      <c r="F525" s="230">
        <f t="shared" si="293"/>
        <v>100000000</v>
      </c>
      <c r="G525" s="236">
        <f t="shared" si="294"/>
        <v>0.15</v>
      </c>
      <c r="H525" s="230">
        <f t="shared" si="295"/>
        <v>300000</v>
      </c>
      <c r="I525" s="236">
        <f t="shared" si="278"/>
        <v>0</v>
      </c>
      <c r="J525" s="234">
        <v>26</v>
      </c>
      <c r="K525" s="234">
        <f t="shared" si="279"/>
        <v>2051</v>
      </c>
      <c r="L525" s="230">
        <f>IF(J525=1,'Model Inputs'!$B$25*(13-'Model Inputs'!$B$23)/12,'Model Inputs'!$B$25)</f>
        <v>300000</v>
      </c>
      <c r="M525" s="230">
        <f>IF(J525=1,'Model Inputs'!$B$27*(13-'Model Inputs'!$B$23)/12,IF(J525=2,'Model Inputs'!$B$27,IF(J525&lt;=MAX(3,'Model Inputs'!$B$30+1),'Model Inputs'!$B$27*(1+'Model Inputs'!$B$28)^(J525-3),'Model Inputs'!$B$27*(1+'Model Inputs'!$B$28)^(MAX(3,'Model Inputs'!$B$30+1)-3)*(1+'Model Inputs'!$B$29)^(J525-MAX(3,'Model Inputs'!$B$30+1)))))</f>
        <v>145848057.00524563</v>
      </c>
      <c r="N525" s="236">
        <f>IF(J525&lt;=2,0,'Model Inputs'!$B$32*SIN(2*PI()*(J525-3+'Model Inputs'!$B$34)/MAX(1,'Model Inputs'!$B$33)))</f>
        <v>-0.10392304845413224</v>
      </c>
      <c r="O525" s="230">
        <f t="shared" si="280"/>
        <v>130691082.31014845</v>
      </c>
      <c r="P525" s="230">
        <f t="shared" si="300"/>
        <v>117591354.65008041</v>
      </c>
      <c r="Q525" s="230">
        <f>L525+P525+IF(J525=1,'Model Inputs'!$B$26,0)</f>
        <v>117891354.65008041</v>
      </c>
      <c r="R525" s="230">
        <f t="shared" si="281"/>
        <v>353674063.95024121</v>
      </c>
      <c r="S525" s="230">
        <f t="shared" si="282"/>
        <v>15300000</v>
      </c>
      <c r="T525" s="230">
        <f t="shared" si="283"/>
        <v>15300000</v>
      </c>
      <c r="U525" s="230">
        <f>MIN(T525,'Tax Assumptions'!$B$19)</f>
        <v>24500</v>
      </c>
      <c r="V525" s="230">
        <f>MAX(T525-U525-'Tax Assumptions'!$B$8,0)</f>
        <v>15259400</v>
      </c>
      <c r="W525" s="230">
        <f>MAX(T525-U525-'Tax Assumptions'!$B$9,0)</f>
        <v>15267500</v>
      </c>
      <c r="X525" s="230">
        <f>IF(V525=0,0,LOOKUP(V525,'Tax Assumptions'!$F$9:$F$15,'Tax Assumptions'!$I$9:$I$15)+(V525-LOOKUP(V525,'Tax Assumptions'!$F$9:$F$15,'Tax Assumptions'!$F$9:$F$15))*LOOKUP(V525,'Tax Assumptions'!$F$9:$F$15,'Tax Assumptions'!$H$9:$H$15))+MIN(MAX(T525,0),'Tax Assumptions'!$B$11)*'Tax Assumptions'!$B$10+MAX(T525,0)*'Tax Assumptions'!$B$12+MAX(MAX(T525,0)-'Tax Assumptions'!$B$14,0)*'Tax Assumptions'!$B$13+MIN(T525*'Tax Assumptions'!$B$15,'Tax Assumptions'!$B$16)+MIN(T525*'Tax Assumptions'!$B$17,'Tax Assumptions'!$B$18)+IF(W525=0,0,LOOKUP(W525,'Tax Assumptions'!$K$9:$K$17,'Tax Assumptions'!$N$9:$N$17)+(W525-LOOKUP(W525,'Tax Assumptions'!$K$9:$K$17,'Tax Assumptions'!$K$9:$K$17))*LOOKUP(W525,'Tax Assumptions'!$K$9:$K$17,'Tax Assumptions'!$M$9:$M$17))+IF(W525=0,0,LOOKUP(W525,'Tax Assumptions'!$P$9:$P$12,'Tax Assumptions'!$S$9:$S$12)+(W525-LOOKUP(W525,'Tax Assumptions'!$P$9:$P$12,'Tax Assumptions'!$P$9:$P$12))*LOOKUP(W525,'Tax Assumptions'!$P$9:$P$12,'Tax Assumptions'!$R$9:$R$12))</f>
        <v>8070480.54</v>
      </c>
      <c r="Y525" s="230">
        <f t="shared" si="284"/>
        <v>7205019.46</v>
      </c>
      <c r="Z525" s="230">
        <f>IF(J525&lt;=10,INDEX('Savings Projection'!$BL$19:$BL$28,J525),LOOKUP(2,1/('Savings Projection'!$BL$19:$BL$28&lt;&gt;""),'Savings Projection'!$BL$19:$BL$28))*(1+'Model Inputs'!$B$35)^(J525-1)+IF(J525&lt;=10,INDEX('Savings Projection'!$BM$19:$BM$28,J525),LOOKUP(2,1/('Savings Projection'!$BM$19:$BM$28&lt;&gt;""),'Savings Projection'!$BM$19:$BM$28))*(1+'Model Inputs'!$B$36)^(J525-1)</f>
        <v>272191.13085504784</v>
      </c>
      <c r="AA525" s="230">
        <f t="shared" si="285"/>
        <v>6932828.3291449519</v>
      </c>
      <c r="AB525" s="230">
        <f>MIN(MAX(AA525,0),'Tax Assumptions'!$B$20)</f>
        <v>7500</v>
      </c>
      <c r="AC525" s="230">
        <f t="shared" si="286"/>
        <v>6925328.3291449519</v>
      </c>
      <c r="AD525" s="230">
        <f>MAX(AD524*(1+'Model Inputs'!$B$13)+AC525,0)</f>
        <v>254654978.54191533</v>
      </c>
      <c r="AE525" s="230">
        <f>MAX(AE524*(1+'Model Inputs'!$B$13)+U525+AB525,0)</f>
        <v>1893004.2468949838</v>
      </c>
      <c r="AF525" s="230">
        <f t="shared" si="287"/>
        <v>256547982.78881031</v>
      </c>
      <c r="AG525" s="226" t="str">
        <f t="shared" si="296"/>
        <v/>
      </c>
      <c r="AH525" s="226" t="str">
        <f t="shared" si="297"/>
        <v/>
      </c>
      <c r="AI525" s="226" t="str">
        <f t="shared" si="298"/>
        <v/>
      </c>
      <c r="AJ525" s="226" t="str">
        <f t="shared" si="299"/>
        <v/>
      </c>
    </row>
    <row r="526" spans="1:36" ht="18" customHeight="1" x14ac:dyDescent="0.2">
      <c r="A526" s="226" t="str">
        <f t="shared" si="288"/>
        <v>4Y -&gt; PM Y8 Tail</v>
      </c>
      <c r="B526" s="226">
        <f t="shared" si="289"/>
        <v>4</v>
      </c>
      <c r="C526" s="235">
        <f t="shared" si="290"/>
        <v>3</v>
      </c>
      <c r="D526" s="226">
        <f t="shared" si="291"/>
        <v>8</v>
      </c>
      <c r="E526" s="226" t="str">
        <f t="shared" si="292"/>
        <v>Tail</v>
      </c>
      <c r="F526" s="230">
        <f t="shared" si="293"/>
        <v>100000000</v>
      </c>
      <c r="G526" s="236">
        <f t="shared" si="294"/>
        <v>0.15</v>
      </c>
      <c r="H526" s="230">
        <f t="shared" si="295"/>
        <v>300000</v>
      </c>
      <c r="I526" s="236">
        <f t="shared" si="278"/>
        <v>0</v>
      </c>
      <c r="J526" s="234">
        <v>27</v>
      </c>
      <c r="K526" s="234">
        <f t="shared" si="279"/>
        <v>2052</v>
      </c>
      <c r="L526" s="230">
        <f>IF(J526=1,'Model Inputs'!$B$25*(13-'Model Inputs'!$B$23)/12,'Model Inputs'!$B$25)</f>
        <v>300000</v>
      </c>
      <c r="M526" s="230">
        <f>IF(J526=1,'Model Inputs'!$B$27*(13-'Model Inputs'!$B$23)/12,IF(J526=2,'Model Inputs'!$B$27,IF(J526&lt;=MAX(3,'Model Inputs'!$B$30+1),'Model Inputs'!$B$27*(1+'Model Inputs'!$B$28)^(J526-3),'Model Inputs'!$B$27*(1+'Model Inputs'!$B$28)^(MAX(3,'Model Inputs'!$B$30+1)-3)*(1+'Model Inputs'!$B$29)^(J526-MAX(3,'Model Inputs'!$B$30+1)))))</f>
        <v>185355004.59402937</v>
      </c>
      <c r="N526" s="236">
        <f>IF(J526&lt;=2,0,'Model Inputs'!$B$32*SIN(2*PI()*(J526-3+'Model Inputs'!$B$34)/MAX(1,'Model Inputs'!$B$33)))</f>
        <v>-2.3513218543629179E-16</v>
      </c>
      <c r="O526" s="230">
        <f t="shared" si="280"/>
        <v>185355004.59402934</v>
      </c>
      <c r="P526" s="230">
        <f t="shared" si="300"/>
        <v>129690333.6089489</v>
      </c>
      <c r="Q526" s="230">
        <f>L526+P526+IF(J526=1,'Model Inputs'!$B$26,0)</f>
        <v>129990333.6089489</v>
      </c>
      <c r="R526" s="230">
        <f t="shared" si="281"/>
        <v>389971000.82684672</v>
      </c>
      <c r="S526" s="230">
        <f t="shared" si="282"/>
        <v>15300000</v>
      </c>
      <c r="T526" s="230">
        <f t="shared" si="283"/>
        <v>15300000</v>
      </c>
      <c r="U526" s="230">
        <f>MIN(T526,'Tax Assumptions'!$B$19)</f>
        <v>24500</v>
      </c>
      <c r="V526" s="230">
        <f>MAX(T526-U526-'Tax Assumptions'!$B$8,0)</f>
        <v>15259400</v>
      </c>
      <c r="W526" s="230">
        <f>MAX(T526-U526-'Tax Assumptions'!$B$9,0)</f>
        <v>15267500</v>
      </c>
      <c r="X526" s="230">
        <f>IF(V526=0,0,LOOKUP(V526,'Tax Assumptions'!$F$9:$F$15,'Tax Assumptions'!$I$9:$I$15)+(V526-LOOKUP(V526,'Tax Assumptions'!$F$9:$F$15,'Tax Assumptions'!$F$9:$F$15))*LOOKUP(V526,'Tax Assumptions'!$F$9:$F$15,'Tax Assumptions'!$H$9:$H$15))+MIN(MAX(T526,0),'Tax Assumptions'!$B$11)*'Tax Assumptions'!$B$10+MAX(T526,0)*'Tax Assumptions'!$B$12+MAX(MAX(T526,0)-'Tax Assumptions'!$B$14,0)*'Tax Assumptions'!$B$13+MIN(T526*'Tax Assumptions'!$B$15,'Tax Assumptions'!$B$16)+MIN(T526*'Tax Assumptions'!$B$17,'Tax Assumptions'!$B$18)+IF(W526=0,0,LOOKUP(W526,'Tax Assumptions'!$K$9:$K$17,'Tax Assumptions'!$N$9:$N$17)+(W526-LOOKUP(W526,'Tax Assumptions'!$K$9:$K$17,'Tax Assumptions'!$K$9:$K$17))*LOOKUP(W526,'Tax Assumptions'!$K$9:$K$17,'Tax Assumptions'!$M$9:$M$17))+IF(W526=0,0,LOOKUP(W526,'Tax Assumptions'!$P$9:$P$12,'Tax Assumptions'!$S$9:$S$12)+(W526-LOOKUP(W526,'Tax Assumptions'!$P$9:$P$12,'Tax Assumptions'!$P$9:$P$12))*LOOKUP(W526,'Tax Assumptions'!$P$9:$P$12,'Tax Assumptions'!$R$9:$R$12))</f>
        <v>8070480.54</v>
      </c>
      <c r="Y526" s="230">
        <f t="shared" si="284"/>
        <v>7205019.46</v>
      </c>
      <c r="Z526" s="230">
        <f>IF(J526&lt;=10,INDEX('Savings Projection'!$BL$19:$BL$28,J526),LOOKUP(2,1/('Savings Projection'!$BL$19:$BL$28&lt;&gt;""),'Savings Projection'!$BL$19:$BL$28))*(1+'Model Inputs'!$B$35)^(J526-1)+IF(J526&lt;=10,INDEX('Savings Projection'!$BM$19:$BM$28,J526),LOOKUP(2,1/('Savings Projection'!$BM$19:$BM$28&lt;&gt;""),'Savings Projection'!$BM$19:$BM$28))*(1+'Model Inputs'!$B$36)^(J526-1)</f>
        <v>280356.86478069925</v>
      </c>
      <c r="AA526" s="230">
        <f t="shared" si="285"/>
        <v>6924662.5952193011</v>
      </c>
      <c r="AB526" s="230">
        <f>MIN(MAX(AA526,0),'Tax Assumptions'!$B$20)</f>
        <v>7500</v>
      </c>
      <c r="AC526" s="230">
        <f t="shared" si="286"/>
        <v>6917162.5952193011</v>
      </c>
      <c r="AD526" s="230">
        <f>MAX(AD525*(1+'Model Inputs'!$B$13)+AC526,0)</f>
        <v>276851439.84964955</v>
      </c>
      <c r="AE526" s="230">
        <f>MAX(AE525*(1+'Model Inputs'!$B$13)+U526+AB526,0)</f>
        <v>2038584.5017086829</v>
      </c>
      <c r="AF526" s="230">
        <f t="shared" si="287"/>
        <v>278890024.35135823</v>
      </c>
      <c r="AG526" s="226" t="str">
        <f t="shared" si="296"/>
        <v/>
      </c>
      <c r="AH526" s="226" t="str">
        <f t="shared" si="297"/>
        <v/>
      </c>
      <c r="AI526" s="226" t="str">
        <f t="shared" si="298"/>
        <v/>
      </c>
      <c r="AJ526" s="226" t="str">
        <f t="shared" si="299"/>
        <v/>
      </c>
    </row>
    <row r="527" spans="1:36" ht="18" customHeight="1" x14ac:dyDescent="0.2">
      <c r="A527" s="226" t="str">
        <f t="shared" si="288"/>
        <v>4Y -&gt; PM Y8 Tail</v>
      </c>
      <c r="B527" s="226">
        <f t="shared" si="289"/>
        <v>4</v>
      </c>
      <c r="C527" s="235">
        <f t="shared" si="290"/>
        <v>3</v>
      </c>
      <c r="D527" s="226">
        <f t="shared" si="291"/>
        <v>8</v>
      </c>
      <c r="E527" s="226" t="str">
        <f t="shared" si="292"/>
        <v>Tail</v>
      </c>
      <c r="F527" s="230">
        <f t="shared" si="293"/>
        <v>100000000</v>
      </c>
      <c r="G527" s="236">
        <f t="shared" si="294"/>
        <v>0.15</v>
      </c>
      <c r="H527" s="230">
        <f t="shared" si="295"/>
        <v>300000</v>
      </c>
      <c r="I527" s="236">
        <f t="shared" si="278"/>
        <v>0</v>
      </c>
      <c r="J527" s="234">
        <v>28</v>
      </c>
      <c r="K527" s="234">
        <f t="shared" si="279"/>
        <v>2053</v>
      </c>
      <c r="L527" s="230">
        <f>IF(J527=1,'Model Inputs'!$B$25*(13-'Model Inputs'!$B$23)/12,'Model Inputs'!$B$25)</f>
        <v>300000</v>
      </c>
      <c r="M527" s="230">
        <f>IF(J527=1,'Model Inputs'!$B$27*(13-'Model Inputs'!$B$23)/12,IF(J527=2,'Model Inputs'!$B$27,IF(J527&lt;=MAX(3,'Model Inputs'!$B$30+1),'Model Inputs'!$B$27*(1+'Model Inputs'!$B$28)^(J527-3),'Model Inputs'!$B$27*(1+'Model Inputs'!$B$28)^(MAX(3,'Model Inputs'!$B$30+1)-3)*(1+'Model Inputs'!$B$29)^(J527-MAX(3,'Model Inputs'!$B$30+1)))))</f>
        <v>235563492.81236541</v>
      </c>
      <c r="N527" s="236">
        <f>IF(J527&lt;=2,0,'Model Inputs'!$B$32*SIN(2*PI()*(J527-3+'Model Inputs'!$B$34)/MAX(1,'Model Inputs'!$B$33)))</f>
        <v>0.10392304845413247</v>
      </c>
      <c r="O527" s="230">
        <f t="shared" si="280"/>
        <v>260043969.08992955</v>
      </c>
      <c r="P527" s="230">
        <f t="shared" si="300"/>
        <v>171689024.02305913</v>
      </c>
      <c r="Q527" s="230">
        <f>L527+P527+IF(J527=1,'Model Inputs'!$B$26,0)</f>
        <v>171989024.02305913</v>
      </c>
      <c r="R527" s="230">
        <f t="shared" si="281"/>
        <v>515967072.06917739</v>
      </c>
      <c r="S527" s="230">
        <f t="shared" si="282"/>
        <v>15300000</v>
      </c>
      <c r="T527" s="230">
        <f t="shared" si="283"/>
        <v>15300000</v>
      </c>
      <c r="U527" s="230">
        <f>MIN(T527,'Tax Assumptions'!$B$19)</f>
        <v>24500</v>
      </c>
      <c r="V527" s="230">
        <f>MAX(T527-U527-'Tax Assumptions'!$B$8,0)</f>
        <v>15259400</v>
      </c>
      <c r="W527" s="230">
        <f>MAX(T527-U527-'Tax Assumptions'!$B$9,0)</f>
        <v>15267500</v>
      </c>
      <c r="X527" s="230">
        <f>IF(V527=0,0,LOOKUP(V527,'Tax Assumptions'!$F$9:$F$15,'Tax Assumptions'!$I$9:$I$15)+(V527-LOOKUP(V527,'Tax Assumptions'!$F$9:$F$15,'Tax Assumptions'!$F$9:$F$15))*LOOKUP(V527,'Tax Assumptions'!$F$9:$F$15,'Tax Assumptions'!$H$9:$H$15))+MIN(MAX(T527,0),'Tax Assumptions'!$B$11)*'Tax Assumptions'!$B$10+MAX(T527,0)*'Tax Assumptions'!$B$12+MAX(MAX(T527,0)-'Tax Assumptions'!$B$14,0)*'Tax Assumptions'!$B$13+MIN(T527*'Tax Assumptions'!$B$15,'Tax Assumptions'!$B$16)+MIN(T527*'Tax Assumptions'!$B$17,'Tax Assumptions'!$B$18)+IF(W527=0,0,LOOKUP(W527,'Tax Assumptions'!$K$9:$K$17,'Tax Assumptions'!$N$9:$N$17)+(W527-LOOKUP(W527,'Tax Assumptions'!$K$9:$K$17,'Tax Assumptions'!$K$9:$K$17))*LOOKUP(W527,'Tax Assumptions'!$K$9:$K$17,'Tax Assumptions'!$M$9:$M$17))+IF(W527=0,0,LOOKUP(W527,'Tax Assumptions'!$P$9:$P$12,'Tax Assumptions'!$S$9:$S$12)+(W527-LOOKUP(W527,'Tax Assumptions'!$P$9:$P$12,'Tax Assumptions'!$P$9:$P$12))*LOOKUP(W527,'Tax Assumptions'!$P$9:$P$12,'Tax Assumptions'!$R$9:$R$12))</f>
        <v>8070480.54</v>
      </c>
      <c r="Y527" s="230">
        <f t="shared" si="284"/>
        <v>7205019.46</v>
      </c>
      <c r="Z527" s="230">
        <f>IF(J527&lt;=10,INDEX('Savings Projection'!$BL$19:$BL$28,J527),LOOKUP(2,1/('Savings Projection'!$BL$19:$BL$28&lt;&gt;""),'Savings Projection'!$BL$19:$BL$28))*(1+'Model Inputs'!$B$35)^(J527-1)+IF(J527&lt;=10,INDEX('Savings Projection'!$BM$19:$BM$28,J527),LOOKUP(2,1/('Savings Projection'!$BM$19:$BM$28&lt;&gt;""),'Savings Projection'!$BM$19:$BM$28))*(1+'Model Inputs'!$B$36)^(J527-1)</f>
        <v>288767.57072412025</v>
      </c>
      <c r="AA527" s="230">
        <f t="shared" si="285"/>
        <v>6916251.8892758796</v>
      </c>
      <c r="AB527" s="230">
        <f>MIN(MAX(AA527,0),'Tax Assumptions'!$B$20)</f>
        <v>7500</v>
      </c>
      <c r="AC527" s="230">
        <f t="shared" si="286"/>
        <v>6908751.8892758796</v>
      </c>
      <c r="AD527" s="230">
        <f>MAX(AD526*(1+'Model Inputs'!$B$13)+AC527,0)</f>
        <v>300371278.12990445</v>
      </c>
      <c r="AE527" s="230">
        <f>MAX(AE526*(1+'Model Inputs'!$B$13)+U527+AB527,0)</f>
        <v>2192899.5718112038</v>
      </c>
      <c r="AF527" s="230">
        <f t="shared" si="287"/>
        <v>302564177.70171565</v>
      </c>
      <c r="AG527" s="226" t="str">
        <f t="shared" si="296"/>
        <v/>
      </c>
      <c r="AH527" s="226" t="str">
        <f t="shared" si="297"/>
        <v/>
      </c>
      <c r="AI527" s="226" t="str">
        <f t="shared" si="298"/>
        <v/>
      </c>
      <c r="AJ527" s="226" t="str">
        <f t="shared" si="299"/>
        <v/>
      </c>
    </row>
    <row r="528" spans="1:36" ht="18" customHeight="1" x14ac:dyDescent="0.2">
      <c r="A528" s="226" t="str">
        <f t="shared" si="288"/>
        <v>4Y -&gt; PM Y8 Tail</v>
      </c>
      <c r="B528" s="226">
        <f t="shared" si="289"/>
        <v>4</v>
      </c>
      <c r="C528" s="235">
        <f t="shared" si="290"/>
        <v>3</v>
      </c>
      <c r="D528" s="226">
        <f t="shared" si="291"/>
        <v>8</v>
      </c>
      <c r="E528" s="226" t="str">
        <f t="shared" si="292"/>
        <v>Tail</v>
      </c>
      <c r="F528" s="230">
        <f t="shared" si="293"/>
        <v>100000000</v>
      </c>
      <c r="G528" s="236">
        <f t="shared" si="294"/>
        <v>0.15</v>
      </c>
      <c r="H528" s="230">
        <f t="shared" si="295"/>
        <v>300000</v>
      </c>
      <c r="I528" s="236">
        <f t="shared" si="278"/>
        <v>0</v>
      </c>
      <c r="J528" s="234">
        <v>29</v>
      </c>
      <c r="K528" s="234">
        <f t="shared" si="279"/>
        <v>2054</v>
      </c>
      <c r="L528" s="230">
        <f>IF(J528=1,'Model Inputs'!$B$25*(13-'Model Inputs'!$B$23)/12,'Model Inputs'!$B$25)</f>
        <v>300000</v>
      </c>
      <c r="M528" s="230">
        <f>IF(J528=1,'Model Inputs'!$B$27*(13-'Model Inputs'!$B$23)/12,IF(J528=2,'Model Inputs'!$B$27,IF(J528&lt;=MAX(3,'Model Inputs'!$B$30+1),'Model Inputs'!$B$27*(1+'Model Inputs'!$B$28)^(J528-3),'Model Inputs'!$B$27*(1+'Model Inputs'!$B$28)^(MAX(3,'Model Inputs'!$B$30+1)-3)*(1+'Model Inputs'!$B$29)^(J528-MAX(3,'Model Inputs'!$B$30+1)))))</f>
        <v>299372327.53708321</v>
      </c>
      <c r="N528" s="236">
        <f>IF(J528&lt;=2,0,'Model Inputs'!$B$32*SIN(2*PI()*(J528-3+'Model Inputs'!$B$34)/MAX(1,'Model Inputs'!$B$33)))</f>
        <v>-0.10392304845413265</v>
      </c>
      <c r="O528" s="230">
        <f t="shared" si="280"/>
        <v>268260642.63662043</v>
      </c>
      <c r="P528" s="230">
        <f t="shared" si="300"/>
        <v>241371727.96595448</v>
      </c>
      <c r="Q528" s="230">
        <f>L528+P528+IF(J528=1,'Model Inputs'!$B$26,0)</f>
        <v>241671727.96595448</v>
      </c>
      <c r="R528" s="230">
        <f t="shared" si="281"/>
        <v>725015183.89786339</v>
      </c>
      <c r="S528" s="230">
        <f t="shared" si="282"/>
        <v>15300000</v>
      </c>
      <c r="T528" s="230">
        <f t="shared" si="283"/>
        <v>15300000</v>
      </c>
      <c r="U528" s="230">
        <f>MIN(T528,'Tax Assumptions'!$B$19)</f>
        <v>24500</v>
      </c>
      <c r="V528" s="230">
        <f>MAX(T528-U528-'Tax Assumptions'!$B$8,0)</f>
        <v>15259400</v>
      </c>
      <c r="W528" s="230">
        <f>MAX(T528-U528-'Tax Assumptions'!$B$9,0)</f>
        <v>15267500</v>
      </c>
      <c r="X528" s="230">
        <f>IF(V528=0,0,LOOKUP(V528,'Tax Assumptions'!$F$9:$F$15,'Tax Assumptions'!$I$9:$I$15)+(V528-LOOKUP(V528,'Tax Assumptions'!$F$9:$F$15,'Tax Assumptions'!$F$9:$F$15))*LOOKUP(V528,'Tax Assumptions'!$F$9:$F$15,'Tax Assumptions'!$H$9:$H$15))+MIN(MAX(T528,0),'Tax Assumptions'!$B$11)*'Tax Assumptions'!$B$10+MAX(T528,0)*'Tax Assumptions'!$B$12+MAX(MAX(T528,0)-'Tax Assumptions'!$B$14,0)*'Tax Assumptions'!$B$13+MIN(T528*'Tax Assumptions'!$B$15,'Tax Assumptions'!$B$16)+MIN(T528*'Tax Assumptions'!$B$17,'Tax Assumptions'!$B$18)+IF(W528=0,0,LOOKUP(W528,'Tax Assumptions'!$K$9:$K$17,'Tax Assumptions'!$N$9:$N$17)+(W528-LOOKUP(W528,'Tax Assumptions'!$K$9:$K$17,'Tax Assumptions'!$K$9:$K$17))*LOOKUP(W528,'Tax Assumptions'!$K$9:$K$17,'Tax Assumptions'!$M$9:$M$17))+IF(W528=0,0,LOOKUP(W528,'Tax Assumptions'!$P$9:$P$12,'Tax Assumptions'!$S$9:$S$12)+(W528-LOOKUP(W528,'Tax Assumptions'!$P$9:$P$12,'Tax Assumptions'!$P$9:$P$12))*LOOKUP(W528,'Tax Assumptions'!$P$9:$P$12,'Tax Assumptions'!$R$9:$R$12))</f>
        <v>8070480.54</v>
      </c>
      <c r="Y528" s="230">
        <f t="shared" si="284"/>
        <v>7205019.46</v>
      </c>
      <c r="Z528" s="230">
        <f>IF(J528&lt;=10,INDEX('Savings Projection'!$BL$19:$BL$28,J528),LOOKUP(2,1/('Savings Projection'!$BL$19:$BL$28&lt;&gt;""),'Savings Projection'!$BL$19:$BL$28))*(1+'Model Inputs'!$B$35)^(J528-1)+IF(J528&lt;=10,INDEX('Savings Projection'!$BM$19:$BM$28,J528),LOOKUP(2,1/('Savings Projection'!$BM$19:$BM$28&lt;&gt;""),'Savings Projection'!$BM$19:$BM$28))*(1+'Model Inputs'!$B$36)^(J528-1)</f>
        <v>297430.59784584382</v>
      </c>
      <c r="AA528" s="230">
        <f t="shared" si="285"/>
        <v>6907588.862154156</v>
      </c>
      <c r="AB528" s="230">
        <f>MIN(MAX(AA528,0),'Tax Assumptions'!$B$20)</f>
        <v>7500</v>
      </c>
      <c r="AC528" s="230">
        <f t="shared" si="286"/>
        <v>6900088.862154156</v>
      </c>
      <c r="AD528" s="230">
        <f>MAX(AD527*(1+'Model Inputs'!$B$13)+AC528,0)</f>
        <v>325293643.67985284</v>
      </c>
      <c r="AE528" s="230">
        <f>MAX(AE527*(1+'Model Inputs'!$B$13)+U528+AB528,0)</f>
        <v>2356473.5461198762</v>
      </c>
      <c r="AF528" s="230">
        <f t="shared" si="287"/>
        <v>327650117.22597271</v>
      </c>
      <c r="AG528" s="226" t="str">
        <f t="shared" si="296"/>
        <v/>
      </c>
      <c r="AH528" s="226" t="str">
        <f t="shared" si="297"/>
        <v/>
      </c>
      <c r="AI528" s="226" t="str">
        <f t="shared" si="298"/>
        <v/>
      </c>
      <c r="AJ528" s="226" t="str">
        <f t="shared" si="299"/>
        <v/>
      </c>
    </row>
    <row r="529" spans="1:36" ht="18" customHeight="1" x14ac:dyDescent="0.2">
      <c r="A529" s="226" t="str">
        <f t="shared" si="288"/>
        <v>4Y -&gt; PM Y8 Tail</v>
      </c>
      <c r="B529" s="226">
        <f t="shared" si="289"/>
        <v>4</v>
      </c>
      <c r="C529" s="235">
        <f t="shared" si="290"/>
        <v>3</v>
      </c>
      <c r="D529" s="226">
        <f t="shared" si="291"/>
        <v>8</v>
      </c>
      <c r="E529" s="226" t="str">
        <f t="shared" si="292"/>
        <v>Tail</v>
      </c>
      <c r="F529" s="230">
        <f t="shared" si="293"/>
        <v>100000000</v>
      </c>
      <c r="G529" s="236">
        <f t="shared" si="294"/>
        <v>0.15</v>
      </c>
      <c r="H529" s="230">
        <f t="shared" si="295"/>
        <v>300000</v>
      </c>
      <c r="I529" s="236">
        <f t="shared" si="278"/>
        <v>0</v>
      </c>
      <c r="J529" s="234">
        <v>30</v>
      </c>
      <c r="K529" s="234">
        <f t="shared" si="279"/>
        <v>2055</v>
      </c>
      <c r="L529" s="230">
        <f>IF(J529=1,'Model Inputs'!$B$25*(13-'Model Inputs'!$B$23)/12,'Model Inputs'!$B$25)</f>
        <v>300000</v>
      </c>
      <c r="M529" s="230">
        <f>IF(J529=1,'Model Inputs'!$B$27*(13-'Model Inputs'!$B$23)/12,IF(J529=2,'Model Inputs'!$B$27,IF(J529&lt;=MAX(3,'Model Inputs'!$B$30+1),'Model Inputs'!$B$27*(1+'Model Inputs'!$B$28)^(J529-3),'Model Inputs'!$B$27*(1+'Model Inputs'!$B$28)^(MAX(3,'Model Inputs'!$B$30+1)-3)*(1+'Model Inputs'!$B$29)^(J529-MAX(3,'Model Inputs'!$B$30+1)))))</f>
        <v>380465535.74563926</v>
      </c>
      <c r="N529" s="236">
        <f>IF(J529&lt;=2,0,'Model Inputs'!$B$32*SIN(2*PI()*(J529-3+'Model Inputs'!$B$34)/MAX(1,'Model Inputs'!$B$33)))</f>
        <v>-2.645237086158283E-16</v>
      </c>
      <c r="O529" s="230">
        <f t="shared" si="280"/>
        <v>380465535.7456392</v>
      </c>
      <c r="P529" s="230">
        <f t="shared" si="300"/>
        <v>266206474.24994773</v>
      </c>
      <c r="Q529" s="230">
        <f>L529+P529+IF(J529=1,'Model Inputs'!$B$26,0)</f>
        <v>266506474.24994773</v>
      </c>
      <c r="R529" s="230">
        <f t="shared" si="281"/>
        <v>799519422.74984312</v>
      </c>
      <c r="S529" s="230">
        <f t="shared" si="282"/>
        <v>15300000</v>
      </c>
      <c r="T529" s="230">
        <f t="shared" si="283"/>
        <v>15300000</v>
      </c>
      <c r="U529" s="230">
        <f>MIN(T529,'Tax Assumptions'!$B$19)</f>
        <v>24500</v>
      </c>
      <c r="V529" s="230">
        <f>MAX(T529-U529-'Tax Assumptions'!$B$8,0)</f>
        <v>15259400</v>
      </c>
      <c r="W529" s="230">
        <f>MAX(T529-U529-'Tax Assumptions'!$B$9,0)</f>
        <v>15267500</v>
      </c>
      <c r="X529" s="230">
        <f>IF(V529=0,0,LOOKUP(V529,'Tax Assumptions'!$F$9:$F$15,'Tax Assumptions'!$I$9:$I$15)+(V529-LOOKUP(V529,'Tax Assumptions'!$F$9:$F$15,'Tax Assumptions'!$F$9:$F$15))*LOOKUP(V529,'Tax Assumptions'!$F$9:$F$15,'Tax Assumptions'!$H$9:$H$15))+MIN(MAX(T529,0),'Tax Assumptions'!$B$11)*'Tax Assumptions'!$B$10+MAX(T529,0)*'Tax Assumptions'!$B$12+MAX(MAX(T529,0)-'Tax Assumptions'!$B$14,0)*'Tax Assumptions'!$B$13+MIN(T529*'Tax Assumptions'!$B$15,'Tax Assumptions'!$B$16)+MIN(T529*'Tax Assumptions'!$B$17,'Tax Assumptions'!$B$18)+IF(W529=0,0,LOOKUP(W529,'Tax Assumptions'!$K$9:$K$17,'Tax Assumptions'!$N$9:$N$17)+(W529-LOOKUP(W529,'Tax Assumptions'!$K$9:$K$17,'Tax Assumptions'!$K$9:$K$17))*LOOKUP(W529,'Tax Assumptions'!$K$9:$K$17,'Tax Assumptions'!$M$9:$M$17))+IF(W529=0,0,LOOKUP(W529,'Tax Assumptions'!$P$9:$P$12,'Tax Assumptions'!$S$9:$S$12)+(W529-LOOKUP(W529,'Tax Assumptions'!$P$9:$P$12,'Tax Assumptions'!$P$9:$P$12))*LOOKUP(W529,'Tax Assumptions'!$P$9:$P$12,'Tax Assumptions'!$R$9:$R$12))</f>
        <v>8070480.54</v>
      </c>
      <c r="Y529" s="230">
        <f t="shared" si="284"/>
        <v>7205019.46</v>
      </c>
      <c r="Z529" s="230">
        <f>IF(J529&lt;=10,INDEX('Savings Projection'!$BL$19:$BL$28,J529),LOOKUP(2,1/('Savings Projection'!$BL$19:$BL$28&lt;&gt;""),'Savings Projection'!$BL$19:$BL$28))*(1+'Model Inputs'!$B$35)^(J529-1)+IF(J529&lt;=10,INDEX('Savings Projection'!$BM$19:$BM$28,J529),LOOKUP(2,1/('Savings Projection'!$BM$19:$BM$28&lt;&gt;""),'Savings Projection'!$BM$19:$BM$28))*(1+'Model Inputs'!$B$36)^(J529-1)</f>
        <v>306353.51578121912</v>
      </c>
      <c r="AA529" s="230">
        <f t="shared" si="285"/>
        <v>6898665.9442187808</v>
      </c>
      <c r="AB529" s="230">
        <f>MIN(MAX(AA529,0),'Tax Assumptions'!$B$20)</f>
        <v>7500</v>
      </c>
      <c r="AC529" s="230">
        <f t="shared" si="286"/>
        <v>6891165.9442187808</v>
      </c>
      <c r="AD529" s="230">
        <f>MAX(AD528*(1+'Model Inputs'!$B$13)+AC529,0)</f>
        <v>351702428.24486279</v>
      </c>
      <c r="AE529" s="230">
        <f>MAX(AE528*(1+'Model Inputs'!$B$13)+U529+AB529,0)</f>
        <v>2529861.958887069</v>
      </c>
      <c r="AF529" s="230">
        <f t="shared" si="287"/>
        <v>354232290.20374984</v>
      </c>
      <c r="AG529" s="226" t="str">
        <f t="shared" si="296"/>
        <v/>
      </c>
      <c r="AH529" s="226" t="str">
        <f t="shared" si="297"/>
        <v/>
      </c>
      <c r="AI529" s="226" t="str">
        <f t="shared" si="298"/>
        <v/>
      </c>
      <c r="AJ529" s="226" t="str">
        <f t="shared" si="299"/>
        <v/>
      </c>
    </row>
    <row r="530" spans="1:36" ht="18" customHeight="1" x14ac:dyDescent="0.2">
      <c r="A530" s="226" t="str">
        <f t="shared" ref="A530:A559" si="301">$A$38</f>
        <v>5Y -&gt; PM Y7 Starter</v>
      </c>
      <c r="B530" s="226">
        <f t="shared" ref="B530:B559" si="302">$B$38</f>
        <v>5</v>
      </c>
      <c r="C530" s="235">
        <f t="shared" ref="C530:C559" si="303">$C$38</f>
        <v>3</v>
      </c>
      <c r="D530" s="226">
        <f t="shared" ref="D530:D559" si="304">$D$38</f>
        <v>7</v>
      </c>
      <c r="E530" s="226" t="str">
        <f t="shared" ref="E530:E559" si="305">$E$38</f>
        <v>Starter</v>
      </c>
      <c r="F530" s="230">
        <f t="shared" ref="F530:F559" si="306">$F$38</f>
        <v>10000000</v>
      </c>
      <c r="G530" s="236">
        <f t="shared" ref="G530:G559" si="307">$G$38</f>
        <v>0.15</v>
      </c>
      <c r="H530" s="230">
        <f t="shared" ref="H530:H559" si="308">$H$38</f>
        <v>300000</v>
      </c>
      <c r="I530" s="236">
        <f t="shared" si="278"/>
        <v>0</v>
      </c>
      <c r="J530" s="234">
        <v>1</v>
      </c>
      <c r="K530" s="234">
        <f t="shared" si="279"/>
        <v>2026</v>
      </c>
      <c r="L530" s="230">
        <f>IF(J530=1,'Model Inputs'!$B$25*(13-'Model Inputs'!$B$23)/12,'Model Inputs'!$B$25)</f>
        <v>100000</v>
      </c>
      <c r="M530" s="230">
        <f>IF(J530=1,'Model Inputs'!$B$27*(13-'Model Inputs'!$B$23)/12,IF(J530=2,'Model Inputs'!$B$27,IF(J530&lt;=MAX(3,'Model Inputs'!$B$30+1),'Model Inputs'!$B$27*(1+'Model Inputs'!$B$28)^(J530-3),'Model Inputs'!$B$27*(1+'Model Inputs'!$B$28)^(MAX(3,'Model Inputs'!$B$30+1)-3)*(1+'Model Inputs'!$B$29)^(J530-MAX(3,'Model Inputs'!$B$30+1)))))</f>
        <v>150000</v>
      </c>
      <c r="N530" s="236">
        <f>IF(J530&lt;=2,0,'Model Inputs'!$B$32*SIN(2*PI()*(J530-3+'Model Inputs'!$B$34)/MAX(1,'Model Inputs'!$B$33)))</f>
        <v>0</v>
      </c>
      <c r="O530" s="230">
        <f t="shared" si="280"/>
        <v>150000</v>
      </c>
      <c r="P530" s="230">
        <f>0</f>
        <v>0</v>
      </c>
      <c r="Q530" s="230">
        <f>L530+P530+IF(J530=1,'Model Inputs'!$B$26,0)</f>
        <v>550000</v>
      </c>
      <c r="R530" s="230">
        <f t="shared" si="281"/>
        <v>550000</v>
      </c>
      <c r="S530" s="230">
        <f t="shared" si="282"/>
        <v>1800000</v>
      </c>
      <c r="T530" s="230">
        <f t="shared" si="283"/>
        <v>550000</v>
      </c>
      <c r="U530" s="230">
        <f>MIN(T530,'Tax Assumptions'!$B$19)</f>
        <v>24500</v>
      </c>
      <c r="V530" s="230">
        <f>MAX(T530-U530-'Tax Assumptions'!$B$8,0)</f>
        <v>509400</v>
      </c>
      <c r="W530" s="230">
        <f>MAX(T530-U530-'Tax Assumptions'!$B$9,0)</f>
        <v>517500</v>
      </c>
      <c r="X530" s="230">
        <f>IF(V530=0,0,LOOKUP(V530,'Tax Assumptions'!$F$9:$F$15,'Tax Assumptions'!$I$9:$I$15)+(V530-LOOKUP(V530,'Tax Assumptions'!$F$9:$F$15,'Tax Assumptions'!$F$9:$F$15))*LOOKUP(V530,'Tax Assumptions'!$F$9:$F$15,'Tax Assumptions'!$H$9:$H$15))+MIN(MAX(T530,0),'Tax Assumptions'!$B$11)*'Tax Assumptions'!$B$10+MAX(T530,0)*'Tax Assumptions'!$B$12+MAX(MAX(T530,0)-'Tax Assumptions'!$B$14,0)*'Tax Assumptions'!$B$13+MIN(T530*'Tax Assumptions'!$B$15,'Tax Assumptions'!$B$16)+MIN(T530*'Tax Assumptions'!$B$17,'Tax Assumptions'!$B$18)+IF(W530=0,0,LOOKUP(W530,'Tax Assumptions'!$K$9:$K$17,'Tax Assumptions'!$N$9:$N$17)+(W530-LOOKUP(W530,'Tax Assumptions'!$K$9:$K$17,'Tax Assumptions'!$K$9:$K$17))*LOOKUP(W530,'Tax Assumptions'!$K$9:$K$17,'Tax Assumptions'!$M$9:$M$17))+IF(W530=0,0,LOOKUP(W530,'Tax Assumptions'!$P$9:$P$12,'Tax Assumptions'!$S$9:$S$12)+(W530-LOOKUP(W530,'Tax Assumptions'!$P$9:$P$12,'Tax Assumptions'!$P$9:$P$12))*LOOKUP(W530,'Tax Assumptions'!$P$9:$P$12,'Tax Assumptions'!$R$9:$R$12))</f>
        <v>222834.53000000003</v>
      </c>
      <c r="Y530" s="230">
        <f t="shared" si="284"/>
        <v>302665.46999999997</v>
      </c>
      <c r="Z530" s="230">
        <f>IF(J530&lt;=10,INDEX('Savings Projection'!$BL$19:$BL$28,J530),LOOKUP(2,1/('Savings Projection'!$BL$19:$BL$28&lt;&gt;""),'Savings Projection'!$BL$19:$BL$28))*(1+'Model Inputs'!$B$35)^(J530-1)+IF(J530&lt;=10,INDEX('Savings Projection'!$BM$19:$BM$28,J530),LOOKUP(2,1/('Savings Projection'!$BM$19:$BM$28&lt;&gt;""),'Savings Projection'!$BM$19:$BM$28))*(1+'Model Inputs'!$B$36)^(J530-1)</f>
        <v>118000</v>
      </c>
      <c r="AA530" s="230">
        <f t="shared" si="285"/>
        <v>184665.46999999997</v>
      </c>
      <c r="AB530" s="230">
        <f>MIN(MAX(AA530,0),'Tax Assumptions'!$B$20)</f>
        <v>7500</v>
      </c>
      <c r="AC530" s="230">
        <f t="shared" si="286"/>
        <v>177165.46999999997</v>
      </c>
      <c r="AD530" s="230">
        <f>MAX('Model Inputs'!$B$7*(1+'Model Inputs'!$B$13)+AC530,0)</f>
        <v>336165.47</v>
      </c>
      <c r="AE530" s="230">
        <f>MAX(('Model Inputs'!$B$8+'Model Inputs'!$B$9+'Model Inputs'!$B$10)*(1+'Model Inputs'!$B$13)+U530+AB530,0)</f>
        <v>32000</v>
      </c>
      <c r="AF530" s="230">
        <f t="shared" si="287"/>
        <v>368165.47</v>
      </c>
      <c r="AG530" s="226" t="str">
        <f>IF(AND(AF530&gt;=$F$14,0&lt;$F$14),J530,"")</f>
        <v/>
      </c>
      <c r="AH530" s="226" t="str">
        <f>IF(AND(AF530&gt;=$F$15,0&lt;$F$15),J530,"")</f>
        <v/>
      </c>
      <c r="AI530" s="226" t="str">
        <f>IF(AND(AF530&gt;=$F$16,0&lt;$F$16),J530,"")</f>
        <v/>
      </c>
      <c r="AJ530" s="226" t="str">
        <f>IF(AND(AF530&gt;=$F$17,0&lt;$F$17),J530,"")</f>
        <v/>
      </c>
    </row>
    <row r="531" spans="1:36" ht="18" customHeight="1" x14ac:dyDescent="0.2">
      <c r="A531" s="226" t="str">
        <f t="shared" si="301"/>
        <v>5Y -&gt; PM Y7 Starter</v>
      </c>
      <c r="B531" s="226">
        <f t="shared" si="302"/>
        <v>5</v>
      </c>
      <c r="C531" s="235">
        <f t="shared" si="303"/>
        <v>3</v>
      </c>
      <c r="D531" s="226">
        <f t="shared" si="304"/>
        <v>7</v>
      </c>
      <c r="E531" s="226" t="str">
        <f t="shared" si="305"/>
        <v>Starter</v>
      </c>
      <c r="F531" s="230">
        <f t="shared" si="306"/>
        <v>10000000</v>
      </c>
      <c r="G531" s="236">
        <f t="shared" si="307"/>
        <v>0.15</v>
      </c>
      <c r="H531" s="230">
        <f t="shared" si="308"/>
        <v>300000</v>
      </c>
      <c r="I531" s="236">
        <f t="shared" si="278"/>
        <v>0</v>
      </c>
      <c r="J531" s="234">
        <v>2</v>
      </c>
      <c r="K531" s="234">
        <f t="shared" si="279"/>
        <v>2027</v>
      </c>
      <c r="L531" s="230">
        <f>IF(J531=1,'Model Inputs'!$B$25*(13-'Model Inputs'!$B$23)/12,'Model Inputs'!$B$25)</f>
        <v>300000</v>
      </c>
      <c r="M531" s="230">
        <f>IF(J531=1,'Model Inputs'!$B$27*(13-'Model Inputs'!$B$23)/12,IF(J531=2,'Model Inputs'!$B$27,IF(J531&lt;=MAX(3,'Model Inputs'!$B$30+1),'Model Inputs'!$B$27*(1+'Model Inputs'!$B$28)^(J531-3),'Model Inputs'!$B$27*(1+'Model Inputs'!$B$28)^(MAX(3,'Model Inputs'!$B$30+1)-3)*(1+'Model Inputs'!$B$29)^(J531-MAX(3,'Model Inputs'!$B$30+1)))))</f>
        <v>450000</v>
      </c>
      <c r="N531" s="236">
        <f>IF(J531&lt;=2,0,'Model Inputs'!$B$32*SIN(2*PI()*(J531-3+'Model Inputs'!$B$34)/MAX(1,'Model Inputs'!$B$33)))</f>
        <v>0</v>
      </c>
      <c r="O531" s="230">
        <f t="shared" si="280"/>
        <v>450000</v>
      </c>
      <c r="P531" s="230">
        <f>0.75*O530</f>
        <v>112500</v>
      </c>
      <c r="Q531" s="230">
        <f>L531+P531+IF(J531=1,'Model Inputs'!$B$26,0)</f>
        <v>412500</v>
      </c>
      <c r="R531" s="230">
        <f t="shared" si="281"/>
        <v>412500</v>
      </c>
      <c r="S531" s="230">
        <f t="shared" si="282"/>
        <v>1800000</v>
      </c>
      <c r="T531" s="230">
        <f t="shared" si="283"/>
        <v>412500</v>
      </c>
      <c r="U531" s="230">
        <f>MIN(T531,'Tax Assumptions'!$B$19)</f>
        <v>24500</v>
      </c>
      <c r="V531" s="230">
        <f>MAX(T531-U531-'Tax Assumptions'!$B$8,0)</f>
        <v>371900</v>
      </c>
      <c r="W531" s="230">
        <f>MAX(T531-U531-'Tax Assumptions'!$B$9,0)</f>
        <v>380000</v>
      </c>
      <c r="X531" s="230">
        <f>IF(V531=0,0,LOOKUP(V531,'Tax Assumptions'!$F$9:$F$15,'Tax Assumptions'!$I$9:$I$15)+(V531-LOOKUP(V531,'Tax Assumptions'!$F$9:$F$15,'Tax Assumptions'!$F$9:$F$15))*LOOKUP(V531,'Tax Assumptions'!$F$9:$F$15,'Tax Assumptions'!$H$9:$H$15))+MIN(MAX(T531,0),'Tax Assumptions'!$B$11)*'Tax Assumptions'!$B$10+MAX(T531,0)*'Tax Assumptions'!$B$12+MAX(MAX(T531,0)-'Tax Assumptions'!$B$14,0)*'Tax Assumptions'!$B$13+MIN(T531*'Tax Assumptions'!$B$15,'Tax Assumptions'!$B$16)+MIN(T531*'Tax Assumptions'!$B$17,'Tax Assumptions'!$B$18)+IF(W531=0,0,LOOKUP(W531,'Tax Assumptions'!$K$9:$K$17,'Tax Assumptions'!$N$9:$N$17)+(W531-LOOKUP(W531,'Tax Assumptions'!$K$9:$K$17,'Tax Assumptions'!$K$9:$K$17))*LOOKUP(W531,'Tax Assumptions'!$K$9:$K$17,'Tax Assumptions'!$M$9:$M$17))+IF(W531=0,0,LOOKUP(W531,'Tax Assumptions'!$P$9:$P$12,'Tax Assumptions'!$S$9:$S$12)+(W531-LOOKUP(W531,'Tax Assumptions'!$P$9:$P$12,'Tax Assumptions'!$P$9:$P$12))*LOOKUP(W531,'Tax Assumptions'!$P$9:$P$12,'Tax Assumptions'!$R$9:$R$12))</f>
        <v>156730.03</v>
      </c>
      <c r="Y531" s="230">
        <f t="shared" si="284"/>
        <v>231269.97</v>
      </c>
      <c r="Z531" s="230">
        <f>IF(J531&lt;=10,INDEX('Savings Projection'!$BL$19:$BL$28,J531),LOOKUP(2,1/('Savings Projection'!$BL$19:$BL$28&lt;&gt;""),'Savings Projection'!$BL$19:$BL$28))*(1+'Model Inputs'!$B$35)^(J531-1)+IF(J531&lt;=10,INDEX('Savings Projection'!$BM$19:$BM$28,J531),LOOKUP(2,1/('Savings Projection'!$BM$19:$BM$28&lt;&gt;""),'Savings Projection'!$BM$19:$BM$28))*(1+'Model Inputs'!$B$36)^(J531-1)</f>
        <v>121540</v>
      </c>
      <c r="AA531" s="230">
        <f t="shared" si="285"/>
        <v>109729.97</v>
      </c>
      <c r="AB531" s="230">
        <f>MIN(MAX(AA531,0),'Tax Assumptions'!$B$20)</f>
        <v>7500</v>
      </c>
      <c r="AC531" s="230">
        <f t="shared" si="286"/>
        <v>102229.97</v>
      </c>
      <c r="AD531" s="230">
        <f>MAX(AD530*(1+'Model Inputs'!$B$13)+AC531,0)</f>
        <v>458565.36820000003</v>
      </c>
      <c r="AE531" s="230">
        <f>MAX(AE530*(1+'Model Inputs'!$B$13)+U531+AB531,0)</f>
        <v>65920</v>
      </c>
      <c r="AF531" s="230">
        <f t="shared" si="287"/>
        <v>524485.36820000003</v>
      </c>
      <c r="AG531" s="226" t="str">
        <f t="shared" ref="AG531:AG559" si="309">IF(AND(AF531&gt;=$F$14,AF530&lt;$F$14),J531,"")</f>
        <v/>
      </c>
      <c r="AH531" s="226" t="str">
        <f t="shared" ref="AH531:AH559" si="310">IF(AND(AF531&gt;=$F$15,AF530&lt;$F$15),J531,"")</f>
        <v/>
      </c>
      <c r="AI531" s="226" t="str">
        <f t="shared" ref="AI531:AI559" si="311">IF(AND(AF531&gt;=$F$16,AF530&lt;$F$16),J531,"")</f>
        <v/>
      </c>
      <c r="AJ531" s="226" t="str">
        <f t="shared" ref="AJ531:AJ559" si="312">IF(AND(AF531&gt;=$F$17,AF530&lt;$F$17),J531,"")</f>
        <v/>
      </c>
    </row>
    <row r="532" spans="1:36" ht="18" customHeight="1" x14ac:dyDescent="0.2">
      <c r="A532" s="226" t="str">
        <f t="shared" si="301"/>
        <v>5Y -&gt; PM Y7 Starter</v>
      </c>
      <c r="B532" s="226">
        <f t="shared" si="302"/>
        <v>5</v>
      </c>
      <c r="C532" s="235">
        <f t="shared" si="303"/>
        <v>3</v>
      </c>
      <c r="D532" s="226">
        <f t="shared" si="304"/>
        <v>7</v>
      </c>
      <c r="E532" s="226" t="str">
        <f t="shared" si="305"/>
        <v>Starter</v>
      </c>
      <c r="F532" s="230">
        <f t="shared" si="306"/>
        <v>10000000</v>
      </c>
      <c r="G532" s="236">
        <f t="shared" si="307"/>
        <v>0.15</v>
      </c>
      <c r="H532" s="230">
        <f t="shared" si="308"/>
        <v>300000</v>
      </c>
      <c r="I532" s="236">
        <f t="shared" si="278"/>
        <v>0</v>
      </c>
      <c r="J532" s="234">
        <v>3</v>
      </c>
      <c r="K532" s="234">
        <f t="shared" si="279"/>
        <v>2028</v>
      </c>
      <c r="L532" s="230">
        <f>IF(J532=1,'Model Inputs'!$B$25*(13-'Model Inputs'!$B$23)/12,'Model Inputs'!$B$25)</f>
        <v>300000</v>
      </c>
      <c r="M532" s="230">
        <f>IF(J532=1,'Model Inputs'!$B$27*(13-'Model Inputs'!$B$23)/12,IF(J532=2,'Model Inputs'!$B$27,IF(J532&lt;=MAX(3,'Model Inputs'!$B$30+1),'Model Inputs'!$B$27*(1+'Model Inputs'!$B$28)^(J532-3),'Model Inputs'!$B$27*(1+'Model Inputs'!$B$28)^(MAX(3,'Model Inputs'!$B$30+1)-3)*(1+'Model Inputs'!$B$29)^(J532-MAX(3,'Model Inputs'!$B$30+1)))))</f>
        <v>450000</v>
      </c>
      <c r="N532" s="236">
        <f>IF(J532&lt;=2,0,'Model Inputs'!$B$32*SIN(2*PI()*(J532-3+'Model Inputs'!$B$34)/MAX(1,'Model Inputs'!$B$33)))</f>
        <v>0</v>
      </c>
      <c r="O532" s="230">
        <f t="shared" si="280"/>
        <v>450000</v>
      </c>
      <c r="P532" s="230">
        <f t="shared" ref="P532:P559" si="313">0.75*O531+0.25*O530</f>
        <v>375000</v>
      </c>
      <c r="Q532" s="230">
        <f>L532+P532+IF(J532=1,'Model Inputs'!$B$26,0)</f>
        <v>675000</v>
      </c>
      <c r="R532" s="230">
        <f t="shared" si="281"/>
        <v>675000</v>
      </c>
      <c r="S532" s="230">
        <f t="shared" si="282"/>
        <v>1800000</v>
      </c>
      <c r="T532" s="230">
        <f t="shared" si="283"/>
        <v>675000</v>
      </c>
      <c r="U532" s="230">
        <f>MIN(T532,'Tax Assumptions'!$B$19)</f>
        <v>24500</v>
      </c>
      <c r="V532" s="230">
        <f>MAX(T532-U532-'Tax Assumptions'!$B$8,0)</f>
        <v>634400</v>
      </c>
      <c r="W532" s="230">
        <f>MAX(T532-U532-'Tax Assumptions'!$B$9,0)</f>
        <v>642500</v>
      </c>
      <c r="X532" s="230">
        <f>IF(V532=0,0,LOOKUP(V532,'Tax Assumptions'!$F$9:$F$15,'Tax Assumptions'!$I$9:$I$15)+(V532-LOOKUP(V532,'Tax Assumptions'!$F$9:$F$15,'Tax Assumptions'!$F$9:$F$15))*LOOKUP(V532,'Tax Assumptions'!$F$9:$F$15,'Tax Assumptions'!$H$9:$H$15))+MIN(MAX(T532,0),'Tax Assumptions'!$B$11)*'Tax Assumptions'!$B$10+MAX(T532,0)*'Tax Assumptions'!$B$12+MAX(MAX(T532,0)-'Tax Assumptions'!$B$14,0)*'Tax Assumptions'!$B$13+MIN(T532*'Tax Assumptions'!$B$15,'Tax Assumptions'!$B$16)+MIN(T532*'Tax Assumptions'!$B$17,'Tax Assumptions'!$B$18)+IF(W532=0,0,LOOKUP(W532,'Tax Assumptions'!$K$9:$K$17,'Tax Assumptions'!$N$9:$N$17)+(W532-LOOKUP(W532,'Tax Assumptions'!$K$9:$K$17,'Tax Assumptions'!$K$9:$K$17))*LOOKUP(W532,'Tax Assumptions'!$K$9:$K$17,'Tax Assumptions'!$M$9:$M$17))+IF(W532=0,0,LOOKUP(W532,'Tax Assumptions'!$P$9:$P$12,'Tax Assumptions'!$S$9:$S$12)+(W532-LOOKUP(W532,'Tax Assumptions'!$P$9:$P$12,'Tax Assumptions'!$P$9:$P$12))*LOOKUP(W532,'Tax Assumptions'!$P$9:$P$12,'Tax Assumptions'!$R$9:$R$12))</f>
        <v>282929.53000000003</v>
      </c>
      <c r="Y532" s="230">
        <f t="shared" si="284"/>
        <v>367570.47</v>
      </c>
      <c r="Z532" s="230">
        <f>IF(J532&lt;=10,INDEX('Savings Projection'!$BL$19:$BL$28,J532),LOOKUP(2,1/('Savings Projection'!$BL$19:$BL$28&lt;&gt;""),'Savings Projection'!$BL$19:$BL$28))*(1+'Model Inputs'!$B$35)^(J532-1)+IF(J532&lt;=10,INDEX('Savings Projection'!$BM$19:$BM$28,J532),LOOKUP(2,1/('Savings Projection'!$BM$19:$BM$28&lt;&gt;""),'Savings Projection'!$BM$19:$BM$28))*(1+'Model Inputs'!$B$36)^(J532-1)</f>
        <v>135795.20000000001</v>
      </c>
      <c r="AA532" s="230">
        <f t="shared" si="285"/>
        <v>231775.26999999996</v>
      </c>
      <c r="AB532" s="230">
        <f>MIN(MAX(AA532,0),'Tax Assumptions'!$B$20)</f>
        <v>7500</v>
      </c>
      <c r="AC532" s="230">
        <f t="shared" si="286"/>
        <v>224275.26999999996</v>
      </c>
      <c r="AD532" s="230">
        <f>MAX(AD531*(1+'Model Inputs'!$B$13)+AC532,0)</f>
        <v>710354.56029199995</v>
      </c>
      <c r="AE532" s="230">
        <f>MAX(AE531*(1+'Model Inputs'!$B$13)+U532+AB532,0)</f>
        <v>101875.2</v>
      </c>
      <c r="AF532" s="230">
        <f t="shared" si="287"/>
        <v>812229.7602919999</v>
      </c>
      <c r="AG532" s="226" t="str">
        <f t="shared" si="309"/>
        <v/>
      </c>
      <c r="AH532" s="226" t="str">
        <f t="shared" si="310"/>
        <v/>
      </c>
      <c r="AI532" s="226" t="str">
        <f t="shared" si="311"/>
        <v/>
      </c>
      <c r="AJ532" s="226" t="str">
        <f t="shared" si="312"/>
        <v/>
      </c>
    </row>
    <row r="533" spans="1:36" ht="18" customHeight="1" x14ac:dyDescent="0.2">
      <c r="A533" s="226" t="str">
        <f t="shared" si="301"/>
        <v>5Y -&gt; PM Y7 Starter</v>
      </c>
      <c r="B533" s="226">
        <f t="shared" si="302"/>
        <v>5</v>
      </c>
      <c r="C533" s="235">
        <f t="shared" si="303"/>
        <v>3</v>
      </c>
      <c r="D533" s="226">
        <f t="shared" si="304"/>
        <v>7</v>
      </c>
      <c r="E533" s="226" t="str">
        <f t="shared" si="305"/>
        <v>Starter</v>
      </c>
      <c r="F533" s="230">
        <f t="shared" si="306"/>
        <v>10000000</v>
      </c>
      <c r="G533" s="236">
        <f t="shared" si="307"/>
        <v>0.15</v>
      </c>
      <c r="H533" s="230">
        <f t="shared" si="308"/>
        <v>300000</v>
      </c>
      <c r="I533" s="236">
        <f t="shared" si="278"/>
        <v>0</v>
      </c>
      <c r="J533" s="234">
        <v>4</v>
      </c>
      <c r="K533" s="234">
        <f t="shared" si="279"/>
        <v>2029</v>
      </c>
      <c r="L533" s="230">
        <f>IF(J533=1,'Model Inputs'!$B$25*(13-'Model Inputs'!$B$23)/12,'Model Inputs'!$B$25)</f>
        <v>300000</v>
      </c>
      <c r="M533" s="230">
        <f>IF(J533=1,'Model Inputs'!$B$27*(13-'Model Inputs'!$B$23)/12,IF(J533=2,'Model Inputs'!$B$27,IF(J533&lt;=MAX(3,'Model Inputs'!$B$30+1),'Model Inputs'!$B$27*(1+'Model Inputs'!$B$28)^(J533-3),'Model Inputs'!$B$27*(1+'Model Inputs'!$B$28)^(MAX(3,'Model Inputs'!$B$30+1)-3)*(1+'Model Inputs'!$B$29)^(J533-MAX(3,'Model Inputs'!$B$30+1)))))</f>
        <v>653834.84153110103</v>
      </c>
      <c r="N533" s="236">
        <f>IF(J533&lt;=2,0,'Model Inputs'!$B$32*SIN(2*PI()*(J533-3+'Model Inputs'!$B$34)/MAX(1,'Model Inputs'!$B$33)))</f>
        <v>0.10392304845413264</v>
      </c>
      <c r="O533" s="230">
        <f t="shared" si="280"/>
        <v>721783.35144853778</v>
      </c>
      <c r="P533" s="230">
        <f t="shared" si="313"/>
        <v>450000</v>
      </c>
      <c r="Q533" s="230">
        <f>L533+P533+IF(J533=1,'Model Inputs'!$B$26,0)</f>
        <v>750000</v>
      </c>
      <c r="R533" s="230">
        <f t="shared" si="281"/>
        <v>750000</v>
      </c>
      <c r="S533" s="230">
        <f t="shared" si="282"/>
        <v>1800000</v>
      </c>
      <c r="T533" s="230">
        <f t="shared" si="283"/>
        <v>750000</v>
      </c>
      <c r="U533" s="230">
        <f>MIN(T533,'Tax Assumptions'!$B$19)</f>
        <v>24500</v>
      </c>
      <c r="V533" s="230">
        <f>MAX(T533-U533-'Tax Assumptions'!$B$8,0)</f>
        <v>709400</v>
      </c>
      <c r="W533" s="230">
        <f>MAX(T533-U533-'Tax Assumptions'!$B$9,0)</f>
        <v>717500</v>
      </c>
      <c r="X533" s="230">
        <f>IF(V533=0,0,LOOKUP(V533,'Tax Assumptions'!$F$9:$F$15,'Tax Assumptions'!$I$9:$I$15)+(V533-LOOKUP(V533,'Tax Assumptions'!$F$9:$F$15,'Tax Assumptions'!$F$9:$F$15))*LOOKUP(V533,'Tax Assumptions'!$F$9:$F$15,'Tax Assumptions'!$H$9:$H$15))+MIN(MAX(T533,0),'Tax Assumptions'!$B$11)*'Tax Assumptions'!$B$10+MAX(T533,0)*'Tax Assumptions'!$B$12+MAX(MAX(T533,0)-'Tax Assumptions'!$B$14,0)*'Tax Assumptions'!$B$13+MIN(T533*'Tax Assumptions'!$B$15,'Tax Assumptions'!$B$16)+MIN(T533*'Tax Assumptions'!$B$17,'Tax Assumptions'!$B$18)+IF(W533=0,0,LOOKUP(W533,'Tax Assumptions'!$K$9:$K$17,'Tax Assumptions'!$N$9:$N$17)+(W533-LOOKUP(W533,'Tax Assumptions'!$K$9:$K$17,'Tax Assumptions'!$K$9:$K$17))*LOOKUP(W533,'Tax Assumptions'!$K$9:$K$17,'Tax Assumptions'!$M$9:$M$17))+IF(W533=0,0,LOOKUP(W533,'Tax Assumptions'!$P$9:$P$12,'Tax Assumptions'!$S$9:$S$12)+(W533-LOOKUP(W533,'Tax Assumptions'!$P$9:$P$12,'Tax Assumptions'!$P$9:$P$12))*LOOKUP(W533,'Tax Assumptions'!$P$9:$P$12,'Tax Assumptions'!$R$9:$R$12))</f>
        <v>320362.53000000003</v>
      </c>
      <c r="Y533" s="230">
        <f t="shared" si="284"/>
        <v>405137.47</v>
      </c>
      <c r="Z533" s="230">
        <f>IF(J533&lt;=10,INDEX('Savings Projection'!$BL$19:$BL$28,J533),LOOKUP(2,1/('Savings Projection'!$BL$19:$BL$28&lt;&gt;""),'Savings Projection'!$BL$19:$BL$28))*(1+'Model Inputs'!$B$35)^(J533-1)+IF(J533&lt;=10,INDEX('Savings Projection'!$BM$19:$BM$28,J533),LOOKUP(2,1/('Savings Projection'!$BM$19:$BM$28&lt;&gt;""),'Savings Projection'!$BM$19:$BM$28))*(1+'Model Inputs'!$B$36)^(J533-1)</f>
        <v>139869.05600000001</v>
      </c>
      <c r="AA533" s="230">
        <f t="shared" si="285"/>
        <v>265268.41399999999</v>
      </c>
      <c r="AB533" s="230">
        <f>MIN(MAX(AA533,0),'Tax Assumptions'!$B$20)</f>
        <v>7500</v>
      </c>
      <c r="AC533" s="230">
        <f t="shared" si="286"/>
        <v>257768.41399999999</v>
      </c>
      <c r="AD533" s="230">
        <f>MAX(AD532*(1+'Model Inputs'!$B$13)+AC533,0)</f>
        <v>1010744.2479095199</v>
      </c>
      <c r="AE533" s="230">
        <f>MAX(AE532*(1+'Model Inputs'!$B$13)+U533+AB533,0)</f>
        <v>139987.712</v>
      </c>
      <c r="AF533" s="230">
        <f t="shared" si="287"/>
        <v>1150731.9599095199</v>
      </c>
      <c r="AG533" s="226" t="str">
        <f t="shared" si="309"/>
        <v/>
      </c>
      <c r="AH533" s="226" t="str">
        <f t="shared" si="310"/>
        <v/>
      </c>
      <c r="AI533" s="226" t="str">
        <f t="shared" si="311"/>
        <v/>
      </c>
      <c r="AJ533" s="226" t="str">
        <f t="shared" si="312"/>
        <v/>
      </c>
    </row>
    <row r="534" spans="1:36" ht="18" customHeight="1" x14ac:dyDescent="0.2">
      <c r="A534" s="226" t="str">
        <f t="shared" si="301"/>
        <v>5Y -&gt; PM Y7 Starter</v>
      </c>
      <c r="B534" s="226">
        <f t="shared" si="302"/>
        <v>5</v>
      </c>
      <c r="C534" s="235">
        <f t="shared" si="303"/>
        <v>3</v>
      </c>
      <c r="D534" s="226">
        <f t="shared" si="304"/>
        <v>7</v>
      </c>
      <c r="E534" s="226" t="str">
        <f t="shared" si="305"/>
        <v>Starter</v>
      </c>
      <c r="F534" s="230">
        <f t="shared" si="306"/>
        <v>10000000</v>
      </c>
      <c r="G534" s="236">
        <f t="shared" si="307"/>
        <v>0.15</v>
      </c>
      <c r="H534" s="230">
        <f t="shared" si="308"/>
        <v>300000</v>
      </c>
      <c r="I534" s="236">
        <f t="shared" si="278"/>
        <v>0</v>
      </c>
      <c r="J534" s="234">
        <v>5</v>
      </c>
      <c r="K534" s="234">
        <f t="shared" si="279"/>
        <v>2030</v>
      </c>
      <c r="L534" s="230">
        <f>IF(J534=1,'Model Inputs'!$B$25*(13-'Model Inputs'!$B$23)/12,'Model Inputs'!$B$25)</f>
        <v>300000</v>
      </c>
      <c r="M534" s="230">
        <f>IF(J534=1,'Model Inputs'!$B$27*(13-'Model Inputs'!$B$23)/12,IF(J534=2,'Model Inputs'!$B$27,IF(J534&lt;=MAX(3,'Model Inputs'!$B$30+1),'Model Inputs'!$B$27*(1+'Model Inputs'!$B$28)^(J534-3),'Model Inputs'!$B$27*(1+'Model Inputs'!$B$28)^(MAX(3,'Model Inputs'!$B$30+1)-3)*(1+'Model Inputs'!$B$29)^(J534-MAX(3,'Model Inputs'!$B$30+1)))))</f>
        <v>950000</v>
      </c>
      <c r="N534" s="236">
        <f>IF(J534&lt;=2,0,'Model Inputs'!$B$32*SIN(2*PI()*(J534-3+'Model Inputs'!$B$34)/MAX(1,'Model Inputs'!$B$33)))</f>
        <v>-0.1039230484541326</v>
      </c>
      <c r="O534" s="230">
        <f t="shared" si="280"/>
        <v>851273.10396857408</v>
      </c>
      <c r="P534" s="230">
        <f t="shared" si="313"/>
        <v>653837.51358640334</v>
      </c>
      <c r="Q534" s="230">
        <f>L534+P534+IF(J534=1,'Model Inputs'!$B$26,0)</f>
        <v>953837.51358640334</v>
      </c>
      <c r="R534" s="230">
        <f t="shared" si="281"/>
        <v>953837.51358640334</v>
      </c>
      <c r="S534" s="230">
        <f t="shared" si="282"/>
        <v>1800000</v>
      </c>
      <c r="T534" s="230">
        <f t="shared" si="283"/>
        <v>953837.51358640334</v>
      </c>
      <c r="U534" s="230">
        <f>MIN(T534,'Tax Assumptions'!$B$19)</f>
        <v>24500</v>
      </c>
      <c r="V534" s="230">
        <f>MAX(T534-U534-'Tax Assumptions'!$B$8,0)</f>
        <v>913237.51358640334</v>
      </c>
      <c r="W534" s="230">
        <f>MAX(T534-U534-'Tax Assumptions'!$B$9,0)</f>
        <v>921337.51358640334</v>
      </c>
      <c r="X534" s="230">
        <f>IF(V534=0,0,LOOKUP(V534,'Tax Assumptions'!$F$9:$F$15,'Tax Assumptions'!$I$9:$I$15)+(V534-LOOKUP(V534,'Tax Assumptions'!$F$9:$F$15,'Tax Assumptions'!$F$9:$F$15))*LOOKUP(V534,'Tax Assumptions'!$F$9:$F$15,'Tax Assumptions'!$H$9:$H$15))+MIN(MAX(T534,0),'Tax Assumptions'!$B$11)*'Tax Assumptions'!$B$10+MAX(T534,0)*'Tax Assumptions'!$B$12+MAX(MAX(T534,0)-'Tax Assumptions'!$B$14,0)*'Tax Assumptions'!$B$13+MIN(T534*'Tax Assumptions'!$B$15,'Tax Assumptions'!$B$16)+MIN(T534*'Tax Assumptions'!$B$17,'Tax Assumptions'!$B$18)+IF(W534=0,0,LOOKUP(W534,'Tax Assumptions'!$K$9:$K$17,'Tax Assumptions'!$N$9:$N$17)+(W534-LOOKUP(W534,'Tax Assumptions'!$K$9:$K$17,'Tax Assumptions'!$K$9:$K$17))*LOOKUP(W534,'Tax Assumptions'!$K$9:$K$17,'Tax Assumptions'!$M$9:$M$17))+IF(W534=0,0,LOOKUP(W534,'Tax Assumptions'!$P$9:$P$12,'Tax Assumptions'!$S$9:$S$12)+(W534-LOOKUP(W534,'Tax Assumptions'!$P$9:$P$12,'Tax Assumptions'!$P$9:$P$12))*LOOKUP(W534,'Tax Assumptions'!$P$9:$P$12,'Tax Assumptions'!$R$9:$R$12))</f>
        <v>422436.20330352732</v>
      </c>
      <c r="Y534" s="230">
        <f t="shared" si="284"/>
        <v>506901.31028287602</v>
      </c>
      <c r="Z534" s="230">
        <f>IF(J534&lt;=10,INDEX('Savings Projection'!$BL$19:$BL$28,J534),LOOKUP(2,1/('Savings Projection'!$BL$19:$BL$28&lt;&gt;""),'Savings Projection'!$BL$19:$BL$28))*(1+'Model Inputs'!$B$35)^(J534-1)+IF(J534&lt;=10,INDEX('Savings Projection'!$BM$19:$BM$28,J534),LOOKUP(2,1/('Savings Projection'!$BM$19:$BM$28&lt;&gt;""),'Savings Projection'!$BM$19:$BM$28))*(1+'Model Inputs'!$B$36)^(J534-1)</f>
        <v>144065.12767999998</v>
      </c>
      <c r="AA534" s="230">
        <f t="shared" si="285"/>
        <v>362836.18260287604</v>
      </c>
      <c r="AB534" s="230">
        <f>MIN(MAX(AA534,0),'Tax Assumptions'!$B$20)</f>
        <v>7500</v>
      </c>
      <c r="AC534" s="230">
        <f t="shared" si="286"/>
        <v>355336.18260287604</v>
      </c>
      <c r="AD534" s="230">
        <f>MAX(AD533*(1+'Model Inputs'!$B$13)+AC534,0)</f>
        <v>1426725.0853869673</v>
      </c>
      <c r="AE534" s="230">
        <f>MAX(AE533*(1+'Model Inputs'!$B$13)+U534+AB534,0)</f>
        <v>180386.97472</v>
      </c>
      <c r="AF534" s="230">
        <f t="shared" si="287"/>
        <v>1607112.0601069673</v>
      </c>
      <c r="AG534" s="226" t="str">
        <f t="shared" si="309"/>
        <v/>
      </c>
      <c r="AH534" s="226" t="str">
        <f t="shared" si="310"/>
        <v/>
      </c>
      <c r="AI534" s="226" t="str">
        <f t="shared" si="311"/>
        <v/>
      </c>
      <c r="AJ534" s="226" t="str">
        <f t="shared" si="312"/>
        <v/>
      </c>
    </row>
    <row r="535" spans="1:36" ht="18" customHeight="1" x14ac:dyDescent="0.2">
      <c r="A535" s="226" t="str">
        <f t="shared" si="301"/>
        <v>5Y -&gt; PM Y7 Starter</v>
      </c>
      <c r="B535" s="226">
        <f t="shared" si="302"/>
        <v>5</v>
      </c>
      <c r="C535" s="235">
        <f t="shared" si="303"/>
        <v>3</v>
      </c>
      <c r="D535" s="226">
        <f t="shared" si="304"/>
        <v>7</v>
      </c>
      <c r="E535" s="226" t="str">
        <f t="shared" si="305"/>
        <v>Starter</v>
      </c>
      <c r="F535" s="230">
        <f t="shared" si="306"/>
        <v>10000000</v>
      </c>
      <c r="G535" s="236">
        <f t="shared" si="307"/>
        <v>0.15</v>
      </c>
      <c r="H535" s="230">
        <f t="shared" si="308"/>
        <v>300000</v>
      </c>
      <c r="I535" s="236">
        <f t="shared" si="278"/>
        <v>0</v>
      </c>
      <c r="J535" s="234">
        <v>6</v>
      </c>
      <c r="K535" s="234">
        <f t="shared" si="279"/>
        <v>2031</v>
      </c>
      <c r="L535" s="230">
        <f>IF(J535=1,'Model Inputs'!$B$25*(13-'Model Inputs'!$B$23)/12,'Model Inputs'!$B$25)</f>
        <v>300000</v>
      </c>
      <c r="M535" s="230">
        <f>IF(J535=1,'Model Inputs'!$B$27*(13-'Model Inputs'!$B$23)/12,IF(J535=2,'Model Inputs'!$B$27,IF(J535&lt;=MAX(3,'Model Inputs'!$B$30+1),'Model Inputs'!$B$27*(1+'Model Inputs'!$B$28)^(J535-3),'Model Inputs'!$B$27*(1+'Model Inputs'!$B$28)^(MAX(3,'Model Inputs'!$B$30+1)-3)*(1+'Model Inputs'!$B$29)^(J535-MAX(3,'Model Inputs'!$B$30+1)))))</f>
        <v>1207333.5632986501</v>
      </c>
      <c r="N535" s="236">
        <f>IF(J535&lt;=2,0,'Model Inputs'!$B$32*SIN(2*PI()*(J535-3+'Model Inputs'!$B$34)/MAX(1,'Model Inputs'!$B$33)))</f>
        <v>-2.9391523179536474E-17</v>
      </c>
      <c r="O535" s="230">
        <f t="shared" si="280"/>
        <v>1207333.5632986501</v>
      </c>
      <c r="P535" s="230">
        <f t="shared" si="313"/>
        <v>818900.66583856498</v>
      </c>
      <c r="Q535" s="230">
        <f>L535+P535+IF(J535=1,'Model Inputs'!$B$26,0)</f>
        <v>1118900.665838565</v>
      </c>
      <c r="R535" s="230">
        <f t="shared" si="281"/>
        <v>3356701.9975156952</v>
      </c>
      <c r="S535" s="230">
        <f t="shared" si="282"/>
        <v>1800000</v>
      </c>
      <c r="T535" s="230">
        <f t="shared" si="283"/>
        <v>3356701.9975156952</v>
      </c>
      <c r="U535" s="230">
        <f>MIN(T535,'Tax Assumptions'!$B$19)</f>
        <v>24500</v>
      </c>
      <c r="V535" s="230">
        <f>MAX(T535-U535-'Tax Assumptions'!$B$8,0)</f>
        <v>3316101.9975156952</v>
      </c>
      <c r="W535" s="230">
        <f>MAX(T535-U535-'Tax Assumptions'!$B$9,0)</f>
        <v>3324201.9975156952</v>
      </c>
      <c r="X535" s="230">
        <f>IF(V535=0,0,LOOKUP(V535,'Tax Assumptions'!$F$9:$F$15,'Tax Assumptions'!$I$9:$I$15)+(V535-LOOKUP(V535,'Tax Assumptions'!$F$9:$F$15,'Tax Assumptions'!$F$9:$F$15))*LOOKUP(V535,'Tax Assumptions'!$F$9:$F$15,'Tax Assumptions'!$H$9:$H$15))+MIN(MAX(T535,0),'Tax Assumptions'!$B$11)*'Tax Assumptions'!$B$10+MAX(T535,0)*'Tax Assumptions'!$B$12+MAX(MAX(T535,0)-'Tax Assumptions'!$B$14,0)*'Tax Assumptions'!$B$13+MIN(T535*'Tax Assumptions'!$B$15,'Tax Assumptions'!$B$16)+MIN(T535*'Tax Assumptions'!$B$17,'Tax Assumptions'!$B$18)+IF(W535=0,0,LOOKUP(W535,'Tax Assumptions'!$K$9:$K$17,'Tax Assumptions'!$N$9:$N$17)+(W535-LOOKUP(W535,'Tax Assumptions'!$K$9:$K$17,'Tax Assumptions'!$K$9:$K$17))*LOOKUP(W535,'Tax Assumptions'!$K$9:$K$17,'Tax Assumptions'!$M$9:$M$17))+IF(W535=0,0,LOOKUP(W535,'Tax Assumptions'!$P$9:$P$12,'Tax Assumptions'!$S$9:$S$12)+(W535-LOOKUP(W535,'Tax Assumptions'!$P$9:$P$12,'Tax Assumptions'!$P$9:$P$12))*LOOKUP(W535,'Tax Assumptions'!$P$9:$P$12,'Tax Assumptions'!$R$9:$R$12))</f>
        <v>1688600.3832063989</v>
      </c>
      <c r="Y535" s="230">
        <f t="shared" si="284"/>
        <v>1643601.6143092962</v>
      </c>
      <c r="Z535" s="230">
        <f>IF(J535&lt;=10,INDEX('Savings Projection'!$BL$19:$BL$28,J535),LOOKUP(2,1/('Savings Projection'!$BL$19:$BL$28&lt;&gt;""),'Savings Projection'!$BL$19:$BL$28))*(1+'Model Inputs'!$B$35)^(J535-1)+IF(J535&lt;=10,INDEX('Savings Projection'!$BM$19:$BM$28,J535),LOOKUP(2,1/('Savings Projection'!$BM$19:$BM$28&lt;&gt;""),'Savings Projection'!$BM$19:$BM$28))*(1+'Model Inputs'!$B$36)^(J535-1)</f>
        <v>150705.62965899997</v>
      </c>
      <c r="AA535" s="230">
        <f t="shared" si="285"/>
        <v>1492895.9846502962</v>
      </c>
      <c r="AB535" s="230">
        <f>MIN(MAX(AA535,0),'Tax Assumptions'!$B$20)</f>
        <v>7500</v>
      </c>
      <c r="AC535" s="230">
        <f t="shared" si="286"/>
        <v>1485395.9846502962</v>
      </c>
      <c r="AD535" s="230">
        <f>MAX(AD534*(1+'Model Inputs'!$B$13)+AC535,0)</f>
        <v>2997724.5751604815</v>
      </c>
      <c r="AE535" s="230">
        <f>MAX(AE534*(1+'Model Inputs'!$B$13)+U535+AB535,0)</f>
        <v>223210.1932032</v>
      </c>
      <c r="AF535" s="230">
        <f t="shared" si="287"/>
        <v>3220934.7683636816</v>
      </c>
      <c r="AG535" s="226" t="str">
        <f t="shared" si="309"/>
        <v/>
      </c>
      <c r="AH535" s="226" t="str">
        <f t="shared" si="310"/>
        <v/>
      </c>
      <c r="AI535" s="226" t="str">
        <f t="shared" si="311"/>
        <v/>
      </c>
      <c r="AJ535" s="226" t="str">
        <f t="shared" si="312"/>
        <v/>
      </c>
    </row>
    <row r="536" spans="1:36" ht="18" customHeight="1" x14ac:dyDescent="0.2">
      <c r="A536" s="226" t="str">
        <f t="shared" si="301"/>
        <v>5Y -&gt; PM Y7 Starter</v>
      </c>
      <c r="B536" s="226">
        <f t="shared" si="302"/>
        <v>5</v>
      </c>
      <c r="C536" s="235">
        <f t="shared" si="303"/>
        <v>3</v>
      </c>
      <c r="D536" s="226">
        <f t="shared" si="304"/>
        <v>7</v>
      </c>
      <c r="E536" s="226" t="str">
        <f t="shared" si="305"/>
        <v>Starter</v>
      </c>
      <c r="F536" s="230">
        <f t="shared" si="306"/>
        <v>10000000</v>
      </c>
      <c r="G536" s="236">
        <f t="shared" si="307"/>
        <v>0.15</v>
      </c>
      <c r="H536" s="230">
        <f t="shared" si="308"/>
        <v>300000</v>
      </c>
      <c r="I536" s="236">
        <f t="shared" si="278"/>
        <v>0</v>
      </c>
      <c r="J536" s="234">
        <v>7</v>
      </c>
      <c r="K536" s="234">
        <f t="shared" si="279"/>
        <v>2032</v>
      </c>
      <c r="L536" s="230">
        <f>IF(J536=1,'Model Inputs'!$B$25*(13-'Model Inputs'!$B$23)/12,'Model Inputs'!$B$25)</f>
        <v>300000</v>
      </c>
      <c r="M536" s="230">
        <f>IF(J536=1,'Model Inputs'!$B$27*(13-'Model Inputs'!$B$23)/12,IF(J536=2,'Model Inputs'!$B$27,IF(J536&lt;=MAX(3,'Model Inputs'!$B$30+1),'Model Inputs'!$B$27*(1+'Model Inputs'!$B$28)^(J536-3),'Model Inputs'!$B$27*(1+'Model Inputs'!$B$28)^(MAX(3,'Model Inputs'!$B$30+1)-3)*(1+'Model Inputs'!$B$29)^(J536-MAX(3,'Model Inputs'!$B$30+1)))))</f>
        <v>1534372.9821762268</v>
      </c>
      <c r="N536" s="236">
        <f>IF(J536&lt;=2,0,'Model Inputs'!$B$32*SIN(2*PI()*(J536-3+'Model Inputs'!$B$34)/MAX(1,'Model Inputs'!$B$33)))</f>
        <v>0.10392304845413269</v>
      </c>
      <c r="O536" s="230">
        <f t="shared" si="280"/>
        <v>1693829.6999496389</v>
      </c>
      <c r="P536" s="230">
        <f t="shared" si="313"/>
        <v>1118318.448466131</v>
      </c>
      <c r="Q536" s="230">
        <f>L536+P536+IF(J536=1,'Model Inputs'!$B$26,0)</f>
        <v>1418318.448466131</v>
      </c>
      <c r="R536" s="230">
        <f t="shared" si="281"/>
        <v>4254955.3453983925</v>
      </c>
      <c r="S536" s="230">
        <f t="shared" si="282"/>
        <v>1800000</v>
      </c>
      <c r="T536" s="230">
        <f t="shared" si="283"/>
        <v>1800000</v>
      </c>
      <c r="U536" s="230">
        <f>MIN(T536,'Tax Assumptions'!$B$19)</f>
        <v>24500</v>
      </c>
      <c r="V536" s="230">
        <f>MAX(T536-U536-'Tax Assumptions'!$B$8,0)</f>
        <v>1759400</v>
      </c>
      <c r="W536" s="230">
        <f>MAX(T536-U536-'Tax Assumptions'!$B$9,0)</f>
        <v>1767500</v>
      </c>
      <c r="X536" s="230">
        <f>IF(V536=0,0,LOOKUP(V536,'Tax Assumptions'!$F$9:$F$15,'Tax Assumptions'!$I$9:$I$15)+(V536-LOOKUP(V536,'Tax Assumptions'!$F$9:$F$15,'Tax Assumptions'!$F$9:$F$15))*LOOKUP(V536,'Tax Assumptions'!$F$9:$F$15,'Tax Assumptions'!$H$9:$H$15))+MIN(MAX(T536,0),'Tax Assumptions'!$B$11)*'Tax Assumptions'!$B$10+MAX(T536,0)*'Tax Assumptions'!$B$12+MAX(MAX(T536,0)-'Tax Assumptions'!$B$14,0)*'Tax Assumptions'!$B$13+MIN(T536*'Tax Assumptions'!$B$15,'Tax Assumptions'!$B$16)+MIN(T536*'Tax Assumptions'!$B$17,'Tax Assumptions'!$B$18)+IF(W536=0,0,LOOKUP(W536,'Tax Assumptions'!$K$9:$K$17,'Tax Assumptions'!$N$9:$N$17)+(W536-LOOKUP(W536,'Tax Assumptions'!$K$9:$K$17,'Tax Assumptions'!$K$9:$K$17))*LOOKUP(W536,'Tax Assumptions'!$K$9:$K$17,'Tax Assumptions'!$M$9:$M$17))+IF(W536=0,0,LOOKUP(W536,'Tax Assumptions'!$P$9:$P$12,'Tax Assumptions'!$S$9:$S$12)+(W536-LOOKUP(W536,'Tax Assumptions'!$P$9:$P$12,'Tax Assumptions'!$P$9:$P$12))*LOOKUP(W536,'Tax Assumptions'!$P$9:$P$12,'Tax Assumptions'!$R$9:$R$12))</f>
        <v>865478.63500000001</v>
      </c>
      <c r="Y536" s="230">
        <f t="shared" si="284"/>
        <v>910021.36499999999</v>
      </c>
      <c r="Z536" s="230">
        <f>IF(J536&lt;=10,INDEX('Savings Projection'!$BL$19:$BL$28,J536),LOOKUP(2,1/('Savings Projection'!$BL$19:$BL$28&lt;&gt;""),'Savings Projection'!$BL$19:$BL$28))*(1+'Model Inputs'!$B$35)^(J536-1)+IF(J536&lt;=10,INDEX('Savings Projection'!$BM$19:$BM$28,J536),LOOKUP(2,1/('Savings Projection'!$BM$19:$BM$28&lt;&gt;""),'Savings Projection'!$BM$19:$BM$28))*(1+'Model Inputs'!$B$36)^(J536-1)</f>
        <v>155226.79854876999</v>
      </c>
      <c r="AA536" s="230">
        <f t="shared" si="285"/>
        <v>754794.56645122997</v>
      </c>
      <c r="AB536" s="230">
        <f>MIN(MAX(AA536,0),'Tax Assumptions'!$B$20)</f>
        <v>7500</v>
      </c>
      <c r="AC536" s="230">
        <f t="shared" si="286"/>
        <v>747294.56645122997</v>
      </c>
      <c r="AD536" s="230">
        <f>MAX(AD535*(1+'Model Inputs'!$B$13)+AC536,0)</f>
        <v>3924882.6161213405</v>
      </c>
      <c r="AE536" s="230">
        <f>MAX(AE535*(1+'Model Inputs'!$B$13)+U536+AB536,0)</f>
        <v>268602.80479539197</v>
      </c>
      <c r="AF536" s="230">
        <f t="shared" si="287"/>
        <v>4193485.4209167324</v>
      </c>
      <c r="AG536" s="226" t="str">
        <f t="shared" si="309"/>
        <v/>
      </c>
      <c r="AH536" s="226" t="str">
        <f t="shared" si="310"/>
        <v/>
      </c>
      <c r="AI536" s="226" t="str">
        <f t="shared" si="311"/>
        <v/>
      </c>
      <c r="AJ536" s="226" t="str">
        <f t="shared" si="312"/>
        <v/>
      </c>
    </row>
    <row r="537" spans="1:36" ht="18" customHeight="1" x14ac:dyDescent="0.2">
      <c r="A537" s="226" t="str">
        <f t="shared" si="301"/>
        <v>5Y -&gt; PM Y7 Starter</v>
      </c>
      <c r="B537" s="226">
        <f t="shared" si="302"/>
        <v>5</v>
      </c>
      <c r="C537" s="235">
        <f t="shared" si="303"/>
        <v>3</v>
      </c>
      <c r="D537" s="226">
        <f t="shared" si="304"/>
        <v>7</v>
      </c>
      <c r="E537" s="226" t="str">
        <f t="shared" si="305"/>
        <v>Starter</v>
      </c>
      <c r="F537" s="230">
        <f t="shared" si="306"/>
        <v>10000000</v>
      </c>
      <c r="G537" s="236">
        <f t="shared" si="307"/>
        <v>0.15</v>
      </c>
      <c r="H537" s="230">
        <f t="shared" si="308"/>
        <v>300000</v>
      </c>
      <c r="I537" s="236">
        <f t="shared" si="278"/>
        <v>0</v>
      </c>
      <c r="J537" s="234">
        <v>8</v>
      </c>
      <c r="K537" s="234">
        <f t="shared" si="279"/>
        <v>2033</v>
      </c>
      <c r="L537" s="230">
        <f>IF(J537=1,'Model Inputs'!$B$25*(13-'Model Inputs'!$B$23)/12,'Model Inputs'!$B$25)</f>
        <v>300000</v>
      </c>
      <c r="M537" s="230">
        <f>IF(J537=1,'Model Inputs'!$B$27*(13-'Model Inputs'!$B$23)/12,IF(J537=2,'Model Inputs'!$B$27,IF(J537&lt;=MAX(3,'Model Inputs'!$B$30+1),'Model Inputs'!$B$27*(1+'Model Inputs'!$B$28)^(J537-3),'Model Inputs'!$B$27*(1+'Model Inputs'!$B$28)^(MAX(3,'Model Inputs'!$B$30+1)-3)*(1+'Model Inputs'!$B$29)^(J537-MAX(3,'Model Inputs'!$B$30+1)))))</f>
        <v>1950000.0000000002</v>
      </c>
      <c r="N537" s="236">
        <f>IF(J537&lt;=2,0,'Model Inputs'!$B$32*SIN(2*PI()*(J537-3+'Model Inputs'!$B$34)/MAX(1,'Model Inputs'!$B$33)))</f>
        <v>-0.10392304845413264</v>
      </c>
      <c r="O537" s="230">
        <f t="shared" si="280"/>
        <v>1747350.0555144416</v>
      </c>
      <c r="P537" s="230">
        <f t="shared" si="313"/>
        <v>1572205.6657868917</v>
      </c>
      <c r="Q537" s="230">
        <f>L537+P537+IF(J537=1,'Model Inputs'!$B$26,0)</f>
        <v>1872205.6657868917</v>
      </c>
      <c r="R537" s="230">
        <f t="shared" si="281"/>
        <v>5616616.9973606747</v>
      </c>
      <c r="S537" s="230">
        <f t="shared" si="282"/>
        <v>1800000</v>
      </c>
      <c r="T537" s="230">
        <f t="shared" si="283"/>
        <v>1800000</v>
      </c>
      <c r="U537" s="230">
        <f>MIN(T537,'Tax Assumptions'!$B$19)</f>
        <v>24500</v>
      </c>
      <c r="V537" s="230">
        <f>MAX(T537-U537-'Tax Assumptions'!$B$8,0)</f>
        <v>1759400</v>
      </c>
      <c r="W537" s="230">
        <f>MAX(T537-U537-'Tax Assumptions'!$B$9,0)</f>
        <v>1767500</v>
      </c>
      <c r="X537" s="230">
        <f>IF(V537=0,0,LOOKUP(V537,'Tax Assumptions'!$F$9:$F$15,'Tax Assumptions'!$I$9:$I$15)+(V537-LOOKUP(V537,'Tax Assumptions'!$F$9:$F$15,'Tax Assumptions'!$F$9:$F$15))*LOOKUP(V537,'Tax Assumptions'!$F$9:$F$15,'Tax Assumptions'!$H$9:$H$15))+MIN(MAX(T537,0),'Tax Assumptions'!$B$11)*'Tax Assumptions'!$B$10+MAX(T537,0)*'Tax Assumptions'!$B$12+MAX(MAX(T537,0)-'Tax Assumptions'!$B$14,0)*'Tax Assumptions'!$B$13+MIN(T537*'Tax Assumptions'!$B$15,'Tax Assumptions'!$B$16)+MIN(T537*'Tax Assumptions'!$B$17,'Tax Assumptions'!$B$18)+IF(W537=0,0,LOOKUP(W537,'Tax Assumptions'!$K$9:$K$17,'Tax Assumptions'!$N$9:$N$17)+(W537-LOOKUP(W537,'Tax Assumptions'!$K$9:$K$17,'Tax Assumptions'!$K$9:$K$17))*LOOKUP(W537,'Tax Assumptions'!$K$9:$K$17,'Tax Assumptions'!$M$9:$M$17))+IF(W537=0,0,LOOKUP(W537,'Tax Assumptions'!$P$9:$P$12,'Tax Assumptions'!$S$9:$S$12)+(W537-LOOKUP(W537,'Tax Assumptions'!$P$9:$P$12,'Tax Assumptions'!$P$9:$P$12))*LOOKUP(W537,'Tax Assumptions'!$P$9:$P$12,'Tax Assumptions'!$R$9:$R$12))</f>
        <v>865478.63500000001</v>
      </c>
      <c r="Y537" s="230">
        <f t="shared" si="284"/>
        <v>910021.36499999999</v>
      </c>
      <c r="Z537" s="230">
        <f>IF(J537&lt;=10,INDEX('Savings Projection'!$BL$19:$BL$28,J537),LOOKUP(2,1/('Savings Projection'!$BL$19:$BL$28&lt;&gt;""),'Savings Projection'!$BL$19:$BL$28))*(1+'Model Inputs'!$B$35)^(J537-1)+IF(J537&lt;=10,INDEX('Savings Projection'!$BM$19:$BM$28,J537),LOOKUP(2,1/('Savings Projection'!$BM$19:$BM$28&lt;&gt;""),'Savings Projection'!$BM$19:$BM$28))*(1+'Model Inputs'!$B$36)^(J537-1)</f>
        <v>159883.60250523311</v>
      </c>
      <c r="AA537" s="230">
        <f t="shared" si="285"/>
        <v>750137.76249476685</v>
      </c>
      <c r="AB537" s="230">
        <f>MIN(MAX(AA537,0),'Tax Assumptions'!$B$20)</f>
        <v>7500</v>
      </c>
      <c r="AC537" s="230">
        <f t="shared" si="286"/>
        <v>742637.76249476685</v>
      </c>
      <c r="AD537" s="230">
        <f>MAX(AD536*(1+'Model Inputs'!$B$13)+AC537,0)</f>
        <v>4903013.3355833879</v>
      </c>
      <c r="AE537" s="230">
        <f>MAX(AE536*(1+'Model Inputs'!$B$13)+U537+AB537,0)</f>
        <v>316718.97308311553</v>
      </c>
      <c r="AF537" s="230">
        <f t="shared" si="287"/>
        <v>5219732.3086665031</v>
      </c>
      <c r="AG537" s="226" t="str">
        <f t="shared" si="309"/>
        <v/>
      </c>
      <c r="AH537" s="226" t="str">
        <f t="shared" si="310"/>
        <v/>
      </c>
      <c r="AI537" s="226" t="str">
        <f t="shared" si="311"/>
        <v/>
      </c>
      <c r="AJ537" s="226" t="str">
        <f t="shared" si="312"/>
        <v/>
      </c>
    </row>
    <row r="538" spans="1:36" ht="18" customHeight="1" x14ac:dyDescent="0.2">
      <c r="A538" s="226" t="str">
        <f t="shared" si="301"/>
        <v>5Y -&gt; PM Y7 Starter</v>
      </c>
      <c r="B538" s="226">
        <f t="shared" si="302"/>
        <v>5</v>
      </c>
      <c r="C538" s="235">
        <f t="shared" si="303"/>
        <v>3</v>
      </c>
      <c r="D538" s="226">
        <f t="shared" si="304"/>
        <v>7</v>
      </c>
      <c r="E538" s="226" t="str">
        <f t="shared" si="305"/>
        <v>Starter</v>
      </c>
      <c r="F538" s="230">
        <f t="shared" si="306"/>
        <v>10000000</v>
      </c>
      <c r="G538" s="236">
        <f t="shared" si="307"/>
        <v>0.15</v>
      </c>
      <c r="H538" s="230">
        <f t="shared" si="308"/>
        <v>300000</v>
      </c>
      <c r="I538" s="236">
        <f t="shared" si="278"/>
        <v>0</v>
      </c>
      <c r="J538" s="234">
        <v>9</v>
      </c>
      <c r="K538" s="234">
        <f t="shared" si="279"/>
        <v>2034</v>
      </c>
      <c r="L538" s="230">
        <f>IF(J538=1,'Model Inputs'!$B$25*(13-'Model Inputs'!$B$23)/12,'Model Inputs'!$B$25)</f>
        <v>300000</v>
      </c>
      <c r="M538" s="230">
        <f>IF(J538=1,'Model Inputs'!$B$27*(13-'Model Inputs'!$B$23)/12,IF(J538=2,'Model Inputs'!$B$27,IF(J538&lt;=MAX(3,'Model Inputs'!$B$30+1),'Model Inputs'!$B$27*(1+'Model Inputs'!$B$28)^(J538-3),'Model Inputs'!$B$27*(1+'Model Inputs'!$B$28)^(MAX(3,'Model Inputs'!$B$30+1)-3)*(1+'Model Inputs'!$B$29)^(J538-MAX(3,'Model Inputs'!$B$30+1)))))</f>
        <v>2478210.9983498608</v>
      </c>
      <c r="N538" s="236">
        <f>IF(J538&lt;=2,0,'Model Inputs'!$B$32*SIN(2*PI()*(J538-3+'Model Inputs'!$B$34)/MAX(1,'Model Inputs'!$B$33)))</f>
        <v>-5.8783046359072947E-17</v>
      </c>
      <c r="O538" s="230">
        <f t="shared" si="280"/>
        <v>2478210.9983498603</v>
      </c>
      <c r="P538" s="230">
        <f t="shared" si="313"/>
        <v>1733969.9666232408</v>
      </c>
      <c r="Q538" s="230">
        <f>L538+P538+IF(J538=1,'Model Inputs'!$B$26,0)</f>
        <v>2033969.9666232408</v>
      </c>
      <c r="R538" s="230">
        <f t="shared" si="281"/>
        <v>6101909.8998697223</v>
      </c>
      <c r="S538" s="230">
        <f t="shared" si="282"/>
        <v>1800000</v>
      </c>
      <c r="T538" s="230">
        <f t="shared" si="283"/>
        <v>1800000</v>
      </c>
      <c r="U538" s="230">
        <f>MIN(T538,'Tax Assumptions'!$B$19)</f>
        <v>24500</v>
      </c>
      <c r="V538" s="230">
        <f>MAX(T538-U538-'Tax Assumptions'!$B$8,0)</f>
        <v>1759400</v>
      </c>
      <c r="W538" s="230">
        <f>MAX(T538-U538-'Tax Assumptions'!$B$9,0)</f>
        <v>1767500</v>
      </c>
      <c r="X538" s="230">
        <f>IF(V538=0,0,LOOKUP(V538,'Tax Assumptions'!$F$9:$F$15,'Tax Assumptions'!$I$9:$I$15)+(V538-LOOKUP(V538,'Tax Assumptions'!$F$9:$F$15,'Tax Assumptions'!$F$9:$F$15))*LOOKUP(V538,'Tax Assumptions'!$F$9:$F$15,'Tax Assumptions'!$H$9:$H$15))+MIN(MAX(T538,0),'Tax Assumptions'!$B$11)*'Tax Assumptions'!$B$10+MAX(T538,0)*'Tax Assumptions'!$B$12+MAX(MAX(T538,0)-'Tax Assumptions'!$B$14,0)*'Tax Assumptions'!$B$13+MIN(T538*'Tax Assumptions'!$B$15,'Tax Assumptions'!$B$16)+MIN(T538*'Tax Assumptions'!$B$17,'Tax Assumptions'!$B$18)+IF(W538=0,0,LOOKUP(W538,'Tax Assumptions'!$K$9:$K$17,'Tax Assumptions'!$N$9:$N$17)+(W538-LOOKUP(W538,'Tax Assumptions'!$K$9:$K$17,'Tax Assumptions'!$K$9:$K$17))*LOOKUP(W538,'Tax Assumptions'!$K$9:$K$17,'Tax Assumptions'!$M$9:$M$17))+IF(W538=0,0,LOOKUP(W538,'Tax Assumptions'!$P$9:$P$12,'Tax Assumptions'!$S$9:$S$12)+(W538-LOOKUP(W538,'Tax Assumptions'!$P$9:$P$12,'Tax Assumptions'!$P$9:$P$12))*LOOKUP(W538,'Tax Assumptions'!$P$9:$P$12,'Tax Assumptions'!$R$9:$R$12))</f>
        <v>865478.63500000001</v>
      </c>
      <c r="Y538" s="230">
        <f t="shared" si="284"/>
        <v>910021.36499999999</v>
      </c>
      <c r="Z538" s="230">
        <f>IF(J538&lt;=10,INDEX('Savings Projection'!$BL$19:$BL$28,J538),LOOKUP(2,1/('Savings Projection'!$BL$19:$BL$28&lt;&gt;""),'Savings Projection'!$BL$19:$BL$28))*(1+'Model Inputs'!$B$35)^(J538-1)+IF(J538&lt;=10,INDEX('Savings Projection'!$BM$19:$BM$28,J538),LOOKUP(2,1/('Savings Projection'!$BM$19:$BM$28&lt;&gt;""),'Savings Projection'!$BM$19:$BM$28))*(1+'Model Inputs'!$B$36)^(J538-1)</f>
        <v>164680.11058039009</v>
      </c>
      <c r="AA538" s="230">
        <f t="shared" si="285"/>
        <v>745341.2544196099</v>
      </c>
      <c r="AB538" s="230">
        <f>MIN(MAX(AA538,0),'Tax Assumptions'!$B$20)</f>
        <v>7500</v>
      </c>
      <c r="AC538" s="230">
        <f t="shared" si="286"/>
        <v>737841.2544196099</v>
      </c>
      <c r="AD538" s="230">
        <f>MAX(AD537*(1+'Model Inputs'!$B$13)+AC538,0)</f>
        <v>5935035.3901380012</v>
      </c>
      <c r="AE538" s="230">
        <f>MAX(AE537*(1+'Model Inputs'!$B$13)+U538+AB538,0)</f>
        <v>367722.11146810249</v>
      </c>
      <c r="AF538" s="230">
        <f t="shared" si="287"/>
        <v>6302757.501606104</v>
      </c>
      <c r="AG538" s="226" t="str">
        <f t="shared" si="309"/>
        <v/>
      </c>
      <c r="AH538" s="226" t="str">
        <f t="shared" si="310"/>
        <v/>
      </c>
      <c r="AI538" s="226" t="str">
        <f t="shared" si="311"/>
        <v/>
      </c>
      <c r="AJ538" s="226" t="str">
        <f t="shared" si="312"/>
        <v/>
      </c>
    </row>
    <row r="539" spans="1:36" ht="18" customHeight="1" x14ac:dyDescent="0.2">
      <c r="A539" s="226" t="str">
        <f t="shared" si="301"/>
        <v>5Y -&gt; PM Y7 Starter</v>
      </c>
      <c r="B539" s="226">
        <f t="shared" si="302"/>
        <v>5</v>
      </c>
      <c r="C539" s="235">
        <f t="shared" si="303"/>
        <v>3</v>
      </c>
      <c r="D539" s="226">
        <f t="shared" si="304"/>
        <v>7</v>
      </c>
      <c r="E539" s="226" t="str">
        <f t="shared" si="305"/>
        <v>Starter</v>
      </c>
      <c r="F539" s="230">
        <f t="shared" si="306"/>
        <v>10000000</v>
      </c>
      <c r="G539" s="236">
        <f t="shared" si="307"/>
        <v>0.15</v>
      </c>
      <c r="H539" s="230">
        <f t="shared" si="308"/>
        <v>300000</v>
      </c>
      <c r="I539" s="236">
        <f t="shared" si="278"/>
        <v>0</v>
      </c>
      <c r="J539" s="234">
        <v>10</v>
      </c>
      <c r="K539" s="234">
        <f t="shared" si="279"/>
        <v>2035</v>
      </c>
      <c r="L539" s="230">
        <f>IF(J539=1,'Model Inputs'!$B$25*(13-'Model Inputs'!$B$23)/12,'Model Inputs'!$B$25)</f>
        <v>300000</v>
      </c>
      <c r="M539" s="230">
        <f>IF(J539=1,'Model Inputs'!$B$27*(13-'Model Inputs'!$B$23)/12,IF(J539=2,'Model Inputs'!$B$27,IF(J539&lt;=MAX(3,'Model Inputs'!$B$30+1),'Model Inputs'!$B$27*(1+'Model Inputs'!$B$28)^(J539-3),'Model Inputs'!$B$27*(1+'Model Inputs'!$B$28)^(MAX(3,'Model Inputs'!$B$30+1)-3)*(1+'Model Inputs'!$B$29)^(J539-MAX(3,'Model Inputs'!$B$30+1)))))</f>
        <v>3149502.4370985711</v>
      </c>
      <c r="N539" s="236">
        <f>IF(J539&lt;=2,0,'Model Inputs'!$B$32*SIN(2*PI()*(J539-3+'Model Inputs'!$B$34)/MAX(1,'Model Inputs'!$B$33)))</f>
        <v>0.10392304845413271</v>
      </c>
      <c r="O539" s="230">
        <f t="shared" si="280"/>
        <v>3476808.331475575</v>
      </c>
      <c r="P539" s="230">
        <f t="shared" si="313"/>
        <v>2295495.7626410057</v>
      </c>
      <c r="Q539" s="230">
        <f>L539+P539+IF(J539=1,'Model Inputs'!$B$26,0)</f>
        <v>2595495.7626410057</v>
      </c>
      <c r="R539" s="230">
        <f t="shared" si="281"/>
        <v>7786487.2879230175</v>
      </c>
      <c r="S539" s="230">
        <f t="shared" si="282"/>
        <v>1800000</v>
      </c>
      <c r="T539" s="230">
        <f t="shared" si="283"/>
        <v>1800000</v>
      </c>
      <c r="U539" s="230">
        <f>MIN(T539,'Tax Assumptions'!$B$19)</f>
        <v>24500</v>
      </c>
      <c r="V539" s="230">
        <f>MAX(T539-U539-'Tax Assumptions'!$B$8,0)</f>
        <v>1759400</v>
      </c>
      <c r="W539" s="230">
        <f>MAX(T539-U539-'Tax Assumptions'!$B$9,0)</f>
        <v>1767500</v>
      </c>
      <c r="X539" s="230">
        <f>IF(V539=0,0,LOOKUP(V539,'Tax Assumptions'!$F$9:$F$15,'Tax Assumptions'!$I$9:$I$15)+(V539-LOOKUP(V539,'Tax Assumptions'!$F$9:$F$15,'Tax Assumptions'!$F$9:$F$15))*LOOKUP(V539,'Tax Assumptions'!$F$9:$F$15,'Tax Assumptions'!$H$9:$H$15))+MIN(MAX(T539,0),'Tax Assumptions'!$B$11)*'Tax Assumptions'!$B$10+MAX(T539,0)*'Tax Assumptions'!$B$12+MAX(MAX(T539,0)-'Tax Assumptions'!$B$14,0)*'Tax Assumptions'!$B$13+MIN(T539*'Tax Assumptions'!$B$15,'Tax Assumptions'!$B$16)+MIN(T539*'Tax Assumptions'!$B$17,'Tax Assumptions'!$B$18)+IF(W539=0,0,LOOKUP(W539,'Tax Assumptions'!$K$9:$K$17,'Tax Assumptions'!$N$9:$N$17)+(W539-LOOKUP(W539,'Tax Assumptions'!$K$9:$K$17,'Tax Assumptions'!$K$9:$K$17))*LOOKUP(W539,'Tax Assumptions'!$K$9:$K$17,'Tax Assumptions'!$M$9:$M$17))+IF(W539=0,0,LOOKUP(W539,'Tax Assumptions'!$P$9:$P$12,'Tax Assumptions'!$S$9:$S$12)+(W539-LOOKUP(W539,'Tax Assumptions'!$P$9:$P$12,'Tax Assumptions'!$P$9:$P$12))*LOOKUP(W539,'Tax Assumptions'!$P$9:$P$12,'Tax Assumptions'!$R$9:$R$12))</f>
        <v>865478.63500000001</v>
      </c>
      <c r="Y539" s="230">
        <f t="shared" si="284"/>
        <v>910021.36499999999</v>
      </c>
      <c r="Z539" s="230">
        <f>IF(J539&lt;=10,INDEX('Savings Projection'!$BL$19:$BL$28,J539),LOOKUP(2,1/('Savings Projection'!$BL$19:$BL$28&lt;&gt;""),'Savings Projection'!$BL$19:$BL$28))*(1+'Model Inputs'!$B$35)^(J539-1)+IF(J539&lt;=10,INDEX('Savings Projection'!$BM$19:$BM$28,J539),LOOKUP(2,1/('Savings Projection'!$BM$19:$BM$28&lt;&gt;""),'Savings Projection'!$BM$19:$BM$28))*(1+'Model Inputs'!$B$36)^(J539-1)</f>
        <v>169620.51389780178</v>
      </c>
      <c r="AA539" s="230">
        <f t="shared" si="285"/>
        <v>740400.85110219824</v>
      </c>
      <c r="AB539" s="230">
        <f>MIN(MAX(AA539,0),'Tax Assumptions'!$B$20)</f>
        <v>7500</v>
      </c>
      <c r="AC539" s="230">
        <f t="shared" si="286"/>
        <v>732900.85110219824</v>
      </c>
      <c r="AD539" s="230">
        <f>MAX(AD538*(1+'Model Inputs'!$B$13)+AC539,0)</f>
        <v>7024038.36464848</v>
      </c>
      <c r="AE539" s="230">
        <f>MAX(AE538*(1+'Model Inputs'!$B$13)+U539+AB539,0)</f>
        <v>421785.43815618864</v>
      </c>
      <c r="AF539" s="230">
        <f t="shared" si="287"/>
        <v>7445823.8028046684</v>
      </c>
      <c r="AG539" s="226" t="str">
        <f t="shared" si="309"/>
        <v/>
      </c>
      <c r="AH539" s="226" t="str">
        <f t="shared" si="310"/>
        <v/>
      </c>
      <c r="AI539" s="226" t="str">
        <f t="shared" si="311"/>
        <v/>
      </c>
      <c r="AJ539" s="226" t="str">
        <f t="shared" si="312"/>
        <v/>
      </c>
    </row>
    <row r="540" spans="1:36" ht="18" customHeight="1" x14ac:dyDescent="0.2">
      <c r="A540" s="226" t="str">
        <f t="shared" si="301"/>
        <v>5Y -&gt; PM Y7 Starter</v>
      </c>
      <c r="B540" s="226">
        <f t="shared" si="302"/>
        <v>5</v>
      </c>
      <c r="C540" s="235">
        <f t="shared" si="303"/>
        <v>3</v>
      </c>
      <c r="D540" s="226">
        <f t="shared" si="304"/>
        <v>7</v>
      </c>
      <c r="E540" s="226" t="str">
        <f t="shared" si="305"/>
        <v>Starter</v>
      </c>
      <c r="F540" s="230">
        <f t="shared" si="306"/>
        <v>10000000</v>
      </c>
      <c r="G540" s="236">
        <f t="shared" si="307"/>
        <v>0.15</v>
      </c>
      <c r="H540" s="230">
        <f t="shared" si="308"/>
        <v>300000</v>
      </c>
      <c r="I540" s="236">
        <f t="shared" si="278"/>
        <v>0</v>
      </c>
      <c r="J540" s="234">
        <v>11</v>
      </c>
      <c r="K540" s="234">
        <f t="shared" si="279"/>
        <v>2036</v>
      </c>
      <c r="L540" s="230">
        <f>IF(J540=1,'Model Inputs'!$B$25*(13-'Model Inputs'!$B$23)/12,'Model Inputs'!$B$25)</f>
        <v>300000</v>
      </c>
      <c r="M540" s="230">
        <f>IF(J540=1,'Model Inputs'!$B$27*(13-'Model Inputs'!$B$23)/12,IF(J540=2,'Model Inputs'!$B$27,IF(J540&lt;=MAX(3,'Model Inputs'!$B$30+1),'Model Inputs'!$B$27*(1+'Model Inputs'!$B$28)^(J540-3),'Model Inputs'!$B$27*(1+'Model Inputs'!$B$28)^(MAX(3,'Model Inputs'!$B$30+1)-3)*(1+'Model Inputs'!$B$29)^(J540-MAX(3,'Model Inputs'!$B$30+1)))))</f>
        <v>4002631.578947369</v>
      </c>
      <c r="N540" s="236">
        <f>IF(J540&lt;=2,0,'Model Inputs'!$B$32*SIN(2*PI()*(J540-3+'Model Inputs'!$B$34)/MAX(1,'Model Inputs'!$B$33)))</f>
        <v>-0.10392304845413253</v>
      </c>
      <c r="O540" s="230">
        <f t="shared" si="280"/>
        <v>3586665.9034243808</v>
      </c>
      <c r="P540" s="230">
        <f t="shared" si="313"/>
        <v>3227158.9981941464</v>
      </c>
      <c r="Q540" s="230">
        <f>L540+P540+IF(J540=1,'Model Inputs'!$B$26,0)</f>
        <v>3527158.9981941464</v>
      </c>
      <c r="R540" s="230">
        <f t="shared" si="281"/>
        <v>10581476.994582439</v>
      </c>
      <c r="S540" s="230">
        <f t="shared" si="282"/>
        <v>1800000</v>
      </c>
      <c r="T540" s="230">
        <f t="shared" si="283"/>
        <v>1800000</v>
      </c>
      <c r="U540" s="230">
        <f>MIN(T540,'Tax Assumptions'!$B$19)</f>
        <v>24500</v>
      </c>
      <c r="V540" s="230">
        <f>MAX(T540-U540-'Tax Assumptions'!$B$8,0)</f>
        <v>1759400</v>
      </c>
      <c r="W540" s="230">
        <f>MAX(T540-U540-'Tax Assumptions'!$B$9,0)</f>
        <v>1767500</v>
      </c>
      <c r="X540" s="230">
        <f>IF(V540=0,0,LOOKUP(V540,'Tax Assumptions'!$F$9:$F$15,'Tax Assumptions'!$I$9:$I$15)+(V540-LOOKUP(V540,'Tax Assumptions'!$F$9:$F$15,'Tax Assumptions'!$F$9:$F$15))*LOOKUP(V540,'Tax Assumptions'!$F$9:$F$15,'Tax Assumptions'!$H$9:$H$15))+MIN(MAX(T540,0),'Tax Assumptions'!$B$11)*'Tax Assumptions'!$B$10+MAX(T540,0)*'Tax Assumptions'!$B$12+MAX(MAX(T540,0)-'Tax Assumptions'!$B$14,0)*'Tax Assumptions'!$B$13+MIN(T540*'Tax Assumptions'!$B$15,'Tax Assumptions'!$B$16)+MIN(T540*'Tax Assumptions'!$B$17,'Tax Assumptions'!$B$18)+IF(W540=0,0,LOOKUP(W540,'Tax Assumptions'!$K$9:$K$17,'Tax Assumptions'!$N$9:$N$17)+(W540-LOOKUP(W540,'Tax Assumptions'!$K$9:$K$17,'Tax Assumptions'!$K$9:$K$17))*LOOKUP(W540,'Tax Assumptions'!$K$9:$K$17,'Tax Assumptions'!$M$9:$M$17))+IF(W540=0,0,LOOKUP(W540,'Tax Assumptions'!$P$9:$P$12,'Tax Assumptions'!$S$9:$S$12)+(W540-LOOKUP(W540,'Tax Assumptions'!$P$9:$P$12,'Tax Assumptions'!$P$9:$P$12))*LOOKUP(W540,'Tax Assumptions'!$P$9:$P$12,'Tax Assumptions'!$R$9:$R$12))</f>
        <v>865478.63500000001</v>
      </c>
      <c r="Y540" s="230">
        <f t="shared" si="284"/>
        <v>910021.36499999999</v>
      </c>
      <c r="Z540" s="230">
        <f>IF(J540&lt;=10,INDEX('Savings Projection'!$BL$19:$BL$28,J540),LOOKUP(2,1/('Savings Projection'!$BL$19:$BL$28&lt;&gt;""),'Savings Projection'!$BL$19:$BL$28))*(1+'Model Inputs'!$B$35)^(J540-1)+IF(J540&lt;=10,INDEX('Savings Projection'!$BM$19:$BM$28,J540),LOOKUP(2,1/('Savings Projection'!$BM$19:$BM$28&lt;&gt;""),'Savings Projection'!$BM$19:$BM$28))*(1+'Model Inputs'!$B$36)^(J540-1)</f>
        <v>174709.12931473582</v>
      </c>
      <c r="AA540" s="230">
        <f t="shared" si="285"/>
        <v>735312.23568526423</v>
      </c>
      <c r="AB540" s="230">
        <f>MIN(MAX(AA540,0),'Tax Assumptions'!$B$20)</f>
        <v>7500</v>
      </c>
      <c r="AC540" s="230">
        <f t="shared" si="286"/>
        <v>727812.23568526423</v>
      </c>
      <c r="AD540" s="230">
        <f>MAX(AD539*(1+'Model Inputs'!$B$13)+AC540,0)</f>
        <v>8173292.9022126533</v>
      </c>
      <c r="AE540" s="230">
        <f>MAX(AE539*(1+'Model Inputs'!$B$13)+U540+AB540,0)</f>
        <v>479092.56444555998</v>
      </c>
      <c r="AF540" s="230">
        <f t="shared" si="287"/>
        <v>8652385.4666582141</v>
      </c>
      <c r="AG540" s="226" t="str">
        <f t="shared" si="309"/>
        <v/>
      </c>
      <c r="AH540" s="226" t="str">
        <f t="shared" si="310"/>
        <v/>
      </c>
      <c r="AI540" s="226" t="str">
        <f t="shared" si="311"/>
        <v/>
      </c>
      <c r="AJ540" s="226" t="str">
        <f t="shared" si="312"/>
        <v/>
      </c>
    </row>
    <row r="541" spans="1:36" ht="18" customHeight="1" x14ac:dyDescent="0.2">
      <c r="A541" s="226" t="str">
        <f t="shared" si="301"/>
        <v>5Y -&gt; PM Y7 Starter</v>
      </c>
      <c r="B541" s="226">
        <f t="shared" si="302"/>
        <v>5</v>
      </c>
      <c r="C541" s="235">
        <f t="shared" si="303"/>
        <v>3</v>
      </c>
      <c r="D541" s="226">
        <f t="shared" si="304"/>
        <v>7</v>
      </c>
      <c r="E541" s="226" t="str">
        <f t="shared" si="305"/>
        <v>Starter</v>
      </c>
      <c r="F541" s="230">
        <f t="shared" si="306"/>
        <v>10000000</v>
      </c>
      <c r="G541" s="236">
        <f t="shared" si="307"/>
        <v>0.15</v>
      </c>
      <c r="H541" s="230">
        <f t="shared" si="308"/>
        <v>300000</v>
      </c>
      <c r="I541" s="236">
        <f t="shared" si="278"/>
        <v>0</v>
      </c>
      <c r="J541" s="234">
        <v>12</v>
      </c>
      <c r="K541" s="234">
        <f t="shared" si="279"/>
        <v>2037</v>
      </c>
      <c r="L541" s="230">
        <f>IF(J541=1,'Model Inputs'!$B$25*(13-'Model Inputs'!$B$23)/12,'Model Inputs'!$B$25)</f>
        <v>300000</v>
      </c>
      <c r="M541" s="230">
        <f>IF(J541=1,'Model Inputs'!$B$27*(13-'Model Inputs'!$B$23)/12,IF(J541=2,'Model Inputs'!$B$27,IF(J541&lt;=MAX(3,'Model Inputs'!$B$30+1),'Model Inputs'!$B$27*(1+'Model Inputs'!$B$28)^(J541-3),'Model Inputs'!$B$27*(1+'Model Inputs'!$B$28)^(MAX(3,'Model Inputs'!$B$30+1)-3)*(1+'Model Inputs'!$B$29)^(J541-MAX(3,'Model Inputs'!$B$30+1)))))</f>
        <v>5086854.15450761</v>
      </c>
      <c r="N541" s="236">
        <f>IF(J541&lt;=2,0,'Model Inputs'!$B$32*SIN(2*PI()*(J541-3+'Model Inputs'!$B$34)/MAX(1,'Model Inputs'!$B$33)))</f>
        <v>-8.8174569538609421E-17</v>
      </c>
      <c r="O541" s="230">
        <f t="shared" si="280"/>
        <v>5086854.1545076091</v>
      </c>
      <c r="P541" s="230">
        <f t="shared" si="313"/>
        <v>3559201.5104371794</v>
      </c>
      <c r="Q541" s="230">
        <f>L541+P541+IF(J541=1,'Model Inputs'!$B$26,0)</f>
        <v>3859201.5104371794</v>
      </c>
      <c r="R541" s="230">
        <f t="shared" si="281"/>
        <v>11577604.531311538</v>
      </c>
      <c r="S541" s="230">
        <f t="shared" si="282"/>
        <v>1800000</v>
      </c>
      <c r="T541" s="230">
        <f t="shared" si="283"/>
        <v>1800000</v>
      </c>
      <c r="U541" s="230">
        <f>MIN(T541,'Tax Assumptions'!$B$19)</f>
        <v>24500</v>
      </c>
      <c r="V541" s="230">
        <f>MAX(T541-U541-'Tax Assumptions'!$B$8,0)</f>
        <v>1759400</v>
      </c>
      <c r="W541" s="230">
        <f>MAX(T541-U541-'Tax Assumptions'!$B$9,0)</f>
        <v>1767500</v>
      </c>
      <c r="X541" s="230">
        <f>IF(V541=0,0,LOOKUP(V541,'Tax Assumptions'!$F$9:$F$15,'Tax Assumptions'!$I$9:$I$15)+(V541-LOOKUP(V541,'Tax Assumptions'!$F$9:$F$15,'Tax Assumptions'!$F$9:$F$15))*LOOKUP(V541,'Tax Assumptions'!$F$9:$F$15,'Tax Assumptions'!$H$9:$H$15))+MIN(MAX(T541,0),'Tax Assumptions'!$B$11)*'Tax Assumptions'!$B$10+MAX(T541,0)*'Tax Assumptions'!$B$12+MAX(MAX(T541,0)-'Tax Assumptions'!$B$14,0)*'Tax Assumptions'!$B$13+MIN(T541*'Tax Assumptions'!$B$15,'Tax Assumptions'!$B$16)+MIN(T541*'Tax Assumptions'!$B$17,'Tax Assumptions'!$B$18)+IF(W541=0,0,LOOKUP(W541,'Tax Assumptions'!$K$9:$K$17,'Tax Assumptions'!$N$9:$N$17)+(W541-LOOKUP(W541,'Tax Assumptions'!$K$9:$K$17,'Tax Assumptions'!$K$9:$K$17))*LOOKUP(W541,'Tax Assumptions'!$K$9:$K$17,'Tax Assumptions'!$M$9:$M$17))+IF(W541=0,0,LOOKUP(W541,'Tax Assumptions'!$P$9:$P$12,'Tax Assumptions'!$S$9:$S$12)+(W541-LOOKUP(W541,'Tax Assumptions'!$P$9:$P$12,'Tax Assumptions'!$P$9:$P$12))*LOOKUP(W541,'Tax Assumptions'!$P$9:$P$12,'Tax Assumptions'!$R$9:$R$12))</f>
        <v>865478.63500000001</v>
      </c>
      <c r="Y541" s="230">
        <f t="shared" si="284"/>
        <v>910021.36499999999</v>
      </c>
      <c r="Z541" s="230">
        <f>IF(J541&lt;=10,INDEX('Savings Projection'!$BL$19:$BL$28,J541),LOOKUP(2,1/('Savings Projection'!$BL$19:$BL$28&lt;&gt;""),'Savings Projection'!$BL$19:$BL$28))*(1+'Model Inputs'!$B$35)^(J541-1)+IF(J541&lt;=10,INDEX('Savings Projection'!$BM$19:$BM$28,J541),LOOKUP(2,1/('Savings Projection'!$BM$19:$BM$28&lt;&gt;""),'Savings Projection'!$BM$19:$BM$28))*(1+'Model Inputs'!$B$36)^(J541-1)</f>
        <v>179950.4031941779</v>
      </c>
      <c r="AA541" s="230">
        <f t="shared" si="285"/>
        <v>730070.96180582209</v>
      </c>
      <c r="AB541" s="230">
        <f>MIN(MAX(AA541,0),'Tax Assumptions'!$B$20)</f>
        <v>7500</v>
      </c>
      <c r="AC541" s="230">
        <f t="shared" si="286"/>
        <v>722570.96180582209</v>
      </c>
      <c r="AD541" s="230">
        <f>MAX(AD540*(1+'Model Inputs'!$B$13)+AC541,0)</f>
        <v>9386261.4381512348</v>
      </c>
      <c r="AE541" s="230">
        <f>MAX(AE540*(1+'Model Inputs'!$B$13)+U541+AB541,0)</f>
        <v>539838.11831229366</v>
      </c>
      <c r="AF541" s="230">
        <f t="shared" si="287"/>
        <v>9926099.5564635284</v>
      </c>
      <c r="AG541" s="226" t="str">
        <f t="shared" si="309"/>
        <v/>
      </c>
      <c r="AH541" s="226" t="str">
        <f t="shared" si="310"/>
        <v/>
      </c>
      <c r="AI541" s="226" t="str">
        <f t="shared" si="311"/>
        <v/>
      </c>
      <c r="AJ541" s="226" t="str">
        <f t="shared" si="312"/>
        <v/>
      </c>
    </row>
    <row r="542" spans="1:36" ht="18" customHeight="1" x14ac:dyDescent="0.2">
      <c r="A542" s="226" t="str">
        <f t="shared" si="301"/>
        <v>5Y -&gt; PM Y7 Starter</v>
      </c>
      <c r="B542" s="226">
        <f t="shared" si="302"/>
        <v>5</v>
      </c>
      <c r="C542" s="235">
        <f t="shared" si="303"/>
        <v>3</v>
      </c>
      <c r="D542" s="226">
        <f t="shared" si="304"/>
        <v>7</v>
      </c>
      <c r="E542" s="226" t="str">
        <f t="shared" si="305"/>
        <v>Starter</v>
      </c>
      <c r="F542" s="230">
        <f t="shared" si="306"/>
        <v>10000000</v>
      </c>
      <c r="G542" s="236">
        <f t="shared" si="307"/>
        <v>0.15</v>
      </c>
      <c r="H542" s="230">
        <f t="shared" si="308"/>
        <v>300000</v>
      </c>
      <c r="I542" s="236">
        <f t="shared" si="278"/>
        <v>0</v>
      </c>
      <c r="J542" s="234">
        <v>13</v>
      </c>
      <c r="K542" s="234">
        <f t="shared" si="279"/>
        <v>2038</v>
      </c>
      <c r="L542" s="230">
        <f>IF(J542=1,'Model Inputs'!$B$25*(13-'Model Inputs'!$B$23)/12,'Model Inputs'!$B$25)</f>
        <v>300000</v>
      </c>
      <c r="M542" s="230">
        <f>IF(J542=1,'Model Inputs'!$B$27*(13-'Model Inputs'!$B$23)/12,IF(J542=2,'Model Inputs'!$B$27,IF(J542&lt;=MAX(3,'Model Inputs'!$B$30+1),'Model Inputs'!$B$27*(1+'Model Inputs'!$B$28)^(J542-3),'Model Inputs'!$B$27*(1+'Model Inputs'!$B$28)^(MAX(3,'Model Inputs'!$B$30+1)-3)*(1+'Model Inputs'!$B$29)^(J542-MAX(3,'Model Inputs'!$B$30+1)))))</f>
        <v>6464768.1603602255</v>
      </c>
      <c r="N542" s="236">
        <f>IF(J542&lt;=2,0,'Model Inputs'!$B$32*SIN(2*PI()*(J542-3+'Model Inputs'!$B$34)/MAX(1,'Model Inputs'!$B$33)))</f>
        <v>0.10392304845413261</v>
      </c>
      <c r="O542" s="230">
        <f t="shared" si="280"/>
        <v>7136606.5751340752</v>
      </c>
      <c r="P542" s="230">
        <f t="shared" si="313"/>
        <v>4711807.0917368019</v>
      </c>
      <c r="Q542" s="230">
        <f>L542+P542+IF(J542=1,'Model Inputs'!$B$26,0)</f>
        <v>5011807.0917368019</v>
      </c>
      <c r="R542" s="230">
        <f t="shared" si="281"/>
        <v>15035421.275210407</v>
      </c>
      <c r="S542" s="230">
        <f t="shared" si="282"/>
        <v>1800000</v>
      </c>
      <c r="T542" s="230">
        <f t="shared" si="283"/>
        <v>1800000</v>
      </c>
      <c r="U542" s="230">
        <f>MIN(T542,'Tax Assumptions'!$B$19)</f>
        <v>24500</v>
      </c>
      <c r="V542" s="230">
        <f>MAX(T542-U542-'Tax Assumptions'!$B$8,0)</f>
        <v>1759400</v>
      </c>
      <c r="W542" s="230">
        <f>MAX(T542-U542-'Tax Assumptions'!$B$9,0)</f>
        <v>1767500</v>
      </c>
      <c r="X542" s="230">
        <f>IF(V542=0,0,LOOKUP(V542,'Tax Assumptions'!$F$9:$F$15,'Tax Assumptions'!$I$9:$I$15)+(V542-LOOKUP(V542,'Tax Assumptions'!$F$9:$F$15,'Tax Assumptions'!$F$9:$F$15))*LOOKUP(V542,'Tax Assumptions'!$F$9:$F$15,'Tax Assumptions'!$H$9:$H$15))+MIN(MAX(T542,0),'Tax Assumptions'!$B$11)*'Tax Assumptions'!$B$10+MAX(T542,0)*'Tax Assumptions'!$B$12+MAX(MAX(T542,0)-'Tax Assumptions'!$B$14,0)*'Tax Assumptions'!$B$13+MIN(T542*'Tax Assumptions'!$B$15,'Tax Assumptions'!$B$16)+MIN(T542*'Tax Assumptions'!$B$17,'Tax Assumptions'!$B$18)+IF(W542=0,0,LOOKUP(W542,'Tax Assumptions'!$K$9:$K$17,'Tax Assumptions'!$N$9:$N$17)+(W542-LOOKUP(W542,'Tax Assumptions'!$K$9:$K$17,'Tax Assumptions'!$K$9:$K$17))*LOOKUP(W542,'Tax Assumptions'!$K$9:$K$17,'Tax Assumptions'!$M$9:$M$17))+IF(W542=0,0,LOOKUP(W542,'Tax Assumptions'!$P$9:$P$12,'Tax Assumptions'!$S$9:$S$12)+(W542-LOOKUP(W542,'Tax Assumptions'!$P$9:$P$12,'Tax Assumptions'!$P$9:$P$12))*LOOKUP(W542,'Tax Assumptions'!$P$9:$P$12,'Tax Assumptions'!$R$9:$R$12))</f>
        <v>865478.63500000001</v>
      </c>
      <c r="Y542" s="230">
        <f t="shared" si="284"/>
        <v>910021.36499999999</v>
      </c>
      <c r="Z542" s="230">
        <f>IF(J542&lt;=10,INDEX('Savings Projection'!$BL$19:$BL$28,J542),LOOKUP(2,1/('Savings Projection'!$BL$19:$BL$28&lt;&gt;""),'Savings Projection'!$BL$19:$BL$28))*(1+'Model Inputs'!$B$35)^(J542-1)+IF(J542&lt;=10,INDEX('Savings Projection'!$BM$19:$BM$28,J542),LOOKUP(2,1/('Savings Projection'!$BM$19:$BM$28&lt;&gt;""),'Savings Projection'!$BM$19:$BM$28))*(1+'Model Inputs'!$B$36)^(J542-1)</f>
        <v>185348.91529000323</v>
      </c>
      <c r="AA542" s="230">
        <f t="shared" si="285"/>
        <v>724672.44970999681</v>
      </c>
      <c r="AB542" s="230">
        <f>MIN(MAX(AA542,0),'Tax Assumptions'!$B$20)</f>
        <v>7500</v>
      </c>
      <c r="AC542" s="230">
        <f t="shared" si="286"/>
        <v>717172.44970999681</v>
      </c>
      <c r="AD542" s="230">
        <f>MAX(AD541*(1+'Model Inputs'!$B$13)+AC542,0)</f>
        <v>10666609.574150305</v>
      </c>
      <c r="AE542" s="230">
        <f>MAX(AE541*(1+'Model Inputs'!$B$13)+U542+AB542,0)</f>
        <v>604228.40541103133</v>
      </c>
      <c r="AF542" s="230">
        <f t="shared" si="287"/>
        <v>11270837.979561336</v>
      </c>
      <c r="AG542" s="226" t="str">
        <f t="shared" si="309"/>
        <v/>
      </c>
      <c r="AH542" s="226" t="str">
        <f t="shared" si="310"/>
        <v/>
      </c>
      <c r="AI542" s="226" t="str">
        <f t="shared" si="311"/>
        <v/>
      </c>
      <c r="AJ542" s="226" t="str">
        <f t="shared" si="312"/>
        <v/>
      </c>
    </row>
    <row r="543" spans="1:36" ht="18" customHeight="1" x14ac:dyDescent="0.2">
      <c r="A543" s="226" t="str">
        <f t="shared" si="301"/>
        <v>5Y -&gt; PM Y7 Starter</v>
      </c>
      <c r="B543" s="226">
        <f t="shared" si="302"/>
        <v>5</v>
      </c>
      <c r="C543" s="235">
        <f t="shared" si="303"/>
        <v>3</v>
      </c>
      <c r="D543" s="226">
        <f t="shared" si="304"/>
        <v>7</v>
      </c>
      <c r="E543" s="226" t="str">
        <f t="shared" si="305"/>
        <v>Starter</v>
      </c>
      <c r="F543" s="230">
        <f t="shared" si="306"/>
        <v>10000000</v>
      </c>
      <c r="G543" s="236">
        <f t="shared" si="307"/>
        <v>0.15</v>
      </c>
      <c r="H543" s="230">
        <f t="shared" si="308"/>
        <v>300000</v>
      </c>
      <c r="I543" s="236">
        <f t="shared" si="278"/>
        <v>0</v>
      </c>
      <c r="J543" s="234">
        <v>14</v>
      </c>
      <c r="K543" s="234">
        <f t="shared" si="279"/>
        <v>2039</v>
      </c>
      <c r="L543" s="230">
        <f>IF(J543=1,'Model Inputs'!$B$25*(13-'Model Inputs'!$B$23)/12,'Model Inputs'!$B$25)</f>
        <v>300000</v>
      </c>
      <c r="M543" s="230">
        <f>IF(J543=1,'Model Inputs'!$B$27*(13-'Model Inputs'!$B$23)/12,IF(J543=2,'Model Inputs'!$B$27,IF(J543&lt;=MAX(3,'Model Inputs'!$B$30+1),'Model Inputs'!$B$27*(1+'Model Inputs'!$B$28)^(J543-3),'Model Inputs'!$B$27*(1+'Model Inputs'!$B$28)^(MAX(3,'Model Inputs'!$B$30+1)-3)*(1+'Model Inputs'!$B$29)^(J543-MAX(3,'Model Inputs'!$B$30+1)))))</f>
        <v>8215927.9778393377</v>
      </c>
      <c r="N543" s="236">
        <f>IF(J543&lt;=2,0,'Model Inputs'!$B$32*SIN(2*PI()*(J543-3+'Model Inputs'!$B$34)/MAX(1,'Model Inputs'!$B$33)))</f>
        <v>-0.10392304845413251</v>
      </c>
      <c r="O543" s="230">
        <f t="shared" si="280"/>
        <v>7362103.6965026772</v>
      </c>
      <c r="P543" s="230">
        <f t="shared" si="313"/>
        <v>6624168.4699774589</v>
      </c>
      <c r="Q543" s="230">
        <f>L543+P543+IF(J543=1,'Model Inputs'!$B$26,0)</f>
        <v>6924168.4699774589</v>
      </c>
      <c r="R543" s="230">
        <f t="shared" si="281"/>
        <v>20772505.409932375</v>
      </c>
      <c r="S543" s="230">
        <f t="shared" si="282"/>
        <v>1800000</v>
      </c>
      <c r="T543" s="230">
        <f t="shared" si="283"/>
        <v>1800000</v>
      </c>
      <c r="U543" s="230">
        <f>MIN(T543,'Tax Assumptions'!$B$19)</f>
        <v>24500</v>
      </c>
      <c r="V543" s="230">
        <f>MAX(T543-U543-'Tax Assumptions'!$B$8,0)</f>
        <v>1759400</v>
      </c>
      <c r="W543" s="230">
        <f>MAX(T543-U543-'Tax Assumptions'!$B$9,0)</f>
        <v>1767500</v>
      </c>
      <c r="X543" s="230">
        <f>IF(V543=0,0,LOOKUP(V543,'Tax Assumptions'!$F$9:$F$15,'Tax Assumptions'!$I$9:$I$15)+(V543-LOOKUP(V543,'Tax Assumptions'!$F$9:$F$15,'Tax Assumptions'!$F$9:$F$15))*LOOKUP(V543,'Tax Assumptions'!$F$9:$F$15,'Tax Assumptions'!$H$9:$H$15))+MIN(MAX(T543,0),'Tax Assumptions'!$B$11)*'Tax Assumptions'!$B$10+MAX(T543,0)*'Tax Assumptions'!$B$12+MAX(MAX(T543,0)-'Tax Assumptions'!$B$14,0)*'Tax Assumptions'!$B$13+MIN(T543*'Tax Assumptions'!$B$15,'Tax Assumptions'!$B$16)+MIN(T543*'Tax Assumptions'!$B$17,'Tax Assumptions'!$B$18)+IF(W543=0,0,LOOKUP(W543,'Tax Assumptions'!$K$9:$K$17,'Tax Assumptions'!$N$9:$N$17)+(W543-LOOKUP(W543,'Tax Assumptions'!$K$9:$K$17,'Tax Assumptions'!$K$9:$K$17))*LOOKUP(W543,'Tax Assumptions'!$K$9:$K$17,'Tax Assumptions'!$M$9:$M$17))+IF(W543=0,0,LOOKUP(W543,'Tax Assumptions'!$P$9:$P$12,'Tax Assumptions'!$S$9:$S$12)+(W543-LOOKUP(W543,'Tax Assumptions'!$P$9:$P$12,'Tax Assumptions'!$P$9:$P$12))*LOOKUP(W543,'Tax Assumptions'!$P$9:$P$12,'Tax Assumptions'!$R$9:$R$12))</f>
        <v>865478.63500000001</v>
      </c>
      <c r="Y543" s="230">
        <f t="shared" si="284"/>
        <v>910021.36499999999</v>
      </c>
      <c r="Z543" s="230">
        <f>IF(J543&lt;=10,INDEX('Savings Projection'!$BL$19:$BL$28,J543),LOOKUP(2,1/('Savings Projection'!$BL$19:$BL$28&lt;&gt;""),'Savings Projection'!$BL$19:$BL$28))*(1+'Model Inputs'!$B$35)^(J543-1)+IF(J543&lt;=10,INDEX('Savings Projection'!$BM$19:$BM$28,J543),LOOKUP(2,1/('Savings Projection'!$BM$19:$BM$28&lt;&gt;""),'Savings Projection'!$BM$19:$BM$28))*(1+'Model Inputs'!$B$36)^(J543-1)</f>
        <v>190909.3827487033</v>
      </c>
      <c r="AA543" s="230">
        <f t="shared" si="285"/>
        <v>719111.98225129675</v>
      </c>
      <c r="AB543" s="230">
        <f>MIN(MAX(AA543,0),'Tax Assumptions'!$B$20)</f>
        <v>7500</v>
      </c>
      <c r="AC543" s="230">
        <f t="shared" si="286"/>
        <v>711611.98225129675</v>
      </c>
      <c r="AD543" s="230">
        <f>MAX(AD542*(1+'Model Inputs'!$B$13)+AC543,0)</f>
        <v>12018218.130850621</v>
      </c>
      <c r="AE543" s="230">
        <f>MAX(AE542*(1+'Model Inputs'!$B$13)+U543+AB543,0)</f>
        <v>672482.1097356932</v>
      </c>
      <c r="AF543" s="230">
        <f t="shared" si="287"/>
        <v>12690700.240586314</v>
      </c>
      <c r="AG543" s="226" t="str">
        <f t="shared" si="309"/>
        <v/>
      </c>
      <c r="AH543" s="226" t="str">
        <f t="shared" si="310"/>
        <v/>
      </c>
      <c r="AI543" s="226" t="str">
        <f t="shared" si="311"/>
        <v/>
      </c>
      <c r="AJ543" s="226" t="str">
        <f t="shared" si="312"/>
        <v/>
      </c>
    </row>
    <row r="544" spans="1:36" ht="18" customHeight="1" x14ac:dyDescent="0.2">
      <c r="A544" s="226" t="str">
        <f t="shared" si="301"/>
        <v>5Y -&gt; PM Y7 Starter</v>
      </c>
      <c r="B544" s="226">
        <f t="shared" si="302"/>
        <v>5</v>
      </c>
      <c r="C544" s="235">
        <f t="shared" si="303"/>
        <v>3</v>
      </c>
      <c r="D544" s="226">
        <f t="shared" si="304"/>
        <v>7</v>
      </c>
      <c r="E544" s="226" t="str">
        <f t="shared" si="305"/>
        <v>Starter</v>
      </c>
      <c r="F544" s="230">
        <f t="shared" si="306"/>
        <v>10000000</v>
      </c>
      <c r="G544" s="236">
        <f t="shared" si="307"/>
        <v>0.15</v>
      </c>
      <c r="H544" s="230">
        <f t="shared" si="308"/>
        <v>300000</v>
      </c>
      <c r="I544" s="236">
        <f t="shared" si="278"/>
        <v>0</v>
      </c>
      <c r="J544" s="234">
        <v>15</v>
      </c>
      <c r="K544" s="234">
        <f t="shared" si="279"/>
        <v>2040</v>
      </c>
      <c r="L544" s="230">
        <f>IF(J544=1,'Model Inputs'!$B$25*(13-'Model Inputs'!$B$23)/12,'Model Inputs'!$B$25)</f>
        <v>300000</v>
      </c>
      <c r="M544" s="230">
        <f>IF(J544=1,'Model Inputs'!$B$27*(13-'Model Inputs'!$B$23)/12,IF(J544=2,'Model Inputs'!$B$27,IF(J544&lt;=MAX(3,'Model Inputs'!$B$30+1),'Model Inputs'!$B$27*(1+'Model Inputs'!$B$28)^(J544-3),'Model Inputs'!$B$27*(1+'Model Inputs'!$B$28)^(MAX(3,'Model Inputs'!$B$30+1)-3)*(1+'Model Inputs'!$B$29)^(J544-MAX(3,'Model Inputs'!$B$30+1)))))</f>
        <v>10441437.475041937</v>
      </c>
      <c r="N544" s="236">
        <f>IF(J544&lt;=2,0,'Model Inputs'!$B$32*SIN(2*PI()*(J544-3+'Model Inputs'!$B$34)/MAX(1,'Model Inputs'!$B$33)))</f>
        <v>-1.1756609271814589E-16</v>
      </c>
      <c r="O544" s="230">
        <f t="shared" si="280"/>
        <v>10441437.475041935</v>
      </c>
      <c r="P544" s="230">
        <f t="shared" si="313"/>
        <v>7305729.4161605267</v>
      </c>
      <c r="Q544" s="230">
        <f>L544+P544+IF(J544=1,'Model Inputs'!$B$26,0)</f>
        <v>7605729.4161605267</v>
      </c>
      <c r="R544" s="230">
        <f t="shared" si="281"/>
        <v>22817188.248481579</v>
      </c>
      <c r="S544" s="230">
        <f t="shared" si="282"/>
        <v>1800000</v>
      </c>
      <c r="T544" s="230">
        <f t="shared" si="283"/>
        <v>1800000</v>
      </c>
      <c r="U544" s="230">
        <f>MIN(T544,'Tax Assumptions'!$B$19)</f>
        <v>24500</v>
      </c>
      <c r="V544" s="230">
        <f>MAX(T544-U544-'Tax Assumptions'!$B$8,0)</f>
        <v>1759400</v>
      </c>
      <c r="W544" s="230">
        <f>MAX(T544-U544-'Tax Assumptions'!$B$9,0)</f>
        <v>1767500</v>
      </c>
      <c r="X544" s="230">
        <f>IF(V544=0,0,LOOKUP(V544,'Tax Assumptions'!$F$9:$F$15,'Tax Assumptions'!$I$9:$I$15)+(V544-LOOKUP(V544,'Tax Assumptions'!$F$9:$F$15,'Tax Assumptions'!$F$9:$F$15))*LOOKUP(V544,'Tax Assumptions'!$F$9:$F$15,'Tax Assumptions'!$H$9:$H$15))+MIN(MAX(T544,0),'Tax Assumptions'!$B$11)*'Tax Assumptions'!$B$10+MAX(T544,0)*'Tax Assumptions'!$B$12+MAX(MAX(T544,0)-'Tax Assumptions'!$B$14,0)*'Tax Assumptions'!$B$13+MIN(T544*'Tax Assumptions'!$B$15,'Tax Assumptions'!$B$16)+MIN(T544*'Tax Assumptions'!$B$17,'Tax Assumptions'!$B$18)+IF(W544=0,0,LOOKUP(W544,'Tax Assumptions'!$K$9:$K$17,'Tax Assumptions'!$N$9:$N$17)+(W544-LOOKUP(W544,'Tax Assumptions'!$K$9:$K$17,'Tax Assumptions'!$K$9:$K$17))*LOOKUP(W544,'Tax Assumptions'!$K$9:$K$17,'Tax Assumptions'!$M$9:$M$17))+IF(W544=0,0,LOOKUP(W544,'Tax Assumptions'!$P$9:$P$12,'Tax Assumptions'!$S$9:$S$12)+(W544-LOOKUP(W544,'Tax Assumptions'!$P$9:$P$12,'Tax Assumptions'!$P$9:$P$12))*LOOKUP(W544,'Tax Assumptions'!$P$9:$P$12,'Tax Assumptions'!$R$9:$R$12))</f>
        <v>865478.63500000001</v>
      </c>
      <c r="Y544" s="230">
        <f t="shared" si="284"/>
        <v>910021.36499999999</v>
      </c>
      <c r="Z544" s="230">
        <f>IF(J544&lt;=10,INDEX('Savings Projection'!$BL$19:$BL$28,J544),LOOKUP(2,1/('Savings Projection'!$BL$19:$BL$28&lt;&gt;""),'Savings Projection'!$BL$19:$BL$28))*(1+'Model Inputs'!$B$35)^(J544-1)+IF(J544&lt;=10,INDEX('Savings Projection'!$BM$19:$BM$28,J544),LOOKUP(2,1/('Savings Projection'!$BM$19:$BM$28&lt;&gt;""),'Savings Projection'!$BM$19:$BM$28))*(1+'Model Inputs'!$B$36)^(J544-1)</f>
        <v>196636.66423116444</v>
      </c>
      <c r="AA544" s="230">
        <f t="shared" si="285"/>
        <v>713384.70076883561</v>
      </c>
      <c r="AB544" s="230">
        <f>MIN(MAX(AA544,0),'Tax Assumptions'!$B$20)</f>
        <v>7500</v>
      </c>
      <c r="AC544" s="230">
        <f t="shared" si="286"/>
        <v>705884.70076883561</v>
      </c>
      <c r="AD544" s="230">
        <f>MAX(AD543*(1+'Model Inputs'!$B$13)+AC544,0)</f>
        <v>13445195.919470495</v>
      </c>
      <c r="AE544" s="230">
        <f>MAX(AE543*(1+'Model Inputs'!$B$13)+U544+AB544,0)</f>
        <v>744831.03631983488</v>
      </c>
      <c r="AF544" s="230">
        <f t="shared" si="287"/>
        <v>14190026.95579033</v>
      </c>
      <c r="AG544" s="226">
        <f t="shared" si="309"/>
        <v>15</v>
      </c>
      <c r="AH544" s="226" t="str">
        <f t="shared" si="310"/>
        <v/>
      </c>
      <c r="AI544" s="226" t="str">
        <f t="shared" si="311"/>
        <v/>
      </c>
      <c r="AJ544" s="226" t="str">
        <f t="shared" si="312"/>
        <v/>
      </c>
    </row>
    <row r="545" spans="1:36" ht="18" customHeight="1" x14ac:dyDescent="0.2">
      <c r="A545" s="226" t="str">
        <f t="shared" si="301"/>
        <v>5Y -&gt; PM Y7 Starter</v>
      </c>
      <c r="B545" s="226">
        <f t="shared" si="302"/>
        <v>5</v>
      </c>
      <c r="C545" s="235">
        <f t="shared" si="303"/>
        <v>3</v>
      </c>
      <c r="D545" s="226">
        <f t="shared" si="304"/>
        <v>7</v>
      </c>
      <c r="E545" s="226" t="str">
        <f t="shared" si="305"/>
        <v>Starter</v>
      </c>
      <c r="F545" s="230">
        <f t="shared" si="306"/>
        <v>10000000</v>
      </c>
      <c r="G545" s="236">
        <f t="shared" si="307"/>
        <v>0.15</v>
      </c>
      <c r="H545" s="230">
        <f t="shared" si="308"/>
        <v>300000</v>
      </c>
      <c r="I545" s="236">
        <f t="shared" si="278"/>
        <v>0</v>
      </c>
      <c r="J545" s="234">
        <v>16</v>
      </c>
      <c r="K545" s="234">
        <f t="shared" si="279"/>
        <v>2041</v>
      </c>
      <c r="L545" s="230">
        <f>IF(J545=1,'Model Inputs'!$B$25*(13-'Model Inputs'!$B$23)/12,'Model Inputs'!$B$25)</f>
        <v>300000</v>
      </c>
      <c r="M545" s="230">
        <f>IF(J545=1,'Model Inputs'!$B$27*(13-'Model Inputs'!$B$23)/12,IF(J545=2,'Model Inputs'!$B$27,IF(J545&lt;=MAX(3,'Model Inputs'!$B$30+1),'Model Inputs'!$B$27*(1+'Model Inputs'!$B$28)^(J545-3),'Model Inputs'!$B$27*(1+'Model Inputs'!$B$28)^(MAX(3,'Model Inputs'!$B$30+1)-3)*(1+'Model Inputs'!$B$29)^(J545-MAX(3,'Model Inputs'!$B$30+1)))))</f>
        <v>13269787.276528884</v>
      </c>
      <c r="N545" s="236">
        <f>IF(J545&lt;=2,0,'Model Inputs'!$B$32*SIN(2*PI()*(J545-3+'Model Inputs'!$B$34)/MAX(1,'Model Inputs'!$B$33)))</f>
        <v>0.10392304845413262</v>
      </c>
      <c r="O545" s="230">
        <f t="shared" si="280"/>
        <v>14648824.022643628</v>
      </c>
      <c r="P545" s="230">
        <f t="shared" si="313"/>
        <v>9671604.0304071214</v>
      </c>
      <c r="Q545" s="230">
        <f>L545+P545+IF(J545=1,'Model Inputs'!$B$26,0)</f>
        <v>9971604.0304071214</v>
      </c>
      <c r="R545" s="230">
        <f t="shared" si="281"/>
        <v>29914812.091221362</v>
      </c>
      <c r="S545" s="230">
        <f t="shared" si="282"/>
        <v>1800000</v>
      </c>
      <c r="T545" s="230">
        <f t="shared" si="283"/>
        <v>1800000</v>
      </c>
      <c r="U545" s="230">
        <f>MIN(T545,'Tax Assumptions'!$B$19)</f>
        <v>24500</v>
      </c>
      <c r="V545" s="230">
        <f>MAX(T545-U545-'Tax Assumptions'!$B$8,0)</f>
        <v>1759400</v>
      </c>
      <c r="W545" s="230">
        <f>MAX(T545-U545-'Tax Assumptions'!$B$9,0)</f>
        <v>1767500</v>
      </c>
      <c r="X545" s="230">
        <f>IF(V545=0,0,LOOKUP(V545,'Tax Assumptions'!$F$9:$F$15,'Tax Assumptions'!$I$9:$I$15)+(V545-LOOKUP(V545,'Tax Assumptions'!$F$9:$F$15,'Tax Assumptions'!$F$9:$F$15))*LOOKUP(V545,'Tax Assumptions'!$F$9:$F$15,'Tax Assumptions'!$H$9:$H$15))+MIN(MAX(T545,0),'Tax Assumptions'!$B$11)*'Tax Assumptions'!$B$10+MAX(T545,0)*'Tax Assumptions'!$B$12+MAX(MAX(T545,0)-'Tax Assumptions'!$B$14,0)*'Tax Assumptions'!$B$13+MIN(T545*'Tax Assumptions'!$B$15,'Tax Assumptions'!$B$16)+MIN(T545*'Tax Assumptions'!$B$17,'Tax Assumptions'!$B$18)+IF(W545=0,0,LOOKUP(W545,'Tax Assumptions'!$K$9:$K$17,'Tax Assumptions'!$N$9:$N$17)+(W545-LOOKUP(W545,'Tax Assumptions'!$K$9:$K$17,'Tax Assumptions'!$K$9:$K$17))*LOOKUP(W545,'Tax Assumptions'!$K$9:$K$17,'Tax Assumptions'!$M$9:$M$17))+IF(W545=0,0,LOOKUP(W545,'Tax Assumptions'!$P$9:$P$12,'Tax Assumptions'!$S$9:$S$12)+(W545-LOOKUP(W545,'Tax Assumptions'!$P$9:$P$12,'Tax Assumptions'!$P$9:$P$12))*LOOKUP(W545,'Tax Assumptions'!$P$9:$P$12,'Tax Assumptions'!$R$9:$R$12))</f>
        <v>865478.63500000001</v>
      </c>
      <c r="Y545" s="230">
        <f t="shared" si="284"/>
        <v>910021.36499999999</v>
      </c>
      <c r="Z545" s="230">
        <f>IF(J545&lt;=10,INDEX('Savings Projection'!$BL$19:$BL$28,J545),LOOKUP(2,1/('Savings Projection'!$BL$19:$BL$28&lt;&gt;""),'Savings Projection'!$BL$19:$BL$28))*(1+'Model Inputs'!$B$35)^(J545-1)+IF(J545&lt;=10,INDEX('Savings Projection'!$BM$19:$BM$28,J545),LOOKUP(2,1/('Savings Projection'!$BM$19:$BM$28&lt;&gt;""),'Savings Projection'!$BM$19:$BM$28))*(1+'Model Inputs'!$B$36)^(J545-1)</f>
        <v>202535.76415809937</v>
      </c>
      <c r="AA545" s="230">
        <f t="shared" si="285"/>
        <v>707485.60084190057</v>
      </c>
      <c r="AB545" s="230">
        <f>MIN(MAX(AA545,0),'Tax Assumptions'!$B$20)</f>
        <v>7500</v>
      </c>
      <c r="AC545" s="230">
        <f t="shared" si="286"/>
        <v>699985.60084190057</v>
      </c>
      <c r="AD545" s="230">
        <f>MAX(AD544*(1+'Model Inputs'!$B$13)+AC545,0)</f>
        <v>14951893.275480626</v>
      </c>
      <c r="AE545" s="230">
        <f>MAX(AE544*(1+'Model Inputs'!$B$13)+U545+AB545,0)</f>
        <v>821520.89849902503</v>
      </c>
      <c r="AF545" s="230">
        <f t="shared" si="287"/>
        <v>15773414.173979651</v>
      </c>
      <c r="AG545" s="226" t="str">
        <f t="shared" si="309"/>
        <v/>
      </c>
      <c r="AH545" s="226" t="str">
        <f t="shared" si="310"/>
        <v/>
      </c>
      <c r="AI545" s="226" t="str">
        <f t="shared" si="311"/>
        <v/>
      </c>
      <c r="AJ545" s="226" t="str">
        <f t="shared" si="312"/>
        <v/>
      </c>
    </row>
    <row r="546" spans="1:36" ht="18" customHeight="1" x14ac:dyDescent="0.2">
      <c r="A546" s="226" t="str">
        <f t="shared" si="301"/>
        <v>5Y -&gt; PM Y7 Starter</v>
      </c>
      <c r="B546" s="226">
        <f t="shared" si="302"/>
        <v>5</v>
      </c>
      <c r="C546" s="235">
        <f t="shared" si="303"/>
        <v>3</v>
      </c>
      <c r="D546" s="226">
        <f t="shared" si="304"/>
        <v>7</v>
      </c>
      <c r="E546" s="226" t="str">
        <f t="shared" si="305"/>
        <v>Starter</v>
      </c>
      <c r="F546" s="230">
        <f t="shared" si="306"/>
        <v>10000000</v>
      </c>
      <c r="G546" s="236">
        <f t="shared" si="307"/>
        <v>0.15</v>
      </c>
      <c r="H546" s="230">
        <f t="shared" si="308"/>
        <v>300000</v>
      </c>
      <c r="I546" s="236">
        <f t="shared" si="278"/>
        <v>0</v>
      </c>
      <c r="J546" s="234">
        <v>17</v>
      </c>
      <c r="K546" s="234">
        <f t="shared" si="279"/>
        <v>2042</v>
      </c>
      <c r="L546" s="230">
        <f>IF(J546=1,'Model Inputs'!$B$25*(13-'Model Inputs'!$B$23)/12,'Model Inputs'!$B$25)</f>
        <v>300000</v>
      </c>
      <c r="M546" s="230">
        <f>IF(J546=1,'Model Inputs'!$B$27*(13-'Model Inputs'!$B$23)/12,IF(J546=2,'Model Inputs'!$B$27,IF(J546&lt;=MAX(3,'Model Inputs'!$B$30+1),'Model Inputs'!$B$27*(1+'Model Inputs'!$B$28)^(J546-3),'Model Inputs'!$B$27*(1+'Model Inputs'!$B$28)^(MAX(3,'Model Inputs'!$B$30+1)-3)*(1+'Model Inputs'!$B$29)^(J546-MAX(3,'Model Inputs'!$B$30+1)))))</f>
        <v>16864273.217670217</v>
      </c>
      <c r="N546" s="236">
        <f>IF(J546&lt;=2,0,'Model Inputs'!$B$32*SIN(2*PI()*(J546-3+'Model Inputs'!$B$34)/MAX(1,'Model Inputs'!$B$33)))</f>
        <v>-0.1039230484541325</v>
      </c>
      <c r="O546" s="230">
        <f t="shared" si="280"/>
        <v>15111686.534926547</v>
      </c>
      <c r="P546" s="230">
        <f t="shared" si="313"/>
        <v>13596977.385743205</v>
      </c>
      <c r="Q546" s="230">
        <f>L546+P546+IF(J546=1,'Model Inputs'!$B$26,0)</f>
        <v>13896977.385743205</v>
      </c>
      <c r="R546" s="230">
        <f t="shared" si="281"/>
        <v>41690932.157229617</v>
      </c>
      <c r="S546" s="230">
        <f t="shared" si="282"/>
        <v>1800000</v>
      </c>
      <c r="T546" s="230">
        <f t="shared" si="283"/>
        <v>1800000</v>
      </c>
      <c r="U546" s="230">
        <f>MIN(T546,'Tax Assumptions'!$B$19)</f>
        <v>24500</v>
      </c>
      <c r="V546" s="230">
        <f>MAX(T546-U546-'Tax Assumptions'!$B$8,0)</f>
        <v>1759400</v>
      </c>
      <c r="W546" s="230">
        <f>MAX(T546-U546-'Tax Assumptions'!$B$9,0)</f>
        <v>1767500</v>
      </c>
      <c r="X546" s="230">
        <f>IF(V546=0,0,LOOKUP(V546,'Tax Assumptions'!$F$9:$F$15,'Tax Assumptions'!$I$9:$I$15)+(V546-LOOKUP(V546,'Tax Assumptions'!$F$9:$F$15,'Tax Assumptions'!$F$9:$F$15))*LOOKUP(V546,'Tax Assumptions'!$F$9:$F$15,'Tax Assumptions'!$H$9:$H$15))+MIN(MAX(T546,0),'Tax Assumptions'!$B$11)*'Tax Assumptions'!$B$10+MAX(T546,0)*'Tax Assumptions'!$B$12+MAX(MAX(T546,0)-'Tax Assumptions'!$B$14,0)*'Tax Assumptions'!$B$13+MIN(T546*'Tax Assumptions'!$B$15,'Tax Assumptions'!$B$16)+MIN(T546*'Tax Assumptions'!$B$17,'Tax Assumptions'!$B$18)+IF(W546=0,0,LOOKUP(W546,'Tax Assumptions'!$K$9:$K$17,'Tax Assumptions'!$N$9:$N$17)+(W546-LOOKUP(W546,'Tax Assumptions'!$K$9:$K$17,'Tax Assumptions'!$K$9:$K$17))*LOOKUP(W546,'Tax Assumptions'!$K$9:$K$17,'Tax Assumptions'!$M$9:$M$17))+IF(W546=0,0,LOOKUP(W546,'Tax Assumptions'!$P$9:$P$12,'Tax Assumptions'!$S$9:$S$12)+(W546-LOOKUP(W546,'Tax Assumptions'!$P$9:$P$12,'Tax Assumptions'!$P$9:$P$12))*LOOKUP(W546,'Tax Assumptions'!$P$9:$P$12,'Tax Assumptions'!$R$9:$R$12))</f>
        <v>865478.63500000001</v>
      </c>
      <c r="Y546" s="230">
        <f t="shared" si="284"/>
        <v>910021.36499999999</v>
      </c>
      <c r="Z546" s="230">
        <f>IF(J546&lt;=10,INDEX('Savings Projection'!$BL$19:$BL$28,J546),LOOKUP(2,1/('Savings Projection'!$BL$19:$BL$28&lt;&gt;""),'Savings Projection'!$BL$19:$BL$28))*(1+'Model Inputs'!$B$35)^(J546-1)+IF(J546&lt;=10,INDEX('Savings Projection'!$BM$19:$BM$28,J546),LOOKUP(2,1/('Savings Projection'!$BM$19:$BM$28&lt;&gt;""),'Savings Projection'!$BM$19:$BM$28))*(1+'Model Inputs'!$B$36)^(J546-1)</f>
        <v>208611.83708284231</v>
      </c>
      <c r="AA546" s="230">
        <f t="shared" si="285"/>
        <v>701409.52791715763</v>
      </c>
      <c r="AB546" s="230">
        <f>MIN(MAX(AA546,0),'Tax Assumptions'!$B$20)</f>
        <v>7500</v>
      </c>
      <c r="AC546" s="230">
        <f t="shared" si="286"/>
        <v>693909.52791715763</v>
      </c>
      <c r="AD546" s="230">
        <f>MAX(AD545*(1+'Model Inputs'!$B$13)+AC546,0)</f>
        <v>16542916.399926621</v>
      </c>
      <c r="AE546" s="230">
        <f>MAX(AE545*(1+'Model Inputs'!$B$13)+U546+AB546,0)</f>
        <v>902812.15240896656</v>
      </c>
      <c r="AF546" s="230">
        <f t="shared" si="287"/>
        <v>17445728.552335586</v>
      </c>
      <c r="AG546" s="226" t="str">
        <f t="shared" si="309"/>
        <v/>
      </c>
      <c r="AH546" s="226">
        <f t="shared" si="310"/>
        <v>17</v>
      </c>
      <c r="AI546" s="226">
        <f t="shared" si="311"/>
        <v>17</v>
      </c>
      <c r="AJ546" s="226" t="str">
        <f t="shared" si="312"/>
        <v/>
      </c>
    </row>
    <row r="547" spans="1:36" ht="18" customHeight="1" x14ac:dyDescent="0.2">
      <c r="A547" s="226" t="str">
        <f t="shared" si="301"/>
        <v>5Y -&gt; PM Y7 Starter</v>
      </c>
      <c r="B547" s="226">
        <f t="shared" si="302"/>
        <v>5</v>
      </c>
      <c r="C547" s="235">
        <f t="shared" si="303"/>
        <v>3</v>
      </c>
      <c r="D547" s="226">
        <f t="shared" si="304"/>
        <v>7</v>
      </c>
      <c r="E547" s="226" t="str">
        <f t="shared" si="305"/>
        <v>Starter</v>
      </c>
      <c r="F547" s="230">
        <f t="shared" si="306"/>
        <v>10000000</v>
      </c>
      <c r="G547" s="236">
        <f t="shared" si="307"/>
        <v>0.15</v>
      </c>
      <c r="H547" s="230">
        <f t="shared" si="308"/>
        <v>300000</v>
      </c>
      <c r="I547" s="236">
        <f t="shared" si="278"/>
        <v>0</v>
      </c>
      <c r="J547" s="234">
        <v>18</v>
      </c>
      <c r="K547" s="234">
        <f t="shared" si="279"/>
        <v>2043</v>
      </c>
      <c r="L547" s="230">
        <f>IF(J547=1,'Model Inputs'!$B$25*(13-'Model Inputs'!$B$23)/12,'Model Inputs'!$B$25)</f>
        <v>300000</v>
      </c>
      <c r="M547" s="230">
        <f>IF(J547=1,'Model Inputs'!$B$27*(13-'Model Inputs'!$B$23)/12,IF(J547=2,'Model Inputs'!$B$27,IF(J547&lt;=MAX(3,'Model Inputs'!$B$30+1),'Model Inputs'!$B$27*(1+'Model Inputs'!$B$28)^(J547-3),'Model Inputs'!$B$27*(1+'Model Inputs'!$B$28)^(MAX(3,'Model Inputs'!$B$30+1)-3)*(1+'Model Inputs'!$B$29)^(J547-MAX(3,'Model Inputs'!$B$30+1)))))</f>
        <v>21432424.290875554</v>
      </c>
      <c r="N547" s="236">
        <f>IF(J547&lt;=2,0,'Model Inputs'!$B$32*SIN(2*PI()*(J547-3+'Model Inputs'!$B$34)/MAX(1,'Model Inputs'!$B$33)))</f>
        <v>-5.7328325735374245E-16</v>
      </c>
      <c r="O547" s="230">
        <f t="shared" si="280"/>
        <v>21432424.290875543</v>
      </c>
      <c r="P547" s="230">
        <f t="shared" si="313"/>
        <v>14995970.906855816</v>
      </c>
      <c r="Q547" s="230">
        <f>L547+P547+IF(J547=1,'Model Inputs'!$B$26,0)</f>
        <v>15295970.906855816</v>
      </c>
      <c r="R547" s="230">
        <f t="shared" si="281"/>
        <v>45887912.72056745</v>
      </c>
      <c r="S547" s="230">
        <f t="shared" si="282"/>
        <v>1800000</v>
      </c>
      <c r="T547" s="230">
        <f t="shared" si="283"/>
        <v>1800000</v>
      </c>
      <c r="U547" s="230">
        <f>MIN(T547,'Tax Assumptions'!$B$19)</f>
        <v>24500</v>
      </c>
      <c r="V547" s="230">
        <f>MAX(T547-U547-'Tax Assumptions'!$B$8,0)</f>
        <v>1759400</v>
      </c>
      <c r="W547" s="230">
        <f>MAX(T547-U547-'Tax Assumptions'!$B$9,0)</f>
        <v>1767500</v>
      </c>
      <c r="X547" s="230">
        <f>IF(V547=0,0,LOOKUP(V547,'Tax Assumptions'!$F$9:$F$15,'Tax Assumptions'!$I$9:$I$15)+(V547-LOOKUP(V547,'Tax Assumptions'!$F$9:$F$15,'Tax Assumptions'!$F$9:$F$15))*LOOKUP(V547,'Tax Assumptions'!$F$9:$F$15,'Tax Assumptions'!$H$9:$H$15))+MIN(MAX(T547,0),'Tax Assumptions'!$B$11)*'Tax Assumptions'!$B$10+MAX(T547,0)*'Tax Assumptions'!$B$12+MAX(MAX(T547,0)-'Tax Assumptions'!$B$14,0)*'Tax Assumptions'!$B$13+MIN(T547*'Tax Assumptions'!$B$15,'Tax Assumptions'!$B$16)+MIN(T547*'Tax Assumptions'!$B$17,'Tax Assumptions'!$B$18)+IF(W547=0,0,LOOKUP(W547,'Tax Assumptions'!$K$9:$K$17,'Tax Assumptions'!$N$9:$N$17)+(W547-LOOKUP(W547,'Tax Assumptions'!$K$9:$K$17,'Tax Assumptions'!$K$9:$K$17))*LOOKUP(W547,'Tax Assumptions'!$K$9:$K$17,'Tax Assumptions'!$M$9:$M$17))+IF(W547=0,0,LOOKUP(W547,'Tax Assumptions'!$P$9:$P$12,'Tax Assumptions'!$S$9:$S$12)+(W547-LOOKUP(W547,'Tax Assumptions'!$P$9:$P$12,'Tax Assumptions'!$P$9:$P$12))*LOOKUP(W547,'Tax Assumptions'!$P$9:$P$12,'Tax Assumptions'!$R$9:$R$12))</f>
        <v>865478.63500000001</v>
      </c>
      <c r="Y547" s="230">
        <f t="shared" si="284"/>
        <v>910021.36499999999</v>
      </c>
      <c r="Z547" s="230">
        <f>IF(J547&lt;=10,INDEX('Savings Projection'!$BL$19:$BL$28,J547),LOOKUP(2,1/('Savings Projection'!$BL$19:$BL$28&lt;&gt;""),'Savings Projection'!$BL$19:$BL$28))*(1+'Model Inputs'!$B$35)^(J547-1)+IF(J547&lt;=10,INDEX('Savings Projection'!$BM$19:$BM$28,J547),LOOKUP(2,1/('Savings Projection'!$BM$19:$BM$28&lt;&gt;""),'Savings Projection'!$BM$19:$BM$28))*(1+'Model Inputs'!$B$36)^(J547-1)</f>
        <v>214870.1921953276</v>
      </c>
      <c r="AA547" s="230">
        <f t="shared" si="285"/>
        <v>695151.17280467239</v>
      </c>
      <c r="AB547" s="230">
        <f>MIN(MAX(AA547,0),'Tax Assumptions'!$B$20)</f>
        <v>7500</v>
      </c>
      <c r="AC547" s="230">
        <f t="shared" si="286"/>
        <v>687651.17280467239</v>
      </c>
      <c r="AD547" s="230">
        <f>MAX(AD546*(1+'Model Inputs'!$B$13)+AC547,0)</f>
        <v>18223142.556726892</v>
      </c>
      <c r="AE547" s="230">
        <f>MAX(AE546*(1+'Model Inputs'!$B$13)+U547+AB547,0)</f>
        <v>988980.88155350462</v>
      </c>
      <c r="AF547" s="230">
        <f t="shared" si="287"/>
        <v>19212123.438280396</v>
      </c>
      <c r="AG547" s="226" t="str">
        <f t="shared" si="309"/>
        <v/>
      </c>
      <c r="AH547" s="226" t="str">
        <f t="shared" si="310"/>
        <v/>
      </c>
      <c r="AI547" s="226" t="str">
        <f t="shared" si="311"/>
        <v/>
      </c>
      <c r="AJ547" s="226" t="str">
        <f t="shared" si="312"/>
        <v/>
      </c>
    </row>
    <row r="548" spans="1:36" ht="18" customHeight="1" x14ac:dyDescent="0.2">
      <c r="A548" s="226" t="str">
        <f t="shared" si="301"/>
        <v>5Y -&gt; PM Y7 Starter</v>
      </c>
      <c r="B548" s="226">
        <f t="shared" si="302"/>
        <v>5</v>
      </c>
      <c r="C548" s="235">
        <f t="shared" si="303"/>
        <v>3</v>
      </c>
      <c r="D548" s="226">
        <f t="shared" si="304"/>
        <v>7</v>
      </c>
      <c r="E548" s="226" t="str">
        <f t="shared" si="305"/>
        <v>Starter</v>
      </c>
      <c r="F548" s="230">
        <f t="shared" si="306"/>
        <v>10000000</v>
      </c>
      <c r="G548" s="236">
        <f t="shared" si="307"/>
        <v>0.15</v>
      </c>
      <c r="H548" s="230">
        <f t="shared" si="308"/>
        <v>300000</v>
      </c>
      <c r="I548" s="236">
        <f t="shared" si="278"/>
        <v>0</v>
      </c>
      <c r="J548" s="234">
        <v>19</v>
      </c>
      <c r="K548" s="234">
        <f t="shared" si="279"/>
        <v>2044</v>
      </c>
      <c r="L548" s="230">
        <f>IF(J548=1,'Model Inputs'!$B$25*(13-'Model Inputs'!$B$23)/12,'Model Inputs'!$B$25)</f>
        <v>300000</v>
      </c>
      <c r="M548" s="230">
        <f>IF(J548=1,'Model Inputs'!$B$27*(13-'Model Inputs'!$B$23)/12,IF(J548=2,'Model Inputs'!$B$27,IF(J548&lt;=MAX(3,'Model Inputs'!$B$30+1),'Model Inputs'!$B$27*(1+'Model Inputs'!$B$28)^(J548-3),'Model Inputs'!$B$27*(1+'Model Inputs'!$B$28)^(MAX(3,'Model Inputs'!$B$30+1)-3)*(1+'Model Inputs'!$B$29)^(J548-MAX(3,'Model Inputs'!$B$30+1)))))</f>
        <v>27237984.409717187</v>
      </c>
      <c r="N548" s="236">
        <f>IF(J548&lt;=2,0,'Model Inputs'!$B$32*SIN(2*PI()*(J548-3+'Model Inputs'!$B$34)/MAX(1,'Model Inputs'!$B$33)))</f>
        <v>0.10392304845413286</v>
      </c>
      <c r="O548" s="230">
        <f t="shared" si="280"/>
        <v>30068638.783321142</v>
      </c>
      <c r="P548" s="230">
        <f t="shared" si="313"/>
        <v>19852239.851888295</v>
      </c>
      <c r="Q548" s="230">
        <f>L548+P548+IF(J548=1,'Model Inputs'!$B$26,0)</f>
        <v>20152239.851888295</v>
      </c>
      <c r="R548" s="230">
        <f t="shared" si="281"/>
        <v>60456719.555664882</v>
      </c>
      <c r="S548" s="230">
        <f t="shared" si="282"/>
        <v>1800000</v>
      </c>
      <c r="T548" s="230">
        <f t="shared" si="283"/>
        <v>1800000</v>
      </c>
      <c r="U548" s="230">
        <f>MIN(T548,'Tax Assumptions'!$B$19)</f>
        <v>24500</v>
      </c>
      <c r="V548" s="230">
        <f>MAX(T548-U548-'Tax Assumptions'!$B$8,0)</f>
        <v>1759400</v>
      </c>
      <c r="W548" s="230">
        <f>MAX(T548-U548-'Tax Assumptions'!$B$9,0)</f>
        <v>1767500</v>
      </c>
      <c r="X548" s="230">
        <f>IF(V548=0,0,LOOKUP(V548,'Tax Assumptions'!$F$9:$F$15,'Tax Assumptions'!$I$9:$I$15)+(V548-LOOKUP(V548,'Tax Assumptions'!$F$9:$F$15,'Tax Assumptions'!$F$9:$F$15))*LOOKUP(V548,'Tax Assumptions'!$F$9:$F$15,'Tax Assumptions'!$H$9:$H$15))+MIN(MAX(T548,0),'Tax Assumptions'!$B$11)*'Tax Assumptions'!$B$10+MAX(T548,0)*'Tax Assumptions'!$B$12+MAX(MAX(T548,0)-'Tax Assumptions'!$B$14,0)*'Tax Assumptions'!$B$13+MIN(T548*'Tax Assumptions'!$B$15,'Tax Assumptions'!$B$16)+MIN(T548*'Tax Assumptions'!$B$17,'Tax Assumptions'!$B$18)+IF(W548=0,0,LOOKUP(W548,'Tax Assumptions'!$K$9:$K$17,'Tax Assumptions'!$N$9:$N$17)+(W548-LOOKUP(W548,'Tax Assumptions'!$K$9:$K$17,'Tax Assumptions'!$K$9:$K$17))*LOOKUP(W548,'Tax Assumptions'!$K$9:$K$17,'Tax Assumptions'!$M$9:$M$17))+IF(W548=0,0,LOOKUP(W548,'Tax Assumptions'!$P$9:$P$12,'Tax Assumptions'!$S$9:$S$12)+(W548-LOOKUP(W548,'Tax Assumptions'!$P$9:$P$12,'Tax Assumptions'!$P$9:$P$12))*LOOKUP(W548,'Tax Assumptions'!$P$9:$P$12,'Tax Assumptions'!$R$9:$R$12))</f>
        <v>865478.63500000001</v>
      </c>
      <c r="Y548" s="230">
        <f t="shared" si="284"/>
        <v>910021.36499999999</v>
      </c>
      <c r="Z548" s="230">
        <f>IF(J548&lt;=10,INDEX('Savings Projection'!$BL$19:$BL$28,J548),LOOKUP(2,1/('Savings Projection'!$BL$19:$BL$28&lt;&gt;""),'Savings Projection'!$BL$19:$BL$28))*(1+'Model Inputs'!$B$35)^(J548-1)+IF(J548&lt;=10,INDEX('Savings Projection'!$BM$19:$BM$28,J548),LOOKUP(2,1/('Savings Projection'!$BM$19:$BM$28&lt;&gt;""),'Savings Projection'!$BM$19:$BM$28))*(1+'Model Inputs'!$B$36)^(J548-1)</f>
        <v>221316.29796118743</v>
      </c>
      <c r="AA548" s="230">
        <f t="shared" si="285"/>
        <v>688705.06703881256</v>
      </c>
      <c r="AB548" s="230">
        <f>MIN(MAX(AA548,0),'Tax Assumptions'!$B$20)</f>
        <v>7500</v>
      </c>
      <c r="AC548" s="230">
        <f t="shared" si="286"/>
        <v>681205.06703881256</v>
      </c>
      <c r="AD548" s="230">
        <f>MAX(AD547*(1+'Model Inputs'!$B$13)+AC548,0)</f>
        <v>19997736.177169319</v>
      </c>
      <c r="AE548" s="230">
        <f>MAX(AE547*(1+'Model Inputs'!$B$13)+U548+AB548,0)</f>
        <v>1080319.7344467151</v>
      </c>
      <c r="AF548" s="230">
        <f t="shared" si="287"/>
        <v>21078055.911616035</v>
      </c>
      <c r="AG548" s="226" t="str">
        <f t="shared" si="309"/>
        <v/>
      </c>
      <c r="AH548" s="226" t="str">
        <f t="shared" si="310"/>
        <v/>
      </c>
      <c r="AI548" s="226" t="str">
        <f t="shared" si="311"/>
        <v/>
      </c>
      <c r="AJ548" s="226" t="str">
        <f t="shared" si="312"/>
        <v/>
      </c>
    </row>
    <row r="549" spans="1:36" ht="18" customHeight="1" x14ac:dyDescent="0.2">
      <c r="A549" s="226" t="str">
        <f t="shared" si="301"/>
        <v>5Y -&gt; PM Y7 Starter</v>
      </c>
      <c r="B549" s="226">
        <f t="shared" si="302"/>
        <v>5</v>
      </c>
      <c r="C549" s="235">
        <f t="shared" si="303"/>
        <v>3</v>
      </c>
      <c r="D549" s="226">
        <f t="shared" si="304"/>
        <v>7</v>
      </c>
      <c r="E549" s="226" t="str">
        <f t="shared" si="305"/>
        <v>Starter</v>
      </c>
      <c r="F549" s="230">
        <f t="shared" si="306"/>
        <v>10000000</v>
      </c>
      <c r="G549" s="236">
        <f t="shared" si="307"/>
        <v>0.15</v>
      </c>
      <c r="H549" s="230">
        <f t="shared" si="308"/>
        <v>300000</v>
      </c>
      <c r="I549" s="236">
        <f t="shared" si="278"/>
        <v>0</v>
      </c>
      <c r="J549" s="234">
        <v>20</v>
      </c>
      <c r="K549" s="234">
        <f t="shared" si="279"/>
        <v>2045</v>
      </c>
      <c r="L549" s="230">
        <f>IF(J549=1,'Model Inputs'!$B$25*(13-'Model Inputs'!$B$23)/12,'Model Inputs'!$B$25)</f>
        <v>300000</v>
      </c>
      <c r="M549" s="230">
        <f>IF(J549=1,'Model Inputs'!$B$27*(13-'Model Inputs'!$B$23)/12,IF(J549=2,'Model Inputs'!$B$27,IF(J549&lt;=MAX(3,'Model Inputs'!$B$30+1),'Model Inputs'!$B$27*(1+'Model Inputs'!$B$28)^(J549-3),'Model Inputs'!$B$27*(1+'Model Inputs'!$B$28)^(MAX(3,'Model Inputs'!$B$30+1)-3)*(1+'Model Inputs'!$B$29)^(J549-MAX(3,'Model Inputs'!$B$30+1)))))</f>
        <v>34616139.762586243</v>
      </c>
      <c r="N549" s="236">
        <f>IF(J549&lt;=2,0,'Model Inputs'!$B$32*SIN(2*PI()*(J549-3+'Model Inputs'!$B$34)/MAX(1,'Model Inputs'!$B$33)))</f>
        <v>-0.10392304845413269</v>
      </c>
      <c r="O549" s="230">
        <f t="shared" si="280"/>
        <v>31018724.992743965</v>
      </c>
      <c r="P549" s="230">
        <f t="shared" si="313"/>
        <v>27909585.160209741</v>
      </c>
      <c r="Q549" s="230">
        <f>L549+P549+IF(J549=1,'Model Inputs'!$B$26,0)</f>
        <v>28209585.160209741</v>
      </c>
      <c r="R549" s="230">
        <f t="shared" si="281"/>
        <v>84628755.480629221</v>
      </c>
      <c r="S549" s="230">
        <f t="shared" si="282"/>
        <v>1800000</v>
      </c>
      <c r="T549" s="230">
        <f t="shared" si="283"/>
        <v>1800000</v>
      </c>
      <c r="U549" s="230">
        <f>MIN(T549,'Tax Assumptions'!$B$19)</f>
        <v>24500</v>
      </c>
      <c r="V549" s="230">
        <f>MAX(T549-U549-'Tax Assumptions'!$B$8,0)</f>
        <v>1759400</v>
      </c>
      <c r="W549" s="230">
        <f>MAX(T549-U549-'Tax Assumptions'!$B$9,0)</f>
        <v>1767500</v>
      </c>
      <c r="X549" s="230">
        <f>IF(V549=0,0,LOOKUP(V549,'Tax Assumptions'!$F$9:$F$15,'Tax Assumptions'!$I$9:$I$15)+(V549-LOOKUP(V549,'Tax Assumptions'!$F$9:$F$15,'Tax Assumptions'!$F$9:$F$15))*LOOKUP(V549,'Tax Assumptions'!$F$9:$F$15,'Tax Assumptions'!$H$9:$H$15))+MIN(MAX(T549,0),'Tax Assumptions'!$B$11)*'Tax Assumptions'!$B$10+MAX(T549,0)*'Tax Assumptions'!$B$12+MAX(MAX(T549,0)-'Tax Assumptions'!$B$14,0)*'Tax Assumptions'!$B$13+MIN(T549*'Tax Assumptions'!$B$15,'Tax Assumptions'!$B$16)+MIN(T549*'Tax Assumptions'!$B$17,'Tax Assumptions'!$B$18)+IF(W549=0,0,LOOKUP(W549,'Tax Assumptions'!$K$9:$K$17,'Tax Assumptions'!$N$9:$N$17)+(W549-LOOKUP(W549,'Tax Assumptions'!$K$9:$K$17,'Tax Assumptions'!$K$9:$K$17))*LOOKUP(W549,'Tax Assumptions'!$K$9:$K$17,'Tax Assumptions'!$M$9:$M$17))+IF(W549=0,0,LOOKUP(W549,'Tax Assumptions'!$P$9:$P$12,'Tax Assumptions'!$S$9:$S$12)+(W549-LOOKUP(W549,'Tax Assumptions'!$P$9:$P$12,'Tax Assumptions'!$P$9:$P$12))*LOOKUP(W549,'Tax Assumptions'!$P$9:$P$12,'Tax Assumptions'!$R$9:$R$12))</f>
        <v>865478.63500000001</v>
      </c>
      <c r="Y549" s="230">
        <f t="shared" si="284"/>
        <v>910021.36499999999</v>
      </c>
      <c r="Z549" s="230">
        <f>IF(J549&lt;=10,INDEX('Savings Projection'!$BL$19:$BL$28,J549),LOOKUP(2,1/('Savings Projection'!$BL$19:$BL$28&lt;&gt;""),'Savings Projection'!$BL$19:$BL$28))*(1+'Model Inputs'!$B$35)^(J549-1)+IF(J549&lt;=10,INDEX('Savings Projection'!$BM$19:$BM$28,J549),LOOKUP(2,1/('Savings Projection'!$BM$19:$BM$28&lt;&gt;""),'Savings Projection'!$BM$19:$BM$28))*(1+'Model Inputs'!$B$36)^(J549-1)</f>
        <v>227955.78690002306</v>
      </c>
      <c r="AA549" s="230">
        <f t="shared" si="285"/>
        <v>682065.57809997699</v>
      </c>
      <c r="AB549" s="230">
        <f>MIN(MAX(AA549,0),'Tax Assumptions'!$B$20)</f>
        <v>7500</v>
      </c>
      <c r="AC549" s="230">
        <f t="shared" si="286"/>
        <v>674565.57809997699</v>
      </c>
      <c r="AD549" s="230">
        <f>MAX(AD548*(1+'Model Inputs'!$B$13)+AC549,0)</f>
        <v>21872165.925899457</v>
      </c>
      <c r="AE549" s="230">
        <f>MAX(AE548*(1+'Model Inputs'!$B$13)+U549+AB549,0)</f>
        <v>1177138.9185135181</v>
      </c>
      <c r="AF549" s="230">
        <f t="shared" si="287"/>
        <v>23049304.844412975</v>
      </c>
      <c r="AG549" s="226" t="str">
        <f t="shared" si="309"/>
        <v/>
      </c>
      <c r="AH549" s="226" t="str">
        <f t="shared" si="310"/>
        <v/>
      </c>
      <c r="AI549" s="226" t="str">
        <f t="shared" si="311"/>
        <v/>
      </c>
      <c r="AJ549" s="226">
        <f t="shared" si="312"/>
        <v>20</v>
      </c>
    </row>
    <row r="550" spans="1:36" ht="18" customHeight="1" x14ac:dyDescent="0.2">
      <c r="A550" s="226" t="str">
        <f t="shared" si="301"/>
        <v>5Y -&gt; PM Y7 Starter</v>
      </c>
      <c r="B550" s="226">
        <f t="shared" si="302"/>
        <v>5</v>
      </c>
      <c r="C550" s="235">
        <f t="shared" si="303"/>
        <v>3</v>
      </c>
      <c r="D550" s="226">
        <f t="shared" si="304"/>
        <v>7</v>
      </c>
      <c r="E550" s="226" t="str">
        <f t="shared" si="305"/>
        <v>Starter</v>
      </c>
      <c r="F550" s="230">
        <f t="shared" si="306"/>
        <v>10000000</v>
      </c>
      <c r="G550" s="236">
        <f t="shared" si="307"/>
        <v>0.15</v>
      </c>
      <c r="H550" s="230">
        <f t="shared" si="308"/>
        <v>300000</v>
      </c>
      <c r="I550" s="236">
        <f t="shared" si="278"/>
        <v>0</v>
      </c>
      <c r="J550" s="234">
        <v>21</v>
      </c>
      <c r="K550" s="234">
        <f t="shared" si="279"/>
        <v>2046</v>
      </c>
      <c r="L550" s="230">
        <f>IF(J550=1,'Model Inputs'!$B$25*(13-'Model Inputs'!$B$23)/12,'Model Inputs'!$B$25)</f>
        <v>300000</v>
      </c>
      <c r="M550" s="230">
        <f>IF(J550=1,'Model Inputs'!$B$27*(13-'Model Inputs'!$B$23)/12,IF(J550=2,'Model Inputs'!$B$27,IF(J550&lt;=MAX(3,'Model Inputs'!$B$30+1),'Model Inputs'!$B$27*(1+'Model Inputs'!$B$28)^(J550-3),'Model Inputs'!$B$27*(1+'Model Inputs'!$B$28)^(MAX(3,'Model Inputs'!$B$30+1)-3)*(1+'Model Inputs'!$B$29)^(J550-MAX(3,'Model Inputs'!$B$30+1)))))</f>
        <v>43992870.912849829</v>
      </c>
      <c r="N550" s="236">
        <f>IF(J550&lt;=2,0,'Model Inputs'!$B$32*SIN(2*PI()*(J550-3+'Model Inputs'!$B$34)/MAX(1,'Model Inputs'!$B$33)))</f>
        <v>-1.7634913907721884E-16</v>
      </c>
      <c r="O550" s="230">
        <f t="shared" si="280"/>
        <v>43992870.912849821</v>
      </c>
      <c r="P550" s="230">
        <f t="shared" si="313"/>
        <v>30781203.440388259</v>
      </c>
      <c r="Q550" s="230">
        <f>L550+P550+IF(J550=1,'Model Inputs'!$B$26,0)</f>
        <v>31081203.440388259</v>
      </c>
      <c r="R550" s="230">
        <f t="shared" si="281"/>
        <v>93243610.321164772</v>
      </c>
      <c r="S550" s="230">
        <f t="shared" si="282"/>
        <v>1800000</v>
      </c>
      <c r="T550" s="230">
        <f t="shared" si="283"/>
        <v>1800000</v>
      </c>
      <c r="U550" s="230">
        <f>MIN(T550,'Tax Assumptions'!$B$19)</f>
        <v>24500</v>
      </c>
      <c r="V550" s="230">
        <f>MAX(T550-U550-'Tax Assumptions'!$B$8,0)</f>
        <v>1759400</v>
      </c>
      <c r="W550" s="230">
        <f>MAX(T550-U550-'Tax Assumptions'!$B$9,0)</f>
        <v>1767500</v>
      </c>
      <c r="X550" s="230">
        <f>IF(V550=0,0,LOOKUP(V550,'Tax Assumptions'!$F$9:$F$15,'Tax Assumptions'!$I$9:$I$15)+(V550-LOOKUP(V550,'Tax Assumptions'!$F$9:$F$15,'Tax Assumptions'!$F$9:$F$15))*LOOKUP(V550,'Tax Assumptions'!$F$9:$F$15,'Tax Assumptions'!$H$9:$H$15))+MIN(MAX(T550,0),'Tax Assumptions'!$B$11)*'Tax Assumptions'!$B$10+MAX(T550,0)*'Tax Assumptions'!$B$12+MAX(MAX(T550,0)-'Tax Assumptions'!$B$14,0)*'Tax Assumptions'!$B$13+MIN(T550*'Tax Assumptions'!$B$15,'Tax Assumptions'!$B$16)+MIN(T550*'Tax Assumptions'!$B$17,'Tax Assumptions'!$B$18)+IF(W550=0,0,LOOKUP(W550,'Tax Assumptions'!$K$9:$K$17,'Tax Assumptions'!$N$9:$N$17)+(W550-LOOKUP(W550,'Tax Assumptions'!$K$9:$K$17,'Tax Assumptions'!$K$9:$K$17))*LOOKUP(W550,'Tax Assumptions'!$K$9:$K$17,'Tax Assumptions'!$M$9:$M$17))+IF(W550=0,0,LOOKUP(W550,'Tax Assumptions'!$P$9:$P$12,'Tax Assumptions'!$S$9:$S$12)+(W550-LOOKUP(W550,'Tax Assumptions'!$P$9:$P$12,'Tax Assumptions'!$P$9:$P$12))*LOOKUP(W550,'Tax Assumptions'!$P$9:$P$12,'Tax Assumptions'!$R$9:$R$12))</f>
        <v>865478.63500000001</v>
      </c>
      <c r="Y550" s="230">
        <f t="shared" si="284"/>
        <v>910021.36499999999</v>
      </c>
      <c r="Z550" s="230">
        <f>IF(J550&lt;=10,INDEX('Savings Projection'!$BL$19:$BL$28,J550),LOOKUP(2,1/('Savings Projection'!$BL$19:$BL$28&lt;&gt;""),'Savings Projection'!$BL$19:$BL$28))*(1+'Model Inputs'!$B$35)^(J550-1)+IF(J550&lt;=10,INDEX('Savings Projection'!$BM$19:$BM$28,J550),LOOKUP(2,1/('Savings Projection'!$BM$19:$BM$28&lt;&gt;""),'Savings Projection'!$BM$19:$BM$28))*(1+'Model Inputs'!$B$36)^(J550-1)</f>
        <v>234794.46050702373</v>
      </c>
      <c r="AA550" s="230">
        <f t="shared" si="285"/>
        <v>675226.90449297626</v>
      </c>
      <c r="AB550" s="230">
        <f>MIN(MAX(AA550,0),'Tax Assumptions'!$B$20)</f>
        <v>7500</v>
      </c>
      <c r="AC550" s="230">
        <f t="shared" si="286"/>
        <v>667726.90449297626</v>
      </c>
      <c r="AD550" s="230">
        <f>MAX(AD549*(1+'Model Inputs'!$B$13)+AC550,0)</f>
        <v>23852222.785946403</v>
      </c>
      <c r="AE550" s="230">
        <f>MAX(AE549*(1+'Model Inputs'!$B$13)+U550+AB550,0)</f>
        <v>1279767.2536243291</v>
      </c>
      <c r="AF550" s="230">
        <f t="shared" si="287"/>
        <v>25131990.03957073</v>
      </c>
      <c r="AG550" s="226" t="str">
        <f t="shared" si="309"/>
        <v/>
      </c>
      <c r="AH550" s="226" t="str">
        <f t="shared" si="310"/>
        <v/>
      </c>
      <c r="AI550" s="226" t="str">
        <f t="shared" si="311"/>
        <v/>
      </c>
      <c r="AJ550" s="226" t="str">
        <f t="shared" si="312"/>
        <v/>
      </c>
    </row>
    <row r="551" spans="1:36" ht="18" customHeight="1" x14ac:dyDescent="0.2">
      <c r="A551" s="226" t="str">
        <f t="shared" si="301"/>
        <v>5Y -&gt; PM Y7 Starter</v>
      </c>
      <c r="B551" s="226">
        <f t="shared" si="302"/>
        <v>5</v>
      </c>
      <c r="C551" s="235">
        <f t="shared" si="303"/>
        <v>3</v>
      </c>
      <c r="D551" s="226">
        <f t="shared" si="304"/>
        <v>7</v>
      </c>
      <c r="E551" s="226" t="str">
        <f t="shared" si="305"/>
        <v>Starter</v>
      </c>
      <c r="F551" s="230">
        <f t="shared" si="306"/>
        <v>10000000</v>
      </c>
      <c r="G551" s="236">
        <f t="shared" si="307"/>
        <v>0.15</v>
      </c>
      <c r="H551" s="230">
        <f t="shared" si="308"/>
        <v>300000</v>
      </c>
      <c r="I551" s="236">
        <f t="shared" si="278"/>
        <v>0</v>
      </c>
      <c r="J551" s="234">
        <v>22</v>
      </c>
      <c r="K551" s="234">
        <f t="shared" si="279"/>
        <v>2047</v>
      </c>
      <c r="L551" s="230">
        <f>IF(J551=1,'Model Inputs'!$B$25*(13-'Model Inputs'!$B$23)/12,'Model Inputs'!$B$25)</f>
        <v>300000</v>
      </c>
      <c r="M551" s="230">
        <f>IF(J551=1,'Model Inputs'!$B$27*(13-'Model Inputs'!$B$23)/12,IF(J551=2,'Model Inputs'!$B$27,IF(J551&lt;=MAX(3,'Model Inputs'!$B$30+1),'Model Inputs'!$B$27*(1+'Model Inputs'!$B$28)^(J551-3),'Model Inputs'!$B$27*(1+'Model Inputs'!$B$28)^(MAX(3,'Model Inputs'!$B$30+1)-3)*(1+'Model Inputs'!$B$29)^(J551-MAX(3,'Model Inputs'!$B$30+1)))))</f>
        <v>55909546.9462616</v>
      </c>
      <c r="N551" s="236">
        <f>IF(J551&lt;=2,0,'Model Inputs'!$B$32*SIN(2*PI()*(J551-3+'Model Inputs'!$B$34)/MAX(1,'Model Inputs'!$B$33)))</f>
        <v>0.10392304845413287</v>
      </c>
      <c r="O551" s="230">
        <f t="shared" si="280"/>
        <v>61719837.502606563</v>
      </c>
      <c r="P551" s="230">
        <f t="shared" si="313"/>
        <v>40749334.43282336</v>
      </c>
      <c r="Q551" s="230">
        <f>L551+P551+IF(J551=1,'Model Inputs'!$B$26,0)</f>
        <v>41049334.43282336</v>
      </c>
      <c r="R551" s="230">
        <f t="shared" si="281"/>
        <v>123148003.29847008</v>
      </c>
      <c r="S551" s="230">
        <f t="shared" si="282"/>
        <v>1800000</v>
      </c>
      <c r="T551" s="230">
        <f t="shared" si="283"/>
        <v>1800000</v>
      </c>
      <c r="U551" s="230">
        <f>MIN(T551,'Tax Assumptions'!$B$19)</f>
        <v>24500</v>
      </c>
      <c r="V551" s="230">
        <f>MAX(T551-U551-'Tax Assumptions'!$B$8,0)</f>
        <v>1759400</v>
      </c>
      <c r="W551" s="230">
        <f>MAX(T551-U551-'Tax Assumptions'!$B$9,0)</f>
        <v>1767500</v>
      </c>
      <c r="X551" s="230">
        <f>IF(V551=0,0,LOOKUP(V551,'Tax Assumptions'!$F$9:$F$15,'Tax Assumptions'!$I$9:$I$15)+(V551-LOOKUP(V551,'Tax Assumptions'!$F$9:$F$15,'Tax Assumptions'!$F$9:$F$15))*LOOKUP(V551,'Tax Assumptions'!$F$9:$F$15,'Tax Assumptions'!$H$9:$H$15))+MIN(MAX(T551,0),'Tax Assumptions'!$B$11)*'Tax Assumptions'!$B$10+MAX(T551,0)*'Tax Assumptions'!$B$12+MAX(MAX(T551,0)-'Tax Assumptions'!$B$14,0)*'Tax Assumptions'!$B$13+MIN(T551*'Tax Assumptions'!$B$15,'Tax Assumptions'!$B$16)+MIN(T551*'Tax Assumptions'!$B$17,'Tax Assumptions'!$B$18)+IF(W551=0,0,LOOKUP(W551,'Tax Assumptions'!$K$9:$K$17,'Tax Assumptions'!$N$9:$N$17)+(W551-LOOKUP(W551,'Tax Assumptions'!$K$9:$K$17,'Tax Assumptions'!$K$9:$K$17))*LOOKUP(W551,'Tax Assumptions'!$K$9:$K$17,'Tax Assumptions'!$M$9:$M$17))+IF(W551=0,0,LOOKUP(W551,'Tax Assumptions'!$P$9:$P$12,'Tax Assumptions'!$S$9:$S$12)+(W551-LOOKUP(W551,'Tax Assumptions'!$P$9:$P$12,'Tax Assumptions'!$P$9:$P$12))*LOOKUP(W551,'Tax Assumptions'!$P$9:$P$12,'Tax Assumptions'!$R$9:$R$12))</f>
        <v>865478.63500000001</v>
      </c>
      <c r="Y551" s="230">
        <f t="shared" si="284"/>
        <v>910021.36499999999</v>
      </c>
      <c r="Z551" s="230">
        <f>IF(J551&lt;=10,INDEX('Savings Projection'!$BL$19:$BL$28,J551),LOOKUP(2,1/('Savings Projection'!$BL$19:$BL$28&lt;&gt;""),'Savings Projection'!$BL$19:$BL$28))*(1+'Model Inputs'!$B$35)^(J551-1)+IF(J551&lt;=10,INDEX('Savings Projection'!$BM$19:$BM$28,J551),LOOKUP(2,1/('Savings Projection'!$BM$19:$BM$28&lt;&gt;""),'Savings Projection'!$BM$19:$BM$28))*(1+'Model Inputs'!$B$36)^(J551-1)</f>
        <v>241838.2943222344</v>
      </c>
      <c r="AA551" s="230">
        <f t="shared" si="285"/>
        <v>668183.07067776565</v>
      </c>
      <c r="AB551" s="230">
        <f>MIN(MAX(AA551,0),'Tax Assumptions'!$B$20)</f>
        <v>7500</v>
      </c>
      <c r="AC551" s="230">
        <f t="shared" si="286"/>
        <v>660683.07067776565</v>
      </c>
      <c r="AD551" s="230">
        <f>MAX(AD550*(1+'Model Inputs'!$B$13)+AC551,0)</f>
        <v>25944039.223780952</v>
      </c>
      <c r="AE551" s="230">
        <f>MAX(AE550*(1+'Model Inputs'!$B$13)+U551+AB551,0)</f>
        <v>1388553.2888417889</v>
      </c>
      <c r="AF551" s="230">
        <f t="shared" si="287"/>
        <v>27332592.51262274</v>
      </c>
      <c r="AG551" s="226" t="str">
        <f t="shared" si="309"/>
        <v/>
      </c>
      <c r="AH551" s="226" t="str">
        <f t="shared" si="310"/>
        <v/>
      </c>
      <c r="AI551" s="226" t="str">
        <f t="shared" si="311"/>
        <v/>
      </c>
      <c r="AJ551" s="226" t="str">
        <f t="shared" si="312"/>
        <v/>
      </c>
    </row>
    <row r="552" spans="1:36" ht="18" customHeight="1" x14ac:dyDescent="0.2">
      <c r="A552" s="226" t="str">
        <f t="shared" si="301"/>
        <v>5Y -&gt; PM Y7 Starter</v>
      </c>
      <c r="B552" s="226">
        <f t="shared" si="302"/>
        <v>5</v>
      </c>
      <c r="C552" s="235">
        <f t="shared" si="303"/>
        <v>3</v>
      </c>
      <c r="D552" s="226">
        <f t="shared" si="304"/>
        <v>7</v>
      </c>
      <c r="E552" s="226" t="str">
        <f t="shared" si="305"/>
        <v>Starter</v>
      </c>
      <c r="F552" s="230">
        <f t="shared" si="306"/>
        <v>10000000</v>
      </c>
      <c r="G552" s="236">
        <f t="shared" si="307"/>
        <v>0.15</v>
      </c>
      <c r="H552" s="230">
        <f t="shared" si="308"/>
        <v>300000</v>
      </c>
      <c r="I552" s="236">
        <f t="shared" si="278"/>
        <v>0</v>
      </c>
      <c r="J552" s="234">
        <v>23</v>
      </c>
      <c r="K552" s="234">
        <f t="shared" si="279"/>
        <v>2048</v>
      </c>
      <c r="L552" s="230">
        <f>IF(J552=1,'Model Inputs'!$B$25*(13-'Model Inputs'!$B$23)/12,'Model Inputs'!$B$25)</f>
        <v>300000</v>
      </c>
      <c r="M552" s="230">
        <f>IF(J552=1,'Model Inputs'!$B$27*(13-'Model Inputs'!$B$23)/12,IF(J552=2,'Model Inputs'!$B$27,IF(J552&lt;=MAX(3,'Model Inputs'!$B$30+1),'Model Inputs'!$B$27*(1+'Model Inputs'!$B$28)^(J552-3),'Model Inputs'!$B$27*(1+'Model Inputs'!$B$28)^(MAX(3,'Model Inputs'!$B$30+1)-3)*(1+'Model Inputs'!$B$29)^(J552-MAX(3,'Model Inputs'!$B$30+1)))))</f>
        <v>71054181.617940187</v>
      </c>
      <c r="N552" s="236">
        <f>IF(J552&lt;=2,0,'Model Inputs'!$B$32*SIN(2*PI()*(J552-3+'Model Inputs'!$B$34)/MAX(1,'Model Inputs'!$B$33)))</f>
        <v>-0.10392304845413268</v>
      </c>
      <c r="O552" s="230">
        <f t="shared" si="280"/>
        <v>63670014.458790243</v>
      </c>
      <c r="P552" s="230">
        <f t="shared" si="313"/>
        <v>57288095.855167374</v>
      </c>
      <c r="Q552" s="230">
        <f>L552+P552+IF(J552=1,'Model Inputs'!$B$26,0)</f>
        <v>57588095.855167374</v>
      </c>
      <c r="R552" s="230">
        <f t="shared" si="281"/>
        <v>172764287.56550211</v>
      </c>
      <c r="S552" s="230">
        <f t="shared" si="282"/>
        <v>1800000</v>
      </c>
      <c r="T552" s="230">
        <f t="shared" si="283"/>
        <v>1800000</v>
      </c>
      <c r="U552" s="230">
        <f>MIN(T552,'Tax Assumptions'!$B$19)</f>
        <v>24500</v>
      </c>
      <c r="V552" s="230">
        <f>MAX(T552-U552-'Tax Assumptions'!$B$8,0)</f>
        <v>1759400</v>
      </c>
      <c r="W552" s="230">
        <f>MAX(T552-U552-'Tax Assumptions'!$B$9,0)</f>
        <v>1767500</v>
      </c>
      <c r="X552" s="230">
        <f>IF(V552=0,0,LOOKUP(V552,'Tax Assumptions'!$F$9:$F$15,'Tax Assumptions'!$I$9:$I$15)+(V552-LOOKUP(V552,'Tax Assumptions'!$F$9:$F$15,'Tax Assumptions'!$F$9:$F$15))*LOOKUP(V552,'Tax Assumptions'!$F$9:$F$15,'Tax Assumptions'!$H$9:$H$15))+MIN(MAX(T552,0),'Tax Assumptions'!$B$11)*'Tax Assumptions'!$B$10+MAX(T552,0)*'Tax Assumptions'!$B$12+MAX(MAX(T552,0)-'Tax Assumptions'!$B$14,0)*'Tax Assumptions'!$B$13+MIN(T552*'Tax Assumptions'!$B$15,'Tax Assumptions'!$B$16)+MIN(T552*'Tax Assumptions'!$B$17,'Tax Assumptions'!$B$18)+IF(W552=0,0,LOOKUP(W552,'Tax Assumptions'!$K$9:$K$17,'Tax Assumptions'!$N$9:$N$17)+(W552-LOOKUP(W552,'Tax Assumptions'!$K$9:$K$17,'Tax Assumptions'!$K$9:$K$17))*LOOKUP(W552,'Tax Assumptions'!$K$9:$K$17,'Tax Assumptions'!$M$9:$M$17))+IF(W552=0,0,LOOKUP(W552,'Tax Assumptions'!$P$9:$P$12,'Tax Assumptions'!$S$9:$S$12)+(W552-LOOKUP(W552,'Tax Assumptions'!$P$9:$P$12,'Tax Assumptions'!$P$9:$P$12))*LOOKUP(W552,'Tax Assumptions'!$P$9:$P$12,'Tax Assumptions'!$R$9:$R$12))</f>
        <v>865478.63500000001</v>
      </c>
      <c r="Y552" s="230">
        <f t="shared" si="284"/>
        <v>910021.36499999999</v>
      </c>
      <c r="Z552" s="230">
        <f>IF(J552&lt;=10,INDEX('Savings Projection'!$BL$19:$BL$28,J552),LOOKUP(2,1/('Savings Projection'!$BL$19:$BL$28&lt;&gt;""),'Savings Projection'!$BL$19:$BL$28))*(1+'Model Inputs'!$B$35)^(J552-1)+IF(J552&lt;=10,INDEX('Savings Projection'!$BM$19:$BM$28,J552),LOOKUP(2,1/('Savings Projection'!$BM$19:$BM$28&lt;&gt;""),'Savings Projection'!$BM$19:$BM$28))*(1+'Model Inputs'!$B$36)^(J552-1)</f>
        <v>249093.44315190148</v>
      </c>
      <c r="AA552" s="230">
        <f t="shared" si="285"/>
        <v>660927.92184809851</v>
      </c>
      <c r="AB552" s="230">
        <f>MIN(MAX(AA552,0),'Tax Assumptions'!$B$20)</f>
        <v>7500</v>
      </c>
      <c r="AC552" s="230">
        <f t="shared" si="286"/>
        <v>653427.92184809851</v>
      </c>
      <c r="AD552" s="230">
        <f>MAX(AD551*(1+'Model Inputs'!$B$13)+AC552,0)</f>
        <v>28154109.499055911</v>
      </c>
      <c r="AE552" s="230">
        <f>MAX(AE551*(1+'Model Inputs'!$B$13)+U552+AB552,0)</f>
        <v>1503866.4861722963</v>
      </c>
      <c r="AF552" s="230">
        <f t="shared" si="287"/>
        <v>29657975.985228207</v>
      </c>
      <c r="AG552" s="226" t="str">
        <f t="shared" si="309"/>
        <v/>
      </c>
      <c r="AH552" s="226" t="str">
        <f t="shared" si="310"/>
        <v/>
      </c>
      <c r="AI552" s="226" t="str">
        <f t="shared" si="311"/>
        <v/>
      </c>
      <c r="AJ552" s="226" t="str">
        <f t="shared" si="312"/>
        <v/>
      </c>
    </row>
    <row r="553" spans="1:36" ht="18" customHeight="1" x14ac:dyDescent="0.2">
      <c r="A553" s="226" t="str">
        <f t="shared" si="301"/>
        <v>5Y -&gt; PM Y7 Starter</v>
      </c>
      <c r="B553" s="226">
        <f t="shared" si="302"/>
        <v>5</v>
      </c>
      <c r="C553" s="235">
        <f t="shared" si="303"/>
        <v>3</v>
      </c>
      <c r="D553" s="226">
        <f t="shared" si="304"/>
        <v>7</v>
      </c>
      <c r="E553" s="226" t="str">
        <f t="shared" si="305"/>
        <v>Starter</v>
      </c>
      <c r="F553" s="230">
        <f t="shared" si="306"/>
        <v>10000000</v>
      </c>
      <c r="G553" s="236">
        <f t="shared" si="307"/>
        <v>0.15</v>
      </c>
      <c r="H553" s="230">
        <f t="shared" si="308"/>
        <v>300000</v>
      </c>
      <c r="I553" s="236">
        <f t="shared" si="278"/>
        <v>0</v>
      </c>
      <c r="J553" s="234">
        <v>24</v>
      </c>
      <c r="K553" s="234">
        <f t="shared" si="279"/>
        <v>2049</v>
      </c>
      <c r="L553" s="230">
        <f>IF(J553=1,'Model Inputs'!$B$25*(13-'Model Inputs'!$B$23)/12,'Model Inputs'!$B$25)</f>
        <v>300000</v>
      </c>
      <c r="M553" s="230">
        <f>IF(J553=1,'Model Inputs'!$B$27*(13-'Model Inputs'!$B$23)/12,IF(J553=2,'Model Inputs'!$B$27,IF(J553&lt;=MAX(3,'Model Inputs'!$B$30+1),'Model Inputs'!$B$27*(1+'Model Inputs'!$B$28)^(J553-3),'Model Inputs'!$B$27*(1+'Model Inputs'!$B$28)^(MAX(3,'Model Inputs'!$B$30+1)-3)*(1+'Model Inputs'!$B$29)^(J553-MAX(3,'Model Inputs'!$B$30+1)))))</f>
        <v>90301156.084270701</v>
      </c>
      <c r="N553" s="236">
        <f>IF(J553&lt;=2,0,'Model Inputs'!$B$32*SIN(2*PI()*(J553-3+'Model Inputs'!$B$34)/MAX(1,'Model Inputs'!$B$33)))</f>
        <v>-2.0574066225675533E-16</v>
      </c>
      <c r="O553" s="230">
        <f t="shared" si="280"/>
        <v>90301156.084270686</v>
      </c>
      <c r="P553" s="230">
        <f t="shared" si="313"/>
        <v>63182470.219744325</v>
      </c>
      <c r="Q553" s="230">
        <f>L553+P553+IF(J553=1,'Model Inputs'!$B$26,0)</f>
        <v>63482470.219744325</v>
      </c>
      <c r="R553" s="230">
        <f t="shared" si="281"/>
        <v>190447410.65923297</v>
      </c>
      <c r="S553" s="230">
        <f t="shared" si="282"/>
        <v>1800000</v>
      </c>
      <c r="T553" s="230">
        <f t="shared" si="283"/>
        <v>1800000</v>
      </c>
      <c r="U553" s="230">
        <f>MIN(T553,'Tax Assumptions'!$B$19)</f>
        <v>24500</v>
      </c>
      <c r="V553" s="230">
        <f>MAX(T553-U553-'Tax Assumptions'!$B$8,0)</f>
        <v>1759400</v>
      </c>
      <c r="W553" s="230">
        <f>MAX(T553-U553-'Tax Assumptions'!$B$9,0)</f>
        <v>1767500</v>
      </c>
      <c r="X553" s="230">
        <f>IF(V553=0,0,LOOKUP(V553,'Tax Assumptions'!$F$9:$F$15,'Tax Assumptions'!$I$9:$I$15)+(V553-LOOKUP(V553,'Tax Assumptions'!$F$9:$F$15,'Tax Assumptions'!$F$9:$F$15))*LOOKUP(V553,'Tax Assumptions'!$F$9:$F$15,'Tax Assumptions'!$H$9:$H$15))+MIN(MAX(T553,0),'Tax Assumptions'!$B$11)*'Tax Assumptions'!$B$10+MAX(T553,0)*'Tax Assumptions'!$B$12+MAX(MAX(T553,0)-'Tax Assumptions'!$B$14,0)*'Tax Assumptions'!$B$13+MIN(T553*'Tax Assumptions'!$B$15,'Tax Assumptions'!$B$16)+MIN(T553*'Tax Assumptions'!$B$17,'Tax Assumptions'!$B$18)+IF(W553=0,0,LOOKUP(W553,'Tax Assumptions'!$K$9:$K$17,'Tax Assumptions'!$N$9:$N$17)+(W553-LOOKUP(W553,'Tax Assumptions'!$K$9:$K$17,'Tax Assumptions'!$K$9:$K$17))*LOOKUP(W553,'Tax Assumptions'!$K$9:$K$17,'Tax Assumptions'!$M$9:$M$17))+IF(W553=0,0,LOOKUP(W553,'Tax Assumptions'!$P$9:$P$12,'Tax Assumptions'!$S$9:$S$12)+(W553-LOOKUP(W553,'Tax Assumptions'!$P$9:$P$12,'Tax Assumptions'!$P$9:$P$12))*LOOKUP(W553,'Tax Assumptions'!$P$9:$P$12,'Tax Assumptions'!$R$9:$R$12))</f>
        <v>865478.63500000001</v>
      </c>
      <c r="Y553" s="230">
        <f t="shared" si="284"/>
        <v>910021.36499999999</v>
      </c>
      <c r="Z553" s="230">
        <f>IF(J553&lt;=10,INDEX('Savings Projection'!$BL$19:$BL$28,J553),LOOKUP(2,1/('Savings Projection'!$BL$19:$BL$28&lt;&gt;""),'Savings Projection'!$BL$19:$BL$28))*(1+'Model Inputs'!$B$35)^(J553-1)+IF(J553&lt;=10,INDEX('Savings Projection'!$BM$19:$BM$28,J553),LOOKUP(2,1/('Savings Projection'!$BM$19:$BM$28&lt;&gt;""),'Savings Projection'!$BM$19:$BM$28))*(1+'Model Inputs'!$B$36)^(J553-1)</f>
        <v>256566.24644645851</v>
      </c>
      <c r="AA553" s="230">
        <f t="shared" si="285"/>
        <v>653455.11855354148</v>
      </c>
      <c r="AB553" s="230">
        <f>MIN(MAX(AA553,0),'Tax Assumptions'!$B$20)</f>
        <v>7500</v>
      </c>
      <c r="AC553" s="230">
        <f t="shared" si="286"/>
        <v>645955.11855354148</v>
      </c>
      <c r="AD553" s="230">
        <f>MAX(AD552*(1+'Model Inputs'!$B$13)+AC553,0)</f>
        <v>30489311.18755281</v>
      </c>
      <c r="AE553" s="230">
        <f>MAX(AE552*(1+'Model Inputs'!$B$13)+U553+AB553,0)</f>
        <v>1626098.4753426341</v>
      </c>
      <c r="AF553" s="230">
        <f t="shared" si="287"/>
        <v>32115409.662895445</v>
      </c>
      <c r="AG553" s="226" t="str">
        <f t="shared" si="309"/>
        <v/>
      </c>
      <c r="AH553" s="226" t="str">
        <f t="shared" si="310"/>
        <v/>
      </c>
      <c r="AI553" s="226" t="str">
        <f t="shared" si="311"/>
        <v/>
      </c>
      <c r="AJ553" s="226" t="str">
        <f t="shared" si="312"/>
        <v/>
      </c>
    </row>
    <row r="554" spans="1:36" ht="18" customHeight="1" x14ac:dyDescent="0.2">
      <c r="A554" s="226" t="str">
        <f t="shared" si="301"/>
        <v>5Y -&gt; PM Y7 Starter</v>
      </c>
      <c r="B554" s="226">
        <f t="shared" si="302"/>
        <v>5</v>
      </c>
      <c r="C554" s="235">
        <f t="shared" si="303"/>
        <v>3</v>
      </c>
      <c r="D554" s="226">
        <f t="shared" si="304"/>
        <v>7</v>
      </c>
      <c r="E554" s="226" t="str">
        <f t="shared" si="305"/>
        <v>Starter</v>
      </c>
      <c r="F554" s="230">
        <f t="shared" si="306"/>
        <v>10000000</v>
      </c>
      <c r="G554" s="236">
        <f t="shared" si="307"/>
        <v>0.15</v>
      </c>
      <c r="H554" s="230">
        <f t="shared" si="308"/>
        <v>300000</v>
      </c>
      <c r="I554" s="236">
        <f t="shared" si="278"/>
        <v>0</v>
      </c>
      <c r="J554" s="234">
        <v>25</v>
      </c>
      <c r="K554" s="234">
        <f t="shared" si="279"/>
        <v>2050</v>
      </c>
      <c r="L554" s="230">
        <f>IF(J554=1,'Model Inputs'!$B$25*(13-'Model Inputs'!$B$23)/12,'Model Inputs'!$B$25)</f>
        <v>300000</v>
      </c>
      <c r="M554" s="230">
        <f>IF(J554=1,'Model Inputs'!$B$27*(13-'Model Inputs'!$B$23)/12,IF(J554=2,'Model Inputs'!$B$27,IF(J554&lt;=MAX(3,'Model Inputs'!$B$30+1),'Model Inputs'!$B$27*(1+'Model Inputs'!$B$28)^(J554-3),'Model Inputs'!$B$27*(1+'Model Inputs'!$B$28)^(MAX(3,'Model Inputs'!$B$30+1)-3)*(1+'Model Inputs'!$B$29)^(J554-MAX(3,'Model Inputs'!$B$30+1)))))</f>
        <v>114761701.62653697</v>
      </c>
      <c r="N554" s="236">
        <f>IF(J554&lt;=2,0,'Model Inputs'!$B$32*SIN(2*PI()*(J554-3+'Model Inputs'!$B$34)/MAX(1,'Model Inputs'!$B$33)))</f>
        <v>0.10392304845413287</v>
      </c>
      <c r="O554" s="230">
        <f t="shared" si="280"/>
        <v>126688087.50535031</v>
      </c>
      <c r="P554" s="230">
        <f t="shared" si="313"/>
        <v>83643370.677900568</v>
      </c>
      <c r="Q554" s="230">
        <f>L554+P554+IF(J554=1,'Model Inputs'!$B$26,0)</f>
        <v>83943370.677900568</v>
      </c>
      <c r="R554" s="230">
        <f t="shared" si="281"/>
        <v>251830112.03370172</v>
      </c>
      <c r="S554" s="230">
        <f t="shared" si="282"/>
        <v>1800000</v>
      </c>
      <c r="T554" s="230">
        <f t="shared" si="283"/>
        <v>1800000</v>
      </c>
      <c r="U554" s="230">
        <f>MIN(T554,'Tax Assumptions'!$B$19)</f>
        <v>24500</v>
      </c>
      <c r="V554" s="230">
        <f>MAX(T554-U554-'Tax Assumptions'!$B$8,0)</f>
        <v>1759400</v>
      </c>
      <c r="W554" s="230">
        <f>MAX(T554-U554-'Tax Assumptions'!$B$9,0)</f>
        <v>1767500</v>
      </c>
      <c r="X554" s="230">
        <f>IF(V554=0,0,LOOKUP(V554,'Tax Assumptions'!$F$9:$F$15,'Tax Assumptions'!$I$9:$I$15)+(V554-LOOKUP(V554,'Tax Assumptions'!$F$9:$F$15,'Tax Assumptions'!$F$9:$F$15))*LOOKUP(V554,'Tax Assumptions'!$F$9:$F$15,'Tax Assumptions'!$H$9:$H$15))+MIN(MAX(T554,0),'Tax Assumptions'!$B$11)*'Tax Assumptions'!$B$10+MAX(T554,0)*'Tax Assumptions'!$B$12+MAX(MAX(T554,0)-'Tax Assumptions'!$B$14,0)*'Tax Assumptions'!$B$13+MIN(T554*'Tax Assumptions'!$B$15,'Tax Assumptions'!$B$16)+MIN(T554*'Tax Assumptions'!$B$17,'Tax Assumptions'!$B$18)+IF(W554=0,0,LOOKUP(W554,'Tax Assumptions'!$K$9:$K$17,'Tax Assumptions'!$N$9:$N$17)+(W554-LOOKUP(W554,'Tax Assumptions'!$K$9:$K$17,'Tax Assumptions'!$K$9:$K$17))*LOOKUP(W554,'Tax Assumptions'!$K$9:$K$17,'Tax Assumptions'!$M$9:$M$17))+IF(W554=0,0,LOOKUP(W554,'Tax Assumptions'!$P$9:$P$12,'Tax Assumptions'!$S$9:$S$12)+(W554-LOOKUP(W554,'Tax Assumptions'!$P$9:$P$12,'Tax Assumptions'!$P$9:$P$12))*LOOKUP(W554,'Tax Assumptions'!$P$9:$P$12,'Tax Assumptions'!$R$9:$R$12))</f>
        <v>865478.63500000001</v>
      </c>
      <c r="Y554" s="230">
        <f t="shared" si="284"/>
        <v>910021.36499999999</v>
      </c>
      <c r="Z554" s="230">
        <f>IF(J554&lt;=10,INDEX('Savings Projection'!$BL$19:$BL$28,J554),LOOKUP(2,1/('Savings Projection'!$BL$19:$BL$28&lt;&gt;""),'Savings Projection'!$BL$19:$BL$28))*(1+'Model Inputs'!$B$35)^(J554-1)+IF(J554&lt;=10,INDEX('Savings Projection'!$BM$19:$BM$28,J554),LOOKUP(2,1/('Savings Projection'!$BM$19:$BM$28&lt;&gt;""),'Savings Projection'!$BM$19:$BM$28))*(1+'Model Inputs'!$B$36)^(J554-1)</f>
        <v>264263.23383985227</v>
      </c>
      <c r="AA554" s="230">
        <f t="shared" si="285"/>
        <v>645758.13116014772</v>
      </c>
      <c r="AB554" s="230">
        <f>MIN(MAX(AA554,0),'Tax Assumptions'!$B$20)</f>
        <v>7500</v>
      </c>
      <c r="AC554" s="230">
        <f t="shared" si="286"/>
        <v>638258.13116014772</v>
      </c>
      <c r="AD554" s="230">
        <f>MAX(AD553*(1+'Model Inputs'!$B$13)+AC554,0)</f>
        <v>32956927.989966128</v>
      </c>
      <c r="AE554" s="230">
        <f>MAX(AE553*(1+'Model Inputs'!$B$13)+U554+AB554,0)</f>
        <v>1755664.3838631923</v>
      </c>
      <c r="AF554" s="230">
        <f t="shared" si="287"/>
        <v>34712592.37382932</v>
      </c>
      <c r="AG554" s="226" t="str">
        <f t="shared" si="309"/>
        <v/>
      </c>
      <c r="AH554" s="226" t="str">
        <f t="shared" si="310"/>
        <v/>
      </c>
      <c r="AI554" s="226" t="str">
        <f t="shared" si="311"/>
        <v/>
      </c>
      <c r="AJ554" s="226" t="str">
        <f t="shared" si="312"/>
        <v/>
      </c>
    </row>
    <row r="555" spans="1:36" ht="18" customHeight="1" x14ac:dyDescent="0.2">
      <c r="A555" s="226" t="str">
        <f t="shared" si="301"/>
        <v>5Y -&gt; PM Y7 Starter</v>
      </c>
      <c r="B555" s="226">
        <f t="shared" si="302"/>
        <v>5</v>
      </c>
      <c r="C555" s="235">
        <f t="shared" si="303"/>
        <v>3</v>
      </c>
      <c r="D555" s="226">
        <f t="shared" si="304"/>
        <v>7</v>
      </c>
      <c r="E555" s="226" t="str">
        <f t="shared" si="305"/>
        <v>Starter</v>
      </c>
      <c r="F555" s="230">
        <f t="shared" si="306"/>
        <v>10000000</v>
      </c>
      <c r="G555" s="236">
        <f t="shared" si="307"/>
        <v>0.15</v>
      </c>
      <c r="H555" s="230">
        <f t="shared" si="308"/>
        <v>300000</v>
      </c>
      <c r="I555" s="236">
        <f t="shared" si="278"/>
        <v>0</v>
      </c>
      <c r="J555" s="234">
        <v>26</v>
      </c>
      <c r="K555" s="234">
        <f t="shared" si="279"/>
        <v>2051</v>
      </c>
      <c r="L555" s="230">
        <f>IF(J555=1,'Model Inputs'!$B$25*(13-'Model Inputs'!$B$23)/12,'Model Inputs'!$B$25)</f>
        <v>300000</v>
      </c>
      <c r="M555" s="230">
        <f>IF(J555=1,'Model Inputs'!$B$27*(13-'Model Inputs'!$B$23)/12,IF(J555=2,'Model Inputs'!$B$27,IF(J555&lt;=MAX(3,'Model Inputs'!$B$30+1),'Model Inputs'!$B$27*(1+'Model Inputs'!$B$28)^(J555-3),'Model Inputs'!$B$27*(1+'Model Inputs'!$B$28)^(MAX(3,'Model Inputs'!$B$30+1)-3)*(1+'Model Inputs'!$B$29)^(J555-MAX(3,'Model Inputs'!$B$30+1)))))</f>
        <v>145848057.00524563</v>
      </c>
      <c r="N555" s="236">
        <f>IF(J555&lt;=2,0,'Model Inputs'!$B$32*SIN(2*PI()*(J555-3+'Model Inputs'!$B$34)/MAX(1,'Model Inputs'!$B$33)))</f>
        <v>-0.10392304845413224</v>
      </c>
      <c r="O555" s="230">
        <f t="shared" si="280"/>
        <v>130691082.31014845</v>
      </c>
      <c r="P555" s="230">
        <f t="shared" si="313"/>
        <v>117591354.65008041</v>
      </c>
      <c r="Q555" s="230">
        <f>L555+P555+IF(J555=1,'Model Inputs'!$B$26,0)</f>
        <v>117891354.65008041</v>
      </c>
      <c r="R555" s="230">
        <f t="shared" si="281"/>
        <v>353674063.95024121</v>
      </c>
      <c r="S555" s="230">
        <f t="shared" si="282"/>
        <v>1800000</v>
      </c>
      <c r="T555" s="230">
        <f t="shared" si="283"/>
        <v>1800000</v>
      </c>
      <c r="U555" s="230">
        <f>MIN(T555,'Tax Assumptions'!$B$19)</f>
        <v>24500</v>
      </c>
      <c r="V555" s="230">
        <f>MAX(T555-U555-'Tax Assumptions'!$B$8,0)</f>
        <v>1759400</v>
      </c>
      <c r="W555" s="230">
        <f>MAX(T555-U555-'Tax Assumptions'!$B$9,0)</f>
        <v>1767500</v>
      </c>
      <c r="X555" s="230">
        <f>IF(V555=0,0,LOOKUP(V555,'Tax Assumptions'!$F$9:$F$15,'Tax Assumptions'!$I$9:$I$15)+(V555-LOOKUP(V555,'Tax Assumptions'!$F$9:$F$15,'Tax Assumptions'!$F$9:$F$15))*LOOKUP(V555,'Tax Assumptions'!$F$9:$F$15,'Tax Assumptions'!$H$9:$H$15))+MIN(MAX(T555,0),'Tax Assumptions'!$B$11)*'Tax Assumptions'!$B$10+MAX(T555,0)*'Tax Assumptions'!$B$12+MAX(MAX(T555,0)-'Tax Assumptions'!$B$14,0)*'Tax Assumptions'!$B$13+MIN(T555*'Tax Assumptions'!$B$15,'Tax Assumptions'!$B$16)+MIN(T555*'Tax Assumptions'!$B$17,'Tax Assumptions'!$B$18)+IF(W555=0,0,LOOKUP(W555,'Tax Assumptions'!$K$9:$K$17,'Tax Assumptions'!$N$9:$N$17)+(W555-LOOKUP(W555,'Tax Assumptions'!$K$9:$K$17,'Tax Assumptions'!$K$9:$K$17))*LOOKUP(W555,'Tax Assumptions'!$K$9:$K$17,'Tax Assumptions'!$M$9:$M$17))+IF(W555=0,0,LOOKUP(W555,'Tax Assumptions'!$P$9:$P$12,'Tax Assumptions'!$S$9:$S$12)+(W555-LOOKUP(W555,'Tax Assumptions'!$P$9:$P$12,'Tax Assumptions'!$P$9:$P$12))*LOOKUP(W555,'Tax Assumptions'!$P$9:$P$12,'Tax Assumptions'!$R$9:$R$12))</f>
        <v>865478.63500000001</v>
      </c>
      <c r="Y555" s="230">
        <f t="shared" si="284"/>
        <v>910021.36499999999</v>
      </c>
      <c r="Z555" s="230">
        <f>IF(J555&lt;=10,INDEX('Savings Projection'!$BL$19:$BL$28,J555),LOOKUP(2,1/('Savings Projection'!$BL$19:$BL$28&lt;&gt;""),'Savings Projection'!$BL$19:$BL$28))*(1+'Model Inputs'!$B$35)^(J555-1)+IF(J555&lt;=10,INDEX('Savings Projection'!$BM$19:$BM$28,J555),LOOKUP(2,1/('Savings Projection'!$BM$19:$BM$28&lt;&gt;""),'Savings Projection'!$BM$19:$BM$28))*(1+'Model Inputs'!$B$36)^(J555-1)</f>
        <v>272191.13085504784</v>
      </c>
      <c r="AA555" s="230">
        <f t="shared" si="285"/>
        <v>637830.23414495215</v>
      </c>
      <c r="AB555" s="230">
        <f>MIN(MAX(AA555,0),'Tax Assumptions'!$B$20)</f>
        <v>7500</v>
      </c>
      <c r="AC555" s="230">
        <f t="shared" si="286"/>
        <v>630330.23414495215</v>
      </c>
      <c r="AD555" s="230">
        <f>MAX(AD554*(1+'Model Inputs'!$B$13)+AC555,0)</f>
        <v>35564673.903509051</v>
      </c>
      <c r="AE555" s="230">
        <f>MAX(AE554*(1+'Model Inputs'!$B$13)+U555+AB555,0)</f>
        <v>1893004.2468949838</v>
      </c>
      <c r="AF555" s="230">
        <f t="shared" si="287"/>
        <v>37457678.150404036</v>
      </c>
      <c r="AG555" s="226" t="str">
        <f t="shared" si="309"/>
        <v/>
      </c>
      <c r="AH555" s="226" t="str">
        <f t="shared" si="310"/>
        <v/>
      </c>
      <c r="AI555" s="226" t="str">
        <f t="shared" si="311"/>
        <v/>
      </c>
      <c r="AJ555" s="226" t="str">
        <f t="shared" si="312"/>
        <v/>
      </c>
    </row>
    <row r="556" spans="1:36" ht="18" customHeight="1" x14ac:dyDescent="0.2">
      <c r="A556" s="226" t="str">
        <f t="shared" si="301"/>
        <v>5Y -&gt; PM Y7 Starter</v>
      </c>
      <c r="B556" s="226">
        <f t="shared" si="302"/>
        <v>5</v>
      </c>
      <c r="C556" s="235">
        <f t="shared" si="303"/>
        <v>3</v>
      </c>
      <c r="D556" s="226">
        <f t="shared" si="304"/>
        <v>7</v>
      </c>
      <c r="E556" s="226" t="str">
        <f t="shared" si="305"/>
        <v>Starter</v>
      </c>
      <c r="F556" s="230">
        <f t="shared" si="306"/>
        <v>10000000</v>
      </c>
      <c r="G556" s="236">
        <f t="shared" si="307"/>
        <v>0.15</v>
      </c>
      <c r="H556" s="230">
        <f t="shared" si="308"/>
        <v>300000</v>
      </c>
      <c r="I556" s="236">
        <f t="shared" si="278"/>
        <v>0</v>
      </c>
      <c r="J556" s="234">
        <v>27</v>
      </c>
      <c r="K556" s="234">
        <f t="shared" si="279"/>
        <v>2052</v>
      </c>
      <c r="L556" s="230">
        <f>IF(J556=1,'Model Inputs'!$B$25*(13-'Model Inputs'!$B$23)/12,'Model Inputs'!$B$25)</f>
        <v>300000</v>
      </c>
      <c r="M556" s="230">
        <f>IF(J556=1,'Model Inputs'!$B$27*(13-'Model Inputs'!$B$23)/12,IF(J556=2,'Model Inputs'!$B$27,IF(J556&lt;=MAX(3,'Model Inputs'!$B$30+1),'Model Inputs'!$B$27*(1+'Model Inputs'!$B$28)^(J556-3),'Model Inputs'!$B$27*(1+'Model Inputs'!$B$28)^(MAX(3,'Model Inputs'!$B$30+1)-3)*(1+'Model Inputs'!$B$29)^(J556-MAX(3,'Model Inputs'!$B$30+1)))))</f>
        <v>185355004.59402937</v>
      </c>
      <c r="N556" s="236">
        <f>IF(J556&lt;=2,0,'Model Inputs'!$B$32*SIN(2*PI()*(J556-3+'Model Inputs'!$B$34)/MAX(1,'Model Inputs'!$B$33)))</f>
        <v>-2.3513218543629179E-16</v>
      </c>
      <c r="O556" s="230">
        <f t="shared" si="280"/>
        <v>185355004.59402934</v>
      </c>
      <c r="P556" s="230">
        <f t="shared" si="313"/>
        <v>129690333.6089489</v>
      </c>
      <c r="Q556" s="230">
        <f>L556+P556+IF(J556=1,'Model Inputs'!$B$26,0)</f>
        <v>129990333.6089489</v>
      </c>
      <c r="R556" s="230">
        <f t="shared" si="281"/>
        <v>389971000.82684672</v>
      </c>
      <c r="S556" s="230">
        <f t="shared" si="282"/>
        <v>1800000</v>
      </c>
      <c r="T556" s="230">
        <f t="shared" si="283"/>
        <v>1800000</v>
      </c>
      <c r="U556" s="230">
        <f>MIN(T556,'Tax Assumptions'!$B$19)</f>
        <v>24500</v>
      </c>
      <c r="V556" s="230">
        <f>MAX(T556-U556-'Tax Assumptions'!$B$8,0)</f>
        <v>1759400</v>
      </c>
      <c r="W556" s="230">
        <f>MAX(T556-U556-'Tax Assumptions'!$B$9,0)</f>
        <v>1767500</v>
      </c>
      <c r="X556" s="230">
        <f>IF(V556=0,0,LOOKUP(V556,'Tax Assumptions'!$F$9:$F$15,'Tax Assumptions'!$I$9:$I$15)+(V556-LOOKUP(V556,'Tax Assumptions'!$F$9:$F$15,'Tax Assumptions'!$F$9:$F$15))*LOOKUP(V556,'Tax Assumptions'!$F$9:$F$15,'Tax Assumptions'!$H$9:$H$15))+MIN(MAX(T556,0),'Tax Assumptions'!$B$11)*'Tax Assumptions'!$B$10+MAX(T556,0)*'Tax Assumptions'!$B$12+MAX(MAX(T556,0)-'Tax Assumptions'!$B$14,0)*'Tax Assumptions'!$B$13+MIN(T556*'Tax Assumptions'!$B$15,'Tax Assumptions'!$B$16)+MIN(T556*'Tax Assumptions'!$B$17,'Tax Assumptions'!$B$18)+IF(W556=0,0,LOOKUP(W556,'Tax Assumptions'!$K$9:$K$17,'Tax Assumptions'!$N$9:$N$17)+(W556-LOOKUP(W556,'Tax Assumptions'!$K$9:$K$17,'Tax Assumptions'!$K$9:$K$17))*LOOKUP(W556,'Tax Assumptions'!$K$9:$K$17,'Tax Assumptions'!$M$9:$M$17))+IF(W556=0,0,LOOKUP(W556,'Tax Assumptions'!$P$9:$P$12,'Tax Assumptions'!$S$9:$S$12)+(W556-LOOKUP(W556,'Tax Assumptions'!$P$9:$P$12,'Tax Assumptions'!$P$9:$P$12))*LOOKUP(W556,'Tax Assumptions'!$P$9:$P$12,'Tax Assumptions'!$R$9:$R$12))</f>
        <v>865478.63500000001</v>
      </c>
      <c r="Y556" s="230">
        <f t="shared" si="284"/>
        <v>910021.36499999999</v>
      </c>
      <c r="Z556" s="230">
        <f>IF(J556&lt;=10,INDEX('Savings Projection'!$BL$19:$BL$28,J556),LOOKUP(2,1/('Savings Projection'!$BL$19:$BL$28&lt;&gt;""),'Savings Projection'!$BL$19:$BL$28))*(1+'Model Inputs'!$B$35)^(J556-1)+IF(J556&lt;=10,INDEX('Savings Projection'!$BM$19:$BM$28,J556),LOOKUP(2,1/('Savings Projection'!$BM$19:$BM$28&lt;&gt;""),'Savings Projection'!$BM$19:$BM$28))*(1+'Model Inputs'!$B$36)^(J556-1)</f>
        <v>280356.86478069925</v>
      </c>
      <c r="AA556" s="230">
        <f t="shared" si="285"/>
        <v>629664.50021930074</v>
      </c>
      <c r="AB556" s="230">
        <f>MIN(MAX(AA556,0),'Tax Assumptions'!$B$20)</f>
        <v>7500</v>
      </c>
      <c r="AC556" s="230">
        <f t="shared" si="286"/>
        <v>622164.50021930074</v>
      </c>
      <c r="AD556" s="230">
        <f>MAX(AD555*(1+'Model Inputs'!$B$13)+AC556,0)</f>
        <v>38320718.837938897</v>
      </c>
      <c r="AE556" s="230">
        <f>MAX(AE555*(1+'Model Inputs'!$B$13)+U556+AB556,0)</f>
        <v>2038584.5017086829</v>
      </c>
      <c r="AF556" s="230">
        <f t="shared" si="287"/>
        <v>40359303.339647584</v>
      </c>
      <c r="AG556" s="226" t="str">
        <f t="shared" si="309"/>
        <v/>
      </c>
      <c r="AH556" s="226" t="str">
        <f t="shared" si="310"/>
        <v/>
      </c>
      <c r="AI556" s="226" t="str">
        <f t="shared" si="311"/>
        <v/>
      </c>
      <c r="AJ556" s="226" t="str">
        <f t="shared" si="312"/>
        <v/>
      </c>
    </row>
    <row r="557" spans="1:36" ht="18" customHeight="1" x14ac:dyDescent="0.2">
      <c r="A557" s="226" t="str">
        <f t="shared" si="301"/>
        <v>5Y -&gt; PM Y7 Starter</v>
      </c>
      <c r="B557" s="226">
        <f t="shared" si="302"/>
        <v>5</v>
      </c>
      <c r="C557" s="235">
        <f t="shared" si="303"/>
        <v>3</v>
      </c>
      <c r="D557" s="226">
        <f t="shared" si="304"/>
        <v>7</v>
      </c>
      <c r="E557" s="226" t="str">
        <f t="shared" si="305"/>
        <v>Starter</v>
      </c>
      <c r="F557" s="230">
        <f t="shared" si="306"/>
        <v>10000000</v>
      </c>
      <c r="G557" s="236">
        <f t="shared" si="307"/>
        <v>0.15</v>
      </c>
      <c r="H557" s="230">
        <f t="shared" si="308"/>
        <v>300000</v>
      </c>
      <c r="I557" s="236">
        <f t="shared" si="278"/>
        <v>0</v>
      </c>
      <c r="J557" s="234">
        <v>28</v>
      </c>
      <c r="K557" s="234">
        <f t="shared" si="279"/>
        <v>2053</v>
      </c>
      <c r="L557" s="230">
        <f>IF(J557=1,'Model Inputs'!$B$25*(13-'Model Inputs'!$B$23)/12,'Model Inputs'!$B$25)</f>
        <v>300000</v>
      </c>
      <c r="M557" s="230">
        <f>IF(J557=1,'Model Inputs'!$B$27*(13-'Model Inputs'!$B$23)/12,IF(J557=2,'Model Inputs'!$B$27,IF(J557&lt;=MAX(3,'Model Inputs'!$B$30+1),'Model Inputs'!$B$27*(1+'Model Inputs'!$B$28)^(J557-3),'Model Inputs'!$B$27*(1+'Model Inputs'!$B$28)^(MAX(3,'Model Inputs'!$B$30+1)-3)*(1+'Model Inputs'!$B$29)^(J557-MAX(3,'Model Inputs'!$B$30+1)))))</f>
        <v>235563492.81236541</v>
      </c>
      <c r="N557" s="236">
        <f>IF(J557&lt;=2,0,'Model Inputs'!$B$32*SIN(2*PI()*(J557-3+'Model Inputs'!$B$34)/MAX(1,'Model Inputs'!$B$33)))</f>
        <v>0.10392304845413247</v>
      </c>
      <c r="O557" s="230">
        <f t="shared" si="280"/>
        <v>260043969.08992955</v>
      </c>
      <c r="P557" s="230">
        <f t="shared" si="313"/>
        <v>171689024.02305913</v>
      </c>
      <c r="Q557" s="230">
        <f>L557+P557+IF(J557=1,'Model Inputs'!$B$26,0)</f>
        <v>171989024.02305913</v>
      </c>
      <c r="R557" s="230">
        <f t="shared" si="281"/>
        <v>515967072.06917739</v>
      </c>
      <c r="S557" s="230">
        <f t="shared" si="282"/>
        <v>1800000</v>
      </c>
      <c r="T557" s="230">
        <f t="shared" si="283"/>
        <v>1800000</v>
      </c>
      <c r="U557" s="230">
        <f>MIN(T557,'Tax Assumptions'!$B$19)</f>
        <v>24500</v>
      </c>
      <c r="V557" s="230">
        <f>MAX(T557-U557-'Tax Assumptions'!$B$8,0)</f>
        <v>1759400</v>
      </c>
      <c r="W557" s="230">
        <f>MAX(T557-U557-'Tax Assumptions'!$B$9,0)</f>
        <v>1767500</v>
      </c>
      <c r="X557" s="230">
        <f>IF(V557=0,0,LOOKUP(V557,'Tax Assumptions'!$F$9:$F$15,'Tax Assumptions'!$I$9:$I$15)+(V557-LOOKUP(V557,'Tax Assumptions'!$F$9:$F$15,'Tax Assumptions'!$F$9:$F$15))*LOOKUP(V557,'Tax Assumptions'!$F$9:$F$15,'Tax Assumptions'!$H$9:$H$15))+MIN(MAX(T557,0),'Tax Assumptions'!$B$11)*'Tax Assumptions'!$B$10+MAX(T557,0)*'Tax Assumptions'!$B$12+MAX(MAX(T557,0)-'Tax Assumptions'!$B$14,0)*'Tax Assumptions'!$B$13+MIN(T557*'Tax Assumptions'!$B$15,'Tax Assumptions'!$B$16)+MIN(T557*'Tax Assumptions'!$B$17,'Tax Assumptions'!$B$18)+IF(W557=0,0,LOOKUP(W557,'Tax Assumptions'!$K$9:$K$17,'Tax Assumptions'!$N$9:$N$17)+(W557-LOOKUP(W557,'Tax Assumptions'!$K$9:$K$17,'Tax Assumptions'!$K$9:$K$17))*LOOKUP(W557,'Tax Assumptions'!$K$9:$K$17,'Tax Assumptions'!$M$9:$M$17))+IF(W557=0,0,LOOKUP(W557,'Tax Assumptions'!$P$9:$P$12,'Tax Assumptions'!$S$9:$S$12)+(W557-LOOKUP(W557,'Tax Assumptions'!$P$9:$P$12,'Tax Assumptions'!$P$9:$P$12))*LOOKUP(W557,'Tax Assumptions'!$P$9:$P$12,'Tax Assumptions'!$R$9:$R$12))</f>
        <v>865478.63500000001</v>
      </c>
      <c r="Y557" s="230">
        <f t="shared" si="284"/>
        <v>910021.36499999999</v>
      </c>
      <c r="Z557" s="230">
        <f>IF(J557&lt;=10,INDEX('Savings Projection'!$BL$19:$BL$28,J557),LOOKUP(2,1/('Savings Projection'!$BL$19:$BL$28&lt;&gt;""),'Savings Projection'!$BL$19:$BL$28))*(1+'Model Inputs'!$B$35)^(J557-1)+IF(J557&lt;=10,INDEX('Savings Projection'!$BM$19:$BM$28,J557),LOOKUP(2,1/('Savings Projection'!$BM$19:$BM$28&lt;&gt;""),'Savings Projection'!$BM$19:$BM$28))*(1+'Model Inputs'!$B$36)^(J557-1)</f>
        <v>288767.57072412025</v>
      </c>
      <c r="AA557" s="230">
        <f t="shared" si="285"/>
        <v>621253.79427587974</v>
      </c>
      <c r="AB557" s="230">
        <f>MIN(MAX(AA557,0),'Tax Assumptions'!$B$20)</f>
        <v>7500</v>
      </c>
      <c r="AC557" s="230">
        <f t="shared" si="286"/>
        <v>613753.79427587974</v>
      </c>
      <c r="AD557" s="230">
        <f>MAX(AD556*(1+'Model Inputs'!$B$13)+AC557,0)</f>
        <v>41233715.762491114</v>
      </c>
      <c r="AE557" s="230">
        <f>MAX(AE556*(1+'Model Inputs'!$B$13)+U557+AB557,0)</f>
        <v>2192899.5718112038</v>
      </c>
      <c r="AF557" s="230">
        <f t="shared" si="287"/>
        <v>43426615.334302321</v>
      </c>
      <c r="AG557" s="226" t="str">
        <f t="shared" si="309"/>
        <v/>
      </c>
      <c r="AH557" s="226" t="str">
        <f t="shared" si="310"/>
        <v/>
      </c>
      <c r="AI557" s="226" t="str">
        <f t="shared" si="311"/>
        <v/>
      </c>
      <c r="AJ557" s="226" t="str">
        <f t="shared" si="312"/>
        <v/>
      </c>
    </row>
    <row r="558" spans="1:36" ht="18" customHeight="1" x14ac:dyDescent="0.2">
      <c r="A558" s="226" t="str">
        <f t="shared" si="301"/>
        <v>5Y -&gt; PM Y7 Starter</v>
      </c>
      <c r="B558" s="226">
        <f t="shared" si="302"/>
        <v>5</v>
      </c>
      <c r="C558" s="235">
        <f t="shared" si="303"/>
        <v>3</v>
      </c>
      <c r="D558" s="226">
        <f t="shared" si="304"/>
        <v>7</v>
      </c>
      <c r="E558" s="226" t="str">
        <f t="shared" si="305"/>
        <v>Starter</v>
      </c>
      <c r="F558" s="230">
        <f t="shared" si="306"/>
        <v>10000000</v>
      </c>
      <c r="G558" s="236">
        <f t="shared" si="307"/>
        <v>0.15</v>
      </c>
      <c r="H558" s="230">
        <f t="shared" si="308"/>
        <v>300000</v>
      </c>
      <c r="I558" s="236">
        <f t="shared" si="278"/>
        <v>0</v>
      </c>
      <c r="J558" s="234">
        <v>29</v>
      </c>
      <c r="K558" s="234">
        <f t="shared" si="279"/>
        <v>2054</v>
      </c>
      <c r="L558" s="230">
        <f>IF(J558=1,'Model Inputs'!$B$25*(13-'Model Inputs'!$B$23)/12,'Model Inputs'!$B$25)</f>
        <v>300000</v>
      </c>
      <c r="M558" s="230">
        <f>IF(J558=1,'Model Inputs'!$B$27*(13-'Model Inputs'!$B$23)/12,IF(J558=2,'Model Inputs'!$B$27,IF(J558&lt;=MAX(3,'Model Inputs'!$B$30+1),'Model Inputs'!$B$27*(1+'Model Inputs'!$B$28)^(J558-3),'Model Inputs'!$B$27*(1+'Model Inputs'!$B$28)^(MAX(3,'Model Inputs'!$B$30+1)-3)*(1+'Model Inputs'!$B$29)^(J558-MAX(3,'Model Inputs'!$B$30+1)))))</f>
        <v>299372327.53708321</v>
      </c>
      <c r="N558" s="236">
        <f>IF(J558&lt;=2,0,'Model Inputs'!$B$32*SIN(2*PI()*(J558-3+'Model Inputs'!$B$34)/MAX(1,'Model Inputs'!$B$33)))</f>
        <v>-0.10392304845413265</v>
      </c>
      <c r="O558" s="230">
        <f t="shared" si="280"/>
        <v>268260642.63662043</v>
      </c>
      <c r="P558" s="230">
        <f t="shared" si="313"/>
        <v>241371727.96595448</v>
      </c>
      <c r="Q558" s="230">
        <f>L558+P558+IF(J558=1,'Model Inputs'!$B$26,0)</f>
        <v>241671727.96595448</v>
      </c>
      <c r="R558" s="230">
        <f t="shared" si="281"/>
        <v>725015183.89786339</v>
      </c>
      <c r="S558" s="230">
        <f t="shared" si="282"/>
        <v>1800000</v>
      </c>
      <c r="T558" s="230">
        <f t="shared" si="283"/>
        <v>1800000</v>
      </c>
      <c r="U558" s="230">
        <f>MIN(T558,'Tax Assumptions'!$B$19)</f>
        <v>24500</v>
      </c>
      <c r="V558" s="230">
        <f>MAX(T558-U558-'Tax Assumptions'!$B$8,0)</f>
        <v>1759400</v>
      </c>
      <c r="W558" s="230">
        <f>MAX(T558-U558-'Tax Assumptions'!$B$9,0)</f>
        <v>1767500</v>
      </c>
      <c r="X558" s="230">
        <f>IF(V558=0,0,LOOKUP(V558,'Tax Assumptions'!$F$9:$F$15,'Tax Assumptions'!$I$9:$I$15)+(V558-LOOKUP(V558,'Tax Assumptions'!$F$9:$F$15,'Tax Assumptions'!$F$9:$F$15))*LOOKUP(V558,'Tax Assumptions'!$F$9:$F$15,'Tax Assumptions'!$H$9:$H$15))+MIN(MAX(T558,0),'Tax Assumptions'!$B$11)*'Tax Assumptions'!$B$10+MAX(T558,0)*'Tax Assumptions'!$B$12+MAX(MAX(T558,0)-'Tax Assumptions'!$B$14,0)*'Tax Assumptions'!$B$13+MIN(T558*'Tax Assumptions'!$B$15,'Tax Assumptions'!$B$16)+MIN(T558*'Tax Assumptions'!$B$17,'Tax Assumptions'!$B$18)+IF(W558=0,0,LOOKUP(W558,'Tax Assumptions'!$K$9:$K$17,'Tax Assumptions'!$N$9:$N$17)+(W558-LOOKUP(W558,'Tax Assumptions'!$K$9:$K$17,'Tax Assumptions'!$K$9:$K$17))*LOOKUP(W558,'Tax Assumptions'!$K$9:$K$17,'Tax Assumptions'!$M$9:$M$17))+IF(W558=0,0,LOOKUP(W558,'Tax Assumptions'!$P$9:$P$12,'Tax Assumptions'!$S$9:$S$12)+(W558-LOOKUP(W558,'Tax Assumptions'!$P$9:$P$12,'Tax Assumptions'!$P$9:$P$12))*LOOKUP(W558,'Tax Assumptions'!$P$9:$P$12,'Tax Assumptions'!$R$9:$R$12))</f>
        <v>865478.63500000001</v>
      </c>
      <c r="Y558" s="230">
        <f t="shared" si="284"/>
        <v>910021.36499999999</v>
      </c>
      <c r="Z558" s="230">
        <f>IF(J558&lt;=10,INDEX('Savings Projection'!$BL$19:$BL$28,J558),LOOKUP(2,1/('Savings Projection'!$BL$19:$BL$28&lt;&gt;""),'Savings Projection'!$BL$19:$BL$28))*(1+'Model Inputs'!$B$35)^(J558-1)+IF(J558&lt;=10,INDEX('Savings Projection'!$BM$19:$BM$28,J558),LOOKUP(2,1/('Savings Projection'!$BM$19:$BM$28&lt;&gt;""),'Savings Projection'!$BM$19:$BM$28))*(1+'Model Inputs'!$B$36)^(J558-1)</f>
        <v>297430.59784584382</v>
      </c>
      <c r="AA558" s="230">
        <f t="shared" si="285"/>
        <v>612590.76715415623</v>
      </c>
      <c r="AB558" s="230">
        <f>MIN(MAX(AA558,0),'Tax Assumptions'!$B$20)</f>
        <v>7500</v>
      </c>
      <c r="AC558" s="230">
        <f t="shared" si="286"/>
        <v>605090.76715415623</v>
      </c>
      <c r="AD558" s="230">
        <f>MAX(AD557*(1+'Model Inputs'!$B$13)+AC558,0)</f>
        <v>44312829.475394741</v>
      </c>
      <c r="AE558" s="230">
        <f>MAX(AE557*(1+'Model Inputs'!$B$13)+U558+AB558,0)</f>
        <v>2356473.5461198762</v>
      </c>
      <c r="AF558" s="230">
        <f t="shared" si="287"/>
        <v>46669303.021514617</v>
      </c>
      <c r="AG558" s="226" t="str">
        <f t="shared" si="309"/>
        <v/>
      </c>
      <c r="AH558" s="226" t="str">
        <f t="shared" si="310"/>
        <v/>
      </c>
      <c r="AI558" s="226" t="str">
        <f t="shared" si="311"/>
        <v/>
      </c>
      <c r="AJ558" s="226" t="str">
        <f t="shared" si="312"/>
        <v/>
      </c>
    </row>
    <row r="559" spans="1:36" ht="18" customHeight="1" x14ac:dyDescent="0.2">
      <c r="A559" s="226" t="str">
        <f t="shared" si="301"/>
        <v>5Y -&gt; PM Y7 Starter</v>
      </c>
      <c r="B559" s="226">
        <f t="shared" si="302"/>
        <v>5</v>
      </c>
      <c r="C559" s="235">
        <f t="shared" si="303"/>
        <v>3</v>
      </c>
      <c r="D559" s="226">
        <f t="shared" si="304"/>
        <v>7</v>
      </c>
      <c r="E559" s="226" t="str">
        <f t="shared" si="305"/>
        <v>Starter</v>
      </c>
      <c r="F559" s="230">
        <f t="shared" si="306"/>
        <v>10000000</v>
      </c>
      <c r="G559" s="236">
        <f t="shared" si="307"/>
        <v>0.15</v>
      </c>
      <c r="H559" s="230">
        <f t="shared" si="308"/>
        <v>300000</v>
      </c>
      <c r="I559" s="236">
        <f t="shared" si="278"/>
        <v>0</v>
      </c>
      <c r="J559" s="234">
        <v>30</v>
      </c>
      <c r="K559" s="234">
        <f t="shared" si="279"/>
        <v>2055</v>
      </c>
      <c r="L559" s="230">
        <f>IF(J559=1,'Model Inputs'!$B$25*(13-'Model Inputs'!$B$23)/12,'Model Inputs'!$B$25)</f>
        <v>300000</v>
      </c>
      <c r="M559" s="230">
        <f>IF(J559=1,'Model Inputs'!$B$27*(13-'Model Inputs'!$B$23)/12,IF(J559=2,'Model Inputs'!$B$27,IF(J559&lt;=MAX(3,'Model Inputs'!$B$30+1),'Model Inputs'!$B$27*(1+'Model Inputs'!$B$28)^(J559-3),'Model Inputs'!$B$27*(1+'Model Inputs'!$B$28)^(MAX(3,'Model Inputs'!$B$30+1)-3)*(1+'Model Inputs'!$B$29)^(J559-MAX(3,'Model Inputs'!$B$30+1)))))</f>
        <v>380465535.74563926</v>
      </c>
      <c r="N559" s="236">
        <f>IF(J559&lt;=2,0,'Model Inputs'!$B$32*SIN(2*PI()*(J559-3+'Model Inputs'!$B$34)/MAX(1,'Model Inputs'!$B$33)))</f>
        <v>-2.645237086158283E-16</v>
      </c>
      <c r="O559" s="230">
        <f t="shared" si="280"/>
        <v>380465535.7456392</v>
      </c>
      <c r="P559" s="230">
        <f t="shared" si="313"/>
        <v>266206474.24994773</v>
      </c>
      <c r="Q559" s="230">
        <f>L559+P559+IF(J559=1,'Model Inputs'!$B$26,0)</f>
        <v>266506474.24994773</v>
      </c>
      <c r="R559" s="230">
        <f t="shared" si="281"/>
        <v>799519422.74984312</v>
      </c>
      <c r="S559" s="230">
        <f t="shared" si="282"/>
        <v>1800000</v>
      </c>
      <c r="T559" s="230">
        <f t="shared" si="283"/>
        <v>1800000</v>
      </c>
      <c r="U559" s="230">
        <f>MIN(T559,'Tax Assumptions'!$B$19)</f>
        <v>24500</v>
      </c>
      <c r="V559" s="230">
        <f>MAX(T559-U559-'Tax Assumptions'!$B$8,0)</f>
        <v>1759400</v>
      </c>
      <c r="W559" s="230">
        <f>MAX(T559-U559-'Tax Assumptions'!$B$9,0)</f>
        <v>1767500</v>
      </c>
      <c r="X559" s="230">
        <f>IF(V559=0,0,LOOKUP(V559,'Tax Assumptions'!$F$9:$F$15,'Tax Assumptions'!$I$9:$I$15)+(V559-LOOKUP(V559,'Tax Assumptions'!$F$9:$F$15,'Tax Assumptions'!$F$9:$F$15))*LOOKUP(V559,'Tax Assumptions'!$F$9:$F$15,'Tax Assumptions'!$H$9:$H$15))+MIN(MAX(T559,0),'Tax Assumptions'!$B$11)*'Tax Assumptions'!$B$10+MAX(T559,0)*'Tax Assumptions'!$B$12+MAX(MAX(T559,0)-'Tax Assumptions'!$B$14,0)*'Tax Assumptions'!$B$13+MIN(T559*'Tax Assumptions'!$B$15,'Tax Assumptions'!$B$16)+MIN(T559*'Tax Assumptions'!$B$17,'Tax Assumptions'!$B$18)+IF(W559=0,0,LOOKUP(W559,'Tax Assumptions'!$K$9:$K$17,'Tax Assumptions'!$N$9:$N$17)+(W559-LOOKUP(W559,'Tax Assumptions'!$K$9:$K$17,'Tax Assumptions'!$K$9:$K$17))*LOOKUP(W559,'Tax Assumptions'!$K$9:$K$17,'Tax Assumptions'!$M$9:$M$17))+IF(W559=0,0,LOOKUP(W559,'Tax Assumptions'!$P$9:$P$12,'Tax Assumptions'!$S$9:$S$12)+(W559-LOOKUP(W559,'Tax Assumptions'!$P$9:$P$12,'Tax Assumptions'!$P$9:$P$12))*LOOKUP(W559,'Tax Assumptions'!$P$9:$P$12,'Tax Assumptions'!$R$9:$R$12))</f>
        <v>865478.63500000001</v>
      </c>
      <c r="Y559" s="230">
        <f t="shared" si="284"/>
        <v>910021.36499999999</v>
      </c>
      <c r="Z559" s="230">
        <f>IF(J559&lt;=10,INDEX('Savings Projection'!$BL$19:$BL$28,J559),LOOKUP(2,1/('Savings Projection'!$BL$19:$BL$28&lt;&gt;""),'Savings Projection'!$BL$19:$BL$28))*(1+'Model Inputs'!$B$35)^(J559-1)+IF(J559&lt;=10,INDEX('Savings Projection'!$BM$19:$BM$28,J559),LOOKUP(2,1/('Savings Projection'!$BM$19:$BM$28&lt;&gt;""),'Savings Projection'!$BM$19:$BM$28))*(1+'Model Inputs'!$B$36)^(J559-1)</f>
        <v>306353.51578121912</v>
      </c>
      <c r="AA559" s="230">
        <f t="shared" si="285"/>
        <v>603667.84921878087</v>
      </c>
      <c r="AB559" s="230">
        <f>MIN(MAX(AA559,0),'Tax Assumptions'!$B$20)</f>
        <v>7500</v>
      </c>
      <c r="AC559" s="230">
        <f t="shared" si="286"/>
        <v>596167.84921878087</v>
      </c>
      <c r="AD559" s="230">
        <f>MAX(AD558*(1+'Model Inputs'!$B$13)+AC559,0)</f>
        <v>47567767.093137205</v>
      </c>
      <c r="AE559" s="230">
        <f>MAX(AE558*(1+'Model Inputs'!$B$13)+U559+AB559,0)</f>
        <v>2529861.958887069</v>
      </c>
      <c r="AF559" s="230">
        <f t="shared" si="287"/>
        <v>50097629.052024275</v>
      </c>
      <c r="AG559" s="226" t="str">
        <f t="shared" si="309"/>
        <v/>
      </c>
      <c r="AH559" s="226" t="str">
        <f t="shared" si="310"/>
        <v/>
      </c>
      <c r="AI559" s="226" t="str">
        <f t="shared" si="311"/>
        <v/>
      </c>
      <c r="AJ559" s="226" t="str">
        <f t="shared" si="312"/>
        <v/>
      </c>
    </row>
    <row r="560" spans="1:36" ht="18" customHeight="1" x14ac:dyDescent="0.2">
      <c r="A560" s="226" t="str">
        <f t="shared" ref="A560:A589" si="314">$A$39</f>
        <v>5Y -&gt; PM Y7 Base</v>
      </c>
      <c r="B560" s="226">
        <f t="shared" ref="B560:B589" si="315">$B$39</f>
        <v>5</v>
      </c>
      <c r="C560" s="235">
        <f t="shared" ref="C560:C589" si="316">$C$39</f>
        <v>3</v>
      </c>
      <c r="D560" s="226">
        <f t="shared" ref="D560:D589" si="317">$D$39</f>
        <v>7</v>
      </c>
      <c r="E560" s="226" t="str">
        <f t="shared" ref="E560:E589" si="318">$E$39</f>
        <v>Base</v>
      </c>
      <c r="F560" s="230">
        <f t="shared" ref="F560:F589" si="319">$F$39</f>
        <v>25000000</v>
      </c>
      <c r="G560" s="236">
        <f t="shared" ref="G560:G589" si="320">$G$39</f>
        <v>0.15</v>
      </c>
      <c r="H560" s="230">
        <f t="shared" ref="H560:H589" si="321">$H$39</f>
        <v>300000</v>
      </c>
      <c r="I560" s="236">
        <f t="shared" si="278"/>
        <v>0</v>
      </c>
      <c r="J560" s="234">
        <v>1</v>
      </c>
      <c r="K560" s="234">
        <f t="shared" si="279"/>
        <v>2026</v>
      </c>
      <c r="L560" s="230">
        <f>IF(J560=1,'Model Inputs'!$B$25*(13-'Model Inputs'!$B$23)/12,'Model Inputs'!$B$25)</f>
        <v>100000</v>
      </c>
      <c r="M560" s="230">
        <f>IF(J560=1,'Model Inputs'!$B$27*(13-'Model Inputs'!$B$23)/12,IF(J560=2,'Model Inputs'!$B$27,IF(J560&lt;=MAX(3,'Model Inputs'!$B$30+1),'Model Inputs'!$B$27*(1+'Model Inputs'!$B$28)^(J560-3),'Model Inputs'!$B$27*(1+'Model Inputs'!$B$28)^(MAX(3,'Model Inputs'!$B$30+1)-3)*(1+'Model Inputs'!$B$29)^(J560-MAX(3,'Model Inputs'!$B$30+1)))))</f>
        <v>150000</v>
      </c>
      <c r="N560" s="236">
        <f>IF(J560&lt;=2,0,'Model Inputs'!$B$32*SIN(2*PI()*(J560-3+'Model Inputs'!$B$34)/MAX(1,'Model Inputs'!$B$33)))</f>
        <v>0</v>
      </c>
      <c r="O560" s="230">
        <f t="shared" si="280"/>
        <v>150000</v>
      </c>
      <c r="P560" s="230">
        <f>0</f>
        <v>0</v>
      </c>
      <c r="Q560" s="230">
        <f>L560+P560+IF(J560=1,'Model Inputs'!$B$26,0)</f>
        <v>550000</v>
      </c>
      <c r="R560" s="230">
        <f t="shared" si="281"/>
        <v>550000</v>
      </c>
      <c r="S560" s="230">
        <f t="shared" si="282"/>
        <v>4050000</v>
      </c>
      <c r="T560" s="230">
        <f t="shared" si="283"/>
        <v>550000</v>
      </c>
      <c r="U560" s="230">
        <f>MIN(T560,'Tax Assumptions'!$B$19)</f>
        <v>24500</v>
      </c>
      <c r="V560" s="230">
        <f>MAX(T560-U560-'Tax Assumptions'!$B$8,0)</f>
        <v>509400</v>
      </c>
      <c r="W560" s="230">
        <f>MAX(T560-U560-'Tax Assumptions'!$B$9,0)</f>
        <v>517500</v>
      </c>
      <c r="X560" s="230">
        <f>IF(V560=0,0,LOOKUP(V560,'Tax Assumptions'!$F$9:$F$15,'Tax Assumptions'!$I$9:$I$15)+(V560-LOOKUP(V560,'Tax Assumptions'!$F$9:$F$15,'Tax Assumptions'!$F$9:$F$15))*LOOKUP(V560,'Tax Assumptions'!$F$9:$F$15,'Tax Assumptions'!$H$9:$H$15))+MIN(MAX(T560,0),'Tax Assumptions'!$B$11)*'Tax Assumptions'!$B$10+MAX(T560,0)*'Tax Assumptions'!$B$12+MAX(MAX(T560,0)-'Tax Assumptions'!$B$14,0)*'Tax Assumptions'!$B$13+MIN(T560*'Tax Assumptions'!$B$15,'Tax Assumptions'!$B$16)+MIN(T560*'Tax Assumptions'!$B$17,'Tax Assumptions'!$B$18)+IF(W560=0,0,LOOKUP(W560,'Tax Assumptions'!$K$9:$K$17,'Tax Assumptions'!$N$9:$N$17)+(W560-LOOKUP(W560,'Tax Assumptions'!$K$9:$K$17,'Tax Assumptions'!$K$9:$K$17))*LOOKUP(W560,'Tax Assumptions'!$K$9:$K$17,'Tax Assumptions'!$M$9:$M$17))+IF(W560=0,0,LOOKUP(W560,'Tax Assumptions'!$P$9:$P$12,'Tax Assumptions'!$S$9:$S$12)+(W560-LOOKUP(W560,'Tax Assumptions'!$P$9:$P$12,'Tax Assumptions'!$P$9:$P$12))*LOOKUP(W560,'Tax Assumptions'!$P$9:$P$12,'Tax Assumptions'!$R$9:$R$12))</f>
        <v>222834.53000000003</v>
      </c>
      <c r="Y560" s="230">
        <f t="shared" si="284"/>
        <v>302665.46999999997</v>
      </c>
      <c r="Z560" s="230">
        <f>IF(J560&lt;=10,INDEX('Savings Projection'!$BL$19:$BL$28,J560),LOOKUP(2,1/('Savings Projection'!$BL$19:$BL$28&lt;&gt;""),'Savings Projection'!$BL$19:$BL$28))*(1+'Model Inputs'!$B$35)^(J560-1)+IF(J560&lt;=10,INDEX('Savings Projection'!$BM$19:$BM$28,J560),LOOKUP(2,1/('Savings Projection'!$BM$19:$BM$28&lt;&gt;""),'Savings Projection'!$BM$19:$BM$28))*(1+'Model Inputs'!$B$36)^(J560-1)</f>
        <v>118000</v>
      </c>
      <c r="AA560" s="230">
        <f t="shared" si="285"/>
        <v>184665.46999999997</v>
      </c>
      <c r="AB560" s="230">
        <f>MIN(MAX(AA560,0),'Tax Assumptions'!$B$20)</f>
        <v>7500</v>
      </c>
      <c r="AC560" s="230">
        <f t="shared" si="286"/>
        <v>177165.46999999997</v>
      </c>
      <c r="AD560" s="230">
        <f>MAX('Model Inputs'!$B$7*(1+'Model Inputs'!$B$13)+AC560,0)</f>
        <v>336165.47</v>
      </c>
      <c r="AE560" s="230">
        <f>MAX(('Model Inputs'!$B$8+'Model Inputs'!$B$9+'Model Inputs'!$B$10)*(1+'Model Inputs'!$B$13)+U560+AB560,0)</f>
        <v>32000</v>
      </c>
      <c r="AF560" s="230">
        <f t="shared" si="287"/>
        <v>368165.47</v>
      </c>
      <c r="AG560" s="226" t="str">
        <f>IF(AND(AF560&gt;=$F$14,0&lt;$F$14),J560,"")</f>
        <v/>
      </c>
      <c r="AH560" s="226" t="str">
        <f>IF(AND(AF560&gt;=$F$15,0&lt;$F$15),J560,"")</f>
        <v/>
      </c>
      <c r="AI560" s="226" t="str">
        <f>IF(AND(AF560&gt;=$F$16,0&lt;$F$16),J560,"")</f>
        <v/>
      </c>
      <c r="AJ560" s="226" t="str">
        <f>IF(AND(AF560&gt;=$F$17,0&lt;$F$17),J560,"")</f>
        <v/>
      </c>
    </row>
    <row r="561" spans="1:36" ht="18" customHeight="1" x14ac:dyDescent="0.2">
      <c r="A561" s="226" t="str">
        <f t="shared" si="314"/>
        <v>5Y -&gt; PM Y7 Base</v>
      </c>
      <c r="B561" s="226">
        <f t="shared" si="315"/>
        <v>5</v>
      </c>
      <c r="C561" s="235">
        <f t="shared" si="316"/>
        <v>3</v>
      </c>
      <c r="D561" s="226">
        <f t="shared" si="317"/>
        <v>7</v>
      </c>
      <c r="E561" s="226" t="str">
        <f t="shared" si="318"/>
        <v>Base</v>
      </c>
      <c r="F561" s="230">
        <f t="shared" si="319"/>
        <v>25000000</v>
      </c>
      <c r="G561" s="236">
        <f t="shared" si="320"/>
        <v>0.15</v>
      </c>
      <c r="H561" s="230">
        <f t="shared" si="321"/>
        <v>300000</v>
      </c>
      <c r="I561" s="236">
        <f t="shared" si="278"/>
        <v>0</v>
      </c>
      <c r="J561" s="234">
        <v>2</v>
      </c>
      <c r="K561" s="234">
        <f t="shared" si="279"/>
        <v>2027</v>
      </c>
      <c r="L561" s="230">
        <f>IF(J561=1,'Model Inputs'!$B$25*(13-'Model Inputs'!$B$23)/12,'Model Inputs'!$B$25)</f>
        <v>300000</v>
      </c>
      <c r="M561" s="230">
        <f>IF(J561=1,'Model Inputs'!$B$27*(13-'Model Inputs'!$B$23)/12,IF(J561=2,'Model Inputs'!$B$27,IF(J561&lt;=MAX(3,'Model Inputs'!$B$30+1),'Model Inputs'!$B$27*(1+'Model Inputs'!$B$28)^(J561-3),'Model Inputs'!$B$27*(1+'Model Inputs'!$B$28)^(MAX(3,'Model Inputs'!$B$30+1)-3)*(1+'Model Inputs'!$B$29)^(J561-MAX(3,'Model Inputs'!$B$30+1)))))</f>
        <v>450000</v>
      </c>
      <c r="N561" s="236">
        <f>IF(J561&lt;=2,0,'Model Inputs'!$B$32*SIN(2*PI()*(J561-3+'Model Inputs'!$B$34)/MAX(1,'Model Inputs'!$B$33)))</f>
        <v>0</v>
      </c>
      <c r="O561" s="230">
        <f t="shared" si="280"/>
        <v>450000</v>
      </c>
      <c r="P561" s="230">
        <f>0.75*O560</f>
        <v>112500</v>
      </c>
      <c r="Q561" s="230">
        <f>L561+P561+IF(J561=1,'Model Inputs'!$B$26,0)</f>
        <v>412500</v>
      </c>
      <c r="R561" s="230">
        <f t="shared" si="281"/>
        <v>412500</v>
      </c>
      <c r="S561" s="230">
        <f t="shared" si="282"/>
        <v>4050000</v>
      </c>
      <c r="T561" s="230">
        <f t="shared" si="283"/>
        <v>412500</v>
      </c>
      <c r="U561" s="230">
        <f>MIN(T561,'Tax Assumptions'!$B$19)</f>
        <v>24500</v>
      </c>
      <c r="V561" s="230">
        <f>MAX(T561-U561-'Tax Assumptions'!$B$8,0)</f>
        <v>371900</v>
      </c>
      <c r="W561" s="230">
        <f>MAX(T561-U561-'Tax Assumptions'!$B$9,0)</f>
        <v>380000</v>
      </c>
      <c r="X561" s="230">
        <f>IF(V561=0,0,LOOKUP(V561,'Tax Assumptions'!$F$9:$F$15,'Tax Assumptions'!$I$9:$I$15)+(V561-LOOKUP(V561,'Tax Assumptions'!$F$9:$F$15,'Tax Assumptions'!$F$9:$F$15))*LOOKUP(V561,'Tax Assumptions'!$F$9:$F$15,'Tax Assumptions'!$H$9:$H$15))+MIN(MAX(T561,0),'Tax Assumptions'!$B$11)*'Tax Assumptions'!$B$10+MAX(T561,0)*'Tax Assumptions'!$B$12+MAX(MAX(T561,0)-'Tax Assumptions'!$B$14,0)*'Tax Assumptions'!$B$13+MIN(T561*'Tax Assumptions'!$B$15,'Tax Assumptions'!$B$16)+MIN(T561*'Tax Assumptions'!$B$17,'Tax Assumptions'!$B$18)+IF(W561=0,0,LOOKUP(W561,'Tax Assumptions'!$K$9:$K$17,'Tax Assumptions'!$N$9:$N$17)+(W561-LOOKUP(W561,'Tax Assumptions'!$K$9:$K$17,'Tax Assumptions'!$K$9:$K$17))*LOOKUP(W561,'Tax Assumptions'!$K$9:$K$17,'Tax Assumptions'!$M$9:$M$17))+IF(W561=0,0,LOOKUP(W561,'Tax Assumptions'!$P$9:$P$12,'Tax Assumptions'!$S$9:$S$12)+(W561-LOOKUP(W561,'Tax Assumptions'!$P$9:$P$12,'Tax Assumptions'!$P$9:$P$12))*LOOKUP(W561,'Tax Assumptions'!$P$9:$P$12,'Tax Assumptions'!$R$9:$R$12))</f>
        <v>156730.03</v>
      </c>
      <c r="Y561" s="230">
        <f t="shared" si="284"/>
        <v>231269.97</v>
      </c>
      <c r="Z561" s="230">
        <f>IF(J561&lt;=10,INDEX('Savings Projection'!$BL$19:$BL$28,J561),LOOKUP(2,1/('Savings Projection'!$BL$19:$BL$28&lt;&gt;""),'Savings Projection'!$BL$19:$BL$28))*(1+'Model Inputs'!$B$35)^(J561-1)+IF(J561&lt;=10,INDEX('Savings Projection'!$BM$19:$BM$28,J561),LOOKUP(2,1/('Savings Projection'!$BM$19:$BM$28&lt;&gt;""),'Savings Projection'!$BM$19:$BM$28))*(1+'Model Inputs'!$B$36)^(J561-1)</f>
        <v>121540</v>
      </c>
      <c r="AA561" s="230">
        <f t="shared" si="285"/>
        <v>109729.97</v>
      </c>
      <c r="AB561" s="230">
        <f>MIN(MAX(AA561,0),'Tax Assumptions'!$B$20)</f>
        <v>7500</v>
      </c>
      <c r="AC561" s="230">
        <f t="shared" si="286"/>
        <v>102229.97</v>
      </c>
      <c r="AD561" s="230">
        <f>MAX(AD560*(1+'Model Inputs'!$B$13)+AC561,0)</f>
        <v>458565.36820000003</v>
      </c>
      <c r="AE561" s="230">
        <f>MAX(AE560*(1+'Model Inputs'!$B$13)+U561+AB561,0)</f>
        <v>65920</v>
      </c>
      <c r="AF561" s="230">
        <f t="shared" si="287"/>
        <v>524485.36820000003</v>
      </c>
      <c r="AG561" s="226" t="str">
        <f t="shared" ref="AG561:AG589" si="322">IF(AND(AF561&gt;=$F$14,AF560&lt;$F$14),J561,"")</f>
        <v/>
      </c>
      <c r="AH561" s="226" t="str">
        <f t="shared" ref="AH561:AH589" si="323">IF(AND(AF561&gt;=$F$15,AF560&lt;$F$15),J561,"")</f>
        <v/>
      </c>
      <c r="AI561" s="226" t="str">
        <f t="shared" ref="AI561:AI589" si="324">IF(AND(AF561&gt;=$F$16,AF560&lt;$F$16),J561,"")</f>
        <v/>
      </c>
      <c r="AJ561" s="226" t="str">
        <f t="shared" ref="AJ561:AJ589" si="325">IF(AND(AF561&gt;=$F$17,AF560&lt;$F$17),J561,"")</f>
        <v/>
      </c>
    </row>
    <row r="562" spans="1:36" ht="18" customHeight="1" x14ac:dyDescent="0.2">
      <c r="A562" s="226" t="str">
        <f t="shared" si="314"/>
        <v>5Y -&gt; PM Y7 Base</v>
      </c>
      <c r="B562" s="226">
        <f t="shared" si="315"/>
        <v>5</v>
      </c>
      <c r="C562" s="235">
        <f t="shared" si="316"/>
        <v>3</v>
      </c>
      <c r="D562" s="226">
        <f t="shared" si="317"/>
        <v>7</v>
      </c>
      <c r="E562" s="226" t="str">
        <f t="shared" si="318"/>
        <v>Base</v>
      </c>
      <c r="F562" s="230">
        <f t="shared" si="319"/>
        <v>25000000</v>
      </c>
      <c r="G562" s="236">
        <f t="shared" si="320"/>
        <v>0.15</v>
      </c>
      <c r="H562" s="230">
        <f t="shared" si="321"/>
        <v>300000</v>
      </c>
      <c r="I562" s="236">
        <f t="shared" ref="I562:I625" si="326">$J$17</f>
        <v>0</v>
      </c>
      <c r="J562" s="234">
        <v>3</v>
      </c>
      <c r="K562" s="234">
        <f t="shared" ref="K562:K625" si="327">2025+J562</f>
        <v>2028</v>
      </c>
      <c r="L562" s="230">
        <f>IF(J562=1,'Model Inputs'!$B$25*(13-'Model Inputs'!$B$23)/12,'Model Inputs'!$B$25)</f>
        <v>300000</v>
      </c>
      <c r="M562" s="230">
        <f>IF(J562=1,'Model Inputs'!$B$27*(13-'Model Inputs'!$B$23)/12,IF(J562=2,'Model Inputs'!$B$27,IF(J562&lt;=MAX(3,'Model Inputs'!$B$30+1),'Model Inputs'!$B$27*(1+'Model Inputs'!$B$28)^(J562-3),'Model Inputs'!$B$27*(1+'Model Inputs'!$B$28)^(MAX(3,'Model Inputs'!$B$30+1)-3)*(1+'Model Inputs'!$B$29)^(J562-MAX(3,'Model Inputs'!$B$30+1)))))</f>
        <v>450000</v>
      </c>
      <c r="N562" s="236">
        <f>IF(J562&lt;=2,0,'Model Inputs'!$B$32*SIN(2*PI()*(J562-3+'Model Inputs'!$B$34)/MAX(1,'Model Inputs'!$B$33)))</f>
        <v>0</v>
      </c>
      <c r="O562" s="230">
        <f t="shared" ref="O562:O625" si="328">M562*(1+N562)</f>
        <v>450000</v>
      </c>
      <c r="P562" s="230">
        <f t="shared" ref="P562:P589" si="329">0.75*O561+0.25*O560</f>
        <v>375000</v>
      </c>
      <c r="Q562" s="230">
        <f>L562+P562+IF(J562=1,'Model Inputs'!$B$26,0)</f>
        <v>675000</v>
      </c>
      <c r="R562" s="230">
        <f t="shared" ref="R562:R625" si="330">IF(J562&lt;=B562,Q562,Q562*C562)</f>
        <v>675000</v>
      </c>
      <c r="S562" s="230">
        <f t="shared" ref="S562:S625" si="331">H562+F562*G562*(1+I562)^MAX(0,J562-D562)</f>
        <v>4050000</v>
      </c>
      <c r="T562" s="230">
        <f t="shared" ref="T562:T625" si="332">IF(J562&gt;=D562,S562,R562)</f>
        <v>675000</v>
      </c>
      <c r="U562" s="230">
        <f>MIN(T562,'Tax Assumptions'!$B$19)</f>
        <v>24500</v>
      </c>
      <c r="V562" s="230">
        <f>MAX(T562-U562-'Tax Assumptions'!$B$8,0)</f>
        <v>634400</v>
      </c>
      <c r="W562" s="230">
        <f>MAX(T562-U562-'Tax Assumptions'!$B$9,0)</f>
        <v>642500</v>
      </c>
      <c r="X562" s="230">
        <f>IF(V562=0,0,LOOKUP(V562,'Tax Assumptions'!$F$9:$F$15,'Tax Assumptions'!$I$9:$I$15)+(V562-LOOKUP(V562,'Tax Assumptions'!$F$9:$F$15,'Tax Assumptions'!$F$9:$F$15))*LOOKUP(V562,'Tax Assumptions'!$F$9:$F$15,'Tax Assumptions'!$H$9:$H$15))+MIN(MAX(T562,0),'Tax Assumptions'!$B$11)*'Tax Assumptions'!$B$10+MAX(T562,0)*'Tax Assumptions'!$B$12+MAX(MAX(T562,0)-'Tax Assumptions'!$B$14,0)*'Tax Assumptions'!$B$13+MIN(T562*'Tax Assumptions'!$B$15,'Tax Assumptions'!$B$16)+MIN(T562*'Tax Assumptions'!$B$17,'Tax Assumptions'!$B$18)+IF(W562=0,0,LOOKUP(W562,'Tax Assumptions'!$K$9:$K$17,'Tax Assumptions'!$N$9:$N$17)+(W562-LOOKUP(W562,'Tax Assumptions'!$K$9:$K$17,'Tax Assumptions'!$K$9:$K$17))*LOOKUP(W562,'Tax Assumptions'!$K$9:$K$17,'Tax Assumptions'!$M$9:$M$17))+IF(W562=0,0,LOOKUP(W562,'Tax Assumptions'!$P$9:$P$12,'Tax Assumptions'!$S$9:$S$12)+(W562-LOOKUP(W562,'Tax Assumptions'!$P$9:$P$12,'Tax Assumptions'!$P$9:$P$12))*LOOKUP(W562,'Tax Assumptions'!$P$9:$P$12,'Tax Assumptions'!$R$9:$R$12))</f>
        <v>282929.53000000003</v>
      </c>
      <c r="Y562" s="230">
        <f t="shared" ref="Y562:Y625" si="333">T562-U562-X562</f>
        <v>367570.47</v>
      </c>
      <c r="Z562" s="230">
        <f>IF(J562&lt;=10,INDEX('Savings Projection'!$BL$19:$BL$28,J562),LOOKUP(2,1/('Savings Projection'!$BL$19:$BL$28&lt;&gt;""),'Savings Projection'!$BL$19:$BL$28))*(1+'Model Inputs'!$B$35)^(J562-1)+IF(J562&lt;=10,INDEX('Savings Projection'!$BM$19:$BM$28,J562),LOOKUP(2,1/('Savings Projection'!$BM$19:$BM$28&lt;&gt;""),'Savings Projection'!$BM$19:$BM$28))*(1+'Model Inputs'!$B$36)^(J562-1)</f>
        <v>135795.20000000001</v>
      </c>
      <c r="AA562" s="230">
        <f t="shared" ref="AA562:AA625" si="334">Y562-Z562</f>
        <v>231775.26999999996</v>
      </c>
      <c r="AB562" s="230">
        <f>MIN(MAX(AA562,0),'Tax Assumptions'!$B$20)</f>
        <v>7500</v>
      </c>
      <c r="AC562" s="230">
        <f t="shared" ref="AC562:AC625" si="335">AA562-AB562</f>
        <v>224275.26999999996</v>
      </c>
      <c r="AD562" s="230">
        <f>MAX(AD561*(1+'Model Inputs'!$B$13)+AC562,0)</f>
        <v>710354.56029199995</v>
      </c>
      <c r="AE562" s="230">
        <f>MAX(AE561*(1+'Model Inputs'!$B$13)+U562+AB562,0)</f>
        <v>101875.2</v>
      </c>
      <c r="AF562" s="230">
        <f t="shared" ref="AF562:AF625" si="336">AD562+AE562</f>
        <v>812229.7602919999</v>
      </c>
      <c r="AG562" s="226" t="str">
        <f t="shared" si="322"/>
        <v/>
      </c>
      <c r="AH562" s="226" t="str">
        <f t="shared" si="323"/>
        <v/>
      </c>
      <c r="AI562" s="226" t="str">
        <f t="shared" si="324"/>
        <v/>
      </c>
      <c r="AJ562" s="226" t="str">
        <f t="shared" si="325"/>
        <v/>
      </c>
    </row>
    <row r="563" spans="1:36" ht="18" customHeight="1" x14ac:dyDescent="0.2">
      <c r="A563" s="226" t="str">
        <f t="shared" si="314"/>
        <v>5Y -&gt; PM Y7 Base</v>
      </c>
      <c r="B563" s="226">
        <f t="shared" si="315"/>
        <v>5</v>
      </c>
      <c r="C563" s="235">
        <f t="shared" si="316"/>
        <v>3</v>
      </c>
      <c r="D563" s="226">
        <f t="shared" si="317"/>
        <v>7</v>
      </c>
      <c r="E563" s="226" t="str">
        <f t="shared" si="318"/>
        <v>Base</v>
      </c>
      <c r="F563" s="230">
        <f t="shared" si="319"/>
        <v>25000000</v>
      </c>
      <c r="G563" s="236">
        <f t="shared" si="320"/>
        <v>0.15</v>
      </c>
      <c r="H563" s="230">
        <f t="shared" si="321"/>
        <v>300000</v>
      </c>
      <c r="I563" s="236">
        <f t="shared" si="326"/>
        <v>0</v>
      </c>
      <c r="J563" s="234">
        <v>4</v>
      </c>
      <c r="K563" s="234">
        <f t="shared" si="327"/>
        <v>2029</v>
      </c>
      <c r="L563" s="230">
        <f>IF(J563=1,'Model Inputs'!$B$25*(13-'Model Inputs'!$B$23)/12,'Model Inputs'!$B$25)</f>
        <v>300000</v>
      </c>
      <c r="M563" s="230">
        <f>IF(J563=1,'Model Inputs'!$B$27*(13-'Model Inputs'!$B$23)/12,IF(J563=2,'Model Inputs'!$B$27,IF(J563&lt;=MAX(3,'Model Inputs'!$B$30+1),'Model Inputs'!$B$27*(1+'Model Inputs'!$B$28)^(J563-3),'Model Inputs'!$B$27*(1+'Model Inputs'!$B$28)^(MAX(3,'Model Inputs'!$B$30+1)-3)*(1+'Model Inputs'!$B$29)^(J563-MAX(3,'Model Inputs'!$B$30+1)))))</f>
        <v>653834.84153110103</v>
      </c>
      <c r="N563" s="236">
        <f>IF(J563&lt;=2,0,'Model Inputs'!$B$32*SIN(2*PI()*(J563-3+'Model Inputs'!$B$34)/MAX(1,'Model Inputs'!$B$33)))</f>
        <v>0.10392304845413264</v>
      </c>
      <c r="O563" s="230">
        <f t="shared" si="328"/>
        <v>721783.35144853778</v>
      </c>
      <c r="P563" s="230">
        <f t="shared" si="329"/>
        <v>450000</v>
      </c>
      <c r="Q563" s="230">
        <f>L563+P563+IF(J563=1,'Model Inputs'!$B$26,0)</f>
        <v>750000</v>
      </c>
      <c r="R563" s="230">
        <f t="shared" si="330"/>
        <v>750000</v>
      </c>
      <c r="S563" s="230">
        <f t="shared" si="331"/>
        <v>4050000</v>
      </c>
      <c r="T563" s="230">
        <f t="shared" si="332"/>
        <v>750000</v>
      </c>
      <c r="U563" s="230">
        <f>MIN(T563,'Tax Assumptions'!$B$19)</f>
        <v>24500</v>
      </c>
      <c r="V563" s="230">
        <f>MAX(T563-U563-'Tax Assumptions'!$B$8,0)</f>
        <v>709400</v>
      </c>
      <c r="W563" s="230">
        <f>MAX(T563-U563-'Tax Assumptions'!$B$9,0)</f>
        <v>717500</v>
      </c>
      <c r="X563" s="230">
        <f>IF(V563=0,0,LOOKUP(V563,'Tax Assumptions'!$F$9:$F$15,'Tax Assumptions'!$I$9:$I$15)+(V563-LOOKUP(V563,'Tax Assumptions'!$F$9:$F$15,'Tax Assumptions'!$F$9:$F$15))*LOOKUP(V563,'Tax Assumptions'!$F$9:$F$15,'Tax Assumptions'!$H$9:$H$15))+MIN(MAX(T563,0),'Tax Assumptions'!$B$11)*'Tax Assumptions'!$B$10+MAX(T563,0)*'Tax Assumptions'!$B$12+MAX(MAX(T563,0)-'Tax Assumptions'!$B$14,0)*'Tax Assumptions'!$B$13+MIN(T563*'Tax Assumptions'!$B$15,'Tax Assumptions'!$B$16)+MIN(T563*'Tax Assumptions'!$B$17,'Tax Assumptions'!$B$18)+IF(W563=0,0,LOOKUP(W563,'Tax Assumptions'!$K$9:$K$17,'Tax Assumptions'!$N$9:$N$17)+(W563-LOOKUP(W563,'Tax Assumptions'!$K$9:$K$17,'Tax Assumptions'!$K$9:$K$17))*LOOKUP(W563,'Tax Assumptions'!$K$9:$K$17,'Tax Assumptions'!$M$9:$M$17))+IF(W563=0,0,LOOKUP(W563,'Tax Assumptions'!$P$9:$P$12,'Tax Assumptions'!$S$9:$S$12)+(W563-LOOKUP(W563,'Tax Assumptions'!$P$9:$P$12,'Tax Assumptions'!$P$9:$P$12))*LOOKUP(W563,'Tax Assumptions'!$P$9:$P$12,'Tax Assumptions'!$R$9:$R$12))</f>
        <v>320362.53000000003</v>
      </c>
      <c r="Y563" s="230">
        <f t="shared" si="333"/>
        <v>405137.47</v>
      </c>
      <c r="Z563" s="230">
        <f>IF(J563&lt;=10,INDEX('Savings Projection'!$BL$19:$BL$28,J563),LOOKUP(2,1/('Savings Projection'!$BL$19:$BL$28&lt;&gt;""),'Savings Projection'!$BL$19:$BL$28))*(1+'Model Inputs'!$B$35)^(J563-1)+IF(J563&lt;=10,INDEX('Savings Projection'!$BM$19:$BM$28,J563),LOOKUP(2,1/('Savings Projection'!$BM$19:$BM$28&lt;&gt;""),'Savings Projection'!$BM$19:$BM$28))*(1+'Model Inputs'!$B$36)^(J563-1)</f>
        <v>139869.05600000001</v>
      </c>
      <c r="AA563" s="230">
        <f t="shared" si="334"/>
        <v>265268.41399999999</v>
      </c>
      <c r="AB563" s="230">
        <f>MIN(MAX(AA563,0),'Tax Assumptions'!$B$20)</f>
        <v>7500</v>
      </c>
      <c r="AC563" s="230">
        <f t="shared" si="335"/>
        <v>257768.41399999999</v>
      </c>
      <c r="AD563" s="230">
        <f>MAX(AD562*(1+'Model Inputs'!$B$13)+AC563,0)</f>
        <v>1010744.2479095199</v>
      </c>
      <c r="AE563" s="230">
        <f>MAX(AE562*(1+'Model Inputs'!$B$13)+U563+AB563,0)</f>
        <v>139987.712</v>
      </c>
      <c r="AF563" s="230">
        <f t="shared" si="336"/>
        <v>1150731.9599095199</v>
      </c>
      <c r="AG563" s="226" t="str">
        <f t="shared" si="322"/>
        <v/>
      </c>
      <c r="AH563" s="226" t="str">
        <f t="shared" si="323"/>
        <v/>
      </c>
      <c r="AI563" s="226" t="str">
        <f t="shared" si="324"/>
        <v/>
      </c>
      <c r="AJ563" s="226" t="str">
        <f t="shared" si="325"/>
        <v/>
      </c>
    </row>
    <row r="564" spans="1:36" ht="18" customHeight="1" x14ac:dyDescent="0.2">
      <c r="A564" s="226" t="str">
        <f t="shared" si="314"/>
        <v>5Y -&gt; PM Y7 Base</v>
      </c>
      <c r="B564" s="226">
        <f t="shared" si="315"/>
        <v>5</v>
      </c>
      <c r="C564" s="235">
        <f t="shared" si="316"/>
        <v>3</v>
      </c>
      <c r="D564" s="226">
        <f t="shared" si="317"/>
        <v>7</v>
      </c>
      <c r="E564" s="226" t="str">
        <f t="shared" si="318"/>
        <v>Base</v>
      </c>
      <c r="F564" s="230">
        <f t="shared" si="319"/>
        <v>25000000</v>
      </c>
      <c r="G564" s="236">
        <f t="shared" si="320"/>
        <v>0.15</v>
      </c>
      <c r="H564" s="230">
        <f t="shared" si="321"/>
        <v>300000</v>
      </c>
      <c r="I564" s="236">
        <f t="shared" si="326"/>
        <v>0</v>
      </c>
      <c r="J564" s="234">
        <v>5</v>
      </c>
      <c r="K564" s="234">
        <f t="shared" si="327"/>
        <v>2030</v>
      </c>
      <c r="L564" s="230">
        <f>IF(J564=1,'Model Inputs'!$B$25*(13-'Model Inputs'!$B$23)/12,'Model Inputs'!$B$25)</f>
        <v>300000</v>
      </c>
      <c r="M564" s="230">
        <f>IF(J564=1,'Model Inputs'!$B$27*(13-'Model Inputs'!$B$23)/12,IF(J564=2,'Model Inputs'!$B$27,IF(J564&lt;=MAX(3,'Model Inputs'!$B$30+1),'Model Inputs'!$B$27*(1+'Model Inputs'!$B$28)^(J564-3),'Model Inputs'!$B$27*(1+'Model Inputs'!$B$28)^(MAX(3,'Model Inputs'!$B$30+1)-3)*(1+'Model Inputs'!$B$29)^(J564-MAX(3,'Model Inputs'!$B$30+1)))))</f>
        <v>950000</v>
      </c>
      <c r="N564" s="236">
        <f>IF(J564&lt;=2,0,'Model Inputs'!$B$32*SIN(2*PI()*(J564-3+'Model Inputs'!$B$34)/MAX(1,'Model Inputs'!$B$33)))</f>
        <v>-0.1039230484541326</v>
      </c>
      <c r="O564" s="230">
        <f t="shared" si="328"/>
        <v>851273.10396857408</v>
      </c>
      <c r="P564" s="230">
        <f t="shared" si="329"/>
        <v>653837.51358640334</v>
      </c>
      <c r="Q564" s="230">
        <f>L564+P564+IF(J564=1,'Model Inputs'!$B$26,0)</f>
        <v>953837.51358640334</v>
      </c>
      <c r="R564" s="230">
        <f t="shared" si="330"/>
        <v>953837.51358640334</v>
      </c>
      <c r="S564" s="230">
        <f t="shared" si="331"/>
        <v>4050000</v>
      </c>
      <c r="T564" s="230">
        <f t="shared" si="332"/>
        <v>953837.51358640334</v>
      </c>
      <c r="U564" s="230">
        <f>MIN(T564,'Tax Assumptions'!$B$19)</f>
        <v>24500</v>
      </c>
      <c r="V564" s="230">
        <f>MAX(T564-U564-'Tax Assumptions'!$B$8,0)</f>
        <v>913237.51358640334</v>
      </c>
      <c r="W564" s="230">
        <f>MAX(T564-U564-'Tax Assumptions'!$B$9,0)</f>
        <v>921337.51358640334</v>
      </c>
      <c r="X564" s="230">
        <f>IF(V564=0,0,LOOKUP(V564,'Tax Assumptions'!$F$9:$F$15,'Tax Assumptions'!$I$9:$I$15)+(V564-LOOKUP(V564,'Tax Assumptions'!$F$9:$F$15,'Tax Assumptions'!$F$9:$F$15))*LOOKUP(V564,'Tax Assumptions'!$F$9:$F$15,'Tax Assumptions'!$H$9:$H$15))+MIN(MAX(T564,0),'Tax Assumptions'!$B$11)*'Tax Assumptions'!$B$10+MAX(T564,0)*'Tax Assumptions'!$B$12+MAX(MAX(T564,0)-'Tax Assumptions'!$B$14,0)*'Tax Assumptions'!$B$13+MIN(T564*'Tax Assumptions'!$B$15,'Tax Assumptions'!$B$16)+MIN(T564*'Tax Assumptions'!$B$17,'Tax Assumptions'!$B$18)+IF(W564=0,0,LOOKUP(W564,'Tax Assumptions'!$K$9:$K$17,'Tax Assumptions'!$N$9:$N$17)+(W564-LOOKUP(W564,'Tax Assumptions'!$K$9:$K$17,'Tax Assumptions'!$K$9:$K$17))*LOOKUP(W564,'Tax Assumptions'!$K$9:$K$17,'Tax Assumptions'!$M$9:$M$17))+IF(W564=0,0,LOOKUP(W564,'Tax Assumptions'!$P$9:$P$12,'Tax Assumptions'!$S$9:$S$12)+(W564-LOOKUP(W564,'Tax Assumptions'!$P$9:$P$12,'Tax Assumptions'!$P$9:$P$12))*LOOKUP(W564,'Tax Assumptions'!$P$9:$P$12,'Tax Assumptions'!$R$9:$R$12))</f>
        <v>422436.20330352732</v>
      </c>
      <c r="Y564" s="230">
        <f t="shared" si="333"/>
        <v>506901.31028287602</v>
      </c>
      <c r="Z564" s="230">
        <f>IF(J564&lt;=10,INDEX('Savings Projection'!$BL$19:$BL$28,J564),LOOKUP(2,1/('Savings Projection'!$BL$19:$BL$28&lt;&gt;""),'Savings Projection'!$BL$19:$BL$28))*(1+'Model Inputs'!$B$35)^(J564-1)+IF(J564&lt;=10,INDEX('Savings Projection'!$BM$19:$BM$28,J564),LOOKUP(2,1/('Savings Projection'!$BM$19:$BM$28&lt;&gt;""),'Savings Projection'!$BM$19:$BM$28))*(1+'Model Inputs'!$B$36)^(J564-1)</f>
        <v>144065.12767999998</v>
      </c>
      <c r="AA564" s="230">
        <f t="shared" si="334"/>
        <v>362836.18260287604</v>
      </c>
      <c r="AB564" s="230">
        <f>MIN(MAX(AA564,0),'Tax Assumptions'!$B$20)</f>
        <v>7500</v>
      </c>
      <c r="AC564" s="230">
        <f t="shared" si="335"/>
        <v>355336.18260287604</v>
      </c>
      <c r="AD564" s="230">
        <f>MAX(AD563*(1+'Model Inputs'!$B$13)+AC564,0)</f>
        <v>1426725.0853869673</v>
      </c>
      <c r="AE564" s="230">
        <f>MAX(AE563*(1+'Model Inputs'!$B$13)+U564+AB564,0)</f>
        <v>180386.97472</v>
      </c>
      <c r="AF564" s="230">
        <f t="shared" si="336"/>
        <v>1607112.0601069673</v>
      </c>
      <c r="AG564" s="226" t="str">
        <f t="shared" si="322"/>
        <v/>
      </c>
      <c r="AH564" s="226" t="str">
        <f t="shared" si="323"/>
        <v/>
      </c>
      <c r="AI564" s="226" t="str">
        <f t="shared" si="324"/>
        <v/>
      </c>
      <c r="AJ564" s="226" t="str">
        <f t="shared" si="325"/>
        <v/>
      </c>
    </row>
    <row r="565" spans="1:36" ht="18" customHeight="1" x14ac:dyDescent="0.2">
      <c r="A565" s="226" t="str">
        <f t="shared" si="314"/>
        <v>5Y -&gt; PM Y7 Base</v>
      </c>
      <c r="B565" s="226">
        <f t="shared" si="315"/>
        <v>5</v>
      </c>
      <c r="C565" s="235">
        <f t="shared" si="316"/>
        <v>3</v>
      </c>
      <c r="D565" s="226">
        <f t="shared" si="317"/>
        <v>7</v>
      </c>
      <c r="E565" s="226" t="str">
        <f t="shared" si="318"/>
        <v>Base</v>
      </c>
      <c r="F565" s="230">
        <f t="shared" si="319"/>
        <v>25000000</v>
      </c>
      <c r="G565" s="236">
        <f t="shared" si="320"/>
        <v>0.15</v>
      </c>
      <c r="H565" s="230">
        <f t="shared" si="321"/>
        <v>300000</v>
      </c>
      <c r="I565" s="236">
        <f t="shared" si="326"/>
        <v>0</v>
      </c>
      <c r="J565" s="234">
        <v>6</v>
      </c>
      <c r="K565" s="234">
        <f t="shared" si="327"/>
        <v>2031</v>
      </c>
      <c r="L565" s="230">
        <f>IF(J565=1,'Model Inputs'!$B$25*(13-'Model Inputs'!$B$23)/12,'Model Inputs'!$B$25)</f>
        <v>300000</v>
      </c>
      <c r="M565" s="230">
        <f>IF(J565=1,'Model Inputs'!$B$27*(13-'Model Inputs'!$B$23)/12,IF(J565=2,'Model Inputs'!$B$27,IF(J565&lt;=MAX(3,'Model Inputs'!$B$30+1),'Model Inputs'!$B$27*(1+'Model Inputs'!$B$28)^(J565-3),'Model Inputs'!$B$27*(1+'Model Inputs'!$B$28)^(MAX(3,'Model Inputs'!$B$30+1)-3)*(1+'Model Inputs'!$B$29)^(J565-MAX(3,'Model Inputs'!$B$30+1)))))</f>
        <v>1207333.5632986501</v>
      </c>
      <c r="N565" s="236">
        <f>IF(J565&lt;=2,0,'Model Inputs'!$B$32*SIN(2*PI()*(J565-3+'Model Inputs'!$B$34)/MAX(1,'Model Inputs'!$B$33)))</f>
        <v>-2.9391523179536474E-17</v>
      </c>
      <c r="O565" s="230">
        <f t="shared" si="328"/>
        <v>1207333.5632986501</v>
      </c>
      <c r="P565" s="230">
        <f t="shared" si="329"/>
        <v>818900.66583856498</v>
      </c>
      <c r="Q565" s="230">
        <f>L565+P565+IF(J565=1,'Model Inputs'!$B$26,0)</f>
        <v>1118900.665838565</v>
      </c>
      <c r="R565" s="230">
        <f t="shared" si="330"/>
        <v>3356701.9975156952</v>
      </c>
      <c r="S565" s="230">
        <f t="shared" si="331"/>
        <v>4050000</v>
      </c>
      <c r="T565" s="230">
        <f t="shared" si="332"/>
        <v>3356701.9975156952</v>
      </c>
      <c r="U565" s="230">
        <f>MIN(T565,'Tax Assumptions'!$B$19)</f>
        <v>24500</v>
      </c>
      <c r="V565" s="230">
        <f>MAX(T565-U565-'Tax Assumptions'!$B$8,0)</f>
        <v>3316101.9975156952</v>
      </c>
      <c r="W565" s="230">
        <f>MAX(T565-U565-'Tax Assumptions'!$B$9,0)</f>
        <v>3324201.9975156952</v>
      </c>
      <c r="X565" s="230">
        <f>IF(V565=0,0,LOOKUP(V565,'Tax Assumptions'!$F$9:$F$15,'Tax Assumptions'!$I$9:$I$15)+(V565-LOOKUP(V565,'Tax Assumptions'!$F$9:$F$15,'Tax Assumptions'!$F$9:$F$15))*LOOKUP(V565,'Tax Assumptions'!$F$9:$F$15,'Tax Assumptions'!$H$9:$H$15))+MIN(MAX(T565,0),'Tax Assumptions'!$B$11)*'Tax Assumptions'!$B$10+MAX(T565,0)*'Tax Assumptions'!$B$12+MAX(MAX(T565,0)-'Tax Assumptions'!$B$14,0)*'Tax Assumptions'!$B$13+MIN(T565*'Tax Assumptions'!$B$15,'Tax Assumptions'!$B$16)+MIN(T565*'Tax Assumptions'!$B$17,'Tax Assumptions'!$B$18)+IF(W565=0,0,LOOKUP(W565,'Tax Assumptions'!$K$9:$K$17,'Tax Assumptions'!$N$9:$N$17)+(W565-LOOKUP(W565,'Tax Assumptions'!$K$9:$K$17,'Tax Assumptions'!$K$9:$K$17))*LOOKUP(W565,'Tax Assumptions'!$K$9:$K$17,'Tax Assumptions'!$M$9:$M$17))+IF(W565=0,0,LOOKUP(W565,'Tax Assumptions'!$P$9:$P$12,'Tax Assumptions'!$S$9:$S$12)+(W565-LOOKUP(W565,'Tax Assumptions'!$P$9:$P$12,'Tax Assumptions'!$P$9:$P$12))*LOOKUP(W565,'Tax Assumptions'!$P$9:$P$12,'Tax Assumptions'!$R$9:$R$12))</f>
        <v>1688600.3832063989</v>
      </c>
      <c r="Y565" s="230">
        <f t="shared" si="333"/>
        <v>1643601.6143092962</v>
      </c>
      <c r="Z565" s="230">
        <f>IF(J565&lt;=10,INDEX('Savings Projection'!$BL$19:$BL$28,J565),LOOKUP(2,1/('Savings Projection'!$BL$19:$BL$28&lt;&gt;""),'Savings Projection'!$BL$19:$BL$28))*(1+'Model Inputs'!$B$35)^(J565-1)+IF(J565&lt;=10,INDEX('Savings Projection'!$BM$19:$BM$28,J565),LOOKUP(2,1/('Savings Projection'!$BM$19:$BM$28&lt;&gt;""),'Savings Projection'!$BM$19:$BM$28))*(1+'Model Inputs'!$B$36)^(J565-1)</f>
        <v>150705.62965899997</v>
      </c>
      <c r="AA565" s="230">
        <f t="shared" si="334"/>
        <v>1492895.9846502962</v>
      </c>
      <c r="AB565" s="230">
        <f>MIN(MAX(AA565,0),'Tax Assumptions'!$B$20)</f>
        <v>7500</v>
      </c>
      <c r="AC565" s="230">
        <f t="shared" si="335"/>
        <v>1485395.9846502962</v>
      </c>
      <c r="AD565" s="230">
        <f>MAX(AD564*(1+'Model Inputs'!$B$13)+AC565,0)</f>
        <v>2997724.5751604815</v>
      </c>
      <c r="AE565" s="230">
        <f>MAX(AE564*(1+'Model Inputs'!$B$13)+U565+AB565,0)</f>
        <v>223210.1932032</v>
      </c>
      <c r="AF565" s="230">
        <f t="shared" si="336"/>
        <v>3220934.7683636816</v>
      </c>
      <c r="AG565" s="226" t="str">
        <f t="shared" si="322"/>
        <v/>
      </c>
      <c r="AH565" s="226" t="str">
        <f t="shared" si="323"/>
        <v/>
      </c>
      <c r="AI565" s="226" t="str">
        <f t="shared" si="324"/>
        <v/>
      </c>
      <c r="AJ565" s="226" t="str">
        <f t="shared" si="325"/>
        <v/>
      </c>
    </row>
    <row r="566" spans="1:36" ht="18" customHeight="1" x14ac:dyDescent="0.2">
      <c r="A566" s="226" t="str">
        <f t="shared" si="314"/>
        <v>5Y -&gt; PM Y7 Base</v>
      </c>
      <c r="B566" s="226">
        <f t="shared" si="315"/>
        <v>5</v>
      </c>
      <c r="C566" s="235">
        <f t="shared" si="316"/>
        <v>3</v>
      </c>
      <c r="D566" s="226">
        <f t="shared" si="317"/>
        <v>7</v>
      </c>
      <c r="E566" s="226" t="str">
        <f t="shared" si="318"/>
        <v>Base</v>
      </c>
      <c r="F566" s="230">
        <f t="shared" si="319"/>
        <v>25000000</v>
      </c>
      <c r="G566" s="236">
        <f t="shared" si="320"/>
        <v>0.15</v>
      </c>
      <c r="H566" s="230">
        <f t="shared" si="321"/>
        <v>300000</v>
      </c>
      <c r="I566" s="236">
        <f t="shared" si="326"/>
        <v>0</v>
      </c>
      <c r="J566" s="234">
        <v>7</v>
      </c>
      <c r="K566" s="234">
        <f t="shared" si="327"/>
        <v>2032</v>
      </c>
      <c r="L566" s="230">
        <f>IF(J566=1,'Model Inputs'!$B$25*(13-'Model Inputs'!$B$23)/12,'Model Inputs'!$B$25)</f>
        <v>300000</v>
      </c>
      <c r="M566" s="230">
        <f>IF(J566=1,'Model Inputs'!$B$27*(13-'Model Inputs'!$B$23)/12,IF(J566=2,'Model Inputs'!$B$27,IF(J566&lt;=MAX(3,'Model Inputs'!$B$30+1),'Model Inputs'!$B$27*(1+'Model Inputs'!$B$28)^(J566-3),'Model Inputs'!$B$27*(1+'Model Inputs'!$B$28)^(MAX(3,'Model Inputs'!$B$30+1)-3)*(1+'Model Inputs'!$B$29)^(J566-MAX(3,'Model Inputs'!$B$30+1)))))</f>
        <v>1534372.9821762268</v>
      </c>
      <c r="N566" s="236">
        <f>IF(J566&lt;=2,0,'Model Inputs'!$B$32*SIN(2*PI()*(J566-3+'Model Inputs'!$B$34)/MAX(1,'Model Inputs'!$B$33)))</f>
        <v>0.10392304845413269</v>
      </c>
      <c r="O566" s="230">
        <f t="shared" si="328"/>
        <v>1693829.6999496389</v>
      </c>
      <c r="P566" s="230">
        <f t="shared" si="329"/>
        <v>1118318.448466131</v>
      </c>
      <c r="Q566" s="230">
        <f>L566+P566+IF(J566=1,'Model Inputs'!$B$26,0)</f>
        <v>1418318.448466131</v>
      </c>
      <c r="R566" s="230">
        <f t="shared" si="330"/>
        <v>4254955.3453983925</v>
      </c>
      <c r="S566" s="230">
        <f t="shared" si="331"/>
        <v>4050000</v>
      </c>
      <c r="T566" s="230">
        <f t="shared" si="332"/>
        <v>4050000</v>
      </c>
      <c r="U566" s="230">
        <f>MIN(T566,'Tax Assumptions'!$B$19)</f>
        <v>24500</v>
      </c>
      <c r="V566" s="230">
        <f>MAX(T566-U566-'Tax Assumptions'!$B$8,0)</f>
        <v>4009400</v>
      </c>
      <c r="W566" s="230">
        <f>MAX(T566-U566-'Tax Assumptions'!$B$9,0)</f>
        <v>4017500</v>
      </c>
      <c r="X566" s="230">
        <f>IF(V566=0,0,LOOKUP(V566,'Tax Assumptions'!$F$9:$F$15,'Tax Assumptions'!$I$9:$I$15)+(V566-LOOKUP(V566,'Tax Assumptions'!$F$9:$F$15,'Tax Assumptions'!$F$9:$F$15))*LOOKUP(V566,'Tax Assumptions'!$F$9:$F$15,'Tax Assumptions'!$H$9:$H$15))+MIN(MAX(T566,0),'Tax Assumptions'!$B$11)*'Tax Assumptions'!$B$10+MAX(T566,0)*'Tax Assumptions'!$B$12+MAX(MAX(T566,0)-'Tax Assumptions'!$B$14,0)*'Tax Assumptions'!$B$13+MIN(T566*'Tax Assumptions'!$B$15,'Tax Assumptions'!$B$16)+MIN(T566*'Tax Assumptions'!$B$17,'Tax Assumptions'!$B$18)+IF(W566=0,0,LOOKUP(W566,'Tax Assumptions'!$K$9:$K$17,'Tax Assumptions'!$N$9:$N$17)+(W566-LOOKUP(W566,'Tax Assumptions'!$K$9:$K$17,'Tax Assumptions'!$K$9:$K$17))*LOOKUP(W566,'Tax Assumptions'!$K$9:$K$17,'Tax Assumptions'!$M$9:$M$17))+IF(W566=0,0,LOOKUP(W566,'Tax Assumptions'!$P$9:$P$12,'Tax Assumptions'!$S$9:$S$12)+(W566-LOOKUP(W566,'Tax Assumptions'!$P$9:$P$12,'Tax Assumptions'!$P$9:$P$12))*LOOKUP(W566,'Tax Assumptions'!$P$9:$P$12,'Tax Assumptions'!$R$9:$R$12))</f>
        <v>2055188.6349999998</v>
      </c>
      <c r="Y566" s="230">
        <f t="shared" si="333"/>
        <v>1970311.3650000002</v>
      </c>
      <c r="Z566" s="230">
        <f>IF(J566&lt;=10,INDEX('Savings Projection'!$BL$19:$BL$28,J566),LOOKUP(2,1/('Savings Projection'!$BL$19:$BL$28&lt;&gt;""),'Savings Projection'!$BL$19:$BL$28))*(1+'Model Inputs'!$B$35)^(J566-1)+IF(J566&lt;=10,INDEX('Savings Projection'!$BM$19:$BM$28,J566),LOOKUP(2,1/('Savings Projection'!$BM$19:$BM$28&lt;&gt;""),'Savings Projection'!$BM$19:$BM$28))*(1+'Model Inputs'!$B$36)^(J566-1)</f>
        <v>155226.79854876999</v>
      </c>
      <c r="AA566" s="230">
        <f t="shared" si="334"/>
        <v>1815084.5664512303</v>
      </c>
      <c r="AB566" s="230">
        <f>MIN(MAX(AA566,0),'Tax Assumptions'!$B$20)</f>
        <v>7500</v>
      </c>
      <c r="AC566" s="230">
        <f t="shared" si="335"/>
        <v>1807584.5664512303</v>
      </c>
      <c r="AD566" s="230">
        <f>MAX(AD565*(1+'Model Inputs'!$B$13)+AC566,0)</f>
        <v>4985172.6161213405</v>
      </c>
      <c r="AE566" s="230">
        <f>MAX(AE565*(1+'Model Inputs'!$B$13)+U566+AB566,0)</f>
        <v>268602.80479539197</v>
      </c>
      <c r="AF566" s="230">
        <f t="shared" si="336"/>
        <v>5253775.4209167324</v>
      </c>
      <c r="AG566" s="226" t="str">
        <f t="shared" si="322"/>
        <v/>
      </c>
      <c r="AH566" s="226" t="str">
        <f t="shared" si="323"/>
        <v/>
      </c>
      <c r="AI566" s="226" t="str">
        <f t="shared" si="324"/>
        <v/>
      </c>
      <c r="AJ566" s="226" t="str">
        <f t="shared" si="325"/>
        <v/>
      </c>
    </row>
    <row r="567" spans="1:36" ht="18" customHeight="1" x14ac:dyDescent="0.2">
      <c r="A567" s="226" t="str">
        <f t="shared" si="314"/>
        <v>5Y -&gt; PM Y7 Base</v>
      </c>
      <c r="B567" s="226">
        <f t="shared" si="315"/>
        <v>5</v>
      </c>
      <c r="C567" s="235">
        <f t="shared" si="316"/>
        <v>3</v>
      </c>
      <c r="D567" s="226">
        <f t="shared" si="317"/>
        <v>7</v>
      </c>
      <c r="E567" s="226" t="str">
        <f t="shared" si="318"/>
        <v>Base</v>
      </c>
      <c r="F567" s="230">
        <f t="shared" si="319"/>
        <v>25000000</v>
      </c>
      <c r="G567" s="236">
        <f t="shared" si="320"/>
        <v>0.15</v>
      </c>
      <c r="H567" s="230">
        <f t="shared" si="321"/>
        <v>300000</v>
      </c>
      <c r="I567" s="236">
        <f t="shared" si="326"/>
        <v>0</v>
      </c>
      <c r="J567" s="234">
        <v>8</v>
      </c>
      <c r="K567" s="234">
        <f t="shared" si="327"/>
        <v>2033</v>
      </c>
      <c r="L567" s="230">
        <f>IF(J567=1,'Model Inputs'!$B$25*(13-'Model Inputs'!$B$23)/12,'Model Inputs'!$B$25)</f>
        <v>300000</v>
      </c>
      <c r="M567" s="230">
        <f>IF(J567=1,'Model Inputs'!$B$27*(13-'Model Inputs'!$B$23)/12,IF(J567=2,'Model Inputs'!$B$27,IF(J567&lt;=MAX(3,'Model Inputs'!$B$30+1),'Model Inputs'!$B$27*(1+'Model Inputs'!$B$28)^(J567-3),'Model Inputs'!$B$27*(1+'Model Inputs'!$B$28)^(MAX(3,'Model Inputs'!$B$30+1)-3)*(1+'Model Inputs'!$B$29)^(J567-MAX(3,'Model Inputs'!$B$30+1)))))</f>
        <v>1950000.0000000002</v>
      </c>
      <c r="N567" s="236">
        <f>IF(J567&lt;=2,0,'Model Inputs'!$B$32*SIN(2*PI()*(J567-3+'Model Inputs'!$B$34)/MAX(1,'Model Inputs'!$B$33)))</f>
        <v>-0.10392304845413264</v>
      </c>
      <c r="O567" s="230">
        <f t="shared" si="328"/>
        <v>1747350.0555144416</v>
      </c>
      <c r="P567" s="230">
        <f t="shared" si="329"/>
        <v>1572205.6657868917</v>
      </c>
      <c r="Q567" s="230">
        <f>L567+P567+IF(J567=1,'Model Inputs'!$B$26,0)</f>
        <v>1872205.6657868917</v>
      </c>
      <c r="R567" s="230">
        <f t="shared" si="330"/>
        <v>5616616.9973606747</v>
      </c>
      <c r="S567" s="230">
        <f t="shared" si="331"/>
        <v>4050000</v>
      </c>
      <c r="T567" s="230">
        <f t="shared" si="332"/>
        <v>4050000</v>
      </c>
      <c r="U567" s="230">
        <f>MIN(T567,'Tax Assumptions'!$B$19)</f>
        <v>24500</v>
      </c>
      <c r="V567" s="230">
        <f>MAX(T567-U567-'Tax Assumptions'!$B$8,0)</f>
        <v>4009400</v>
      </c>
      <c r="W567" s="230">
        <f>MAX(T567-U567-'Tax Assumptions'!$B$9,0)</f>
        <v>4017500</v>
      </c>
      <c r="X567" s="230">
        <f>IF(V567=0,0,LOOKUP(V567,'Tax Assumptions'!$F$9:$F$15,'Tax Assumptions'!$I$9:$I$15)+(V567-LOOKUP(V567,'Tax Assumptions'!$F$9:$F$15,'Tax Assumptions'!$F$9:$F$15))*LOOKUP(V567,'Tax Assumptions'!$F$9:$F$15,'Tax Assumptions'!$H$9:$H$15))+MIN(MAX(T567,0),'Tax Assumptions'!$B$11)*'Tax Assumptions'!$B$10+MAX(T567,0)*'Tax Assumptions'!$B$12+MAX(MAX(T567,0)-'Tax Assumptions'!$B$14,0)*'Tax Assumptions'!$B$13+MIN(T567*'Tax Assumptions'!$B$15,'Tax Assumptions'!$B$16)+MIN(T567*'Tax Assumptions'!$B$17,'Tax Assumptions'!$B$18)+IF(W567=0,0,LOOKUP(W567,'Tax Assumptions'!$K$9:$K$17,'Tax Assumptions'!$N$9:$N$17)+(W567-LOOKUP(W567,'Tax Assumptions'!$K$9:$K$17,'Tax Assumptions'!$K$9:$K$17))*LOOKUP(W567,'Tax Assumptions'!$K$9:$K$17,'Tax Assumptions'!$M$9:$M$17))+IF(W567=0,0,LOOKUP(W567,'Tax Assumptions'!$P$9:$P$12,'Tax Assumptions'!$S$9:$S$12)+(W567-LOOKUP(W567,'Tax Assumptions'!$P$9:$P$12,'Tax Assumptions'!$P$9:$P$12))*LOOKUP(W567,'Tax Assumptions'!$P$9:$P$12,'Tax Assumptions'!$R$9:$R$12))</f>
        <v>2055188.6349999998</v>
      </c>
      <c r="Y567" s="230">
        <f t="shared" si="333"/>
        <v>1970311.3650000002</v>
      </c>
      <c r="Z567" s="230">
        <f>IF(J567&lt;=10,INDEX('Savings Projection'!$BL$19:$BL$28,J567),LOOKUP(2,1/('Savings Projection'!$BL$19:$BL$28&lt;&gt;""),'Savings Projection'!$BL$19:$BL$28))*(1+'Model Inputs'!$B$35)^(J567-1)+IF(J567&lt;=10,INDEX('Savings Projection'!$BM$19:$BM$28,J567),LOOKUP(2,1/('Savings Projection'!$BM$19:$BM$28&lt;&gt;""),'Savings Projection'!$BM$19:$BM$28))*(1+'Model Inputs'!$B$36)^(J567-1)</f>
        <v>159883.60250523311</v>
      </c>
      <c r="AA567" s="230">
        <f t="shared" si="334"/>
        <v>1810427.7624947671</v>
      </c>
      <c r="AB567" s="230">
        <f>MIN(MAX(AA567,0),'Tax Assumptions'!$B$20)</f>
        <v>7500</v>
      </c>
      <c r="AC567" s="230">
        <f t="shared" si="335"/>
        <v>1802927.7624947671</v>
      </c>
      <c r="AD567" s="230">
        <f>MAX(AD566*(1+'Model Inputs'!$B$13)+AC567,0)</f>
        <v>7087210.7355833882</v>
      </c>
      <c r="AE567" s="230">
        <f>MAX(AE566*(1+'Model Inputs'!$B$13)+U567+AB567,0)</f>
        <v>316718.97308311553</v>
      </c>
      <c r="AF567" s="230">
        <f t="shared" si="336"/>
        <v>7403929.7086665034</v>
      </c>
      <c r="AG567" s="226" t="str">
        <f t="shared" si="322"/>
        <v/>
      </c>
      <c r="AH567" s="226" t="str">
        <f t="shared" si="323"/>
        <v/>
      </c>
      <c r="AI567" s="226" t="str">
        <f t="shared" si="324"/>
        <v/>
      </c>
      <c r="AJ567" s="226" t="str">
        <f t="shared" si="325"/>
        <v/>
      </c>
    </row>
    <row r="568" spans="1:36" ht="18" customHeight="1" x14ac:dyDescent="0.2">
      <c r="A568" s="226" t="str">
        <f t="shared" si="314"/>
        <v>5Y -&gt; PM Y7 Base</v>
      </c>
      <c r="B568" s="226">
        <f t="shared" si="315"/>
        <v>5</v>
      </c>
      <c r="C568" s="235">
        <f t="shared" si="316"/>
        <v>3</v>
      </c>
      <c r="D568" s="226">
        <f t="shared" si="317"/>
        <v>7</v>
      </c>
      <c r="E568" s="226" t="str">
        <f t="shared" si="318"/>
        <v>Base</v>
      </c>
      <c r="F568" s="230">
        <f t="shared" si="319"/>
        <v>25000000</v>
      </c>
      <c r="G568" s="236">
        <f t="shared" si="320"/>
        <v>0.15</v>
      </c>
      <c r="H568" s="230">
        <f t="shared" si="321"/>
        <v>300000</v>
      </c>
      <c r="I568" s="236">
        <f t="shared" si="326"/>
        <v>0</v>
      </c>
      <c r="J568" s="234">
        <v>9</v>
      </c>
      <c r="K568" s="234">
        <f t="shared" si="327"/>
        <v>2034</v>
      </c>
      <c r="L568" s="230">
        <f>IF(J568=1,'Model Inputs'!$B$25*(13-'Model Inputs'!$B$23)/12,'Model Inputs'!$B$25)</f>
        <v>300000</v>
      </c>
      <c r="M568" s="230">
        <f>IF(J568=1,'Model Inputs'!$B$27*(13-'Model Inputs'!$B$23)/12,IF(J568=2,'Model Inputs'!$B$27,IF(J568&lt;=MAX(3,'Model Inputs'!$B$30+1),'Model Inputs'!$B$27*(1+'Model Inputs'!$B$28)^(J568-3),'Model Inputs'!$B$27*(1+'Model Inputs'!$B$28)^(MAX(3,'Model Inputs'!$B$30+1)-3)*(1+'Model Inputs'!$B$29)^(J568-MAX(3,'Model Inputs'!$B$30+1)))))</f>
        <v>2478210.9983498608</v>
      </c>
      <c r="N568" s="236">
        <f>IF(J568&lt;=2,0,'Model Inputs'!$B$32*SIN(2*PI()*(J568-3+'Model Inputs'!$B$34)/MAX(1,'Model Inputs'!$B$33)))</f>
        <v>-5.8783046359072947E-17</v>
      </c>
      <c r="O568" s="230">
        <f t="shared" si="328"/>
        <v>2478210.9983498603</v>
      </c>
      <c r="P568" s="230">
        <f t="shared" si="329"/>
        <v>1733969.9666232408</v>
      </c>
      <c r="Q568" s="230">
        <f>L568+P568+IF(J568=1,'Model Inputs'!$B$26,0)</f>
        <v>2033969.9666232408</v>
      </c>
      <c r="R568" s="230">
        <f t="shared" si="330"/>
        <v>6101909.8998697223</v>
      </c>
      <c r="S568" s="230">
        <f t="shared" si="331"/>
        <v>4050000</v>
      </c>
      <c r="T568" s="230">
        <f t="shared" si="332"/>
        <v>4050000</v>
      </c>
      <c r="U568" s="230">
        <f>MIN(T568,'Tax Assumptions'!$B$19)</f>
        <v>24500</v>
      </c>
      <c r="V568" s="230">
        <f>MAX(T568-U568-'Tax Assumptions'!$B$8,0)</f>
        <v>4009400</v>
      </c>
      <c r="W568" s="230">
        <f>MAX(T568-U568-'Tax Assumptions'!$B$9,0)</f>
        <v>4017500</v>
      </c>
      <c r="X568" s="230">
        <f>IF(V568=0,0,LOOKUP(V568,'Tax Assumptions'!$F$9:$F$15,'Tax Assumptions'!$I$9:$I$15)+(V568-LOOKUP(V568,'Tax Assumptions'!$F$9:$F$15,'Tax Assumptions'!$F$9:$F$15))*LOOKUP(V568,'Tax Assumptions'!$F$9:$F$15,'Tax Assumptions'!$H$9:$H$15))+MIN(MAX(T568,0),'Tax Assumptions'!$B$11)*'Tax Assumptions'!$B$10+MAX(T568,0)*'Tax Assumptions'!$B$12+MAX(MAX(T568,0)-'Tax Assumptions'!$B$14,0)*'Tax Assumptions'!$B$13+MIN(T568*'Tax Assumptions'!$B$15,'Tax Assumptions'!$B$16)+MIN(T568*'Tax Assumptions'!$B$17,'Tax Assumptions'!$B$18)+IF(W568=0,0,LOOKUP(W568,'Tax Assumptions'!$K$9:$K$17,'Tax Assumptions'!$N$9:$N$17)+(W568-LOOKUP(W568,'Tax Assumptions'!$K$9:$K$17,'Tax Assumptions'!$K$9:$K$17))*LOOKUP(W568,'Tax Assumptions'!$K$9:$K$17,'Tax Assumptions'!$M$9:$M$17))+IF(W568=0,0,LOOKUP(W568,'Tax Assumptions'!$P$9:$P$12,'Tax Assumptions'!$S$9:$S$12)+(W568-LOOKUP(W568,'Tax Assumptions'!$P$9:$P$12,'Tax Assumptions'!$P$9:$P$12))*LOOKUP(W568,'Tax Assumptions'!$P$9:$P$12,'Tax Assumptions'!$R$9:$R$12))</f>
        <v>2055188.6349999998</v>
      </c>
      <c r="Y568" s="230">
        <f t="shared" si="333"/>
        <v>1970311.3650000002</v>
      </c>
      <c r="Z568" s="230">
        <f>IF(J568&lt;=10,INDEX('Savings Projection'!$BL$19:$BL$28,J568),LOOKUP(2,1/('Savings Projection'!$BL$19:$BL$28&lt;&gt;""),'Savings Projection'!$BL$19:$BL$28))*(1+'Model Inputs'!$B$35)^(J568-1)+IF(J568&lt;=10,INDEX('Savings Projection'!$BM$19:$BM$28,J568),LOOKUP(2,1/('Savings Projection'!$BM$19:$BM$28&lt;&gt;""),'Savings Projection'!$BM$19:$BM$28))*(1+'Model Inputs'!$B$36)^(J568-1)</f>
        <v>164680.11058039009</v>
      </c>
      <c r="AA568" s="230">
        <f t="shared" si="334"/>
        <v>1805631.2544196101</v>
      </c>
      <c r="AB568" s="230">
        <f>MIN(MAX(AA568,0),'Tax Assumptions'!$B$20)</f>
        <v>7500</v>
      </c>
      <c r="AC568" s="230">
        <f t="shared" si="335"/>
        <v>1798131.2544196101</v>
      </c>
      <c r="AD568" s="230">
        <f>MAX(AD567*(1+'Model Inputs'!$B$13)+AC568,0)</f>
        <v>9310574.634138003</v>
      </c>
      <c r="AE568" s="230">
        <f>MAX(AE567*(1+'Model Inputs'!$B$13)+U568+AB568,0)</f>
        <v>367722.11146810249</v>
      </c>
      <c r="AF568" s="230">
        <f t="shared" si="336"/>
        <v>9678296.7456061058</v>
      </c>
      <c r="AG568" s="226" t="str">
        <f t="shared" si="322"/>
        <v/>
      </c>
      <c r="AH568" s="226" t="str">
        <f t="shared" si="323"/>
        <v/>
      </c>
      <c r="AI568" s="226" t="str">
        <f t="shared" si="324"/>
        <v/>
      </c>
      <c r="AJ568" s="226" t="str">
        <f t="shared" si="325"/>
        <v/>
      </c>
    </row>
    <row r="569" spans="1:36" ht="18" customHeight="1" x14ac:dyDescent="0.2">
      <c r="A569" s="226" t="str">
        <f t="shared" si="314"/>
        <v>5Y -&gt; PM Y7 Base</v>
      </c>
      <c r="B569" s="226">
        <f t="shared" si="315"/>
        <v>5</v>
      </c>
      <c r="C569" s="235">
        <f t="shared" si="316"/>
        <v>3</v>
      </c>
      <c r="D569" s="226">
        <f t="shared" si="317"/>
        <v>7</v>
      </c>
      <c r="E569" s="226" t="str">
        <f t="shared" si="318"/>
        <v>Base</v>
      </c>
      <c r="F569" s="230">
        <f t="shared" si="319"/>
        <v>25000000</v>
      </c>
      <c r="G569" s="236">
        <f t="shared" si="320"/>
        <v>0.15</v>
      </c>
      <c r="H569" s="230">
        <f t="shared" si="321"/>
        <v>300000</v>
      </c>
      <c r="I569" s="236">
        <f t="shared" si="326"/>
        <v>0</v>
      </c>
      <c r="J569" s="234">
        <v>10</v>
      </c>
      <c r="K569" s="234">
        <f t="shared" si="327"/>
        <v>2035</v>
      </c>
      <c r="L569" s="230">
        <f>IF(J569=1,'Model Inputs'!$B$25*(13-'Model Inputs'!$B$23)/12,'Model Inputs'!$B$25)</f>
        <v>300000</v>
      </c>
      <c r="M569" s="230">
        <f>IF(J569=1,'Model Inputs'!$B$27*(13-'Model Inputs'!$B$23)/12,IF(J569=2,'Model Inputs'!$B$27,IF(J569&lt;=MAX(3,'Model Inputs'!$B$30+1),'Model Inputs'!$B$27*(1+'Model Inputs'!$B$28)^(J569-3),'Model Inputs'!$B$27*(1+'Model Inputs'!$B$28)^(MAX(3,'Model Inputs'!$B$30+1)-3)*(1+'Model Inputs'!$B$29)^(J569-MAX(3,'Model Inputs'!$B$30+1)))))</f>
        <v>3149502.4370985711</v>
      </c>
      <c r="N569" s="236">
        <f>IF(J569&lt;=2,0,'Model Inputs'!$B$32*SIN(2*PI()*(J569-3+'Model Inputs'!$B$34)/MAX(1,'Model Inputs'!$B$33)))</f>
        <v>0.10392304845413271</v>
      </c>
      <c r="O569" s="230">
        <f t="shared" si="328"/>
        <v>3476808.331475575</v>
      </c>
      <c r="P569" s="230">
        <f t="shared" si="329"/>
        <v>2295495.7626410057</v>
      </c>
      <c r="Q569" s="230">
        <f>L569+P569+IF(J569=1,'Model Inputs'!$B$26,0)</f>
        <v>2595495.7626410057</v>
      </c>
      <c r="R569" s="230">
        <f t="shared" si="330"/>
        <v>7786487.2879230175</v>
      </c>
      <c r="S569" s="230">
        <f t="shared" si="331"/>
        <v>4050000</v>
      </c>
      <c r="T569" s="230">
        <f t="shared" si="332"/>
        <v>4050000</v>
      </c>
      <c r="U569" s="230">
        <f>MIN(T569,'Tax Assumptions'!$B$19)</f>
        <v>24500</v>
      </c>
      <c r="V569" s="230">
        <f>MAX(T569-U569-'Tax Assumptions'!$B$8,0)</f>
        <v>4009400</v>
      </c>
      <c r="W569" s="230">
        <f>MAX(T569-U569-'Tax Assumptions'!$B$9,0)</f>
        <v>4017500</v>
      </c>
      <c r="X569" s="230">
        <f>IF(V569=0,0,LOOKUP(V569,'Tax Assumptions'!$F$9:$F$15,'Tax Assumptions'!$I$9:$I$15)+(V569-LOOKUP(V569,'Tax Assumptions'!$F$9:$F$15,'Tax Assumptions'!$F$9:$F$15))*LOOKUP(V569,'Tax Assumptions'!$F$9:$F$15,'Tax Assumptions'!$H$9:$H$15))+MIN(MAX(T569,0),'Tax Assumptions'!$B$11)*'Tax Assumptions'!$B$10+MAX(T569,0)*'Tax Assumptions'!$B$12+MAX(MAX(T569,0)-'Tax Assumptions'!$B$14,0)*'Tax Assumptions'!$B$13+MIN(T569*'Tax Assumptions'!$B$15,'Tax Assumptions'!$B$16)+MIN(T569*'Tax Assumptions'!$B$17,'Tax Assumptions'!$B$18)+IF(W569=0,0,LOOKUP(W569,'Tax Assumptions'!$K$9:$K$17,'Tax Assumptions'!$N$9:$N$17)+(W569-LOOKUP(W569,'Tax Assumptions'!$K$9:$K$17,'Tax Assumptions'!$K$9:$K$17))*LOOKUP(W569,'Tax Assumptions'!$K$9:$K$17,'Tax Assumptions'!$M$9:$M$17))+IF(W569=0,0,LOOKUP(W569,'Tax Assumptions'!$P$9:$P$12,'Tax Assumptions'!$S$9:$S$12)+(W569-LOOKUP(W569,'Tax Assumptions'!$P$9:$P$12,'Tax Assumptions'!$P$9:$P$12))*LOOKUP(W569,'Tax Assumptions'!$P$9:$P$12,'Tax Assumptions'!$R$9:$R$12))</f>
        <v>2055188.6349999998</v>
      </c>
      <c r="Y569" s="230">
        <f t="shared" si="333"/>
        <v>1970311.3650000002</v>
      </c>
      <c r="Z569" s="230">
        <f>IF(J569&lt;=10,INDEX('Savings Projection'!$BL$19:$BL$28,J569),LOOKUP(2,1/('Savings Projection'!$BL$19:$BL$28&lt;&gt;""),'Savings Projection'!$BL$19:$BL$28))*(1+'Model Inputs'!$B$35)^(J569-1)+IF(J569&lt;=10,INDEX('Savings Projection'!$BM$19:$BM$28,J569),LOOKUP(2,1/('Savings Projection'!$BM$19:$BM$28&lt;&gt;""),'Savings Projection'!$BM$19:$BM$28))*(1+'Model Inputs'!$B$36)^(J569-1)</f>
        <v>169620.51389780178</v>
      </c>
      <c r="AA569" s="230">
        <f t="shared" si="334"/>
        <v>1800690.8511021985</v>
      </c>
      <c r="AB569" s="230">
        <f>MIN(MAX(AA569,0),'Tax Assumptions'!$B$20)</f>
        <v>7500</v>
      </c>
      <c r="AC569" s="230">
        <f t="shared" si="335"/>
        <v>1793190.8511021985</v>
      </c>
      <c r="AD569" s="230">
        <f>MAX(AD568*(1+'Model Inputs'!$B$13)+AC569,0)</f>
        <v>11662399.963288482</v>
      </c>
      <c r="AE569" s="230">
        <f>MAX(AE568*(1+'Model Inputs'!$B$13)+U569+AB569,0)</f>
        <v>421785.43815618864</v>
      </c>
      <c r="AF569" s="230">
        <f t="shared" si="336"/>
        <v>12084185.401444672</v>
      </c>
      <c r="AG569" s="226" t="str">
        <f t="shared" si="322"/>
        <v/>
      </c>
      <c r="AH569" s="226" t="str">
        <f t="shared" si="323"/>
        <v/>
      </c>
      <c r="AI569" s="226" t="str">
        <f t="shared" si="324"/>
        <v/>
      </c>
      <c r="AJ569" s="226" t="str">
        <f t="shared" si="325"/>
        <v/>
      </c>
    </row>
    <row r="570" spans="1:36" ht="18" customHeight="1" x14ac:dyDescent="0.2">
      <c r="A570" s="226" t="str">
        <f t="shared" si="314"/>
        <v>5Y -&gt; PM Y7 Base</v>
      </c>
      <c r="B570" s="226">
        <f t="shared" si="315"/>
        <v>5</v>
      </c>
      <c r="C570" s="235">
        <f t="shared" si="316"/>
        <v>3</v>
      </c>
      <c r="D570" s="226">
        <f t="shared" si="317"/>
        <v>7</v>
      </c>
      <c r="E570" s="226" t="str">
        <f t="shared" si="318"/>
        <v>Base</v>
      </c>
      <c r="F570" s="230">
        <f t="shared" si="319"/>
        <v>25000000</v>
      </c>
      <c r="G570" s="236">
        <f t="shared" si="320"/>
        <v>0.15</v>
      </c>
      <c r="H570" s="230">
        <f t="shared" si="321"/>
        <v>300000</v>
      </c>
      <c r="I570" s="236">
        <f t="shared" si="326"/>
        <v>0</v>
      </c>
      <c r="J570" s="234">
        <v>11</v>
      </c>
      <c r="K570" s="234">
        <f t="shared" si="327"/>
        <v>2036</v>
      </c>
      <c r="L570" s="230">
        <f>IF(J570=1,'Model Inputs'!$B$25*(13-'Model Inputs'!$B$23)/12,'Model Inputs'!$B$25)</f>
        <v>300000</v>
      </c>
      <c r="M570" s="230">
        <f>IF(J570=1,'Model Inputs'!$B$27*(13-'Model Inputs'!$B$23)/12,IF(J570=2,'Model Inputs'!$B$27,IF(J570&lt;=MAX(3,'Model Inputs'!$B$30+1),'Model Inputs'!$B$27*(1+'Model Inputs'!$B$28)^(J570-3),'Model Inputs'!$B$27*(1+'Model Inputs'!$B$28)^(MAX(3,'Model Inputs'!$B$30+1)-3)*(1+'Model Inputs'!$B$29)^(J570-MAX(3,'Model Inputs'!$B$30+1)))))</f>
        <v>4002631.578947369</v>
      </c>
      <c r="N570" s="236">
        <f>IF(J570&lt;=2,0,'Model Inputs'!$B$32*SIN(2*PI()*(J570-3+'Model Inputs'!$B$34)/MAX(1,'Model Inputs'!$B$33)))</f>
        <v>-0.10392304845413253</v>
      </c>
      <c r="O570" s="230">
        <f t="shared" si="328"/>
        <v>3586665.9034243808</v>
      </c>
      <c r="P570" s="230">
        <f t="shared" si="329"/>
        <v>3227158.9981941464</v>
      </c>
      <c r="Q570" s="230">
        <f>L570+P570+IF(J570=1,'Model Inputs'!$B$26,0)</f>
        <v>3527158.9981941464</v>
      </c>
      <c r="R570" s="230">
        <f t="shared" si="330"/>
        <v>10581476.994582439</v>
      </c>
      <c r="S570" s="230">
        <f t="shared" si="331"/>
        <v>4050000</v>
      </c>
      <c r="T570" s="230">
        <f t="shared" si="332"/>
        <v>4050000</v>
      </c>
      <c r="U570" s="230">
        <f>MIN(T570,'Tax Assumptions'!$B$19)</f>
        <v>24500</v>
      </c>
      <c r="V570" s="230">
        <f>MAX(T570-U570-'Tax Assumptions'!$B$8,0)</f>
        <v>4009400</v>
      </c>
      <c r="W570" s="230">
        <f>MAX(T570-U570-'Tax Assumptions'!$B$9,0)</f>
        <v>4017500</v>
      </c>
      <c r="X570" s="230">
        <f>IF(V570=0,0,LOOKUP(V570,'Tax Assumptions'!$F$9:$F$15,'Tax Assumptions'!$I$9:$I$15)+(V570-LOOKUP(V570,'Tax Assumptions'!$F$9:$F$15,'Tax Assumptions'!$F$9:$F$15))*LOOKUP(V570,'Tax Assumptions'!$F$9:$F$15,'Tax Assumptions'!$H$9:$H$15))+MIN(MAX(T570,0),'Tax Assumptions'!$B$11)*'Tax Assumptions'!$B$10+MAX(T570,0)*'Tax Assumptions'!$B$12+MAX(MAX(T570,0)-'Tax Assumptions'!$B$14,0)*'Tax Assumptions'!$B$13+MIN(T570*'Tax Assumptions'!$B$15,'Tax Assumptions'!$B$16)+MIN(T570*'Tax Assumptions'!$B$17,'Tax Assumptions'!$B$18)+IF(W570=0,0,LOOKUP(W570,'Tax Assumptions'!$K$9:$K$17,'Tax Assumptions'!$N$9:$N$17)+(W570-LOOKUP(W570,'Tax Assumptions'!$K$9:$K$17,'Tax Assumptions'!$K$9:$K$17))*LOOKUP(W570,'Tax Assumptions'!$K$9:$K$17,'Tax Assumptions'!$M$9:$M$17))+IF(W570=0,0,LOOKUP(W570,'Tax Assumptions'!$P$9:$P$12,'Tax Assumptions'!$S$9:$S$12)+(W570-LOOKUP(W570,'Tax Assumptions'!$P$9:$P$12,'Tax Assumptions'!$P$9:$P$12))*LOOKUP(W570,'Tax Assumptions'!$P$9:$P$12,'Tax Assumptions'!$R$9:$R$12))</f>
        <v>2055188.6349999998</v>
      </c>
      <c r="Y570" s="230">
        <f t="shared" si="333"/>
        <v>1970311.3650000002</v>
      </c>
      <c r="Z570" s="230">
        <f>IF(J570&lt;=10,INDEX('Savings Projection'!$BL$19:$BL$28,J570),LOOKUP(2,1/('Savings Projection'!$BL$19:$BL$28&lt;&gt;""),'Savings Projection'!$BL$19:$BL$28))*(1+'Model Inputs'!$B$35)^(J570-1)+IF(J570&lt;=10,INDEX('Savings Projection'!$BM$19:$BM$28,J570),LOOKUP(2,1/('Savings Projection'!$BM$19:$BM$28&lt;&gt;""),'Savings Projection'!$BM$19:$BM$28))*(1+'Model Inputs'!$B$36)^(J570-1)</f>
        <v>174709.12931473582</v>
      </c>
      <c r="AA570" s="230">
        <f t="shared" si="334"/>
        <v>1795602.2356852645</v>
      </c>
      <c r="AB570" s="230">
        <f>MIN(MAX(AA570,0),'Tax Assumptions'!$B$20)</f>
        <v>7500</v>
      </c>
      <c r="AC570" s="230">
        <f t="shared" si="335"/>
        <v>1788102.2356852645</v>
      </c>
      <c r="AD570" s="230">
        <f>MAX(AD569*(1+'Model Inputs'!$B$13)+AC570,0)</f>
        <v>14150246.196771057</v>
      </c>
      <c r="AE570" s="230">
        <f>MAX(AE569*(1+'Model Inputs'!$B$13)+U570+AB570,0)</f>
        <v>479092.56444555998</v>
      </c>
      <c r="AF570" s="230">
        <f t="shared" si="336"/>
        <v>14629338.761216618</v>
      </c>
      <c r="AG570" s="226">
        <f t="shared" si="322"/>
        <v>11</v>
      </c>
      <c r="AH570" s="226" t="str">
        <f t="shared" si="323"/>
        <v/>
      </c>
      <c r="AI570" s="226" t="str">
        <f t="shared" si="324"/>
        <v/>
      </c>
      <c r="AJ570" s="226" t="str">
        <f t="shared" si="325"/>
        <v/>
      </c>
    </row>
    <row r="571" spans="1:36" ht="18" customHeight="1" x14ac:dyDescent="0.2">
      <c r="A571" s="226" t="str">
        <f t="shared" si="314"/>
        <v>5Y -&gt; PM Y7 Base</v>
      </c>
      <c r="B571" s="226">
        <f t="shared" si="315"/>
        <v>5</v>
      </c>
      <c r="C571" s="235">
        <f t="shared" si="316"/>
        <v>3</v>
      </c>
      <c r="D571" s="226">
        <f t="shared" si="317"/>
        <v>7</v>
      </c>
      <c r="E571" s="226" t="str">
        <f t="shared" si="318"/>
        <v>Base</v>
      </c>
      <c r="F571" s="230">
        <f t="shared" si="319"/>
        <v>25000000</v>
      </c>
      <c r="G571" s="236">
        <f t="shared" si="320"/>
        <v>0.15</v>
      </c>
      <c r="H571" s="230">
        <f t="shared" si="321"/>
        <v>300000</v>
      </c>
      <c r="I571" s="236">
        <f t="shared" si="326"/>
        <v>0</v>
      </c>
      <c r="J571" s="234">
        <v>12</v>
      </c>
      <c r="K571" s="234">
        <f t="shared" si="327"/>
        <v>2037</v>
      </c>
      <c r="L571" s="230">
        <f>IF(J571=1,'Model Inputs'!$B$25*(13-'Model Inputs'!$B$23)/12,'Model Inputs'!$B$25)</f>
        <v>300000</v>
      </c>
      <c r="M571" s="230">
        <f>IF(J571=1,'Model Inputs'!$B$27*(13-'Model Inputs'!$B$23)/12,IF(J571=2,'Model Inputs'!$B$27,IF(J571&lt;=MAX(3,'Model Inputs'!$B$30+1),'Model Inputs'!$B$27*(1+'Model Inputs'!$B$28)^(J571-3),'Model Inputs'!$B$27*(1+'Model Inputs'!$B$28)^(MAX(3,'Model Inputs'!$B$30+1)-3)*(1+'Model Inputs'!$B$29)^(J571-MAX(3,'Model Inputs'!$B$30+1)))))</f>
        <v>5086854.15450761</v>
      </c>
      <c r="N571" s="236">
        <f>IF(J571&lt;=2,0,'Model Inputs'!$B$32*SIN(2*PI()*(J571-3+'Model Inputs'!$B$34)/MAX(1,'Model Inputs'!$B$33)))</f>
        <v>-8.8174569538609421E-17</v>
      </c>
      <c r="O571" s="230">
        <f t="shared" si="328"/>
        <v>5086854.1545076091</v>
      </c>
      <c r="P571" s="230">
        <f t="shared" si="329"/>
        <v>3559201.5104371794</v>
      </c>
      <c r="Q571" s="230">
        <f>L571+P571+IF(J571=1,'Model Inputs'!$B$26,0)</f>
        <v>3859201.5104371794</v>
      </c>
      <c r="R571" s="230">
        <f t="shared" si="330"/>
        <v>11577604.531311538</v>
      </c>
      <c r="S571" s="230">
        <f t="shared" si="331"/>
        <v>4050000</v>
      </c>
      <c r="T571" s="230">
        <f t="shared" si="332"/>
        <v>4050000</v>
      </c>
      <c r="U571" s="230">
        <f>MIN(T571,'Tax Assumptions'!$B$19)</f>
        <v>24500</v>
      </c>
      <c r="V571" s="230">
        <f>MAX(T571-U571-'Tax Assumptions'!$B$8,0)</f>
        <v>4009400</v>
      </c>
      <c r="W571" s="230">
        <f>MAX(T571-U571-'Tax Assumptions'!$B$9,0)</f>
        <v>4017500</v>
      </c>
      <c r="X571" s="230">
        <f>IF(V571=0,0,LOOKUP(V571,'Tax Assumptions'!$F$9:$F$15,'Tax Assumptions'!$I$9:$I$15)+(V571-LOOKUP(V571,'Tax Assumptions'!$F$9:$F$15,'Tax Assumptions'!$F$9:$F$15))*LOOKUP(V571,'Tax Assumptions'!$F$9:$F$15,'Tax Assumptions'!$H$9:$H$15))+MIN(MAX(T571,0),'Tax Assumptions'!$B$11)*'Tax Assumptions'!$B$10+MAX(T571,0)*'Tax Assumptions'!$B$12+MAX(MAX(T571,0)-'Tax Assumptions'!$B$14,0)*'Tax Assumptions'!$B$13+MIN(T571*'Tax Assumptions'!$B$15,'Tax Assumptions'!$B$16)+MIN(T571*'Tax Assumptions'!$B$17,'Tax Assumptions'!$B$18)+IF(W571=0,0,LOOKUP(W571,'Tax Assumptions'!$K$9:$K$17,'Tax Assumptions'!$N$9:$N$17)+(W571-LOOKUP(W571,'Tax Assumptions'!$K$9:$K$17,'Tax Assumptions'!$K$9:$K$17))*LOOKUP(W571,'Tax Assumptions'!$K$9:$K$17,'Tax Assumptions'!$M$9:$M$17))+IF(W571=0,0,LOOKUP(W571,'Tax Assumptions'!$P$9:$P$12,'Tax Assumptions'!$S$9:$S$12)+(W571-LOOKUP(W571,'Tax Assumptions'!$P$9:$P$12,'Tax Assumptions'!$P$9:$P$12))*LOOKUP(W571,'Tax Assumptions'!$P$9:$P$12,'Tax Assumptions'!$R$9:$R$12))</f>
        <v>2055188.6349999998</v>
      </c>
      <c r="Y571" s="230">
        <f t="shared" si="333"/>
        <v>1970311.3650000002</v>
      </c>
      <c r="Z571" s="230">
        <f>IF(J571&lt;=10,INDEX('Savings Projection'!$BL$19:$BL$28,J571),LOOKUP(2,1/('Savings Projection'!$BL$19:$BL$28&lt;&gt;""),'Savings Projection'!$BL$19:$BL$28))*(1+'Model Inputs'!$B$35)^(J571-1)+IF(J571&lt;=10,INDEX('Savings Projection'!$BM$19:$BM$28,J571),LOOKUP(2,1/('Savings Projection'!$BM$19:$BM$28&lt;&gt;""),'Savings Projection'!$BM$19:$BM$28))*(1+'Model Inputs'!$B$36)^(J571-1)</f>
        <v>179950.4031941779</v>
      </c>
      <c r="AA571" s="230">
        <f t="shared" si="334"/>
        <v>1790360.9618058223</v>
      </c>
      <c r="AB571" s="230">
        <f>MIN(MAX(AA571,0),'Tax Assumptions'!$B$20)</f>
        <v>7500</v>
      </c>
      <c r="AC571" s="230">
        <f t="shared" si="335"/>
        <v>1782860.9618058223</v>
      </c>
      <c r="AD571" s="230">
        <f>MAX(AD570*(1+'Model Inputs'!$B$13)+AC571,0)</f>
        <v>16782121.930383146</v>
      </c>
      <c r="AE571" s="230">
        <f>MAX(AE570*(1+'Model Inputs'!$B$13)+U571+AB571,0)</f>
        <v>539838.11831229366</v>
      </c>
      <c r="AF571" s="230">
        <f t="shared" si="336"/>
        <v>17321960.048695438</v>
      </c>
      <c r="AG571" s="226" t="str">
        <f t="shared" si="322"/>
        <v/>
      </c>
      <c r="AH571" s="226">
        <f t="shared" si="323"/>
        <v>12</v>
      </c>
      <c r="AI571" s="226">
        <f t="shared" si="324"/>
        <v>12</v>
      </c>
      <c r="AJ571" s="226" t="str">
        <f t="shared" si="325"/>
        <v/>
      </c>
    </row>
    <row r="572" spans="1:36" ht="18" customHeight="1" x14ac:dyDescent="0.2">
      <c r="A572" s="226" t="str">
        <f t="shared" si="314"/>
        <v>5Y -&gt; PM Y7 Base</v>
      </c>
      <c r="B572" s="226">
        <f t="shared" si="315"/>
        <v>5</v>
      </c>
      <c r="C572" s="235">
        <f t="shared" si="316"/>
        <v>3</v>
      </c>
      <c r="D572" s="226">
        <f t="shared" si="317"/>
        <v>7</v>
      </c>
      <c r="E572" s="226" t="str">
        <f t="shared" si="318"/>
        <v>Base</v>
      </c>
      <c r="F572" s="230">
        <f t="shared" si="319"/>
        <v>25000000</v>
      </c>
      <c r="G572" s="236">
        <f t="shared" si="320"/>
        <v>0.15</v>
      </c>
      <c r="H572" s="230">
        <f t="shared" si="321"/>
        <v>300000</v>
      </c>
      <c r="I572" s="236">
        <f t="shared" si="326"/>
        <v>0</v>
      </c>
      <c r="J572" s="234">
        <v>13</v>
      </c>
      <c r="K572" s="234">
        <f t="shared" si="327"/>
        <v>2038</v>
      </c>
      <c r="L572" s="230">
        <f>IF(J572=1,'Model Inputs'!$B$25*(13-'Model Inputs'!$B$23)/12,'Model Inputs'!$B$25)</f>
        <v>300000</v>
      </c>
      <c r="M572" s="230">
        <f>IF(J572=1,'Model Inputs'!$B$27*(13-'Model Inputs'!$B$23)/12,IF(J572=2,'Model Inputs'!$B$27,IF(J572&lt;=MAX(3,'Model Inputs'!$B$30+1),'Model Inputs'!$B$27*(1+'Model Inputs'!$B$28)^(J572-3),'Model Inputs'!$B$27*(1+'Model Inputs'!$B$28)^(MAX(3,'Model Inputs'!$B$30+1)-3)*(1+'Model Inputs'!$B$29)^(J572-MAX(3,'Model Inputs'!$B$30+1)))))</f>
        <v>6464768.1603602255</v>
      </c>
      <c r="N572" s="236">
        <f>IF(J572&lt;=2,0,'Model Inputs'!$B$32*SIN(2*PI()*(J572-3+'Model Inputs'!$B$34)/MAX(1,'Model Inputs'!$B$33)))</f>
        <v>0.10392304845413261</v>
      </c>
      <c r="O572" s="230">
        <f t="shared" si="328"/>
        <v>7136606.5751340752</v>
      </c>
      <c r="P572" s="230">
        <f t="shared" si="329"/>
        <v>4711807.0917368019</v>
      </c>
      <c r="Q572" s="230">
        <f>L572+P572+IF(J572=1,'Model Inputs'!$B$26,0)</f>
        <v>5011807.0917368019</v>
      </c>
      <c r="R572" s="230">
        <f t="shared" si="330"/>
        <v>15035421.275210407</v>
      </c>
      <c r="S572" s="230">
        <f t="shared" si="331"/>
        <v>4050000</v>
      </c>
      <c r="T572" s="230">
        <f t="shared" si="332"/>
        <v>4050000</v>
      </c>
      <c r="U572" s="230">
        <f>MIN(T572,'Tax Assumptions'!$B$19)</f>
        <v>24500</v>
      </c>
      <c r="V572" s="230">
        <f>MAX(T572-U572-'Tax Assumptions'!$B$8,0)</f>
        <v>4009400</v>
      </c>
      <c r="W572" s="230">
        <f>MAX(T572-U572-'Tax Assumptions'!$B$9,0)</f>
        <v>4017500</v>
      </c>
      <c r="X572" s="230">
        <f>IF(V572=0,0,LOOKUP(V572,'Tax Assumptions'!$F$9:$F$15,'Tax Assumptions'!$I$9:$I$15)+(V572-LOOKUP(V572,'Tax Assumptions'!$F$9:$F$15,'Tax Assumptions'!$F$9:$F$15))*LOOKUP(V572,'Tax Assumptions'!$F$9:$F$15,'Tax Assumptions'!$H$9:$H$15))+MIN(MAX(T572,0),'Tax Assumptions'!$B$11)*'Tax Assumptions'!$B$10+MAX(T572,0)*'Tax Assumptions'!$B$12+MAX(MAX(T572,0)-'Tax Assumptions'!$B$14,0)*'Tax Assumptions'!$B$13+MIN(T572*'Tax Assumptions'!$B$15,'Tax Assumptions'!$B$16)+MIN(T572*'Tax Assumptions'!$B$17,'Tax Assumptions'!$B$18)+IF(W572=0,0,LOOKUP(W572,'Tax Assumptions'!$K$9:$K$17,'Tax Assumptions'!$N$9:$N$17)+(W572-LOOKUP(W572,'Tax Assumptions'!$K$9:$K$17,'Tax Assumptions'!$K$9:$K$17))*LOOKUP(W572,'Tax Assumptions'!$K$9:$K$17,'Tax Assumptions'!$M$9:$M$17))+IF(W572=0,0,LOOKUP(W572,'Tax Assumptions'!$P$9:$P$12,'Tax Assumptions'!$S$9:$S$12)+(W572-LOOKUP(W572,'Tax Assumptions'!$P$9:$P$12,'Tax Assumptions'!$P$9:$P$12))*LOOKUP(W572,'Tax Assumptions'!$P$9:$P$12,'Tax Assumptions'!$R$9:$R$12))</f>
        <v>2055188.6349999998</v>
      </c>
      <c r="Y572" s="230">
        <f t="shared" si="333"/>
        <v>1970311.3650000002</v>
      </c>
      <c r="Z572" s="230">
        <f>IF(J572&lt;=10,INDEX('Savings Projection'!$BL$19:$BL$28,J572),LOOKUP(2,1/('Savings Projection'!$BL$19:$BL$28&lt;&gt;""),'Savings Projection'!$BL$19:$BL$28))*(1+'Model Inputs'!$B$35)^(J572-1)+IF(J572&lt;=10,INDEX('Savings Projection'!$BM$19:$BM$28,J572),LOOKUP(2,1/('Savings Projection'!$BM$19:$BM$28&lt;&gt;""),'Savings Projection'!$BM$19:$BM$28))*(1+'Model Inputs'!$B$36)^(J572-1)</f>
        <v>185348.91529000323</v>
      </c>
      <c r="AA572" s="230">
        <f t="shared" si="334"/>
        <v>1784962.449709997</v>
      </c>
      <c r="AB572" s="230">
        <f>MIN(MAX(AA572,0),'Tax Assumptions'!$B$20)</f>
        <v>7500</v>
      </c>
      <c r="AC572" s="230">
        <f t="shared" si="335"/>
        <v>1777462.449709997</v>
      </c>
      <c r="AD572" s="230">
        <f>MAX(AD571*(1+'Model Inputs'!$B$13)+AC572,0)</f>
        <v>19566511.695916131</v>
      </c>
      <c r="AE572" s="230">
        <f>MAX(AE571*(1+'Model Inputs'!$B$13)+U572+AB572,0)</f>
        <v>604228.40541103133</v>
      </c>
      <c r="AF572" s="230">
        <f t="shared" si="336"/>
        <v>20170740.101327162</v>
      </c>
      <c r="AG572" s="226" t="str">
        <f t="shared" si="322"/>
        <v/>
      </c>
      <c r="AH572" s="226" t="str">
        <f t="shared" si="323"/>
        <v/>
      </c>
      <c r="AI572" s="226" t="str">
        <f t="shared" si="324"/>
        <v/>
      </c>
      <c r="AJ572" s="226" t="str">
        <f t="shared" si="325"/>
        <v/>
      </c>
    </row>
    <row r="573" spans="1:36" ht="18" customHeight="1" x14ac:dyDescent="0.2">
      <c r="A573" s="226" t="str">
        <f t="shared" si="314"/>
        <v>5Y -&gt; PM Y7 Base</v>
      </c>
      <c r="B573" s="226">
        <f t="shared" si="315"/>
        <v>5</v>
      </c>
      <c r="C573" s="235">
        <f t="shared" si="316"/>
        <v>3</v>
      </c>
      <c r="D573" s="226">
        <f t="shared" si="317"/>
        <v>7</v>
      </c>
      <c r="E573" s="226" t="str">
        <f t="shared" si="318"/>
        <v>Base</v>
      </c>
      <c r="F573" s="230">
        <f t="shared" si="319"/>
        <v>25000000</v>
      </c>
      <c r="G573" s="236">
        <f t="shared" si="320"/>
        <v>0.15</v>
      </c>
      <c r="H573" s="230">
        <f t="shared" si="321"/>
        <v>300000</v>
      </c>
      <c r="I573" s="236">
        <f t="shared" si="326"/>
        <v>0</v>
      </c>
      <c r="J573" s="234">
        <v>14</v>
      </c>
      <c r="K573" s="234">
        <f t="shared" si="327"/>
        <v>2039</v>
      </c>
      <c r="L573" s="230">
        <f>IF(J573=1,'Model Inputs'!$B$25*(13-'Model Inputs'!$B$23)/12,'Model Inputs'!$B$25)</f>
        <v>300000</v>
      </c>
      <c r="M573" s="230">
        <f>IF(J573=1,'Model Inputs'!$B$27*(13-'Model Inputs'!$B$23)/12,IF(J573=2,'Model Inputs'!$B$27,IF(J573&lt;=MAX(3,'Model Inputs'!$B$30+1),'Model Inputs'!$B$27*(1+'Model Inputs'!$B$28)^(J573-3),'Model Inputs'!$B$27*(1+'Model Inputs'!$B$28)^(MAX(3,'Model Inputs'!$B$30+1)-3)*(1+'Model Inputs'!$B$29)^(J573-MAX(3,'Model Inputs'!$B$30+1)))))</f>
        <v>8215927.9778393377</v>
      </c>
      <c r="N573" s="236">
        <f>IF(J573&lt;=2,0,'Model Inputs'!$B$32*SIN(2*PI()*(J573-3+'Model Inputs'!$B$34)/MAX(1,'Model Inputs'!$B$33)))</f>
        <v>-0.10392304845413251</v>
      </c>
      <c r="O573" s="230">
        <f t="shared" si="328"/>
        <v>7362103.6965026772</v>
      </c>
      <c r="P573" s="230">
        <f t="shared" si="329"/>
        <v>6624168.4699774589</v>
      </c>
      <c r="Q573" s="230">
        <f>L573+P573+IF(J573=1,'Model Inputs'!$B$26,0)</f>
        <v>6924168.4699774589</v>
      </c>
      <c r="R573" s="230">
        <f t="shared" si="330"/>
        <v>20772505.409932375</v>
      </c>
      <c r="S573" s="230">
        <f t="shared" si="331"/>
        <v>4050000</v>
      </c>
      <c r="T573" s="230">
        <f t="shared" si="332"/>
        <v>4050000</v>
      </c>
      <c r="U573" s="230">
        <f>MIN(T573,'Tax Assumptions'!$B$19)</f>
        <v>24500</v>
      </c>
      <c r="V573" s="230">
        <f>MAX(T573-U573-'Tax Assumptions'!$B$8,0)</f>
        <v>4009400</v>
      </c>
      <c r="W573" s="230">
        <f>MAX(T573-U573-'Tax Assumptions'!$B$9,0)</f>
        <v>4017500</v>
      </c>
      <c r="X573" s="230">
        <f>IF(V573=0,0,LOOKUP(V573,'Tax Assumptions'!$F$9:$F$15,'Tax Assumptions'!$I$9:$I$15)+(V573-LOOKUP(V573,'Tax Assumptions'!$F$9:$F$15,'Tax Assumptions'!$F$9:$F$15))*LOOKUP(V573,'Tax Assumptions'!$F$9:$F$15,'Tax Assumptions'!$H$9:$H$15))+MIN(MAX(T573,0),'Tax Assumptions'!$B$11)*'Tax Assumptions'!$B$10+MAX(T573,0)*'Tax Assumptions'!$B$12+MAX(MAX(T573,0)-'Tax Assumptions'!$B$14,0)*'Tax Assumptions'!$B$13+MIN(T573*'Tax Assumptions'!$B$15,'Tax Assumptions'!$B$16)+MIN(T573*'Tax Assumptions'!$B$17,'Tax Assumptions'!$B$18)+IF(W573=0,0,LOOKUP(W573,'Tax Assumptions'!$K$9:$K$17,'Tax Assumptions'!$N$9:$N$17)+(W573-LOOKUP(W573,'Tax Assumptions'!$K$9:$K$17,'Tax Assumptions'!$K$9:$K$17))*LOOKUP(W573,'Tax Assumptions'!$K$9:$K$17,'Tax Assumptions'!$M$9:$M$17))+IF(W573=0,0,LOOKUP(W573,'Tax Assumptions'!$P$9:$P$12,'Tax Assumptions'!$S$9:$S$12)+(W573-LOOKUP(W573,'Tax Assumptions'!$P$9:$P$12,'Tax Assumptions'!$P$9:$P$12))*LOOKUP(W573,'Tax Assumptions'!$P$9:$P$12,'Tax Assumptions'!$R$9:$R$12))</f>
        <v>2055188.6349999998</v>
      </c>
      <c r="Y573" s="230">
        <f t="shared" si="333"/>
        <v>1970311.3650000002</v>
      </c>
      <c r="Z573" s="230">
        <f>IF(J573&lt;=10,INDEX('Savings Projection'!$BL$19:$BL$28,J573),LOOKUP(2,1/('Savings Projection'!$BL$19:$BL$28&lt;&gt;""),'Savings Projection'!$BL$19:$BL$28))*(1+'Model Inputs'!$B$35)^(J573-1)+IF(J573&lt;=10,INDEX('Savings Projection'!$BM$19:$BM$28,J573),LOOKUP(2,1/('Savings Projection'!$BM$19:$BM$28&lt;&gt;""),'Savings Projection'!$BM$19:$BM$28))*(1+'Model Inputs'!$B$36)^(J573-1)</f>
        <v>190909.3827487033</v>
      </c>
      <c r="AA573" s="230">
        <f t="shared" si="334"/>
        <v>1779401.982251297</v>
      </c>
      <c r="AB573" s="230">
        <f>MIN(MAX(AA573,0),'Tax Assumptions'!$B$20)</f>
        <v>7500</v>
      </c>
      <c r="AC573" s="230">
        <f t="shared" si="335"/>
        <v>1771901.982251297</v>
      </c>
      <c r="AD573" s="230">
        <f>MAX(AD572*(1+'Model Inputs'!$B$13)+AC573,0)</f>
        <v>22512404.379922397</v>
      </c>
      <c r="AE573" s="230">
        <f>MAX(AE572*(1+'Model Inputs'!$B$13)+U573+AB573,0)</f>
        <v>672482.1097356932</v>
      </c>
      <c r="AF573" s="230">
        <f t="shared" si="336"/>
        <v>23184886.489658091</v>
      </c>
      <c r="AG573" s="226" t="str">
        <f t="shared" si="322"/>
        <v/>
      </c>
      <c r="AH573" s="226" t="str">
        <f t="shared" si="323"/>
        <v/>
      </c>
      <c r="AI573" s="226" t="str">
        <f t="shared" si="324"/>
        <v/>
      </c>
      <c r="AJ573" s="226">
        <f t="shared" si="325"/>
        <v>14</v>
      </c>
    </row>
    <row r="574" spans="1:36" ht="18" customHeight="1" x14ac:dyDescent="0.2">
      <c r="A574" s="226" t="str">
        <f t="shared" si="314"/>
        <v>5Y -&gt; PM Y7 Base</v>
      </c>
      <c r="B574" s="226">
        <f t="shared" si="315"/>
        <v>5</v>
      </c>
      <c r="C574" s="235">
        <f t="shared" si="316"/>
        <v>3</v>
      </c>
      <c r="D574" s="226">
        <f t="shared" si="317"/>
        <v>7</v>
      </c>
      <c r="E574" s="226" t="str">
        <f t="shared" si="318"/>
        <v>Base</v>
      </c>
      <c r="F574" s="230">
        <f t="shared" si="319"/>
        <v>25000000</v>
      </c>
      <c r="G574" s="236">
        <f t="shared" si="320"/>
        <v>0.15</v>
      </c>
      <c r="H574" s="230">
        <f t="shared" si="321"/>
        <v>300000</v>
      </c>
      <c r="I574" s="236">
        <f t="shared" si="326"/>
        <v>0</v>
      </c>
      <c r="J574" s="234">
        <v>15</v>
      </c>
      <c r="K574" s="234">
        <f t="shared" si="327"/>
        <v>2040</v>
      </c>
      <c r="L574" s="230">
        <f>IF(J574=1,'Model Inputs'!$B$25*(13-'Model Inputs'!$B$23)/12,'Model Inputs'!$B$25)</f>
        <v>300000</v>
      </c>
      <c r="M574" s="230">
        <f>IF(J574=1,'Model Inputs'!$B$27*(13-'Model Inputs'!$B$23)/12,IF(J574=2,'Model Inputs'!$B$27,IF(J574&lt;=MAX(3,'Model Inputs'!$B$30+1),'Model Inputs'!$B$27*(1+'Model Inputs'!$B$28)^(J574-3),'Model Inputs'!$B$27*(1+'Model Inputs'!$B$28)^(MAX(3,'Model Inputs'!$B$30+1)-3)*(1+'Model Inputs'!$B$29)^(J574-MAX(3,'Model Inputs'!$B$30+1)))))</f>
        <v>10441437.475041937</v>
      </c>
      <c r="N574" s="236">
        <f>IF(J574&lt;=2,0,'Model Inputs'!$B$32*SIN(2*PI()*(J574-3+'Model Inputs'!$B$34)/MAX(1,'Model Inputs'!$B$33)))</f>
        <v>-1.1756609271814589E-16</v>
      </c>
      <c r="O574" s="230">
        <f t="shared" si="328"/>
        <v>10441437.475041935</v>
      </c>
      <c r="P574" s="230">
        <f t="shared" si="329"/>
        <v>7305729.4161605267</v>
      </c>
      <c r="Q574" s="230">
        <f>L574+P574+IF(J574=1,'Model Inputs'!$B$26,0)</f>
        <v>7605729.4161605267</v>
      </c>
      <c r="R574" s="230">
        <f t="shared" si="330"/>
        <v>22817188.248481579</v>
      </c>
      <c r="S574" s="230">
        <f t="shared" si="331"/>
        <v>4050000</v>
      </c>
      <c r="T574" s="230">
        <f t="shared" si="332"/>
        <v>4050000</v>
      </c>
      <c r="U574" s="230">
        <f>MIN(T574,'Tax Assumptions'!$B$19)</f>
        <v>24500</v>
      </c>
      <c r="V574" s="230">
        <f>MAX(T574-U574-'Tax Assumptions'!$B$8,0)</f>
        <v>4009400</v>
      </c>
      <c r="W574" s="230">
        <f>MAX(T574-U574-'Tax Assumptions'!$B$9,0)</f>
        <v>4017500</v>
      </c>
      <c r="X574" s="230">
        <f>IF(V574=0,0,LOOKUP(V574,'Tax Assumptions'!$F$9:$F$15,'Tax Assumptions'!$I$9:$I$15)+(V574-LOOKUP(V574,'Tax Assumptions'!$F$9:$F$15,'Tax Assumptions'!$F$9:$F$15))*LOOKUP(V574,'Tax Assumptions'!$F$9:$F$15,'Tax Assumptions'!$H$9:$H$15))+MIN(MAX(T574,0),'Tax Assumptions'!$B$11)*'Tax Assumptions'!$B$10+MAX(T574,0)*'Tax Assumptions'!$B$12+MAX(MAX(T574,0)-'Tax Assumptions'!$B$14,0)*'Tax Assumptions'!$B$13+MIN(T574*'Tax Assumptions'!$B$15,'Tax Assumptions'!$B$16)+MIN(T574*'Tax Assumptions'!$B$17,'Tax Assumptions'!$B$18)+IF(W574=0,0,LOOKUP(W574,'Tax Assumptions'!$K$9:$K$17,'Tax Assumptions'!$N$9:$N$17)+(W574-LOOKUP(W574,'Tax Assumptions'!$K$9:$K$17,'Tax Assumptions'!$K$9:$K$17))*LOOKUP(W574,'Tax Assumptions'!$K$9:$K$17,'Tax Assumptions'!$M$9:$M$17))+IF(W574=0,0,LOOKUP(W574,'Tax Assumptions'!$P$9:$P$12,'Tax Assumptions'!$S$9:$S$12)+(W574-LOOKUP(W574,'Tax Assumptions'!$P$9:$P$12,'Tax Assumptions'!$P$9:$P$12))*LOOKUP(W574,'Tax Assumptions'!$P$9:$P$12,'Tax Assumptions'!$R$9:$R$12))</f>
        <v>2055188.6349999998</v>
      </c>
      <c r="Y574" s="230">
        <f t="shared" si="333"/>
        <v>1970311.3650000002</v>
      </c>
      <c r="Z574" s="230">
        <f>IF(J574&lt;=10,INDEX('Savings Projection'!$BL$19:$BL$28,J574),LOOKUP(2,1/('Savings Projection'!$BL$19:$BL$28&lt;&gt;""),'Savings Projection'!$BL$19:$BL$28))*(1+'Model Inputs'!$B$35)^(J574-1)+IF(J574&lt;=10,INDEX('Savings Projection'!$BM$19:$BM$28,J574),LOOKUP(2,1/('Savings Projection'!$BM$19:$BM$28&lt;&gt;""),'Savings Projection'!$BM$19:$BM$28))*(1+'Model Inputs'!$B$36)^(J574-1)</f>
        <v>196636.66423116444</v>
      </c>
      <c r="AA574" s="230">
        <f t="shared" si="334"/>
        <v>1773674.7007688358</v>
      </c>
      <c r="AB574" s="230">
        <f>MIN(MAX(AA574,0),'Tax Assumptions'!$B$20)</f>
        <v>7500</v>
      </c>
      <c r="AC574" s="230">
        <f t="shared" si="335"/>
        <v>1766174.7007688358</v>
      </c>
      <c r="AD574" s="230">
        <f>MAX(AD573*(1+'Model Inputs'!$B$13)+AC574,0)</f>
        <v>25629323.343486577</v>
      </c>
      <c r="AE574" s="230">
        <f>MAX(AE573*(1+'Model Inputs'!$B$13)+U574+AB574,0)</f>
        <v>744831.03631983488</v>
      </c>
      <c r="AF574" s="230">
        <f t="shared" si="336"/>
        <v>26374154.379806411</v>
      </c>
      <c r="AG574" s="226" t="str">
        <f t="shared" si="322"/>
        <v/>
      </c>
      <c r="AH574" s="226" t="str">
        <f t="shared" si="323"/>
        <v/>
      </c>
      <c r="AI574" s="226" t="str">
        <f t="shared" si="324"/>
        <v/>
      </c>
      <c r="AJ574" s="226" t="str">
        <f t="shared" si="325"/>
        <v/>
      </c>
    </row>
    <row r="575" spans="1:36" ht="18" customHeight="1" x14ac:dyDescent="0.2">
      <c r="A575" s="226" t="str">
        <f t="shared" si="314"/>
        <v>5Y -&gt; PM Y7 Base</v>
      </c>
      <c r="B575" s="226">
        <f t="shared" si="315"/>
        <v>5</v>
      </c>
      <c r="C575" s="235">
        <f t="shared" si="316"/>
        <v>3</v>
      </c>
      <c r="D575" s="226">
        <f t="shared" si="317"/>
        <v>7</v>
      </c>
      <c r="E575" s="226" t="str">
        <f t="shared" si="318"/>
        <v>Base</v>
      </c>
      <c r="F575" s="230">
        <f t="shared" si="319"/>
        <v>25000000</v>
      </c>
      <c r="G575" s="236">
        <f t="shared" si="320"/>
        <v>0.15</v>
      </c>
      <c r="H575" s="230">
        <f t="shared" si="321"/>
        <v>300000</v>
      </c>
      <c r="I575" s="236">
        <f t="shared" si="326"/>
        <v>0</v>
      </c>
      <c r="J575" s="234">
        <v>16</v>
      </c>
      <c r="K575" s="234">
        <f t="shared" si="327"/>
        <v>2041</v>
      </c>
      <c r="L575" s="230">
        <f>IF(J575=1,'Model Inputs'!$B$25*(13-'Model Inputs'!$B$23)/12,'Model Inputs'!$B$25)</f>
        <v>300000</v>
      </c>
      <c r="M575" s="230">
        <f>IF(J575=1,'Model Inputs'!$B$27*(13-'Model Inputs'!$B$23)/12,IF(J575=2,'Model Inputs'!$B$27,IF(J575&lt;=MAX(3,'Model Inputs'!$B$30+1),'Model Inputs'!$B$27*(1+'Model Inputs'!$B$28)^(J575-3),'Model Inputs'!$B$27*(1+'Model Inputs'!$B$28)^(MAX(3,'Model Inputs'!$B$30+1)-3)*(1+'Model Inputs'!$B$29)^(J575-MAX(3,'Model Inputs'!$B$30+1)))))</f>
        <v>13269787.276528884</v>
      </c>
      <c r="N575" s="236">
        <f>IF(J575&lt;=2,0,'Model Inputs'!$B$32*SIN(2*PI()*(J575-3+'Model Inputs'!$B$34)/MAX(1,'Model Inputs'!$B$33)))</f>
        <v>0.10392304845413262</v>
      </c>
      <c r="O575" s="230">
        <f t="shared" si="328"/>
        <v>14648824.022643628</v>
      </c>
      <c r="P575" s="230">
        <f t="shared" si="329"/>
        <v>9671604.0304071214</v>
      </c>
      <c r="Q575" s="230">
        <f>L575+P575+IF(J575=1,'Model Inputs'!$B$26,0)</f>
        <v>9971604.0304071214</v>
      </c>
      <c r="R575" s="230">
        <f t="shared" si="330"/>
        <v>29914812.091221362</v>
      </c>
      <c r="S575" s="230">
        <f t="shared" si="331"/>
        <v>4050000</v>
      </c>
      <c r="T575" s="230">
        <f t="shared" si="332"/>
        <v>4050000</v>
      </c>
      <c r="U575" s="230">
        <f>MIN(T575,'Tax Assumptions'!$B$19)</f>
        <v>24500</v>
      </c>
      <c r="V575" s="230">
        <f>MAX(T575-U575-'Tax Assumptions'!$B$8,0)</f>
        <v>4009400</v>
      </c>
      <c r="W575" s="230">
        <f>MAX(T575-U575-'Tax Assumptions'!$B$9,0)</f>
        <v>4017500</v>
      </c>
      <c r="X575" s="230">
        <f>IF(V575=0,0,LOOKUP(V575,'Tax Assumptions'!$F$9:$F$15,'Tax Assumptions'!$I$9:$I$15)+(V575-LOOKUP(V575,'Tax Assumptions'!$F$9:$F$15,'Tax Assumptions'!$F$9:$F$15))*LOOKUP(V575,'Tax Assumptions'!$F$9:$F$15,'Tax Assumptions'!$H$9:$H$15))+MIN(MAX(T575,0),'Tax Assumptions'!$B$11)*'Tax Assumptions'!$B$10+MAX(T575,0)*'Tax Assumptions'!$B$12+MAX(MAX(T575,0)-'Tax Assumptions'!$B$14,0)*'Tax Assumptions'!$B$13+MIN(T575*'Tax Assumptions'!$B$15,'Tax Assumptions'!$B$16)+MIN(T575*'Tax Assumptions'!$B$17,'Tax Assumptions'!$B$18)+IF(W575=0,0,LOOKUP(W575,'Tax Assumptions'!$K$9:$K$17,'Tax Assumptions'!$N$9:$N$17)+(W575-LOOKUP(W575,'Tax Assumptions'!$K$9:$K$17,'Tax Assumptions'!$K$9:$K$17))*LOOKUP(W575,'Tax Assumptions'!$K$9:$K$17,'Tax Assumptions'!$M$9:$M$17))+IF(W575=0,0,LOOKUP(W575,'Tax Assumptions'!$P$9:$P$12,'Tax Assumptions'!$S$9:$S$12)+(W575-LOOKUP(W575,'Tax Assumptions'!$P$9:$P$12,'Tax Assumptions'!$P$9:$P$12))*LOOKUP(W575,'Tax Assumptions'!$P$9:$P$12,'Tax Assumptions'!$R$9:$R$12))</f>
        <v>2055188.6349999998</v>
      </c>
      <c r="Y575" s="230">
        <f t="shared" si="333"/>
        <v>1970311.3650000002</v>
      </c>
      <c r="Z575" s="230">
        <f>IF(J575&lt;=10,INDEX('Savings Projection'!$BL$19:$BL$28,J575),LOOKUP(2,1/('Savings Projection'!$BL$19:$BL$28&lt;&gt;""),'Savings Projection'!$BL$19:$BL$28))*(1+'Model Inputs'!$B$35)^(J575-1)+IF(J575&lt;=10,INDEX('Savings Projection'!$BM$19:$BM$28,J575),LOOKUP(2,1/('Savings Projection'!$BM$19:$BM$28&lt;&gt;""),'Savings Projection'!$BM$19:$BM$28))*(1+'Model Inputs'!$B$36)^(J575-1)</f>
        <v>202535.76415809937</v>
      </c>
      <c r="AA575" s="230">
        <f t="shared" si="334"/>
        <v>1767775.6008419008</v>
      </c>
      <c r="AB575" s="230">
        <f>MIN(MAX(AA575,0),'Tax Assumptions'!$B$20)</f>
        <v>7500</v>
      </c>
      <c r="AC575" s="230">
        <f t="shared" si="335"/>
        <v>1760275.6008419008</v>
      </c>
      <c r="AD575" s="230">
        <f>MAX(AD574*(1+'Model Inputs'!$B$13)+AC575,0)</f>
        <v>28927358.344937675</v>
      </c>
      <c r="AE575" s="230">
        <f>MAX(AE574*(1+'Model Inputs'!$B$13)+U575+AB575,0)</f>
        <v>821520.89849902503</v>
      </c>
      <c r="AF575" s="230">
        <f t="shared" si="336"/>
        <v>29748879.243436702</v>
      </c>
      <c r="AG575" s="226" t="str">
        <f t="shared" si="322"/>
        <v/>
      </c>
      <c r="AH575" s="226" t="str">
        <f t="shared" si="323"/>
        <v/>
      </c>
      <c r="AI575" s="226" t="str">
        <f t="shared" si="324"/>
        <v/>
      </c>
      <c r="AJ575" s="226" t="str">
        <f t="shared" si="325"/>
        <v/>
      </c>
    </row>
    <row r="576" spans="1:36" ht="18" customHeight="1" x14ac:dyDescent="0.2">
      <c r="A576" s="226" t="str">
        <f t="shared" si="314"/>
        <v>5Y -&gt; PM Y7 Base</v>
      </c>
      <c r="B576" s="226">
        <f t="shared" si="315"/>
        <v>5</v>
      </c>
      <c r="C576" s="235">
        <f t="shared" si="316"/>
        <v>3</v>
      </c>
      <c r="D576" s="226">
        <f t="shared" si="317"/>
        <v>7</v>
      </c>
      <c r="E576" s="226" t="str">
        <f t="shared" si="318"/>
        <v>Base</v>
      </c>
      <c r="F576" s="230">
        <f t="shared" si="319"/>
        <v>25000000</v>
      </c>
      <c r="G576" s="236">
        <f t="shared" si="320"/>
        <v>0.15</v>
      </c>
      <c r="H576" s="230">
        <f t="shared" si="321"/>
        <v>300000</v>
      </c>
      <c r="I576" s="236">
        <f t="shared" si="326"/>
        <v>0</v>
      </c>
      <c r="J576" s="234">
        <v>17</v>
      </c>
      <c r="K576" s="234">
        <f t="shared" si="327"/>
        <v>2042</v>
      </c>
      <c r="L576" s="230">
        <f>IF(J576=1,'Model Inputs'!$B$25*(13-'Model Inputs'!$B$23)/12,'Model Inputs'!$B$25)</f>
        <v>300000</v>
      </c>
      <c r="M576" s="230">
        <f>IF(J576=1,'Model Inputs'!$B$27*(13-'Model Inputs'!$B$23)/12,IF(J576=2,'Model Inputs'!$B$27,IF(J576&lt;=MAX(3,'Model Inputs'!$B$30+1),'Model Inputs'!$B$27*(1+'Model Inputs'!$B$28)^(J576-3),'Model Inputs'!$B$27*(1+'Model Inputs'!$B$28)^(MAX(3,'Model Inputs'!$B$30+1)-3)*(1+'Model Inputs'!$B$29)^(J576-MAX(3,'Model Inputs'!$B$30+1)))))</f>
        <v>16864273.217670217</v>
      </c>
      <c r="N576" s="236">
        <f>IF(J576&lt;=2,0,'Model Inputs'!$B$32*SIN(2*PI()*(J576-3+'Model Inputs'!$B$34)/MAX(1,'Model Inputs'!$B$33)))</f>
        <v>-0.1039230484541325</v>
      </c>
      <c r="O576" s="230">
        <f t="shared" si="328"/>
        <v>15111686.534926547</v>
      </c>
      <c r="P576" s="230">
        <f t="shared" si="329"/>
        <v>13596977.385743205</v>
      </c>
      <c r="Q576" s="230">
        <f>L576+P576+IF(J576=1,'Model Inputs'!$B$26,0)</f>
        <v>13896977.385743205</v>
      </c>
      <c r="R576" s="230">
        <f t="shared" si="330"/>
        <v>41690932.157229617</v>
      </c>
      <c r="S576" s="230">
        <f t="shared" si="331"/>
        <v>4050000</v>
      </c>
      <c r="T576" s="230">
        <f t="shared" si="332"/>
        <v>4050000</v>
      </c>
      <c r="U576" s="230">
        <f>MIN(T576,'Tax Assumptions'!$B$19)</f>
        <v>24500</v>
      </c>
      <c r="V576" s="230">
        <f>MAX(T576-U576-'Tax Assumptions'!$B$8,0)</f>
        <v>4009400</v>
      </c>
      <c r="W576" s="230">
        <f>MAX(T576-U576-'Tax Assumptions'!$B$9,0)</f>
        <v>4017500</v>
      </c>
      <c r="X576" s="230">
        <f>IF(V576=0,0,LOOKUP(V576,'Tax Assumptions'!$F$9:$F$15,'Tax Assumptions'!$I$9:$I$15)+(V576-LOOKUP(V576,'Tax Assumptions'!$F$9:$F$15,'Tax Assumptions'!$F$9:$F$15))*LOOKUP(V576,'Tax Assumptions'!$F$9:$F$15,'Tax Assumptions'!$H$9:$H$15))+MIN(MAX(T576,0),'Tax Assumptions'!$B$11)*'Tax Assumptions'!$B$10+MAX(T576,0)*'Tax Assumptions'!$B$12+MAX(MAX(T576,0)-'Tax Assumptions'!$B$14,0)*'Tax Assumptions'!$B$13+MIN(T576*'Tax Assumptions'!$B$15,'Tax Assumptions'!$B$16)+MIN(T576*'Tax Assumptions'!$B$17,'Tax Assumptions'!$B$18)+IF(W576=0,0,LOOKUP(W576,'Tax Assumptions'!$K$9:$K$17,'Tax Assumptions'!$N$9:$N$17)+(W576-LOOKUP(W576,'Tax Assumptions'!$K$9:$K$17,'Tax Assumptions'!$K$9:$K$17))*LOOKUP(W576,'Tax Assumptions'!$K$9:$K$17,'Tax Assumptions'!$M$9:$M$17))+IF(W576=0,0,LOOKUP(W576,'Tax Assumptions'!$P$9:$P$12,'Tax Assumptions'!$S$9:$S$12)+(W576-LOOKUP(W576,'Tax Assumptions'!$P$9:$P$12,'Tax Assumptions'!$P$9:$P$12))*LOOKUP(W576,'Tax Assumptions'!$P$9:$P$12,'Tax Assumptions'!$R$9:$R$12))</f>
        <v>2055188.6349999998</v>
      </c>
      <c r="Y576" s="230">
        <f t="shared" si="333"/>
        <v>1970311.3650000002</v>
      </c>
      <c r="Z576" s="230">
        <f>IF(J576&lt;=10,INDEX('Savings Projection'!$BL$19:$BL$28,J576),LOOKUP(2,1/('Savings Projection'!$BL$19:$BL$28&lt;&gt;""),'Savings Projection'!$BL$19:$BL$28))*(1+'Model Inputs'!$B$35)^(J576-1)+IF(J576&lt;=10,INDEX('Savings Projection'!$BM$19:$BM$28,J576),LOOKUP(2,1/('Savings Projection'!$BM$19:$BM$28&lt;&gt;""),'Savings Projection'!$BM$19:$BM$28))*(1+'Model Inputs'!$B$36)^(J576-1)</f>
        <v>208611.83708284231</v>
      </c>
      <c r="AA576" s="230">
        <f t="shared" si="334"/>
        <v>1761699.5279171579</v>
      </c>
      <c r="AB576" s="230">
        <f>MIN(MAX(AA576,0),'Tax Assumptions'!$B$20)</f>
        <v>7500</v>
      </c>
      <c r="AC576" s="230">
        <f t="shared" si="335"/>
        <v>1754199.5279171579</v>
      </c>
      <c r="AD576" s="230">
        <f>MAX(AD575*(1+'Model Inputs'!$B$13)+AC576,0)</f>
        <v>32417199.373551093</v>
      </c>
      <c r="AE576" s="230">
        <f>MAX(AE575*(1+'Model Inputs'!$B$13)+U576+AB576,0)</f>
        <v>902812.15240896656</v>
      </c>
      <c r="AF576" s="230">
        <f t="shared" si="336"/>
        <v>33320011.525960058</v>
      </c>
      <c r="AG576" s="226" t="str">
        <f t="shared" si="322"/>
        <v/>
      </c>
      <c r="AH576" s="226" t="str">
        <f t="shared" si="323"/>
        <v/>
      </c>
      <c r="AI576" s="226" t="str">
        <f t="shared" si="324"/>
        <v/>
      </c>
      <c r="AJ576" s="226" t="str">
        <f t="shared" si="325"/>
        <v/>
      </c>
    </row>
    <row r="577" spans="1:36" ht="18" customHeight="1" x14ac:dyDescent="0.2">
      <c r="A577" s="226" t="str">
        <f t="shared" si="314"/>
        <v>5Y -&gt; PM Y7 Base</v>
      </c>
      <c r="B577" s="226">
        <f t="shared" si="315"/>
        <v>5</v>
      </c>
      <c r="C577" s="235">
        <f t="shared" si="316"/>
        <v>3</v>
      </c>
      <c r="D577" s="226">
        <f t="shared" si="317"/>
        <v>7</v>
      </c>
      <c r="E577" s="226" t="str">
        <f t="shared" si="318"/>
        <v>Base</v>
      </c>
      <c r="F577" s="230">
        <f t="shared" si="319"/>
        <v>25000000</v>
      </c>
      <c r="G577" s="236">
        <f t="shared" si="320"/>
        <v>0.15</v>
      </c>
      <c r="H577" s="230">
        <f t="shared" si="321"/>
        <v>300000</v>
      </c>
      <c r="I577" s="236">
        <f t="shared" si="326"/>
        <v>0</v>
      </c>
      <c r="J577" s="234">
        <v>18</v>
      </c>
      <c r="K577" s="234">
        <f t="shared" si="327"/>
        <v>2043</v>
      </c>
      <c r="L577" s="230">
        <f>IF(J577=1,'Model Inputs'!$B$25*(13-'Model Inputs'!$B$23)/12,'Model Inputs'!$B$25)</f>
        <v>300000</v>
      </c>
      <c r="M577" s="230">
        <f>IF(J577=1,'Model Inputs'!$B$27*(13-'Model Inputs'!$B$23)/12,IF(J577=2,'Model Inputs'!$B$27,IF(J577&lt;=MAX(3,'Model Inputs'!$B$30+1),'Model Inputs'!$B$27*(1+'Model Inputs'!$B$28)^(J577-3),'Model Inputs'!$B$27*(1+'Model Inputs'!$B$28)^(MAX(3,'Model Inputs'!$B$30+1)-3)*(1+'Model Inputs'!$B$29)^(J577-MAX(3,'Model Inputs'!$B$30+1)))))</f>
        <v>21432424.290875554</v>
      </c>
      <c r="N577" s="236">
        <f>IF(J577&lt;=2,0,'Model Inputs'!$B$32*SIN(2*PI()*(J577-3+'Model Inputs'!$B$34)/MAX(1,'Model Inputs'!$B$33)))</f>
        <v>-5.7328325735374245E-16</v>
      </c>
      <c r="O577" s="230">
        <f t="shared" si="328"/>
        <v>21432424.290875543</v>
      </c>
      <c r="P577" s="230">
        <f t="shared" si="329"/>
        <v>14995970.906855816</v>
      </c>
      <c r="Q577" s="230">
        <f>L577+P577+IF(J577=1,'Model Inputs'!$B$26,0)</f>
        <v>15295970.906855816</v>
      </c>
      <c r="R577" s="230">
        <f t="shared" si="330"/>
        <v>45887912.72056745</v>
      </c>
      <c r="S577" s="230">
        <f t="shared" si="331"/>
        <v>4050000</v>
      </c>
      <c r="T577" s="230">
        <f t="shared" si="332"/>
        <v>4050000</v>
      </c>
      <c r="U577" s="230">
        <f>MIN(T577,'Tax Assumptions'!$B$19)</f>
        <v>24500</v>
      </c>
      <c r="V577" s="230">
        <f>MAX(T577-U577-'Tax Assumptions'!$B$8,0)</f>
        <v>4009400</v>
      </c>
      <c r="W577" s="230">
        <f>MAX(T577-U577-'Tax Assumptions'!$B$9,0)</f>
        <v>4017500</v>
      </c>
      <c r="X577" s="230">
        <f>IF(V577=0,0,LOOKUP(V577,'Tax Assumptions'!$F$9:$F$15,'Tax Assumptions'!$I$9:$I$15)+(V577-LOOKUP(V577,'Tax Assumptions'!$F$9:$F$15,'Tax Assumptions'!$F$9:$F$15))*LOOKUP(V577,'Tax Assumptions'!$F$9:$F$15,'Tax Assumptions'!$H$9:$H$15))+MIN(MAX(T577,0),'Tax Assumptions'!$B$11)*'Tax Assumptions'!$B$10+MAX(T577,0)*'Tax Assumptions'!$B$12+MAX(MAX(T577,0)-'Tax Assumptions'!$B$14,0)*'Tax Assumptions'!$B$13+MIN(T577*'Tax Assumptions'!$B$15,'Tax Assumptions'!$B$16)+MIN(T577*'Tax Assumptions'!$B$17,'Tax Assumptions'!$B$18)+IF(W577=0,0,LOOKUP(W577,'Tax Assumptions'!$K$9:$K$17,'Tax Assumptions'!$N$9:$N$17)+(W577-LOOKUP(W577,'Tax Assumptions'!$K$9:$K$17,'Tax Assumptions'!$K$9:$K$17))*LOOKUP(W577,'Tax Assumptions'!$K$9:$K$17,'Tax Assumptions'!$M$9:$M$17))+IF(W577=0,0,LOOKUP(W577,'Tax Assumptions'!$P$9:$P$12,'Tax Assumptions'!$S$9:$S$12)+(W577-LOOKUP(W577,'Tax Assumptions'!$P$9:$P$12,'Tax Assumptions'!$P$9:$P$12))*LOOKUP(W577,'Tax Assumptions'!$P$9:$P$12,'Tax Assumptions'!$R$9:$R$12))</f>
        <v>2055188.6349999998</v>
      </c>
      <c r="Y577" s="230">
        <f t="shared" si="333"/>
        <v>1970311.3650000002</v>
      </c>
      <c r="Z577" s="230">
        <f>IF(J577&lt;=10,INDEX('Savings Projection'!$BL$19:$BL$28,J577),LOOKUP(2,1/('Savings Projection'!$BL$19:$BL$28&lt;&gt;""),'Savings Projection'!$BL$19:$BL$28))*(1+'Model Inputs'!$B$35)^(J577-1)+IF(J577&lt;=10,INDEX('Savings Projection'!$BM$19:$BM$28,J577),LOOKUP(2,1/('Savings Projection'!$BM$19:$BM$28&lt;&gt;""),'Savings Projection'!$BM$19:$BM$28))*(1+'Model Inputs'!$B$36)^(J577-1)</f>
        <v>214870.1921953276</v>
      </c>
      <c r="AA577" s="230">
        <f t="shared" si="334"/>
        <v>1755441.1728046727</v>
      </c>
      <c r="AB577" s="230">
        <f>MIN(MAX(AA577,0),'Tax Assumptions'!$B$20)</f>
        <v>7500</v>
      </c>
      <c r="AC577" s="230">
        <f t="shared" si="335"/>
        <v>1747941.1728046727</v>
      </c>
      <c r="AD577" s="230">
        <f>MAX(AD576*(1+'Model Inputs'!$B$13)+AC577,0)</f>
        <v>36110172.508768834</v>
      </c>
      <c r="AE577" s="230">
        <f>MAX(AE576*(1+'Model Inputs'!$B$13)+U577+AB577,0)</f>
        <v>988980.88155350462</v>
      </c>
      <c r="AF577" s="230">
        <f t="shared" si="336"/>
        <v>37099153.390322343</v>
      </c>
      <c r="AG577" s="226" t="str">
        <f t="shared" si="322"/>
        <v/>
      </c>
      <c r="AH577" s="226" t="str">
        <f t="shared" si="323"/>
        <v/>
      </c>
      <c r="AI577" s="226" t="str">
        <f t="shared" si="324"/>
        <v/>
      </c>
      <c r="AJ577" s="226" t="str">
        <f t="shared" si="325"/>
        <v/>
      </c>
    </row>
    <row r="578" spans="1:36" ht="18" customHeight="1" x14ac:dyDescent="0.2">
      <c r="A578" s="226" t="str">
        <f t="shared" si="314"/>
        <v>5Y -&gt; PM Y7 Base</v>
      </c>
      <c r="B578" s="226">
        <f t="shared" si="315"/>
        <v>5</v>
      </c>
      <c r="C578" s="235">
        <f t="shared" si="316"/>
        <v>3</v>
      </c>
      <c r="D578" s="226">
        <f t="shared" si="317"/>
        <v>7</v>
      </c>
      <c r="E578" s="226" t="str">
        <f t="shared" si="318"/>
        <v>Base</v>
      </c>
      <c r="F578" s="230">
        <f t="shared" si="319"/>
        <v>25000000</v>
      </c>
      <c r="G578" s="236">
        <f t="shared" si="320"/>
        <v>0.15</v>
      </c>
      <c r="H578" s="230">
        <f t="shared" si="321"/>
        <v>300000</v>
      </c>
      <c r="I578" s="236">
        <f t="shared" si="326"/>
        <v>0</v>
      </c>
      <c r="J578" s="234">
        <v>19</v>
      </c>
      <c r="K578" s="234">
        <f t="shared" si="327"/>
        <v>2044</v>
      </c>
      <c r="L578" s="230">
        <f>IF(J578=1,'Model Inputs'!$B$25*(13-'Model Inputs'!$B$23)/12,'Model Inputs'!$B$25)</f>
        <v>300000</v>
      </c>
      <c r="M578" s="230">
        <f>IF(J578=1,'Model Inputs'!$B$27*(13-'Model Inputs'!$B$23)/12,IF(J578=2,'Model Inputs'!$B$27,IF(J578&lt;=MAX(3,'Model Inputs'!$B$30+1),'Model Inputs'!$B$27*(1+'Model Inputs'!$B$28)^(J578-3),'Model Inputs'!$B$27*(1+'Model Inputs'!$B$28)^(MAX(3,'Model Inputs'!$B$30+1)-3)*(1+'Model Inputs'!$B$29)^(J578-MAX(3,'Model Inputs'!$B$30+1)))))</f>
        <v>27237984.409717187</v>
      </c>
      <c r="N578" s="236">
        <f>IF(J578&lt;=2,0,'Model Inputs'!$B$32*SIN(2*PI()*(J578-3+'Model Inputs'!$B$34)/MAX(1,'Model Inputs'!$B$33)))</f>
        <v>0.10392304845413286</v>
      </c>
      <c r="O578" s="230">
        <f t="shared" si="328"/>
        <v>30068638.783321142</v>
      </c>
      <c r="P578" s="230">
        <f t="shared" si="329"/>
        <v>19852239.851888295</v>
      </c>
      <c r="Q578" s="230">
        <f>L578+P578+IF(J578=1,'Model Inputs'!$B$26,0)</f>
        <v>20152239.851888295</v>
      </c>
      <c r="R578" s="230">
        <f t="shared" si="330"/>
        <v>60456719.555664882</v>
      </c>
      <c r="S578" s="230">
        <f t="shared" si="331"/>
        <v>4050000</v>
      </c>
      <c r="T578" s="230">
        <f t="shared" si="332"/>
        <v>4050000</v>
      </c>
      <c r="U578" s="230">
        <f>MIN(T578,'Tax Assumptions'!$B$19)</f>
        <v>24500</v>
      </c>
      <c r="V578" s="230">
        <f>MAX(T578-U578-'Tax Assumptions'!$B$8,0)</f>
        <v>4009400</v>
      </c>
      <c r="W578" s="230">
        <f>MAX(T578-U578-'Tax Assumptions'!$B$9,0)</f>
        <v>4017500</v>
      </c>
      <c r="X578" s="230">
        <f>IF(V578=0,0,LOOKUP(V578,'Tax Assumptions'!$F$9:$F$15,'Tax Assumptions'!$I$9:$I$15)+(V578-LOOKUP(V578,'Tax Assumptions'!$F$9:$F$15,'Tax Assumptions'!$F$9:$F$15))*LOOKUP(V578,'Tax Assumptions'!$F$9:$F$15,'Tax Assumptions'!$H$9:$H$15))+MIN(MAX(T578,0),'Tax Assumptions'!$B$11)*'Tax Assumptions'!$B$10+MAX(T578,0)*'Tax Assumptions'!$B$12+MAX(MAX(T578,0)-'Tax Assumptions'!$B$14,0)*'Tax Assumptions'!$B$13+MIN(T578*'Tax Assumptions'!$B$15,'Tax Assumptions'!$B$16)+MIN(T578*'Tax Assumptions'!$B$17,'Tax Assumptions'!$B$18)+IF(W578=0,0,LOOKUP(W578,'Tax Assumptions'!$K$9:$K$17,'Tax Assumptions'!$N$9:$N$17)+(W578-LOOKUP(W578,'Tax Assumptions'!$K$9:$K$17,'Tax Assumptions'!$K$9:$K$17))*LOOKUP(W578,'Tax Assumptions'!$K$9:$K$17,'Tax Assumptions'!$M$9:$M$17))+IF(W578=0,0,LOOKUP(W578,'Tax Assumptions'!$P$9:$P$12,'Tax Assumptions'!$S$9:$S$12)+(W578-LOOKUP(W578,'Tax Assumptions'!$P$9:$P$12,'Tax Assumptions'!$P$9:$P$12))*LOOKUP(W578,'Tax Assumptions'!$P$9:$P$12,'Tax Assumptions'!$R$9:$R$12))</f>
        <v>2055188.6349999998</v>
      </c>
      <c r="Y578" s="230">
        <f t="shared" si="333"/>
        <v>1970311.3650000002</v>
      </c>
      <c r="Z578" s="230">
        <f>IF(J578&lt;=10,INDEX('Savings Projection'!$BL$19:$BL$28,J578),LOOKUP(2,1/('Savings Projection'!$BL$19:$BL$28&lt;&gt;""),'Savings Projection'!$BL$19:$BL$28))*(1+'Model Inputs'!$B$35)^(J578-1)+IF(J578&lt;=10,INDEX('Savings Projection'!$BM$19:$BM$28,J578),LOOKUP(2,1/('Savings Projection'!$BM$19:$BM$28&lt;&gt;""),'Savings Projection'!$BM$19:$BM$28))*(1+'Model Inputs'!$B$36)^(J578-1)</f>
        <v>221316.29796118743</v>
      </c>
      <c r="AA578" s="230">
        <f t="shared" si="334"/>
        <v>1748995.0670388127</v>
      </c>
      <c r="AB578" s="230">
        <f>MIN(MAX(AA578,0),'Tax Assumptions'!$B$20)</f>
        <v>7500</v>
      </c>
      <c r="AC578" s="230">
        <f t="shared" si="335"/>
        <v>1741495.0670388127</v>
      </c>
      <c r="AD578" s="230">
        <f>MAX(AD577*(1+'Model Inputs'!$B$13)+AC578,0)</f>
        <v>40018277.926333778</v>
      </c>
      <c r="AE578" s="230">
        <f>MAX(AE577*(1+'Model Inputs'!$B$13)+U578+AB578,0)</f>
        <v>1080319.7344467151</v>
      </c>
      <c r="AF578" s="230">
        <f t="shared" si="336"/>
        <v>41098597.660780489</v>
      </c>
      <c r="AG578" s="226" t="str">
        <f t="shared" si="322"/>
        <v/>
      </c>
      <c r="AH578" s="226" t="str">
        <f t="shared" si="323"/>
        <v/>
      </c>
      <c r="AI578" s="226" t="str">
        <f t="shared" si="324"/>
        <v/>
      </c>
      <c r="AJ578" s="226" t="str">
        <f t="shared" si="325"/>
        <v/>
      </c>
    </row>
    <row r="579" spans="1:36" ht="18" customHeight="1" x14ac:dyDescent="0.2">
      <c r="A579" s="226" t="str">
        <f t="shared" si="314"/>
        <v>5Y -&gt; PM Y7 Base</v>
      </c>
      <c r="B579" s="226">
        <f t="shared" si="315"/>
        <v>5</v>
      </c>
      <c r="C579" s="235">
        <f t="shared" si="316"/>
        <v>3</v>
      </c>
      <c r="D579" s="226">
        <f t="shared" si="317"/>
        <v>7</v>
      </c>
      <c r="E579" s="226" t="str">
        <f t="shared" si="318"/>
        <v>Base</v>
      </c>
      <c r="F579" s="230">
        <f t="shared" si="319"/>
        <v>25000000</v>
      </c>
      <c r="G579" s="236">
        <f t="shared" si="320"/>
        <v>0.15</v>
      </c>
      <c r="H579" s="230">
        <f t="shared" si="321"/>
        <v>300000</v>
      </c>
      <c r="I579" s="236">
        <f t="shared" si="326"/>
        <v>0</v>
      </c>
      <c r="J579" s="234">
        <v>20</v>
      </c>
      <c r="K579" s="234">
        <f t="shared" si="327"/>
        <v>2045</v>
      </c>
      <c r="L579" s="230">
        <f>IF(J579=1,'Model Inputs'!$B$25*(13-'Model Inputs'!$B$23)/12,'Model Inputs'!$B$25)</f>
        <v>300000</v>
      </c>
      <c r="M579" s="230">
        <f>IF(J579=1,'Model Inputs'!$B$27*(13-'Model Inputs'!$B$23)/12,IF(J579=2,'Model Inputs'!$B$27,IF(J579&lt;=MAX(3,'Model Inputs'!$B$30+1),'Model Inputs'!$B$27*(1+'Model Inputs'!$B$28)^(J579-3),'Model Inputs'!$B$27*(1+'Model Inputs'!$B$28)^(MAX(3,'Model Inputs'!$B$30+1)-3)*(1+'Model Inputs'!$B$29)^(J579-MAX(3,'Model Inputs'!$B$30+1)))))</f>
        <v>34616139.762586243</v>
      </c>
      <c r="N579" s="236">
        <f>IF(J579&lt;=2,0,'Model Inputs'!$B$32*SIN(2*PI()*(J579-3+'Model Inputs'!$B$34)/MAX(1,'Model Inputs'!$B$33)))</f>
        <v>-0.10392304845413269</v>
      </c>
      <c r="O579" s="230">
        <f t="shared" si="328"/>
        <v>31018724.992743965</v>
      </c>
      <c r="P579" s="230">
        <f t="shared" si="329"/>
        <v>27909585.160209741</v>
      </c>
      <c r="Q579" s="230">
        <f>L579+P579+IF(J579=1,'Model Inputs'!$B$26,0)</f>
        <v>28209585.160209741</v>
      </c>
      <c r="R579" s="230">
        <f t="shared" si="330"/>
        <v>84628755.480629221</v>
      </c>
      <c r="S579" s="230">
        <f t="shared" si="331"/>
        <v>4050000</v>
      </c>
      <c r="T579" s="230">
        <f t="shared" si="332"/>
        <v>4050000</v>
      </c>
      <c r="U579" s="230">
        <f>MIN(T579,'Tax Assumptions'!$B$19)</f>
        <v>24500</v>
      </c>
      <c r="V579" s="230">
        <f>MAX(T579-U579-'Tax Assumptions'!$B$8,0)</f>
        <v>4009400</v>
      </c>
      <c r="W579" s="230">
        <f>MAX(T579-U579-'Tax Assumptions'!$B$9,0)</f>
        <v>4017500</v>
      </c>
      <c r="X579" s="230">
        <f>IF(V579=0,0,LOOKUP(V579,'Tax Assumptions'!$F$9:$F$15,'Tax Assumptions'!$I$9:$I$15)+(V579-LOOKUP(V579,'Tax Assumptions'!$F$9:$F$15,'Tax Assumptions'!$F$9:$F$15))*LOOKUP(V579,'Tax Assumptions'!$F$9:$F$15,'Tax Assumptions'!$H$9:$H$15))+MIN(MAX(T579,0),'Tax Assumptions'!$B$11)*'Tax Assumptions'!$B$10+MAX(T579,0)*'Tax Assumptions'!$B$12+MAX(MAX(T579,0)-'Tax Assumptions'!$B$14,0)*'Tax Assumptions'!$B$13+MIN(T579*'Tax Assumptions'!$B$15,'Tax Assumptions'!$B$16)+MIN(T579*'Tax Assumptions'!$B$17,'Tax Assumptions'!$B$18)+IF(W579=0,0,LOOKUP(W579,'Tax Assumptions'!$K$9:$K$17,'Tax Assumptions'!$N$9:$N$17)+(W579-LOOKUP(W579,'Tax Assumptions'!$K$9:$K$17,'Tax Assumptions'!$K$9:$K$17))*LOOKUP(W579,'Tax Assumptions'!$K$9:$K$17,'Tax Assumptions'!$M$9:$M$17))+IF(W579=0,0,LOOKUP(W579,'Tax Assumptions'!$P$9:$P$12,'Tax Assumptions'!$S$9:$S$12)+(W579-LOOKUP(W579,'Tax Assumptions'!$P$9:$P$12,'Tax Assumptions'!$P$9:$P$12))*LOOKUP(W579,'Tax Assumptions'!$P$9:$P$12,'Tax Assumptions'!$R$9:$R$12))</f>
        <v>2055188.6349999998</v>
      </c>
      <c r="Y579" s="230">
        <f t="shared" si="333"/>
        <v>1970311.3650000002</v>
      </c>
      <c r="Z579" s="230">
        <f>IF(J579&lt;=10,INDEX('Savings Projection'!$BL$19:$BL$28,J579),LOOKUP(2,1/('Savings Projection'!$BL$19:$BL$28&lt;&gt;""),'Savings Projection'!$BL$19:$BL$28))*(1+'Model Inputs'!$B$35)^(J579-1)+IF(J579&lt;=10,INDEX('Savings Projection'!$BM$19:$BM$28,J579),LOOKUP(2,1/('Savings Projection'!$BM$19:$BM$28&lt;&gt;""),'Savings Projection'!$BM$19:$BM$28))*(1+'Model Inputs'!$B$36)^(J579-1)</f>
        <v>227955.78690002306</v>
      </c>
      <c r="AA579" s="230">
        <f t="shared" si="334"/>
        <v>1742355.5780999772</v>
      </c>
      <c r="AB579" s="230">
        <f>MIN(MAX(AA579,0),'Tax Assumptions'!$B$20)</f>
        <v>7500</v>
      </c>
      <c r="AC579" s="230">
        <f t="shared" si="335"/>
        <v>1734855.5780999772</v>
      </c>
      <c r="AD579" s="230">
        <f>MAX(AD578*(1+'Model Inputs'!$B$13)+AC579,0)</f>
        <v>44154230.180013791</v>
      </c>
      <c r="AE579" s="230">
        <f>MAX(AE578*(1+'Model Inputs'!$B$13)+U579+AB579,0)</f>
        <v>1177138.9185135181</v>
      </c>
      <c r="AF579" s="230">
        <f t="shared" si="336"/>
        <v>45331369.098527312</v>
      </c>
      <c r="AG579" s="226" t="str">
        <f t="shared" si="322"/>
        <v/>
      </c>
      <c r="AH579" s="226" t="str">
        <f t="shared" si="323"/>
        <v/>
      </c>
      <c r="AI579" s="226" t="str">
        <f t="shared" si="324"/>
        <v/>
      </c>
      <c r="AJ579" s="226" t="str">
        <f t="shared" si="325"/>
        <v/>
      </c>
    </row>
    <row r="580" spans="1:36" ht="18" customHeight="1" x14ac:dyDescent="0.2">
      <c r="A580" s="226" t="str">
        <f t="shared" si="314"/>
        <v>5Y -&gt; PM Y7 Base</v>
      </c>
      <c r="B580" s="226">
        <f t="shared" si="315"/>
        <v>5</v>
      </c>
      <c r="C580" s="235">
        <f t="shared" si="316"/>
        <v>3</v>
      </c>
      <c r="D580" s="226">
        <f t="shared" si="317"/>
        <v>7</v>
      </c>
      <c r="E580" s="226" t="str">
        <f t="shared" si="318"/>
        <v>Base</v>
      </c>
      <c r="F580" s="230">
        <f t="shared" si="319"/>
        <v>25000000</v>
      </c>
      <c r="G580" s="236">
        <f t="shared" si="320"/>
        <v>0.15</v>
      </c>
      <c r="H580" s="230">
        <f t="shared" si="321"/>
        <v>300000</v>
      </c>
      <c r="I580" s="236">
        <f t="shared" si="326"/>
        <v>0</v>
      </c>
      <c r="J580" s="234">
        <v>21</v>
      </c>
      <c r="K580" s="234">
        <f t="shared" si="327"/>
        <v>2046</v>
      </c>
      <c r="L580" s="230">
        <f>IF(J580=1,'Model Inputs'!$B$25*(13-'Model Inputs'!$B$23)/12,'Model Inputs'!$B$25)</f>
        <v>300000</v>
      </c>
      <c r="M580" s="230">
        <f>IF(J580=1,'Model Inputs'!$B$27*(13-'Model Inputs'!$B$23)/12,IF(J580=2,'Model Inputs'!$B$27,IF(J580&lt;=MAX(3,'Model Inputs'!$B$30+1),'Model Inputs'!$B$27*(1+'Model Inputs'!$B$28)^(J580-3),'Model Inputs'!$B$27*(1+'Model Inputs'!$B$28)^(MAX(3,'Model Inputs'!$B$30+1)-3)*(1+'Model Inputs'!$B$29)^(J580-MAX(3,'Model Inputs'!$B$30+1)))))</f>
        <v>43992870.912849829</v>
      </c>
      <c r="N580" s="236">
        <f>IF(J580&lt;=2,0,'Model Inputs'!$B$32*SIN(2*PI()*(J580-3+'Model Inputs'!$B$34)/MAX(1,'Model Inputs'!$B$33)))</f>
        <v>-1.7634913907721884E-16</v>
      </c>
      <c r="O580" s="230">
        <f t="shared" si="328"/>
        <v>43992870.912849821</v>
      </c>
      <c r="P580" s="230">
        <f t="shared" si="329"/>
        <v>30781203.440388259</v>
      </c>
      <c r="Q580" s="230">
        <f>L580+P580+IF(J580=1,'Model Inputs'!$B$26,0)</f>
        <v>31081203.440388259</v>
      </c>
      <c r="R580" s="230">
        <f t="shared" si="330"/>
        <v>93243610.321164772</v>
      </c>
      <c r="S580" s="230">
        <f t="shared" si="331"/>
        <v>4050000</v>
      </c>
      <c r="T580" s="230">
        <f t="shared" si="332"/>
        <v>4050000</v>
      </c>
      <c r="U580" s="230">
        <f>MIN(T580,'Tax Assumptions'!$B$19)</f>
        <v>24500</v>
      </c>
      <c r="V580" s="230">
        <f>MAX(T580-U580-'Tax Assumptions'!$B$8,0)</f>
        <v>4009400</v>
      </c>
      <c r="W580" s="230">
        <f>MAX(T580-U580-'Tax Assumptions'!$B$9,0)</f>
        <v>4017500</v>
      </c>
      <c r="X580" s="230">
        <f>IF(V580=0,0,LOOKUP(V580,'Tax Assumptions'!$F$9:$F$15,'Tax Assumptions'!$I$9:$I$15)+(V580-LOOKUP(V580,'Tax Assumptions'!$F$9:$F$15,'Tax Assumptions'!$F$9:$F$15))*LOOKUP(V580,'Tax Assumptions'!$F$9:$F$15,'Tax Assumptions'!$H$9:$H$15))+MIN(MAX(T580,0),'Tax Assumptions'!$B$11)*'Tax Assumptions'!$B$10+MAX(T580,0)*'Tax Assumptions'!$B$12+MAX(MAX(T580,0)-'Tax Assumptions'!$B$14,0)*'Tax Assumptions'!$B$13+MIN(T580*'Tax Assumptions'!$B$15,'Tax Assumptions'!$B$16)+MIN(T580*'Tax Assumptions'!$B$17,'Tax Assumptions'!$B$18)+IF(W580=0,0,LOOKUP(W580,'Tax Assumptions'!$K$9:$K$17,'Tax Assumptions'!$N$9:$N$17)+(W580-LOOKUP(W580,'Tax Assumptions'!$K$9:$K$17,'Tax Assumptions'!$K$9:$K$17))*LOOKUP(W580,'Tax Assumptions'!$K$9:$K$17,'Tax Assumptions'!$M$9:$M$17))+IF(W580=0,0,LOOKUP(W580,'Tax Assumptions'!$P$9:$P$12,'Tax Assumptions'!$S$9:$S$12)+(W580-LOOKUP(W580,'Tax Assumptions'!$P$9:$P$12,'Tax Assumptions'!$P$9:$P$12))*LOOKUP(W580,'Tax Assumptions'!$P$9:$P$12,'Tax Assumptions'!$R$9:$R$12))</f>
        <v>2055188.6349999998</v>
      </c>
      <c r="Y580" s="230">
        <f t="shared" si="333"/>
        <v>1970311.3650000002</v>
      </c>
      <c r="Z580" s="230">
        <f>IF(J580&lt;=10,INDEX('Savings Projection'!$BL$19:$BL$28,J580),LOOKUP(2,1/('Savings Projection'!$BL$19:$BL$28&lt;&gt;""),'Savings Projection'!$BL$19:$BL$28))*(1+'Model Inputs'!$B$35)^(J580-1)+IF(J580&lt;=10,INDEX('Savings Projection'!$BM$19:$BM$28,J580),LOOKUP(2,1/('Savings Projection'!$BM$19:$BM$28&lt;&gt;""),'Savings Projection'!$BM$19:$BM$28))*(1+'Model Inputs'!$B$36)^(J580-1)</f>
        <v>234794.46050702373</v>
      </c>
      <c r="AA580" s="230">
        <f t="shared" si="334"/>
        <v>1735516.9044929766</v>
      </c>
      <c r="AB580" s="230">
        <f>MIN(MAX(AA580,0),'Tax Assumptions'!$B$20)</f>
        <v>7500</v>
      </c>
      <c r="AC580" s="230">
        <f t="shared" si="335"/>
        <v>1728016.9044929766</v>
      </c>
      <c r="AD580" s="230">
        <f>MAX(AD579*(1+'Model Inputs'!$B$13)+AC580,0)</f>
        <v>48531500.895307593</v>
      </c>
      <c r="AE580" s="230">
        <f>MAX(AE579*(1+'Model Inputs'!$B$13)+U580+AB580,0)</f>
        <v>1279767.2536243291</v>
      </c>
      <c r="AF580" s="230">
        <f t="shared" si="336"/>
        <v>49811268.148931921</v>
      </c>
      <c r="AG580" s="226" t="str">
        <f t="shared" si="322"/>
        <v/>
      </c>
      <c r="AH580" s="226" t="str">
        <f t="shared" si="323"/>
        <v/>
      </c>
      <c r="AI580" s="226" t="str">
        <f t="shared" si="324"/>
        <v/>
      </c>
      <c r="AJ580" s="226" t="str">
        <f t="shared" si="325"/>
        <v/>
      </c>
    </row>
    <row r="581" spans="1:36" ht="18" customHeight="1" x14ac:dyDescent="0.2">
      <c r="A581" s="226" t="str">
        <f t="shared" si="314"/>
        <v>5Y -&gt; PM Y7 Base</v>
      </c>
      <c r="B581" s="226">
        <f t="shared" si="315"/>
        <v>5</v>
      </c>
      <c r="C581" s="235">
        <f t="shared" si="316"/>
        <v>3</v>
      </c>
      <c r="D581" s="226">
        <f t="shared" si="317"/>
        <v>7</v>
      </c>
      <c r="E581" s="226" t="str">
        <f t="shared" si="318"/>
        <v>Base</v>
      </c>
      <c r="F581" s="230">
        <f t="shared" si="319"/>
        <v>25000000</v>
      </c>
      <c r="G581" s="236">
        <f t="shared" si="320"/>
        <v>0.15</v>
      </c>
      <c r="H581" s="230">
        <f t="shared" si="321"/>
        <v>300000</v>
      </c>
      <c r="I581" s="236">
        <f t="shared" si="326"/>
        <v>0</v>
      </c>
      <c r="J581" s="234">
        <v>22</v>
      </c>
      <c r="K581" s="234">
        <f t="shared" si="327"/>
        <v>2047</v>
      </c>
      <c r="L581" s="230">
        <f>IF(J581=1,'Model Inputs'!$B$25*(13-'Model Inputs'!$B$23)/12,'Model Inputs'!$B$25)</f>
        <v>300000</v>
      </c>
      <c r="M581" s="230">
        <f>IF(J581=1,'Model Inputs'!$B$27*(13-'Model Inputs'!$B$23)/12,IF(J581=2,'Model Inputs'!$B$27,IF(J581&lt;=MAX(3,'Model Inputs'!$B$30+1),'Model Inputs'!$B$27*(1+'Model Inputs'!$B$28)^(J581-3),'Model Inputs'!$B$27*(1+'Model Inputs'!$B$28)^(MAX(3,'Model Inputs'!$B$30+1)-3)*(1+'Model Inputs'!$B$29)^(J581-MAX(3,'Model Inputs'!$B$30+1)))))</f>
        <v>55909546.9462616</v>
      </c>
      <c r="N581" s="236">
        <f>IF(J581&lt;=2,0,'Model Inputs'!$B$32*SIN(2*PI()*(J581-3+'Model Inputs'!$B$34)/MAX(1,'Model Inputs'!$B$33)))</f>
        <v>0.10392304845413287</v>
      </c>
      <c r="O581" s="230">
        <f t="shared" si="328"/>
        <v>61719837.502606563</v>
      </c>
      <c r="P581" s="230">
        <f t="shared" si="329"/>
        <v>40749334.43282336</v>
      </c>
      <c r="Q581" s="230">
        <f>L581+P581+IF(J581=1,'Model Inputs'!$B$26,0)</f>
        <v>41049334.43282336</v>
      </c>
      <c r="R581" s="230">
        <f t="shared" si="330"/>
        <v>123148003.29847008</v>
      </c>
      <c r="S581" s="230">
        <f t="shared" si="331"/>
        <v>4050000</v>
      </c>
      <c r="T581" s="230">
        <f t="shared" si="332"/>
        <v>4050000</v>
      </c>
      <c r="U581" s="230">
        <f>MIN(T581,'Tax Assumptions'!$B$19)</f>
        <v>24500</v>
      </c>
      <c r="V581" s="230">
        <f>MAX(T581-U581-'Tax Assumptions'!$B$8,0)</f>
        <v>4009400</v>
      </c>
      <c r="W581" s="230">
        <f>MAX(T581-U581-'Tax Assumptions'!$B$9,0)</f>
        <v>4017500</v>
      </c>
      <c r="X581" s="230">
        <f>IF(V581=0,0,LOOKUP(V581,'Tax Assumptions'!$F$9:$F$15,'Tax Assumptions'!$I$9:$I$15)+(V581-LOOKUP(V581,'Tax Assumptions'!$F$9:$F$15,'Tax Assumptions'!$F$9:$F$15))*LOOKUP(V581,'Tax Assumptions'!$F$9:$F$15,'Tax Assumptions'!$H$9:$H$15))+MIN(MAX(T581,0),'Tax Assumptions'!$B$11)*'Tax Assumptions'!$B$10+MAX(T581,0)*'Tax Assumptions'!$B$12+MAX(MAX(T581,0)-'Tax Assumptions'!$B$14,0)*'Tax Assumptions'!$B$13+MIN(T581*'Tax Assumptions'!$B$15,'Tax Assumptions'!$B$16)+MIN(T581*'Tax Assumptions'!$B$17,'Tax Assumptions'!$B$18)+IF(W581=0,0,LOOKUP(W581,'Tax Assumptions'!$K$9:$K$17,'Tax Assumptions'!$N$9:$N$17)+(W581-LOOKUP(W581,'Tax Assumptions'!$K$9:$K$17,'Tax Assumptions'!$K$9:$K$17))*LOOKUP(W581,'Tax Assumptions'!$K$9:$K$17,'Tax Assumptions'!$M$9:$M$17))+IF(W581=0,0,LOOKUP(W581,'Tax Assumptions'!$P$9:$P$12,'Tax Assumptions'!$S$9:$S$12)+(W581-LOOKUP(W581,'Tax Assumptions'!$P$9:$P$12,'Tax Assumptions'!$P$9:$P$12))*LOOKUP(W581,'Tax Assumptions'!$P$9:$P$12,'Tax Assumptions'!$R$9:$R$12))</f>
        <v>2055188.6349999998</v>
      </c>
      <c r="Y581" s="230">
        <f t="shared" si="333"/>
        <v>1970311.3650000002</v>
      </c>
      <c r="Z581" s="230">
        <f>IF(J581&lt;=10,INDEX('Savings Projection'!$BL$19:$BL$28,J581),LOOKUP(2,1/('Savings Projection'!$BL$19:$BL$28&lt;&gt;""),'Savings Projection'!$BL$19:$BL$28))*(1+'Model Inputs'!$B$35)^(J581-1)+IF(J581&lt;=10,INDEX('Savings Projection'!$BM$19:$BM$28,J581),LOOKUP(2,1/('Savings Projection'!$BM$19:$BM$28&lt;&gt;""),'Savings Projection'!$BM$19:$BM$28))*(1+'Model Inputs'!$B$36)^(J581-1)</f>
        <v>241838.2943222344</v>
      </c>
      <c r="AA581" s="230">
        <f t="shared" si="334"/>
        <v>1728473.0706777659</v>
      </c>
      <c r="AB581" s="230">
        <f>MIN(MAX(AA581,0),'Tax Assumptions'!$B$20)</f>
        <v>7500</v>
      </c>
      <c r="AC581" s="230">
        <f t="shared" si="335"/>
        <v>1720973.0706777659</v>
      </c>
      <c r="AD581" s="230">
        <f>MAX(AD580*(1+'Model Inputs'!$B$13)+AC581,0)</f>
        <v>53164364.019703813</v>
      </c>
      <c r="AE581" s="230">
        <f>MAX(AE580*(1+'Model Inputs'!$B$13)+U581+AB581,0)</f>
        <v>1388553.2888417889</v>
      </c>
      <c r="AF581" s="230">
        <f t="shared" si="336"/>
        <v>54552917.308545604</v>
      </c>
      <c r="AG581" s="226" t="str">
        <f t="shared" si="322"/>
        <v/>
      </c>
      <c r="AH581" s="226" t="str">
        <f t="shared" si="323"/>
        <v/>
      </c>
      <c r="AI581" s="226" t="str">
        <f t="shared" si="324"/>
        <v/>
      </c>
      <c r="AJ581" s="226" t="str">
        <f t="shared" si="325"/>
        <v/>
      </c>
    </row>
    <row r="582" spans="1:36" ht="18" customHeight="1" x14ac:dyDescent="0.2">
      <c r="A582" s="226" t="str">
        <f t="shared" si="314"/>
        <v>5Y -&gt; PM Y7 Base</v>
      </c>
      <c r="B582" s="226">
        <f t="shared" si="315"/>
        <v>5</v>
      </c>
      <c r="C582" s="235">
        <f t="shared" si="316"/>
        <v>3</v>
      </c>
      <c r="D582" s="226">
        <f t="shared" si="317"/>
        <v>7</v>
      </c>
      <c r="E582" s="226" t="str">
        <f t="shared" si="318"/>
        <v>Base</v>
      </c>
      <c r="F582" s="230">
        <f t="shared" si="319"/>
        <v>25000000</v>
      </c>
      <c r="G582" s="236">
        <f t="shared" si="320"/>
        <v>0.15</v>
      </c>
      <c r="H582" s="230">
        <f t="shared" si="321"/>
        <v>300000</v>
      </c>
      <c r="I582" s="236">
        <f t="shared" si="326"/>
        <v>0</v>
      </c>
      <c r="J582" s="234">
        <v>23</v>
      </c>
      <c r="K582" s="234">
        <f t="shared" si="327"/>
        <v>2048</v>
      </c>
      <c r="L582" s="230">
        <f>IF(J582=1,'Model Inputs'!$B$25*(13-'Model Inputs'!$B$23)/12,'Model Inputs'!$B$25)</f>
        <v>300000</v>
      </c>
      <c r="M582" s="230">
        <f>IF(J582=1,'Model Inputs'!$B$27*(13-'Model Inputs'!$B$23)/12,IF(J582=2,'Model Inputs'!$B$27,IF(J582&lt;=MAX(3,'Model Inputs'!$B$30+1),'Model Inputs'!$B$27*(1+'Model Inputs'!$B$28)^(J582-3),'Model Inputs'!$B$27*(1+'Model Inputs'!$B$28)^(MAX(3,'Model Inputs'!$B$30+1)-3)*(1+'Model Inputs'!$B$29)^(J582-MAX(3,'Model Inputs'!$B$30+1)))))</f>
        <v>71054181.617940187</v>
      </c>
      <c r="N582" s="236">
        <f>IF(J582&lt;=2,0,'Model Inputs'!$B$32*SIN(2*PI()*(J582-3+'Model Inputs'!$B$34)/MAX(1,'Model Inputs'!$B$33)))</f>
        <v>-0.10392304845413268</v>
      </c>
      <c r="O582" s="230">
        <f t="shared" si="328"/>
        <v>63670014.458790243</v>
      </c>
      <c r="P582" s="230">
        <f t="shared" si="329"/>
        <v>57288095.855167374</v>
      </c>
      <c r="Q582" s="230">
        <f>L582+P582+IF(J582=1,'Model Inputs'!$B$26,0)</f>
        <v>57588095.855167374</v>
      </c>
      <c r="R582" s="230">
        <f t="shared" si="330"/>
        <v>172764287.56550211</v>
      </c>
      <c r="S582" s="230">
        <f t="shared" si="331"/>
        <v>4050000</v>
      </c>
      <c r="T582" s="230">
        <f t="shared" si="332"/>
        <v>4050000</v>
      </c>
      <c r="U582" s="230">
        <f>MIN(T582,'Tax Assumptions'!$B$19)</f>
        <v>24500</v>
      </c>
      <c r="V582" s="230">
        <f>MAX(T582-U582-'Tax Assumptions'!$B$8,0)</f>
        <v>4009400</v>
      </c>
      <c r="W582" s="230">
        <f>MAX(T582-U582-'Tax Assumptions'!$B$9,0)</f>
        <v>4017500</v>
      </c>
      <c r="X582" s="230">
        <f>IF(V582=0,0,LOOKUP(V582,'Tax Assumptions'!$F$9:$F$15,'Tax Assumptions'!$I$9:$I$15)+(V582-LOOKUP(V582,'Tax Assumptions'!$F$9:$F$15,'Tax Assumptions'!$F$9:$F$15))*LOOKUP(V582,'Tax Assumptions'!$F$9:$F$15,'Tax Assumptions'!$H$9:$H$15))+MIN(MAX(T582,0),'Tax Assumptions'!$B$11)*'Tax Assumptions'!$B$10+MAX(T582,0)*'Tax Assumptions'!$B$12+MAX(MAX(T582,0)-'Tax Assumptions'!$B$14,0)*'Tax Assumptions'!$B$13+MIN(T582*'Tax Assumptions'!$B$15,'Tax Assumptions'!$B$16)+MIN(T582*'Tax Assumptions'!$B$17,'Tax Assumptions'!$B$18)+IF(W582=0,0,LOOKUP(W582,'Tax Assumptions'!$K$9:$K$17,'Tax Assumptions'!$N$9:$N$17)+(W582-LOOKUP(W582,'Tax Assumptions'!$K$9:$K$17,'Tax Assumptions'!$K$9:$K$17))*LOOKUP(W582,'Tax Assumptions'!$K$9:$K$17,'Tax Assumptions'!$M$9:$M$17))+IF(W582=0,0,LOOKUP(W582,'Tax Assumptions'!$P$9:$P$12,'Tax Assumptions'!$S$9:$S$12)+(W582-LOOKUP(W582,'Tax Assumptions'!$P$9:$P$12,'Tax Assumptions'!$P$9:$P$12))*LOOKUP(W582,'Tax Assumptions'!$P$9:$P$12,'Tax Assumptions'!$R$9:$R$12))</f>
        <v>2055188.6349999998</v>
      </c>
      <c r="Y582" s="230">
        <f t="shared" si="333"/>
        <v>1970311.3650000002</v>
      </c>
      <c r="Z582" s="230">
        <f>IF(J582&lt;=10,INDEX('Savings Projection'!$BL$19:$BL$28,J582),LOOKUP(2,1/('Savings Projection'!$BL$19:$BL$28&lt;&gt;""),'Savings Projection'!$BL$19:$BL$28))*(1+'Model Inputs'!$B$35)^(J582-1)+IF(J582&lt;=10,INDEX('Savings Projection'!$BM$19:$BM$28,J582),LOOKUP(2,1/('Savings Projection'!$BM$19:$BM$28&lt;&gt;""),'Savings Projection'!$BM$19:$BM$28))*(1+'Model Inputs'!$B$36)^(J582-1)</f>
        <v>249093.44315190148</v>
      </c>
      <c r="AA582" s="230">
        <f t="shared" si="334"/>
        <v>1721217.9218480987</v>
      </c>
      <c r="AB582" s="230">
        <f>MIN(MAX(AA582,0),'Tax Assumptions'!$B$20)</f>
        <v>7500</v>
      </c>
      <c r="AC582" s="230">
        <f t="shared" si="335"/>
        <v>1713717.9218480987</v>
      </c>
      <c r="AD582" s="230">
        <f>MAX(AD581*(1+'Model Inputs'!$B$13)+AC582,0)</f>
        <v>58067943.782734141</v>
      </c>
      <c r="AE582" s="230">
        <f>MAX(AE581*(1+'Model Inputs'!$B$13)+U582+AB582,0)</f>
        <v>1503866.4861722963</v>
      </c>
      <c r="AF582" s="230">
        <f t="shared" si="336"/>
        <v>59571810.268906437</v>
      </c>
      <c r="AG582" s="226" t="str">
        <f t="shared" si="322"/>
        <v/>
      </c>
      <c r="AH582" s="226" t="str">
        <f t="shared" si="323"/>
        <v/>
      </c>
      <c r="AI582" s="226" t="str">
        <f t="shared" si="324"/>
        <v/>
      </c>
      <c r="AJ582" s="226" t="str">
        <f t="shared" si="325"/>
        <v/>
      </c>
    </row>
    <row r="583" spans="1:36" ht="18" customHeight="1" x14ac:dyDescent="0.2">
      <c r="A583" s="226" t="str">
        <f t="shared" si="314"/>
        <v>5Y -&gt; PM Y7 Base</v>
      </c>
      <c r="B583" s="226">
        <f t="shared" si="315"/>
        <v>5</v>
      </c>
      <c r="C583" s="235">
        <f t="shared" si="316"/>
        <v>3</v>
      </c>
      <c r="D583" s="226">
        <f t="shared" si="317"/>
        <v>7</v>
      </c>
      <c r="E583" s="226" t="str">
        <f t="shared" si="318"/>
        <v>Base</v>
      </c>
      <c r="F583" s="230">
        <f t="shared" si="319"/>
        <v>25000000</v>
      </c>
      <c r="G583" s="236">
        <f t="shared" si="320"/>
        <v>0.15</v>
      </c>
      <c r="H583" s="230">
        <f t="shared" si="321"/>
        <v>300000</v>
      </c>
      <c r="I583" s="236">
        <f t="shared" si="326"/>
        <v>0</v>
      </c>
      <c r="J583" s="234">
        <v>24</v>
      </c>
      <c r="K583" s="234">
        <f t="shared" si="327"/>
        <v>2049</v>
      </c>
      <c r="L583" s="230">
        <f>IF(J583=1,'Model Inputs'!$B$25*(13-'Model Inputs'!$B$23)/12,'Model Inputs'!$B$25)</f>
        <v>300000</v>
      </c>
      <c r="M583" s="230">
        <f>IF(J583=1,'Model Inputs'!$B$27*(13-'Model Inputs'!$B$23)/12,IF(J583=2,'Model Inputs'!$B$27,IF(J583&lt;=MAX(3,'Model Inputs'!$B$30+1),'Model Inputs'!$B$27*(1+'Model Inputs'!$B$28)^(J583-3),'Model Inputs'!$B$27*(1+'Model Inputs'!$B$28)^(MAX(3,'Model Inputs'!$B$30+1)-3)*(1+'Model Inputs'!$B$29)^(J583-MAX(3,'Model Inputs'!$B$30+1)))))</f>
        <v>90301156.084270701</v>
      </c>
      <c r="N583" s="236">
        <f>IF(J583&lt;=2,0,'Model Inputs'!$B$32*SIN(2*PI()*(J583-3+'Model Inputs'!$B$34)/MAX(1,'Model Inputs'!$B$33)))</f>
        <v>-2.0574066225675533E-16</v>
      </c>
      <c r="O583" s="230">
        <f t="shared" si="328"/>
        <v>90301156.084270686</v>
      </c>
      <c r="P583" s="230">
        <f t="shared" si="329"/>
        <v>63182470.219744325</v>
      </c>
      <c r="Q583" s="230">
        <f>L583+P583+IF(J583=1,'Model Inputs'!$B$26,0)</f>
        <v>63482470.219744325</v>
      </c>
      <c r="R583" s="230">
        <f t="shared" si="330"/>
        <v>190447410.65923297</v>
      </c>
      <c r="S583" s="230">
        <f t="shared" si="331"/>
        <v>4050000</v>
      </c>
      <c r="T583" s="230">
        <f t="shared" si="332"/>
        <v>4050000</v>
      </c>
      <c r="U583" s="230">
        <f>MIN(T583,'Tax Assumptions'!$B$19)</f>
        <v>24500</v>
      </c>
      <c r="V583" s="230">
        <f>MAX(T583-U583-'Tax Assumptions'!$B$8,0)</f>
        <v>4009400</v>
      </c>
      <c r="W583" s="230">
        <f>MAX(T583-U583-'Tax Assumptions'!$B$9,0)</f>
        <v>4017500</v>
      </c>
      <c r="X583" s="230">
        <f>IF(V583=0,0,LOOKUP(V583,'Tax Assumptions'!$F$9:$F$15,'Tax Assumptions'!$I$9:$I$15)+(V583-LOOKUP(V583,'Tax Assumptions'!$F$9:$F$15,'Tax Assumptions'!$F$9:$F$15))*LOOKUP(V583,'Tax Assumptions'!$F$9:$F$15,'Tax Assumptions'!$H$9:$H$15))+MIN(MAX(T583,0),'Tax Assumptions'!$B$11)*'Tax Assumptions'!$B$10+MAX(T583,0)*'Tax Assumptions'!$B$12+MAX(MAX(T583,0)-'Tax Assumptions'!$B$14,0)*'Tax Assumptions'!$B$13+MIN(T583*'Tax Assumptions'!$B$15,'Tax Assumptions'!$B$16)+MIN(T583*'Tax Assumptions'!$B$17,'Tax Assumptions'!$B$18)+IF(W583=0,0,LOOKUP(W583,'Tax Assumptions'!$K$9:$K$17,'Tax Assumptions'!$N$9:$N$17)+(W583-LOOKUP(W583,'Tax Assumptions'!$K$9:$K$17,'Tax Assumptions'!$K$9:$K$17))*LOOKUP(W583,'Tax Assumptions'!$K$9:$K$17,'Tax Assumptions'!$M$9:$M$17))+IF(W583=0,0,LOOKUP(W583,'Tax Assumptions'!$P$9:$P$12,'Tax Assumptions'!$S$9:$S$12)+(W583-LOOKUP(W583,'Tax Assumptions'!$P$9:$P$12,'Tax Assumptions'!$P$9:$P$12))*LOOKUP(W583,'Tax Assumptions'!$P$9:$P$12,'Tax Assumptions'!$R$9:$R$12))</f>
        <v>2055188.6349999998</v>
      </c>
      <c r="Y583" s="230">
        <f t="shared" si="333"/>
        <v>1970311.3650000002</v>
      </c>
      <c r="Z583" s="230">
        <f>IF(J583&lt;=10,INDEX('Savings Projection'!$BL$19:$BL$28,J583),LOOKUP(2,1/('Savings Projection'!$BL$19:$BL$28&lt;&gt;""),'Savings Projection'!$BL$19:$BL$28))*(1+'Model Inputs'!$B$35)^(J583-1)+IF(J583&lt;=10,INDEX('Savings Projection'!$BM$19:$BM$28,J583),LOOKUP(2,1/('Savings Projection'!$BM$19:$BM$28&lt;&gt;""),'Savings Projection'!$BM$19:$BM$28))*(1+'Model Inputs'!$B$36)^(J583-1)</f>
        <v>256566.24644645851</v>
      </c>
      <c r="AA583" s="230">
        <f t="shared" si="334"/>
        <v>1713745.1185535416</v>
      </c>
      <c r="AB583" s="230">
        <f>MIN(MAX(AA583,0),'Tax Assumptions'!$B$20)</f>
        <v>7500</v>
      </c>
      <c r="AC583" s="230">
        <f t="shared" si="335"/>
        <v>1706245.1185535416</v>
      </c>
      <c r="AD583" s="230">
        <f>MAX(AD582*(1+'Model Inputs'!$B$13)+AC583,0)</f>
        <v>63258265.528251737</v>
      </c>
      <c r="AE583" s="230">
        <f>MAX(AE582*(1+'Model Inputs'!$B$13)+U583+AB583,0)</f>
        <v>1626098.4753426341</v>
      </c>
      <c r="AF583" s="230">
        <f t="shared" si="336"/>
        <v>64884364.003594369</v>
      </c>
      <c r="AG583" s="226" t="str">
        <f t="shared" si="322"/>
        <v/>
      </c>
      <c r="AH583" s="226" t="str">
        <f t="shared" si="323"/>
        <v/>
      </c>
      <c r="AI583" s="226" t="str">
        <f t="shared" si="324"/>
        <v/>
      </c>
      <c r="AJ583" s="226" t="str">
        <f t="shared" si="325"/>
        <v/>
      </c>
    </row>
    <row r="584" spans="1:36" ht="18" customHeight="1" x14ac:dyDescent="0.2">
      <c r="A584" s="226" t="str">
        <f t="shared" si="314"/>
        <v>5Y -&gt; PM Y7 Base</v>
      </c>
      <c r="B584" s="226">
        <f t="shared" si="315"/>
        <v>5</v>
      </c>
      <c r="C584" s="235">
        <f t="shared" si="316"/>
        <v>3</v>
      </c>
      <c r="D584" s="226">
        <f t="shared" si="317"/>
        <v>7</v>
      </c>
      <c r="E584" s="226" t="str">
        <f t="shared" si="318"/>
        <v>Base</v>
      </c>
      <c r="F584" s="230">
        <f t="shared" si="319"/>
        <v>25000000</v>
      </c>
      <c r="G584" s="236">
        <f t="shared" si="320"/>
        <v>0.15</v>
      </c>
      <c r="H584" s="230">
        <f t="shared" si="321"/>
        <v>300000</v>
      </c>
      <c r="I584" s="236">
        <f t="shared" si="326"/>
        <v>0</v>
      </c>
      <c r="J584" s="234">
        <v>25</v>
      </c>
      <c r="K584" s="234">
        <f t="shared" si="327"/>
        <v>2050</v>
      </c>
      <c r="L584" s="230">
        <f>IF(J584=1,'Model Inputs'!$B$25*(13-'Model Inputs'!$B$23)/12,'Model Inputs'!$B$25)</f>
        <v>300000</v>
      </c>
      <c r="M584" s="230">
        <f>IF(J584=1,'Model Inputs'!$B$27*(13-'Model Inputs'!$B$23)/12,IF(J584=2,'Model Inputs'!$B$27,IF(J584&lt;=MAX(3,'Model Inputs'!$B$30+1),'Model Inputs'!$B$27*(1+'Model Inputs'!$B$28)^(J584-3),'Model Inputs'!$B$27*(1+'Model Inputs'!$B$28)^(MAX(3,'Model Inputs'!$B$30+1)-3)*(1+'Model Inputs'!$B$29)^(J584-MAX(3,'Model Inputs'!$B$30+1)))))</f>
        <v>114761701.62653697</v>
      </c>
      <c r="N584" s="236">
        <f>IF(J584&lt;=2,0,'Model Inputs'!$B$32*SIN(2*PI()*(J584-3+'Model Inputs'!$B$34)/MAX(1,'Model Inputs'!$B$33)))</f>
        <v>0.10392304845413287</v>
      </c>
      <c r="O584" s="230">
        <f t="shared" si="328"/>
        <v>126688087.50535031</v>
      </c>
      <c r="P584" s="230">
        <f t="shared" si="329"/>
        <v>83643370.677900568</v>
      </c>
      <c r="Q584" s="230">
        <f>L584+P584+IF(J584=1,'Model Inputs'!$B$26,0)</f>
        <v>83943370.677900568</v>
      </c>
      <c r="R584" s="230">
        <f t="shared" si="330"/>
        <v>251830112.03370172</v>
      </c>
      <c r="S584" s="230">
        <f t="shared" si="331"/>
        <v>4050000</v>
      </c>
      <c r="T584" s="230">
        <f t="shared" si="332"/>
        <v>4050000</v>
      </c>
      <c r="U584" s="230">
        <f>MIN(T584,'Tax Assumptions'!$B$19)</f>
        <v>24500</v>
      </c>
      <c r="V584" s="230">
        <f>MAX(T584-U584-'Tax Assumptions'!$B$8,0)</f>
        <v>4009400</v>
      </c>
      <c r="W584" s="230">
        <f>MAX(T584-U584-'Tax Assumptions'!$B$9,0)</f>
        <v>4017500</v>
      </c>
      <c r="X584" s="230">
        <f>IF(V584=0,0,LOOKUP(V584,'Tax Assumptions'!$F$9:$F$15,'Tax Assumptions'!$I$9:$I$15)+(V584-LOOKUP(V584,'Tax Assumptions'!$F$9:$F$15,'Tax Assumptions'!$F$9:$F$15))*LOOKUP(V584,'Tax Assumptions'!$F$9:$F$15,'Tax Assumptions'!$H$9:$H$15))+MIN(MAX(T584,0),'Tax Assumptions'!$B$11)*'Tax Assumptions'!$B$10+MAX(T584,0)*'Tax Assumptions'!$B$12+MAX(MAX(T584,0)-'Tax Assumptions'!$B$14,0)*'Tax Assumptions'!$B$13+MIN(T584*'Tax Assumptions'!$B$15,'Tax Assumptions'!$B$16)+MIN(T584*'Tax Assumptions'!$B$17,'Tax Assumptions'!$B$18)+IF(W584=0,0,LOOKUP(W584,'Tax Assumptions'!$K$9:$K$17,'Tax Assumptions'!$N$9:$N$17)+(W584-LOOKUP(W584,'Tax Assumptions'!$K$9:$K$17,'Tax Assumptions'!$K$9:$K$17))*LOOKUP(W584,'Tax Assumptions'!$K$9:$K$17,'Tax Assumptions'!$M$9:$M$17))+IF(W584=0,0,LOOKUP(W584,'Tax Assumptions'!$P$9:$P$12,'Tax Assumptions'!$S$9:$S$12)+(W584-LOOKUP(W584,'Tax Assumptions'!$P$9:$P$12,'Tax Assumptions'!$P$9:$P$12))*LOOKUP(W584,'Tax Assumptions'!$P$9:$P$12,'Tax Assumptions'!$R$9:$R$12))</f>
        <v>2055188.6349999998</v>
      </c>
      <c r="Y584" s="230">
        <f t="shared" si="333"/>
        <v>1970311.3650000002</v>
      </c>
      <c r="Z584" s="230">
        <f>IF(J584&lt;=10,INDEX('Savings Projection'!$BL$19:$BL$28,J584),LOOKUP(2,1/('Savings Projection'!$BL$19:$BL$28&lt;&gt;""),'Savings Projection'!$BL$19:$BL$28))*(1+'Model Inputs'!$B$35)^(J584-1)+IF(J584&lt;=10,INDEX('Savings Projection'!$BM$19:$BM$28,J584),LOOKUP(2,1/('Savings Projection'!$BM$19:$BM$28&lt;&gt;""),'Savings Projection'!$BM$19:$BM$28))*(1+'Model Inputs'!$B$36)^(J584-1)</f>
        <v>264263.23383985227</v>
      </c>
      <c r="AA584" s="230">
        <f t="shared" si="334"/>
        <v>1706048.131160148</v>
      </c>
      <c r="AB584" s="230">
        <f>MIN(MAX(AA584,0),'Tax Assumptions'!$B$20)</f>
        <v>7500</v>
      </c>
      <c r="AC584" s="230">
        <f t="shared" si="335"/>
        <v>1698548.131160148</v>
      </c>
      <c r="AD584" s="230">
        <f>MAX(AD583*(1+'Model Inputs'!$B$13)+AC584,0)</f>
        <v>68752309.591106996</v>
      </c>
      <c r="AE584" s="230">
        <f>MAX(AE583*(1+'Model Inputs'!$B$13)+U584+AB584,0)</f>
        <v>1755664.3838631923</v>
      </c>
      <c r="AF584" s="230">
        <f t="shared" si="336"/>
        <v>70507973.974970192</v>
      </c>
      <c r="AG584" s="226" t="str">
        <f t="shared" si="322"/>
        <v/>
      </c>
      <c r="AH584" s="226" t="str">
        <f t="shared" si="323"/>
        <v/>
      </c>
      <c r="AI584" s="226" t="str">
        <f t="shared" si="324"/>
        <v/>
      </c>
      <c r="AJ584" s="226" t="str">
        <f t="shared" si="325"/>
        <v/>
      </c>
    </row>
    <row r="585" spans="1:36" ht="18" customHeight="1" x14ac:dyDescent="0.2">
      <c r="A585" s="226" t="str">
        <f t="shared" si="314"/>
        <v>5Y -&gt; PM Y7 Base</v>
      </c>
      <c r="B585" s="226">
        <f t="shared" si="315"/>
        <v>5</v>
      </c>
      <c r="C585" s="235">
        <f t="shared" si="316"/>
        <v>3</v>
      </c>
      <c r="D585" s="226">
        <f t="shared" si="317"/>
        <v>7</v>
      </c>
      <c r="E585" s="226" t="str">
        <f t="shared" si="318"/>
        <v>Base</v>
      </c>
      <c r="F585" s="230">
        <f t="shared" si="319"/>
        <v>25000000</v>
      </c>
      <c r="G585" s="236">
        <f t="shared" si="320"/>
        <v>0.15</v>
      </c>
      <c r="H585" s="230">
        <f t="shared" si="321"/>
        <v>300000</v>
      </c>
      <c r="I585" s="236">
        <f t="shared" si="326"/>
        <v>0</v>
      </c>
      <c r="J585" s="234">
        <v>26</v>
      </c>
      <c r="K585" s="234">
        <f t="shared" si="327"/>
        <v>2051</v>
      </c>
      <c r="L585" s="230">
        <f>IF(J585=1,'Model Inputs'!$B$25*(13-'Model Inputs'!$B$23)/12,'Model Inputs'!$B$25)</f>
        <v>300000</v>
      </c>
      <c r="M585" s="230">
        <f>IF(J585=1,'Model Inputs'!$B$27*(13-'Model Inputs'!$B$23)/12,IF(J585=2,'Model Inputs'!$B$27,IF(J585&lt;=MAX(3,'Model Inputs'!$B$30+1),'Model Inputs'!$B$27*(1+'Model Inputs'!$B$28)^(J585-3),'Model Inputs'!$B$27*(1+'Model Inputs'!$B$28)^(MAX(3,'Model Inputs'!$B$30+1)-3)*(1+'Model Inputs'!$B$29)^(J585-MAX(3,'Model Inputs'!$B$30+1)))))</f>
        <v>145848057.00524563</v>
      </c>
      <c r="N585" s="236">
        <f>IF(J585&lt;=2,0,'Model Inputs'!$B$32*SIN(2*PI()*(J585-3+'Model Inputs'!$B$34)/MAX(1,'Model Inputs'!$B$33)))</f>
        <v>-0.10392304845413224</v>
      </c>
      <c r="O585" s="230">
        <f t="shared" si="328"/>
        <v>130691082.31014845</v>
      </c>
      <c r="P585" s="230">
        <f t="shared" si="329"/>
        <v>117591354.65008041</v>
      </c>
      <c r="Q585" s="230">
        <f>L585+P585+IF(J585=1,'Model Inputs'!$B$26,0)</f>
        <v>117891354.65008041</v>
      </c>
      <c r="R585" s="230">
        <f t="shared" si="330"/>
        <v>353674063.95024121</v>
      </c>
      <c r="S585" s="230">
        <f t="shared" si="331"/>
        <v>4050000</v>
      </c>
      <c r="T585" s="230">
        <f t="shared" si="332"/>
        <v>4050000</v>
      </c>
      <c r="U585" s="230">
        <f>MIN(T585,'Tax Assumptions'!$B$19)</f>
        <v>24500</v>
      </c>
      <c r="V585" s="230">
        <f>MAX(T585-U585-'Tax Assumptions'!$B$8,0)</f>
        <v>4009400</v>
      </c>
      <c r="W585" s="230">
        <f>MAX(T585-U585-'Tax Assumptions'!$B$9,0)</f>
        <v>4017500</v>
      </c>
      <c r="X585" s="230">
        <f>IF(V585=0,0,LOOKUP(V585,'Tax Assumptions'!$F$9:$F$15,'Tax Assumptions'!$I$9:$I$15)+(V585-LOOKUP(V585,'Tax Assumptions'!$F$9:$F$15,'Tax Assumptions'!$F$9:$F$15))*LOOKUP(V585,'Tax Assumptions'!$F$9:$F$15,'Tax Assumptions'!$H$9:$H$15))+MIN(MAX(T585,0),'Tax Assumptions'!$B$11)*'Tax Assumptions'!$B$10+MAX(T585,0)*'Tax Assumptions'!$B$12+MAX(MAX(T585,0)-'Tax Assumptions'!$B$14,0)*'Tax Assumptions'!$B$13+MIN(T585*'Tax Assumptions'!$B$15,'Tax Assumptions'!$B$16)+MIN(T585*'Tax Assumptions'!$B$17,'Tax Assumptions'!$B$18)+IF(W585=0,0,LOOKUP(W585,'Tax Assumptions'!$K$9:$K$17,'Tax Assumptions'!$N$9:$N$17)+(W585-LOOKUP(W585,'Tax Assumptions'!$K$9:$K$17,'Tax Assumptions'!$K$9:$K$17))*LOOKUP(W585,'Tax Assumptions'!$K$9:$K$17,'Tax Assumptions'!$M$9:$M$17))+IF(W585=0,0,LOOKUP(W585,'Tax Assumptions'!$P$9:$P$12,'Tax Assumptions'!$S$9:$S$12)+(W585-LOOKUP(W585,'Tax Assumptions'!$P$9:$P$12,'Tax Assumptions'!$P$9:$P$12))*LOOKUP(W585,'Tax Assumptions'!$P$9:$P$12,'Tax Assumptions'!$R$9:$R$12))</f>
        <v>2055188.6349999998</v>
      </c>
      <c r="Y585" s="230">
        <f t="shared" si="333"/>
        <v>1970311.3650000002</v>
      </c>
      <c r="Z585" s="230">
        <f>IF(J585&lt;=10,INDEX('Savings Projection'!$BL$19:$BL$28,J585),LOOKUP(2,1/('Savings Projection'!$BL$19:$BL$28&lt;&gt;""),'Savings Projection'!$BL$19:$BL$28))*(1+'Model Inputs'!$B$35)^(J585-1)+IF(J585&lt;=10,INDEX('Savings Projection'!$BM$19:$BM$28,J585),LOOKUP(2,1/('Savings Projection'!$BM$19:$BM$28&lt;&gt;""),'Savings Projection'!$BM$19:$BM$28))*(1+'Model Inputs'!$B$36)^(J585-1)</f>
        <v>272191.13085504784</v>
      </c>
      <c r="AA585" s="230">
        <f t="shared" si="334"/>
        <v>1698120.2341449524</v>
      </c>
      <c r="AB585" s="230">
        <f>MIN(MAX(AA585,0),'Tax Assumptions'!$B$20)</f>
        <v>7500</v>
      </c>
      <c r="AC585" s="230">
        <f t="shared" si="335"/>
        <v>1690620.2341449524</v>
      </c>
      <c r="AD585" s="230">
        <f>MAX(AD584*(1+'Model Inputs'!$B$13)+AC585,0)</f>
        <v>74568068.400718376</v>
      </c>
      <c r="AE585" s="230">
        <f>MAX(AE584*(1+'Model Inputs'!$B$13)+U585+AB585,0)</f>
        <v>1893004.2468949838</v>
      </c>
      <c r="AF585" s="230">
        <f t="shared" si="336"/>
        <v>76461072.647613361</v>
      </c>
      <c r="AG585" s="226" t="str">
        <f t="shared" si="322"/>
        <v/>
      </c>
      <c r="AH585" s="226" t="str">
        <f t="shared" si="323"/>
        <v/>
      </c>
      <c r="AI585" s="226" t="str">
        <f t="shared" si="324"/>
        <v/>
      </c>
      <c r="AJ585" s="226" t="str">
        <f t="shared" si="325"/>
        <v/>
      </c>
    </row>
    <row r="586" spans="1:36" ht="18" customHeight="1" x14ac:dyDescent="0.2">
      <c r="A586" s="226" t="str">
        <f t="shared" si="314"/>
        <v>5Y -&gt; PM Y7 Base</v>
      </c>
      <c r="B586" s="226">
        <f t="shared" si="315"/>
        <v>5</v>
      </c>
      <c r="C586" s="235">
        <f t="shared" si="316"/>
        <v>3</v>
      </c>
      <c r="D586" s="226">
        <f t="shared" si="317"/>
        <v>7</v>
      </c>
      <c r="E586" s="226" t="str">
        <f t="shared" si="318"/>
        <v>Base</v>
      </c>
      <c r="F586" s="230">
        <f t="shared" si="319"/>
        <v>25000000</v>
      </c>
      <c r="G586" s="236">
        <f t="shared" si="320"/>
        <v>0.15</v>
      </c>
      <c r="H586" s="230">
        <f t="shared" si="321"/>
        <v>300000</v>
      </c>
      <c r="I586" s="236">
        <f t="shared" si="326"/>
        <v>0</v>
      </c>
      <c r="J586" s="234">
        <v>27</v>
      </c>
      <c r="K586" s="234">
        <f t="shared" si="327"/>
        <v>2052</v>
      </c>
      <c r="L586" s="230">
        <f>IF(J586=1,'Model Inputs'!$B$25*(13-'Model Inputs'!$B$23)/12,'Model Inputs'!$B$25)</f>
        <v>300000</v>
      </c>
      <c r="M586" s="230">
        <f>IF(J586=1,'Model Inputs'!$B$27*(13-'Model Inputs'!$B$23)/12,IF(J586=2,'Model Inputs'!$B$27,IF(J586&lt;=MAX(3,'Model Inputs'!$B$30+1),'Model Inputs'!$B$27*(1+'Model Inputs'!$B$28)^(J586-3),'Model Inputs'!$B$27*(1+'Model Inputs'!$B$28)^(MAX(3,'Model Inputs'!$B$30+1)-3)*(1+'Model Inputs'!$B$29)^(J586-MAX(3,'Model Inputs'!$B$30+1)))))</f>
        <v>185355004.59402937</v>
      </c>
      <c r="N586" s="236">
        <f>IF(J586&lt;=2,0,'Model Inputs'!$B$32*SIN(2*PI()*(J586-3+'Model Inputs'!$B$34)/MAX(1,'Model Inputs'!$B$33)))</f>
        <v>-2.3513218543629179E-16</v>
      </c>
      <c r="O586" s="230">
        <f t="shared" si="328"/>
        <v>185355004.59402934</v>
      </c>
      <c r="P586" s="230">
        <f t="shared" si="329"/>
        <v>129690333.6089489</v>
      </c>
      <c r="Q586" s="230">
        <f>L586+P586+IF(J586=1,'Model Inputs'!$B$26,0)</f>
        <v>129990333.6089489</v>
      </c>
      <c r="R586" s="230">
        <f t="shared" si="330"/>
        <v>389971000.82684672</v>
      </c>
      <c r="S586" s="230">
        <f t="shared" si="331"/>
        <v>4050000</v>
      </c>
      <c r="T586" s="230">
        <f t="shared" si="332"/>
        <v>4050000</v>
      </c>
      <c r="U586" s="230">
        <f>MIN(T586,'Tax Assumptions'!$B$19)</f>
        <v>24500</v>
      </c>
      <c r="V586" s="230">
        <f>MAX(T586-U586-'Tax Assumptions'!$B$8,0)</f>
        <v>4009400</v>
      </c>
      <c r="W586" s="230">
        <f>MAX(T586-U586-'Tax Assumptions'!$B$9,0)</f>
        <v>4017500</v>
      </c>
      <c r="X586" s="230">
        <f>IF(V586=0,0,LOOKUP(V586,'Tax Assumptions'!$F$9:$F$15,'Tax Assumptions'!$I$9:$I$15)+(V586-LOOKUP(V586,'Tax Assumptions'!$F$9:$F$15,'Tax Assumptions'!$F$9:$F$15))*LOOKUP(V586,'Tax Assumptions'!$F$9:$F$15,'Tax Assumptions'!$H$9:$H$15))+MIN(MAX(T586,0),'Tax Assumptions'!$B$11)*'Tax Assumptions'!$B$10+MAX(T586,0)*'Tax Assumptions'!$B$12+MAX(MAX(T586,0)-'Tax Assumptions'!$B$14,0)*'Tax Assumptions'!$B$13+MIN(T586*'Tax Assumptions'!$B$15,'Tax Assumptions'!$B$16)+MIN(T586*'Tax Assumptions'!$B$17,'Tax Assumptions'!$B$18)+IF(W586=0,0,LOOKUP(W586,'Tax Assumptions'!$K$9:$K$17,'Tax Assumptions'!$N$9:$N$17)+(W586-LOOKUP(W586,'Tax Assumptions'!$K$9:$K$17,'Tax Assumptions'!$K$9:$K$17))*LOOKUP(W586,'Tax Assumptions'!$K$9:$K$17,'Tax Assumptions'!$M$9:$M$17))+IF(W586=0,0,LOOKUP(W586,'Tax Assumptions'!$P$9:$P$12,'Tax Assumptions'!$S$9:$S$12)+(W586-LOOKUP(W586,'Tax Assumptions'!$P$9:$P$12,'Tax Assumptions'!$P$9:$P$12))*LOOKUP(W586,'Tax Assumptions'!$P$9:$P$12,'Tax Assumptions'!$R$9:$R$12))</f>
        <v>2055188.6349999998</v>
      </c>
      <c r="Y586" s="230">
        <f t="shared" si="333"/>
        <v>1970311.3650000002</v>
      </c>
      <c r="Z586" s="230">
        <f>IF(J586&lt;=10,INDEX('Savings Projection'!$BL$19:$BL$28,J586),LOOKUP(2,1/('Savings Projection'!$BL$19:$BL$28&lt;&gt;""),'Savings Projection'!$BL$19:$BL$28))*(1+'Model Inputs'!$B$35)^(J586-1)+IF(J586&lt;=10,INDEX('Savings Projection'!$BM$19:$BM$28,J586),LOOKUP(2,1/('Savings Projection'!$BM$19:$BM$28&lt;&gt;""),'Savings Projection'!$BM$19:$BM$28))*(1+'Model Inputs'!$B$36)^(J586-1)</f>
        <v>280356.86478069925</v>
      </c>
      <c r="AA586" s="230">
        <f t="shared" si="334"/>
        <v>1689954.5002193009</v>
      </c>
      <c r="AB586" s="230">
        <f>MIN(MAX(AA586,0),'Tax Assumptions'!$B$20)</f>
        <v>7500</v>
      </c>
      <c r="AC586" s="230">
        <f t="shared" si="335"/>
        <v>1682454.5002193009</v>
      </c>
      <c r="AD586" s="230">
        <f>MAX(AD585*(1+'Model Inputs'!$B$13)+AC586,0)</f>
        <v>80724607.004980788</v>
      </c>
      <c r="AE586" s="230">
        <f>MAX(AE585*(1+'Model Inputs'!$B$13)+U586+AB586,0)</f>
        <v>2038584.5017086829</v>
      </c>
      <c r="AF586" s="230">
        <f t="shared" si="336"/>
        <v>82763191.506689474</v>
      </c>
      <c r="AG586" s="226" t="str">
        <f t="shared" si="322"/>
        <v/>
      </c>
      <c r="AH586" s="226" t="str">
        <f t="shared" si="323"/>
        <v/>
      </c>
      <c r="AI586" s="226" t="str">
        <f t="shared" si="324"/>
        <v/>
      </c>
      <c r="AJ586" s="226" t="str">
        <f t="shared" si="325"/>
        <v/>
      </c>
    </row>
    <row r="587" spans="1:36" ht="18" customHeight="1" x14ac:dyDescent="0.2">
      <c r="A587" s="226" t="str">
        <f t="shared" si="314"/>
        <v>5Y -&gt; PM Y7 Base</v>
      </c>
      <c r="B587" s="226">
        <f t="shared" si="315"/>
        <v>5</v>
      </c>
      <c r="C587" s="235">
        <f t="shared" si="316"/>
        <v>3</v>
      </c>
      <c r="D587" s="226">
        <f t="shared" si="317"/>
        <v>7</v>
      </c>
      <c r="E587" s="226" t="str">
        <f t="shared" si="318"/>
        <v>Base</v>
      </c>
      <c r="F587" s="230">
        <f t="shared" si="319"/>
        <v>25000000</v>
      </c>
      <c r="G587" s="236">
        <f t="shared" si="320"/>
        <v>0.15</v>
      </c>
      <c r="H587" s="230">
        <f t="shared" si="321"/>
        <v>300000</v>
      </c>
      <c r="I587" s="236">
        <f t="shared" si="326"/>
        <v>0</v>
      </c>
      <c r="J587" s="234">
        <v>28</v>
      </c>
      <c r="K587" s="234">
        <f t="shared" si="327"/>
        <v>2053</v>
      </c>
      <c r="L587" s="230">
        <f>IF(J587=1,'Model Inputs'!$B$25*(13-'Model Inputs'!$B$23)/12,'Model Inputs'!$B$25)</f>
        <v>300000</v>
      </c>
      <c r="M587" s="230">
        <f>IF(J587=1,'Model Inputs'!$B$27*(13-'Model Inputs'!$B$23)/12,IF(J587=2,'Model Inputs'!$B$27,IF(J587&lt;=MAX(3,'Model Inputs'!$B$30+1),'Model Inputs'!$B$27*(1+'Model Inputs'!$B$28)^(J587-3),'Model Inputs'!$B$27*(1+'Model Inputs'!$B$28)^(MAX(3,'Model Inputs'!$B$30+1)-3)*(1+'Model Inputs'!$B$29)^(J587-MAX(3,'Model Inputs'!$B$30+1)))))</f>
        <v>235563492.81236541</v>
      </c>
      <c r="N587" s="236">
        <f>IF(J587&lt;=2,0,'Model Inputs'!$B$32*SIN(2*PI()*(J587-3+'Model Inputs'!$B$34)/MAX(1,'Model Inputs'!$B$33)))</f>
        <v>0.10392304845413247</v>
      </c>
      <c r="O587" s="230">
        <f t="shared" si="328"/>
        <v>260043969.08992955</v>
      </c>
      <c r="P587" s="230">
        <f t="shared" si="329"/>
        <v>171689024.02305913</v>
      </c>
      <c r="Q587" s="230">
        <f>L587+P587+IF(J587=1,'Model Inputs'!$B$26,0)</f>
        <v>171989024.02305913</v>
      </c>
      <c r="R587" s="230">
        <f t="shared" si="330"/>
        <v>515967072.06917739</v>
      </c>
      <c r="S587" s="230">
        <f t="shared" si="331"/>
        <v>4050000</v>
      </c>
      <c r="T587" s="230">
        <f t="shared" si="332"/>
        <v>4050000</v>
      </c>
      <c r="U587" s="230">
        <f>MIN(T587,'Tax Assumptions'!$B$19)</f>
        <v>24500</v>
      </c>
      <c r="V587" s="230">
        <f>MAX(T587-U587-'Tax Assumptions'!$B$8,0)</f>
        <v>4009400</v>
      </c>
      <c r="W587" s="230">
        <f>MAX(T587-U587-'Tax Assumptions'!$B$9,0)</f>
        <v>4017500</v>
      </c>
      <c r="X587" s="230">
        <f>IF(V587=0,0,LOOKUP(V587,'Tax Assumptions'!$F$9:$F$15,'Tax Assumptions'!$I$9:$I$15)+(V587-LOOKUP(V587,'Tax Assumptions'!$F$9:$F$15,'Tax Assumptions'!$F$9:$F$15))*LOOKUP(V587,'Tax Assumptions'!$F$9:$F$15,'Tax Assumptions'!$H$9:$H$15))+MIN(MAX(T587,0),'Tax Assumptions'!$B$11)*'Tax Assumptions'!$B$10+MAX(T587,0)*'Tax Assumptions'!$B$12+MAX(MAX(T587,0)-'Tax Assumptions'!$B$14,0)*'Tax Assumptions'!$B$13+MIN(T587*'Tax Assumptions'!$B$15,'Tax Assumptions'!$B$16)+MIN(T587*'Tax Assumptions'!$B$17,'Tax Assumptions'!$B$18)+IF(W587=0,0,LOOKUP(W587,'Tax Assumptions'!$K$9:$K$17,'Tax Assumptions'!$N$9:$N$17)+(W587-LOOKUP(W587,'Tax Assumptions'!$K$9:$K$17,'Tax Assumptions'!$K$9:$K$17))*LOOKUP(W587,'Tax Assumptions'!$K$9:$K$17,'Tax Assumptions'!$M$9:$M$17))+IF(W587=0,0,LOOKUP(W587,'Tax Assumptions'!$P$9:$P$12,'Tax Assumptions'!$S$9:$S$12)+(W587-LOOKUP(W587,'Tax Assumptions'!$P$9:$P$12,'Tax Assumptions'!$P$9:$P$12))*LOOKUP(W587,'Tax Assumptions'!$P$9:$P$12,'Tax Assumptions'!$R$9:$R$12))</f>
        <v>2055188.6349999998</v>
      </c>
      <c r="Y587" s="230">
        <f t="shared" si="333"/>
        <v>1970311.3650000002</v>
      </c>
      <c r="Z587" s="230">
        <f>IF(J587&lt;=10,INDEX('Savings Projection'!$BL$19:$BL$28,J587),LOOKUP(2,1/('Savings Projection'!$BL$19:$BL$28&lt;&gt;""),'Savings Projection'!$BL$19:$BL$28))*(1+'Model Inputs'!$B$35)^(J587-1)+IF(J587&lt;=10,INDEX('Savings Projection'!$BM$19:$BM$28,J587),LOOKUP(2,1/('Savings Projection'!$BM$19:$BM$28&lt;&gt;""),'Savings Projection'!$BM$19:$BM$28))*(1+'Model Inputs'!$B$36)^(J587-1)</f>
        <v>288767.57072412025</v>
      </c>
      <c r="AA587" s="230">
        <f t="shared" si="334"/>
        <v>1681543.7942758799</v>
      </c>
      <c r="AB587" s="230">
        <f>MIN(MAX(AA587,0),'Tax Assumptions'!$B$20)</f>
        <v>7500</v>
      </c>
      <c r="AC587" s="230">
        <f t="shared" si="335"/>
        <v>1674043.7942758799</v>
      </c>
      <c r="AD587" s="230">
        <f>MAX(AD586*(1+'Model Inputs'!$B$13)+AC587,0)</f>
        <v>87242127.219555512</v>
      </c>
      <c r="AE587" s="230">
        <f>MAX(AE586*(1+'Model Inputs'!$B$13)+U587+AB587,0)</f>
        <v>2192899.5718112038</v>
      </c>
      <c r="AF587" s="230">
        <f t="shared" si="336"/>
        <v>89435026.791366711</v>
      </c>
      <c r="AG587" s="226" t="str">
        <f t="shared" si="322"/>
        <v/>
      </c>
      <c r="AH587" s="226" t="str">
        <f t="shared" si="323"/>
        <v/>
      </c>
      <c r="AI587" s="226" t="str">
        <f t="shared" si="324"/>
        <v/>
      </c>
      <c r="AJ587" s="226" t="str">
        <f t="shared" si="325"/>
        <v/>
      </c>
    </row>
    <row r="588" spans="1:36" ht="18" customHeight="1" x14ac:dyDescent="0.2">
      <c r="A588" s="226" t="str">
        <f t="shared" si="314"/>
        <v>5Y -&gt; PM Y7 Base</v>
      </c>
      <c r="B588" s="226">
        <f t="shared" si="315"/>
        <v>5</v>
      </c>
      <c r="C588" s="235">
        <f t="shared" si="316"/>
        <v>3</v>
      </c>
      <c r="D588" s="226">
        <f t="shared" si="317"/>
        <v>7</v>
      </c>
      <c r="E588" s="226" t="str">
        <f t="shared" si="318"/>
        <v>Base</v>
      </c>
      <c r="F588" s="230">
        <f t="shared" si="319"/>
        <v>25000000</v>
      </c>
      <c r="G588" s="236">
        <f t="shared" si="320"/>
        <v>0.15</v>
      </c>
      <c r="H588" s="230">
        <f t="shared" si="321"/>
        <v>300000</v>
      </c>
      <c r="I588" s="236">
        <f t="shared" si="326"/>
        <v>0</v>
      </c>
      <c r="J588" s="234">
        <v>29</v>
      </c>
      <c r="K588" s="234">
        <f t="shared" si="327"/>
        <v>2054</v>
      </c>
      <c r="L588" s="230">
        <f>IF(J588=1,'Model Inputs'!$B$25*(13-'Model Inputs'!$B$23)/12,'Model Inputs'!$B$25)</f>
        <v>300000</v>
      </c>
      <c r="M588" s="230">
        <f>IF(J588=1,'Model Inputs'!$B$27*(13-'Model Inputs'!$B$23)/12,IF(J588=2,'Model Inputs'!$B$27,IF(J588&lt;=MAX(3,'Model Inputs'!$B$30+1),'Model Inputs'!$B$27*(1+'Model Inputs'!$B$28)^(J588-3),'Model Inputs'!$B$27*(1+'Model Inputs'!$B$28)^(MAX(3,'Model Inputs'!$B$30+1)-3)*(1+'Model Inputs'!$B$29)^(J588-MAX(3,'Model Inputs'!$B$30+1)))))</f>
        <v>299372327.53708321</v>
      </c>
      <c r="N588" s="236">
        <f>IF(J588&lt;=2,0,'Model Inputs'!$B$32*SIN(2*PI()*(J588-3+'Model Inputs'!$B$34)/MAX(1,'Model Inputs'!$B$33)))</f>
        <v>-0.10392304845413265</v>
      </c>
      <c r="O588" s="230">
        <f t="shared" si="328"/>
        <v>268260642.63662043</v>
      </c>
      <c r="P588" s="230">
        <f t="shared" si="329"/>
        <v>241371727.96595448</v>
      </c>
      <c r="Q588" s="230">
        <f>L588+P588+IF(J588=1,'Model Inputs'!$B$26,0)</f>
        <v>241671727.96595448</v>
      </c>
      <c r="R588" s="230">
        <f t="shared" si="330"/>
        <v>725015183.89786339</v>
      </c>
      <c r="S588" s="230">
        <f t="shared" si="331"/>
        <v>4050000</v>
      </c>
      <c r="T588" s="230">
        <f t="shared" si="332"/>
        <v>4050000</v>
      </c>
      <c r="U588" s="230">
        <f>MIN(T588,'Tax Assumptions'!$B$19)</f>
        <v>24500</v>
      </c>
      <c r="V588" s="230">
        <f>MAX(T588-U588-'Tax Assumptions'!$B$8,0)</f>
        <v>4009400</v>
      </c>
      <c r="W588" s="230">
        <f>MAX(T588-U588-'Tax Assumptions'!$B$9,0)</f>
        <v>4017500</v>
      </c>
      <c r="X588" s="230">
        <f>IF(V588=0,0,LOOKUP(V588,'Tax Assumptions'!$F$9:$F$15,'Tax Assumptions'!$I$9:$I$15)+(V588-LOOKUP(V588,'Tax Assumptions'!$F$9:$F$15,'Tax Assumptions'!$F$9:$F$15))*LOOKUP(V588,'Tax Assumptions'!$F$9:$F$15,'Tax Assumptions'!$H$9:$H$15))+MIN(MAX(T588,0),'Tax Assumptions'!$B$11)*'Tax Assumptions'!$B$10+MAX(T588,0)*'Tax Assumptions'!$B$12+MAX(MAX(T588,0)-'Tax Assumptions'!$B$14,0)*'Tax Assumptions'!$B$13+MIN(T588*'Tax Assumptions'!$B$15,'Tax Assumptions'!$B$16)+MIN(T588*'Tax Assumptions'!$B$17,'Tax Assumptions'!$B$18)+IF(W588=0,0,LOOKUP(W588,'Tax Assumptions'!$K$9:$K$17,'Tax Assumptions'!$N$9:$N$17)+(W588-LOOKUP(W588,'Tax Assumptions'!$K$9:$K$17,'Tax Assumptions'!$K$9:$K$17))*LOOKUP(W588,'Tax Assumptions'!$K$9:$K$17,'Tax Assumptions'!$M$9:$M$17))+IF(W588=0,0,LOOKUP(W588,'Tax Assumptions'!$P$9:$P$12,'Tax Assumptions'!$S$9:$S$12)+(W588-LOOKUP(W588,'Tax Assumptions'!$P$9:$P$12,'Tax Assumptions'!$P$9:$P$12))*LOOKUP(W588,'Tax Assumptions'!$P$9:$P$12,'Tax Assumptions'!$R$9:$R$12))</f>
        <v>2055188.6349999998</v>
      </c>
      <c r="Y588" s="230">
        <f t="shared" si="333"/>
        <v>1970311.3650000002</v>
      </c>
      <c r="Z588" s="230">
        <f>IF(J588&lt;=10,INDEX('Savings Projection'!$BL$19:$BL$28,J588),LOOKUP(2,1/('Savings Projection'!$BL$19:$BL$28&lt;&gt;""),'Savings Projection'!$BL$19:$BL$28))*(1+'Model Inputs'!$B$35)^(J588-1)+IF(J588&lt;=10,INDEX('Savings Projection'!$BM$19:$BM$28,J588),LOOKUP(2,1/('Savings Projection'!$BM$19:$BM$28&lt;&gt;""),'Savings Projection'!$BM$19:$BM$28))*(1+'Model Inputs'!$B$36)^(J588-1)</f>
        <v>297430.59784584382</v>
      </c>
      <c r="AA588" s="230">
        <f t="shared" si="334"/>
        <v>1672880.7671541565</v>
      </c>
      <c r="AB588" s="230">
        <f>MIN(MAX(AA588,0),'Tax Assumptions'!$B$20)</f>
        <v>7500</v>
      </c>
      <c r="AC588" s="230">
        <f t="shared" si="335"/>
        <v>1665380.7671541565</v>
      </c>
      <c r="AD588" s="230">
        <f>MAX(AD587*(1+'Model Inputs'!$B$13)+AC588,0)</f>
        <v>94142035.619883001</v>
      </c>
      <c r="AE588" s="230">
        <f>MAX(AE587*(1+'Model Inputs'!$B$13)+U588+AB588,0)</f>
        <v>2356473.5461198762</v>
      </c>
      <c r="AF588" s="230">
        <f t="shared" si="336"/>
        <v>96498509.16600287</v>
      </c>
      <c r="AG588" s="226" t="str">
        <f t="shared" si="322"/>
        <v/>
      </c>
      <c r="AH588" s="226" t="str">
        <f t="shared" si="323"/>
        <v/>
      </c>
      <c r="AI588" s="226" t="str">
        <f t="shared" si="324"/>
        <v/>
      </c>
      <c r="AJ588" s="226" t="str">
        <f t="shared" si="325"/>
        <v/>
      </c>
    </row>
    <row r="589" spans="1:36" ht="18" customHeight="1" x14ac:dyDescent="0.2">
      <c r="A589" s="226" t="str">
        <f t="shared" si="314"/>
        <v>5Y -&gt; PM Y7 Base</v>
      </c>
      <c r="B589" s="226">
        <f t="shared" si="315"/>
        <v>5</v>
      </c>
      <c r="C589" s="235">
        <f t="shared" si="316"/>
        <v>3</v>
      </c>
      <c r="D589" s="226">
        <f t="shared" si="317"/>
        <v>7</v>
      </c>
      <c r="E589" s="226" t="str">
        <f t="shared" si="318"/>
        <v>Base</v>
      </c>
      <c r="F589" s="230">
        <f t="shared" si="319"/>
        <v>25000000</v>
      </c>
      <c r="G589" s="236">
        <f t="shared" si="320"/>
        <v>0.15</v>
      </c>
      <c r="H589" s="230">
        <f t="shared" si="321"/>
        <v>300000</v>
      </c>
      <c r="I589" s="236">
        <f t="shared" si="326"/>
        <v>0</v>
      </c>
      <c r="J589" s="234">
        <v>30</v>
      </c>
      <c r="K589" s="234">
        <f t="shared" si="327"/>
        <v>2055</v>
      </c>
      <c r="L589" s="230">
        <f>IF(J589=1,'Model Inputs'!$B$25*(13-'Model Inputs'!$B$23)/12,'Model Inputs'!$B$25)</f>
        <v>300000</v>
      </c>
      <c r="M589" s="230">
        <f>IF(J589=1,'Model Inputs'!$B$27*(13-'Model Inputs'!$B$23)/12,IF(J589=2,'Model Inputs'!$B$27,IF(J589&lt;=MAX(3,'Model Inputs'!$B$30+1),'Model Inputs'!$B$27*(1+'Model Inputs'!$B$28)^(J589-3),'Model Inputs'!$B$27*(1+'Model Inputs'!$B$28)^(MAX(3,'Model Inputs'!$B$30+1)-3)*(1+'Model Inputs'!$B$29)^(J589-MAX(3,'Model Inputs'!$B$30+1)))))</f>
        <v>380465535.74563926</v>
      </c>
      <c r="N589" s="236">
        <f>IF(J589&lt;=2,0,'Model Inputs'!$B$32*SIN(2*PI()*(J589-3+'Model Inputs'!$B$34)/MAX(1,'Model Inputs'!$B$33)))</f>
        <v>-2.645237086158283E-16</v>
      </c>
      <c r="O589" s="230">
        <f t="shared" si="328"/>
        <v>380465535.7456392</v>
      </c>
      <c r="P589" s="230">
        <f t="shared" si="329"/>
        <v>266206474.24994773</v>
      </c>
      <c r="Q589" s="230">
        <f>L589+P589+IF(J589=1,'Model Inputs'!$B$26,0)</f>
        <v>266506474.24994773</v>
      </c>
      <c r="R589" s="230">
        <f t="shared" si="330"/>
        <v>799519422.74984312</v>
      </c>
      <c r="S589" s="230">
        <f t="shared" si="331"/>
        <v>4050000</v>
      </c>
      <c r="T589" s="230">
        <f t="shared" si="332"/>
        <v>4050000</v>
      </c>
      <c r="U589" s="230">
        <f>MIN(T589,'Tax Assumptions'!$B$19)</f>
        <v>24500</v>
      </c>
      <c r="V589" s="230">
        <f>MAX(T589-U589-'Tax Assumptions'!$B$8,0)</f>
        <v>4009400</v>
      </c>
      <c r="W589" s="230">
        <f>MAX(T589-U589-'Tax Assumptions'!$B$9,0)</f>
        <v>4017500</v>
      </c>
      <c r="X589" s="230">
        <f>IF(V589=0,0,LOOKUP(V589,'Tax Assumptions'!$F$9:$F$15,'Tax Assumptions'!$I$9:$I$15)+(V589-LOOKUP(V589,'Tax Assumptions'!$F$9:$F$15,'Tax Assumptions'!$F$9:$F$15))*LOOKUP(V589,'Tax Assumptions'!$F$9:$F$15,'Tax Assumptions'!$H$9:$H$15))+MIN(MAX(T589,0),'Tax Assumptions'!$B$11)*'Tax Assumptions'!$B$10+MAX(T589,0)*'Tax Assumptions'!$B$12+MAX(MAX(T589,0)-'Tax Assumptions'!$B$14,0)*'Tax Assumptions'!$B$13+MIN(T589*'Tax Assumptions'!$B$15,'Tax Assumptions'!$B$16)+MIN(T589*'Tax Assumptions'!$B$17,'Tax Assumptions'!$B$18)+IF(W589=0,0,LOOKUP(W589,'Tax Assumptions'!$K$9:$K$17,'Tax Assumptions'!$N$9:$N$17)+(W589-LOOKUP(W589,'Tax Assumptions'!$K$9:$K$17,'Tax Assumptions'!$K$9:$K$17))*LOOKUP(W589,'Tax Assumptions'!$K$9:$K$17,'Tax Assumptions'!$M$9:$M$17))+IF(W589=0,0,LOOKUP(W589,'Tax Assumptions'!$P$9:$P$12,'Tax Assumptions'!$S$9:$S$12)+(W589-LOOKUP(W589,'Tax Assumptions'!$P$9:$P$12,'Tax Assumptions'!$P$9:$P$12))*LOOKUP(W589,'Tax Assumptions'!$P$9:$P$12,'Tax Assumptions'!$R$9:$R$12))</f>
        <v>2055188.6349999998</v>
      </c>
      <c r="Y589" s="230">
        <f t="shared" si="333"/>
        <v>1970311.3650000002</v>
      </c>
      <c r="Z589" s="230">
        <f>IF(J589&lt;=10,INDEX('Savings Projection'!$BL$19:$BL$28,J589),LOOKUP(2,1/('Savings Projection'!$BL$19:$BL$28&lt;&gt;""),'Savings Projection'!$BL$19:$BL$28))*(1+'Model Inputs'!$B$35)^(J589-1)+IF(J589&lt;=10,INDEX('Savings Projection'!$BM$19:$BM$28,J589),LOOKUP(2,1/('Savings Projection'!$BM$19:$BM$28&lt;&gt;""),'Savings Projection'!$BM$19:$BM$28))*(1+'Model Inputs'!$B$36)^(J589-1)</f>
        <v>306353.51578121912</v>
      </c>
      <c r="AA589" s="230">
        <f t="shared" si="334"/>
        <v>1663957.8492187811</v>
      </c>
      <c r="AB589" s="230">
        <f>MIN(MAX(AA589,0),'Tax Assumptions'!$B$20)</f>
        <v>7500</v>
      </c>
      <c r="AC589" s="230">
        <f t="shared" si="335"/>
        <v>1656457.8492187811</v>
      </c>
      <c r="AD589" s="230">
        <f>MAX(AD588*(1+'Model Inputs'!$B$13)+AC589,0)</f>
        <v>101447015.60629477</v>
      </c>
      <c r="AE589" s="230">
        <f>MAX(AE588*(1+'Model Inputs'!$B$13)+U589+AB589,0)</f>
        <v>2529861.958887069</v>
      </c>
      <c r="AF589" s="230">
        <f t="shared" si="336"/>
        <v>103976877.56518184</v>
      </c>
      <c r="AG589" s="226" t="str">
        <f t="shared" si="322"/>
        <v/>
      </c>
      <c r="AH589" s="226" t="str">
        <f t="shared" si="323"/>
        <v/>
      </c>
      <c r="AI589" s="226" t="str">
        <f t="shared" si="324"/>
        <v/>
      </c>
      <c r="AJ589" s="226" t="str">
        <f t="shared" si="325"/>
        <v/>
      </c>
    </row>
    <row r="590" spans="1:36" ht="18" customHeight="1" x14ac:dyDescent="0.2">
      <c r="A590" s="226" t="str">
        <f t="shared" ref="A590:A619" si="337">$A$40</f>
        <v>5Y -&gt; PM Y7 Upside</v>
      </c>
      <c r="B590" s="226">
        <f t="shared" ref="B590:B619" si="338">$B$40</f>
        <v>5</v>
      </c>
      <c r="C590" s="235">
        <f t="shared" ref="C590:C619" si="339">$C$40</f>
        <v>3</v>
      </c>
      <c r="D590" s="226">
        <f t="shared" ref="D590:D619" si="340">$D$40</f>
        <v>7</v>
      </c>
      <c r="E590" s="226" t="str">
        <f t="shared" ref="E590:E619" si="341">$E$40</f>
        <v>Upside</v>
      </c>
      <c r="F590" s="230">
        <f t="shared" ref="F590:F619" si="342">$F$40</f>
        <v>50000000</v>
      </c>
      <c r="G590" s="236">
        <f t="shared" ref="G590:G619" si="343">$G$40</f>
        <v>0.2</v>
      </c>
      <c r="H590" s="230">
        <f t="shared" ref="H590:H619" si="344">$H$40</f>
        <v>300000</v>
      </c>
      <c r="I590" s="236">
        <f t="shared" si="326"/>
        <v>0</v>
      </c>
      <c r="J590" s="234">
        <v>1</v>
      </c>
      <c r="K590" s="234">
        <f t="shared" si="327"/>
        <v>2026</v>
      </c>
      <c r="L590" s="230">
        <f>IF(J590=1,'Model Inputs'!$B$25*(13-'Model Inputs'!$B$23)/12,'Model Inputs'!$B$25)</f>
        <v>100000</v>
      </c>
      <c r="M590" s="230">
        <f>IF(J590=1,'Model Inputs'!$B$27*(13-'Model Inputs'!$B$23)/12,IF(J590=2,'Model Inputs'!$B$27,IF(J590&lt;=MAX(3,'Model Inputs'!$B$30+1),'Model Inputs'!$B$27*(1+'Model Inputs'!$B$28)^(J590-3),'Model Inputs'!$B$27*(1+'Model Inputs'!$B$28)^(MAX(3,'Model Inputs'!$B$30+1)-3)*(1+'Model Inputs'!$B$29)^(J590-MAX(3,'Model Inputs'!$B$30+1)))))</f>
        <v>150000</v>
      </c>
      <c r="N590" s="236">
        <f>IF(J590&lt;=2,0,'Model Inputs'!$B$32*SIN(2*PI()*(J590-3+'Model Inputs'!$B$34)/MAX(1,'Model Inputs'!$B$33)))</f>
        <v>0</v>
      </c>
      <c r="O590" s="230">
        <f t="shared" si="328"/>
        <v>150000</v>
      </c>
      <c r="P590" s="230">
        <f>0</f>
        <v>0</v>
      </c>
      <c r="Q590" s="230">
        <f>L590+P590+IF(J590=1,'Model Inputs'!$B$26,0)</f>
        <v>550000</v>
      </c>
      <c r="R590" s="230">
        <f t="shared" si="330"/>
        <v>550000</v>
      </c>
      <c r="S590" s="230">
        <f t="shared" si="331"/>
        <v>10300000</v>
      </c>
      <c r="T590" s="230">
        <f t="shared" si="332"/>
        <v>550000</v>
      </c>
      <c r="U590" s="230">
        <f>MIN(T590,'Tax Assumptions'!$B$19)</f>
        <v>24500</v>
      </c>
      <c r="V590" s="230">
        <f>MAX(T590-U590-'Tax Assumptions'!$B$8,0)</f>
        <v>509400</v>
      </c>
      <c r="W590" s="230">
        <f>MAX(T590-U590-'Tax Assumptions'!$B$9,0)</f>
        <v>517500</v>
      </c>
      <c r="X590" s="230">
        <f>IF(V590=0,0,LOOKUP(V590,'Tax Assumptions'!$F$9:$F$15,'Tax Assumptions'!$I$9:$I$15)+(V590-LOOKUP(V590,'Tax Assumptions'!$F$9:$F$15,'Tax Assumptions'!$F$9:$F$15))*LOOKUP(V590,'Tax Assumptions'!$F$9:$F$15,'Tax Assumptions'!$H$9:$H$15))+MIN(MAX(T590,0),'Tax Assumptions'!$B$11)*'Tax Assumptions'!$B$10+MAX(T590,0)*'Tax Assumptions'!$B$12+MAX(MAX(T590,0)-'Tax Assumptions'!$B$14,0)*'Tax Assumptions'!$B$13+MIN(T590*'Tax Assumptions'!$B$15,'Tax Assumptions'!$B$16)+MIN(T590*'Tax Assumptions'!$B$17,'Tax Assumptions'!$B$18)+IF(W590=0,0,LOOKUP(W590,'Tax Assumptions'!$K$9:$K$17,'Tax Assumptions'!$N$9:$N$17)+(W590-LOOKUP(W590,'Tax Assumptions'!$K$9:$K$17,'Tax Assumptions'!$K$9:$K$17))*LOOKUP(W590,'Tax Assumptions'!$K$9:$K$17,'Tax Assumptions'!$M$9:$M$17))+IF(W590=0,0,LOOKUP(W590,'Tax Assumptions'!$P$9:$P$12,'Tax Assumptions'!$S$9:$S$12)+(W590-LOOKUP(W590,'Tax Assumptions'!$P$9:$P$12,'Tax Assumptions'!$P$9:$P$12))*LOOKUP(W590,'Tax Assumptions'!$P$9:$P$12,'Tax Assumptions'!$R$9:$R$12))</f>
        <v>222834.53000000003</v>
      </c>
      <c r="Y590" s="230">
        <f t="shared" si="333"/>
        <v>302665.46999999997</v>
      </c>
      <c r="Z590" s="230">
        <f>IF(J590&lt;=10,INDEX('Savings Projection'!$BL$19:$BL$28,J590),LOOKUP(2,1/('Savings Projection'!$BL$19:$BL$28&lt;&gt;""),'Savings Projection'!$BL$19:$BL$28))*(1+'Model Inputs'!$B$35)^(J590-1)+IF(J590&lt;=10,INDEX('Savings Projection'!$BM$19:$BM$28,J590),LOOKUP(2,1/('Savings Projection'!$BM$19:$BM$28&lt;&gt;""),'Savings Projection'!$BM$19:$BM$28))*(1+'Model Inputs'!$B$36)^(J590-1)</f>
        <v>118000</v>
      </c>
      <c r="AA590" s="230">
        <f t="shared" si="334"/>
        <v>184665.46999999997</v>
      </c>
      <c r="AB590" s="230">
        <f>MIN(MAX(AA590,0),'Tax Assumptions'!$B$20)</f>
        <v>7500</v>
      </c>
      <c r="AC590" s="230">
        <f t="shared" si="335"/>
        <v>177165.46999999997</v>
      </c>
      <c r="AD590" s="230">
        <f>MAX('Model Inputs'!$B$7*(1+'Model Inputs'!$B$13)+AC590,0)</f>
        <v>336165.47</v>
      </c>
      <c r="AE590" s="230">
        <f>MAX(('Model Inputs'!$B$8+'Model Inputs'!$B$9+'Model Inputs'!$B$10)*(1+'Model Inputs'!$B$13)+U590+AB590,0)</f>
        <v>32000</v>
      </c>
      <c r="AF590" s="230">
        <f t="shared" si="336"/>
        <v>368165.47</v>
      </c>
      <c r="AG590" s="226" t="str">
        <f>IF(AND(AF590&gt;=$F$14,0&lt;$F$14),J590,"")</f>
        <v/>
      </c>
      <c r="AH590" s="226" t="str">
        <f>IF(AND(AF590&gt;=$F$15,0&lt;$F$15),J590,"")</f>
        <v/>
      </c>
      <c r="AI590" s="226" t="str">
        <f>IF(AND(AF590&gt;=$F$16,0&lt;$F$16),J590,"")</f>
        <v/>
      </c>
      <c r="AJ590" s="226" t="str">
        <f>IF(AND(AF590&gt;=$F$17,0&lt;$F$17),J590,"")</f>
        <v/>
      </c>
    </row>
    <row r="591" spans="1:36" ht="18" customHeight="1" x14ac:dyDescent="0.2">
      <c r="A591" s="226" t="str">
        <f t="shared" si="337"/>
        <v>5Y -&gt; PM Y7 Upside</v>
      </c>
      <c r="B591" s="226">
        <f t="shared" si="338"/>
        <v>5</v>
      </c>
      <c r="C591" s="235">
        <f t="shared" si="339"/>
        <v>3</v>
      </c>
      <c r="D591" s="226">
        <f t="shared" si="340"/>
        <v>7</v>
      </c>
      <c r="E591" s="226" t="str">
        <f t="shared" si="341"/>
        <v>Upside</v>
      </c>
      <c r="F591" s="230">
        <f t="shared" si="342"/>
        <v>50000000</v>
      </c>
      <c r="G591" s="236">
        <f t="shared" si="343"/>
        <v>0.2</v>
      </c>
      <c r="H591" s="230">
        <f t="shared" si="344"/>
        <v>300000</v>
      </c>
      <c r="I591" s="236">
        <f t="shared" si="326"/>
        <v>0</v>
      </c>
      <c r="J591" s="234">
        <v>2</v>
      </c>
      <c r="K591" s="234">
        <f t="shared" si="327"/>
        <v>2027</v>
      </c>
      <c r="L591" s="230">
        <f>IF(J591=1,'Model Inputs'!$B$25*(13-'Model Inputs'!$B$23)/12,'Model Inputs'!$B$25)</f>
        <v>300000</v>
      </c>
      <c r="M591" s="230">
        <f>IF(J591=1,'Model Inputs'!$B$27*(13-'Model Inputs'!$B$23)/12,IF(J591=2,'Model Inputs'!$B$27,IF(J591&lt;=MAX(3,'Model Inputs'!$B$30+1),'Model Inputs'!$B$27*(1+'Model Inputs'!$B$28)^(J591-3),'Model Inputs'!$B$27*(1+'Model Inputs'!$B$28)^(MAX(3,'Model Inputs'!$B$30+1)-3)*(1+'Model Inputs'!$B$29)^(J591-MAX(3,'Model Inputs'!$B$30+1)))))</f>
        <v>450000</v>
      </c>
      <c r="N591" s="236">
        <f>IF(J591&lt;=2,0,'Model Inputs'!$B$32*SIN(2*PI()*(J591-3+'Model Inputs'!$B$34)/MAX(1,'Model Inputs'!$B$33)))</f>
        <v>0</v>
      </c>
      <c r="O591" s="230">
        <f t="shared" si="328"/>
        <v>450000</v>
      </c>
      <c r="P591" s="230">
        <f>0.75*O590</f>
        <v>112500</v>
      </c>
      <c r="Q591" s="230">
        <f>L591+P591+IF(J591=1,'Model Inputs'!$B$26,0)</f>
        <v>412500</v>
      </c>
      <c r="R591" s="230">
        <f t="shared" si="330"/>
        <v>412500</v>
      </c>
      <c r="S591" s="230">
        <f t="shared" si="331"/>
        <v>10300000</v>
      </c>
      <c r="T591" s="230">
        <f t="shared" si="332"/>
        <v>412500</v>
      </c>
      <c r="U591" s="230">
        <f>MIN(T591,'Tax Assumptions'!$B$19)</f>
        <v>24500</v>
      </c>
      <c r="V591" s="230">
        <f>MAX(T591-U591-'Tax Assumptions'!$B$8,0)</f>
        <v>371900</v>
      </c>
      <c r="W591" s="230">
        <f>MAX(T591-U591-'Tax Assumptions'!$B$9,0)</f>
        <v>380000</v>
      </c>
      <c r="X591" s="230">
        <f>IF(V591=0,0,LOOKUP(V591,'Tax Assumptions'!$F$9:$F$15,'Tax Assumptions'!$I$9:$I$15)+(V591-LOOKUP(V591,'Tax Assumptions'!$F$9:$F$15,'Tax Assumptions'!$F$9:$F$15))*LOOKUP(V591,'Tax Assumptions'!$F$9:$F$15,'Tax Assumptions'!$H$9:$H$15))+MIN(MAX(T591,0),'Tax Assumptions'!$B$11)*'Tax Assumptions'!$B$10+MAX(T591,0)*'Tax Assumptions'!$B$12+MAX(MAX(T591,0)-'Tax Assumptions'!$B$14,0)*'Tax Assumptions'!$B$13+MIN(T591*'Tax Assumptions'!$B$15,'Tax Assumptions'!$B$16)+MIN(T591*'Tax Assumptions'!$B$17,'Tax Assumptions'!$B$18)+IF(W591=0,0,LOOKUP(W591,'Tax Assumptions'!$K$9:$K$17,'Tax Assumptions'!$N$9:$N$17)+(W591-LOOKUP(W591,'Tax Assumptions'!$K$9:$K$17,'Tax Assumptions'!$K$9:$K$17))*LOOKUP(W591,'Tax Assumptions'!$K$9:$K$17,'Tax Assumptions'!$M$9:$M$17))+IF(W591=0,0,LOOKUP(W591,'Tax Assumptions'!$P$9:$P$12,'Tax Assumptions'!$S$9:$S$12)+(W591-LOOKUP(W591,'Tax Assumptions'!$P$9:$P$12,'Tax Assumptions'!$P$9:$P$12))*LOOKUP(W591,'Tax Assumptions'!$P$9:$P$12,'Tax Assumptions'!$R$9:$R$12))</f>
        <v>156730.03</v>
      </c>
      <c r="Y591" s="230">
        <f t="shared" si="333"/>
        <v>231269.97</v>
      </c>
      <c r="Z591" s="230">
        <f>IF(J591&lt;=10,INDEX('Savings Projection'!$BL$19:$BL$28,J591),LOOKUP(2,1/('Savings Projection'!$BL$19:$BL$28&lt;&gt;""),'Savings Projection'!$BL$19:$BL$28))*(1+'Model Inputs'!$B$35)^(J591-1)+IF(J591&lt;=10,INDEX('Savings Projection'!$BM$19:$BM$28,J591),LOOKUP(2,1/('Savings Projection'!$BM$19:$BM$28&lt;&gt;""),'Savings Projection'!$BM$19:$BM$28))*(1+'Model Inputs'!$B$36)^(J591-1)</f>
        <v>121540</v>
      </c>
      <c r="AA591" s="230">
        <f t="shared" si="334"/>
        <v>109729.97</v>
      </c>
      <c r="AB591" s="230">
        <f>MIN(MAX(AA591,0),'Tax Assumptions'!$B$20)</f>
        <v>7500</v>
      </c>
      <c r="AC591" s="230">
        <f t="shared" si="335"/>
        <v>102229.97</v>
      </c>
      <c r="AD591" s="230">
        <f>MAX(AD590*(1+'Model Inputs'!$B$13)+AC591,0)</f>
        <v>458565.36820000003</v>
      </c>
      <c r="AE591" s="230">
        <f>MAX(AE590*(1+'Model Inputs'!$B$13)+U591+AB591,0)</f>
        <v>65920</v>
      </c>
      <c r="AF591" s="230">
        <f t="shared" si="336"/>
        <v>524485.36820000003</v>
      </c>
      <c r="AG591" s="226" t="str">
        <f t="shared" ref="AG591:AG619" si="345">IF(AND(AF591&gt;=$F$14,AF590&lt;$F$14),J591,"")</f>
        <v/>
      </c>
      <c r="AH591" s="226" t="str">
        <f t="shared" ref="AH591:AH619" si="346">IF(AND(AF591&gt;=$F$15,AF590&lt;$F$15),J591,"")</f>
        <v/>
      </c>
      <c r="AI591" s="226" t="str">
        <f t="shared" ref="AI591:AI619" si="347">IF(AND(AF591&gt;=$F$16,AF590&lt;$F$16),J591,"")</f>
        <v/>
      </c>
      <c r="AJ591" s="226" t="str">
        <f t="shared" ref="AJ591:AJ619" si="348">IF(AND(AF591&gt;=$F$17,AF590&lt;$F$17),J591,"")</f>
        <v/>
      </c>
    </row>
    <row r="592" spans="1:36" ht="18" customHeight="1" x14ac:dyDescent="0.2">
      <c r="A592" s="226" t="str">
        <f t="shared" si="337"/>
        <v>5Y -&gt; PM Y7 Upside</v>
      </c>
      <c r="B592" s="226">
        <f t="shared" si="338"/>
        <v>5</v>
      </c>
      <c r="C592" s="235">
        <f t="shared" si="339"/>
        <v>3</v>
      </c>
      <c r="D592" s="226">
        <f t="shared" si="340"/>
        <v>7</v>
      </c>
      <c r="E592" s="226" t="str">
        <f t="shared" si="341"/>
        <v>Upside</v>
      </c>
      <c r="F592" s="230">
        <f t="shared" si="342"/>
        <v>50000000</v>
      </c>
      <c r="G592" s="236">
        <f t="shared" si="343"/>
        <v>0.2</v>
      </c>
      <c r="H592" s="230">
        <f t="shared" si="344"/>
        <v>300000</v>
      </c>
      <c r="I592" s="236">
        <f t="shared" si="326"/>
        <v>0</v>
      </c>
      <c r="J592" s="234">
        <v>3</v>
      </c>
      <c r="K592" s="234">
        <f t="shared" si="327"/>
        <v>2028</v>
      </c>
      <c r="L592" s="230">
        <f>IF(J592=1,'Model Inputs'!$B$25*(13-'Model Inputs'!$B$23)/12,'Model Inputs'!$B$25)</f>
        <v>300000</v>
      </c>
      <c r="M592" s="230">
        <f>IF(J592=1,'Model Inputs'!$B$27*(13-'Model Inputs'!$B$23)/12,IF(J592=2,'Model Inputs'!$B$27,IF(J592&lt;=MAX(3,'Model Inputs'!$B$30+1),'Model Inputs'!$B$27*(1+'Model Inputs'!$B$28)^(J592-3),'Model Inputs'!$B$27*(1+'Model Inputs'!$B$28)^(MAX(3,'Model Inputs'!$B$30+1)-3)*(1+'Model Inputs'!$B$29)^(J592-MAX(3,'Model Inputs'!$B$30+1)))))</f>
        <v>450000</v>
      </c>
      <c r="N592" s="236">
        <f>IF(J592&lt;=2,0,'Model Inputs'!$B$32*SIN(2*PI()*(J592-3+'Model Inputs'!$B$34)/MAX(1,'Model Inputs'!$B$33)))</f>
        <v>0</v>
      </c>
      <c r="O592" s="230">
        <f t="shared" si="328"/>
        <v>450000</v>
      </c>
      <c r="P592" s="230">
        <f t="shared" ref="P592:P619" si="349">0.75*O591+0.25*O590</f>
        <v>375000</v>
      </c>
      <c r="Q592" s="230">
        <f>L592+P592+IF(J592=1,'Model Inputs'!$B$26,0)</f>
        <v>675000</v>
      </c>
      <c r="R592" s="230">
        <f t="shared" si="330"/>
        <v>675000</v>
      </c>
      <c r="S592" s="230">
        <f t="shared" si="331"/>
        <v>10300000</v>
      </c>
      <c r="T592" s="230">
        <f t="shared" si="332"/>
        <v>675000</v>
      </c>
      <c r="U592" s="230">
        <f>MIN(T592,'Tax Assumptions'!$B$19)</f>
        <v>24500</v>
      </c>
      <c r="V592" s="230">
        <f>MAX(T592-U592-'Tax Assumptions'!$B$8,0)</f>
        <v>634400</v>
      </c>
      <c r="W592" s="230">
        <f>MAX(T592-U592-'Tax Assumptions'!$B$9,0)</f>
        <v>642500</v>
      </c>
      <c r="X592" s="230">
        <f>IF(V592=0,0,LOOKUP(V592,'Tax Assumptions'!$F$9:$F$15,'Tax Assumptions'!$I$9:$I$15)+(V592-LOOKUP(V592,'Tax Assumptions'!$F$9:$F$15,'Tax Assumptions'!$F$9:$F$15))*LOOKUP(V592,'Tax Assumptions'!$F$9:$F$15,'Tax Assumptions'!$H$9:$H$15))+MIN(MAX(T592,0),'Tax Assumptions'!$B$11)*'Tax Assumptions'!$B$10+MAX(T592,0)*'Tax Assumptions'!$B$12+MAX(MAX(T592,0)-'Tax Assumptions'!$B$14,0)*'Tax Assumptions'!$B$13+MIN(T592*'Tax Assumptions'!$B$15,'Tax Assumptions'!$B$16)+MIN(T592*'Tax Assumptions'!$B$17,'Tax Assumptions'!$B$18)+IF(W592=0,0,LOOKUP(W592,'Tax Assumptions'!$K$9:$K$17,'Tax Assumptions'!$N$9:$N$17)+(W592-LOOKUP(W592,'Tax Assumptions'!$K$9:$K$17,'Tax Assumptions'!$K$9:$K$17))*LOOKUP(W592,'Tax Assumptions'!$K$9:$K$17,'Tax Assumptions'!$M$9:$M$17))+IF(W592=0,0,LOOKUP(W592,'Tax Assumptions'!$P$9:$P$12,'Tax Assumptions'!$S$9:$S$12)+(W592-LOOKUP(W592,'Tax Assumptions'!$P$9:$P$12,'Tax Assumptions'!$P$9:$P$12))*LOOKUP(W592,'Tax Assumptions'!$P$9:$P$12,'Tax Assumptions'!$R$9:$R$12))</f>
        <v>282929.53000000003</v>
      </c>
      <c r="Y592" s="230">
        <f t="shared" si="333"/>
        <v>367570.47</v>
      </c>
      <c r="Z592" s="230">
        <f>IF(J592&lt;=10,INDEX('Savings Projection'!$BL$19:$BL$28,J592),LOOKUP(2,1/('Savings Projection'!$BL$19:$BL$28&lt;&gt;""),'Savings Projection'!$BL$19:$BL$28))*(1+'Model Inputs'!$B$35)^(J592-1)+IF(J592&lt;=10,INDEX('Savings Projection'!$BM$19:$BM$28,J592),LOOKUP(2,1/('Savings Projection'!$BM$19:$BM$28&lt;&gt;""),'Savings Projection'!$BM$19:$BM$28))*(1+'Model Inputs'!$B$36)^(J592-1)</f>
        <v>135795.20000000001</v>
      </c>
      <c r="AA592" s="230">
        <f t="shared" si="334"/>
        <v>231775.26999999996</v>
      </c>
      <c r="AB592" s="230">
        <f>MIN(MAX(AA592,0),'Tax Assumptions'!$B$20)</f>
        <v>7500</v>
      </c>
      <c r="AC592" s="230">
        <f t="shared" si="335"/>
        <v>224275.26999999996</v>
      </c>
      <c r="AD592" s="230">
        <f>MAX(AD591*(1+'Model Inputs'!$B$13)+AC592,0)</f>
        <v>710354.56029199995</v>
      </c>
      <c r="AE592" s="230">
        <f>MAX(AE591*(1+'Model Inputs'!$B$13)+U592+AB592,0)</f>
        <v>101875.2</v>
      </c>
      <c r="AF592" s="230">
        <f t="shared" si="336"/>
        <v>812229.7602919999</v>
      </c>
      <c r="AG592" s="226" t="str">
        <f t="shared" si="345"/>
        <v/>
      </c>
      <c r="AH592" s="226" t="str">
        <f t="shared" si="346"/>
        <v/>
      </c>
      <c r="AI592" s="226" t="str">
        <f t="shared" si="347"/>
        <v/>
      </c>
      <c r="AJ592" s="226" t="str">
        <f t="shared" si="348"/>
        <v/>
      </c>
    </row>
    <row r="593" spans="1:36" ht="18" customHeight="1" x14ac:dyDescent="0.2">
      <c r="A593" s="226" t="str">
        <f t="shared" si="337"/>
        <v>5Y -&gt; PM Y7 Upside</v>
      </c>
      <c r="B593" s="226">
        <f t="shared" si="338"/>
        <v>5</v>
      </c>
      <c r="C593" s="235">
        <f t="shared" si="339"/>
        <v>3</v>
      </c>
      <c r="D593" s="226">
        <f t="shared" si="340"/>
        <v>7</v>
      </c>
      <c r="E593" s="226" t="str">
        <f t="shared" si="341"/>
        <v>Upside</v>
      </c>
      <c r="F593" s="230">
        <f t="shared" si="342"/>
        <v>50000000</v>
      </c>
      <c r="G593" s="236">
        <f t="shared" si="343"/>
        <v>0.2</v>
      </c>
      <c r="H593" s="230">
        <f t="shared" si="344"/>
        <v>300000</v>
      </c>
      <c r="I593" s="236">
        <f t="shared" si="326"/>
        <v>0</v>
      </c>
      <c r="J593" s="234">
        <v>4</v>
      </c>
      <c r="K593" s="234">
        <f t="shared" si="327"/>
        <v>2029</v>
      </c>
      <c r="L593" s="230">
        <f>IF(J593=1,'Model Inputs'!$B$25*(13-'Model Inputs'!$B$23)/12,'Model Inputs'!$B$25)</f>
        <v>300000</v>
      </c>
      <c r="M593" s="230">
        <f>IF(J593=1,'Model Inputs'!$B$27*(13-'Model Inputs'!$B$23)/12,IF(J593=2,'Model Inputs'!$B$27,IF(J593&lt;=MAX(3,'Model Inputs'!$B$30+1),'Model Inputs'!$B$27*(1+'Model Inputs'!$B$28)^(J593-3),'Model Inputs'!$B$27*(1+'Model Inputs'!$B$28)^(MAX(3,'Model Inputs'!$B$30+1)-3)*(1+'Model Inputs'!$B$29)^(J593-MAX(3,'Model Inputs'!$B$30+1)))))</f>
        <v>653834.84153110103</v>
      </c>
      <c r="N593" s="236">
        <f>IF(J593&lt;=2,0,'Model Inputs'!$B$32*SIN(2*PI()*(J593-3+'Model Inputs'!$B$34)/MAX(1,'Model Inputs'!$B$33)))</f>
        <v>0.10392304845413264</v>
      </c>
      <c r="O593" s="230">
        <f t="shared" si="328"/>
        <v>721783.35144853778</v>
      </c>
      <c r="P593" s="230">
        <f t="shared" si="349"/>
        <v>450000</v>
      </c>
      <c r="Q593" s="230">
        <f>L593+P593+IF(J593=1,'Model Inputs'!$B$26,0)</f>
        <v>750000</v>
      </c>
      <c r="R593" s="230">
        <f t="shared" si="330"/>
        <v>750000</v>
      </c>
      <c r="S593" s="230">
        <f t="shared" si="331"/>
        <v>10300000</v>
      </c>
      <c r="T593" s="230">
        <f t="shared" si="332"/>
        <v>750000</v>
      </c>
      <c r="U593" s="230">
        <f>MIN(T593,'Tax Assumptions'!$B$19)</f>
        <v>24500</v>
      </c>
      <c r="V593" s="230">
        <f>MAX(T593-U593-'Tax Assumptions'!$B$8,0)</f>
        <v>709400</v>
      </c>
      <c r="W593" s="230">
        <f>MAX(T593-U593-'Tax Assumptions'!$B$9,0)</f>
        <v>717500</v>
      </c>
      <c r="X593" s="230">
        <f>IF(V593=0,0,LOOKUP(V593,'Tax Assumptions'!$F$9:$F$15,'Tax Assumptions'!$I$9:$I$15)+(V593-LOOKUP(V593,'Tax Assumptions'!$F$9:$F$15,'Tax Assumptions'!$F$9:$F$15))*LOOKUP(V593,'Tax Assumptions'!$F$9:$F$15,'Tax Assumptions'!$H$9:$H$15))+MIN(MAX(T593,0),'Tax Assumptions'!$B$11)*'Tax Assumptions'!$B$10+MAX(T593,0)*'Tax Assumptions'!$B$12+MAX(MAX(T593,0)-'Tax Assumptions'!$B$14,0)*'Tax Assumptions'!$B$13+MIN(T593*'Tax Assumptions'!$B$15,'Tax Assumptions'!$B$16)+MIN(T593*'Tax Assumptions'!$B$17,'Tax Assumptions'!$B$18)+IF(W593=0,0,LOOKUP(W593,'Tax Assumptions'!$K$9:$K$17,'Tax Assumptions'!$N$9:$N$17)+(W593-LOOKUP(W593,'Tax Assumptions'!$K$9:$K$17,'Tax Assumptions'!$K$9:$K$17))*LOOKUP(W593,'Tax Assumptions'!$K$9:$K$17,'Tax Assumptions'!$M$9:$M$17))+IF(W593=0,0,LOOKUP(W593,'Tax Assumptions'!$P$9:$P$12,'Tax Assumptions'!$S$9:$S$12)+(W593-LOOKUP(W593,'Tax Assumptions'!$P$9:$P$12,'Tax Assumptions'!$P$9:$P$12))*LOOKUP(W593,'Tax Assumptions'!$P$9:$P$12,'Tax Assumptions'!$R$9:$R$12))</f>
        <v>320362.53000000003</v>
      </c>
      <c r="Y593" s="230">
        <f t="shared" si="333"/>
        <v>405137.47</v>
      </c>
      <c r="Z593" s="230">
        <f>IF(J593&lt;=10,INDEX('Savings Projection'!$BL$19:$BL$28,J593),LOOKUP(2,1/('Savings Projection'!$BL$19:$BL$28&lt;&gt;""),'Savings Projection'!$BL$19:$BL$28))*(1+'Model Inputs'!$B$35)^(J593-1)+IF(J593&lt;=10,INDEX('Savings Projection'!$BM$19:$BM$28,J593),LOOKUP(2,1/('Savings Projection'!$BM$19:$BM$28&lt;&gt;""),'Savings Projection'!$BM$19:$BM$28))*(1+'Model Inputs'!$B$36)^(J593-1)</f>
        <v>139869.05600000001</v>
      </c>
      <c r="AA593" s="230">
        <f t="shared" si="334"/>
        <v>265268.41399999999</v>
      </c>
      <c r="AB593" s="230">
        <f>MIN(MAX(AA593,0),'Tax Assumptions'!$B$20)</f>
        <v>7500</v>
      </c>
      <c r="AC593" s="230">
        <f t="shared" si="335"/>
        <v>257768.41399999999</v>
      </c>
      <c r="AD593" s="230">
        <f>MAX(AD592*(1+'Model Inputs'!$B$13)+AC593,0)</f>
        <v>1010744.2479095199</v>
      </c>
      <c r="AE593" s="230">
        <f>MAX(AE592*(1+'Model Inputs'!$B$13)+U593+AB593,0)</f>
        <v>139987.712</v>
      </c>
      <c r="AF593" s="230">
        <f t="shared" si="336"/>
        <v>1150731.9599095199</v>
      </c>
      <c r="AG593" s="226" t="str">
        <f t="shared" si="345"/>
        <v/>
      </c>
      <c r="AH593" s="226" t="str">
        <f t="shared" si="346"/>
        <v/>
      </c>
      <c r="AI593" s="226" t="str">
        <f t="shared" si="347"/>
        <v/>
      </c>
      <c r="AJ593" s="226" t="str">
        <f t="shared" si="348"/>
        <v/>
      </c>
    </row>
    <row r="594" spans="1:36" ht="18" customHeight="1" x14ac:dyDescent="0.2">
      <c r="A594" s="226" t="str">
        <f t="shared" si="337"/>
        <v>5Y -&gt; PM Y7 Upside</v>
      </c>
      <c r="B594" s="226">
        <f t="shared" si="338"/>
        <v>5</v>
      </c>
      <c r="C594" s="235">
        <f t="shared" si="339"/>
        <v>3</v>
      </c>
      <c r="D594" s="226">
        <f t="shared" si="340"/>
        <v>7</v>
      </c>
      <c r="E594" s="226" t="str">
        <f t="shared" si="341"/>
        <v>Upside</v>
      </c>
      <c r="F594" s="230">
        <f t="shared" si="342"/>
        <v>50000000</v>
      </c>
      <c r="G594" s="236">
        <f t="shared" si="343"/>
        <v>0.2</v>
      </c>
      <c r="H594" s="230">
        <f t="shared" si="344"/>
        <v>300000</v>
      </c>
      <c r="I594" s="236">
        <f t="shared" si="326"/>
        <v>0</v>
      </c>
      <c r="J594" s="234">
        <v>5</v>
      </c>
      <c r="K594" s="234">
        <f t="shared" si="327"/>
        <v>2030</v>
      </c>
      <c r="L594" s="230">
        <f>IF(J594=1,'Model Inputs'!$B$25*(13-'Model Inputs'!$B$23)/12,'Model Inputs'!$B$25)</f>
        <v>300000</v>
      </c>
      <c r="M594" s="230">
        <f>IF(J594=1,'Model Inputs'!$B$27*(13-'Model Inputs'!$B$23)/12,IF(J594=2,'Model Inputs'!$B$27,IF(J594&lt;=MAX(3,'Model Inputs'!$B$30+1),'Model Inputs'!$B$27*(1+'Model Inputs'!$B$28)^(J594-3),'Model Inputs'!$B$27*(1+'Model Inputs'!$B$28)^(MAX(3,'Model Inputs'!$B$30+1)-3)*(1+'Model Inputs'!$B$29)^(J594-MAX(3,'Model Inputs'!$B$30+1)))))</f>
        <v>950000</v>
      </c>
      <c r="N594" s="236">
        <f>IF(J594&lt;=2,0,'Model Inputs'!$B$32*SIN(2*PI()*(J594-3+'Model Inputs'!$B$34)/MAX(1,'Model Inputs'!$B$33)))</f>
        <v>-0.1039230484541326</v>
      </c>
      <c r="O594" s="230">
        <f t="shared" si="328"/>
        <v>851273.10396857408</v>
      </c>
      <c r="P594" s="230">
        <f t="shared" si="349"/>
        <v>653837.51358640334</v>
      </c>
      <c r="Q594" s="230">
        <f>L594+P594+IF(J594=1,'Model Inputs'!$B$26,0)</f>
        <v>953837.51358640334</v>
      </c>
      <c r="R594" s="230">
        <f t="shared" si="330"/>
        <v>953837.51358640334</v>
      </c>
      <c r="S594" s="230">
        <f t="shared" si="331"/>
        <v>10300000</v>
      </c>
      <c r="T594" s="230">
        <f t="shared" si="332"/>
        <v>953837.51358640334</v>
      </c>
      <c r="U594" s="230">
        <f>MIN(T594,'Tax Assumptions'!$B$19)</f>
        <v>24500</v>
      </c>
      <c r="V594" s="230">
        <f>MAX(T594-U594-'Tax Assumptions'!$B$8,0)</f>
        <v>913237.51358640334</v>
      </c>
      <c r="W594" s="230">
        <f>MAX(T594-U594-'Tax Assumptions'!$B$9,0)</f>
        <v>921337.51358640334</v>
      </c>
      <c r="X594" s="230">
        <f>IF(V594=0,0,LOOKUP(V594,'Tax Assumptions'!$F$9:$F$15,'Tax Assumptions'!$I$9:$I$15)+(V594-LOOKUP(V594,'Tax Assumptions'!$F$9:$F$15,'Tax Assumptions'!$F$9:$F$15))*LOOKUP(V594,'Tax Assumptions'!$F$9:$F$15,'Tax Assumptions'!$H$9:$H$15))+MIN(MAX(T594,0),'Tax Assumptions'!$B$11)*'Tax Assumptions'!$B$10+MAX(T594,0)*'Tax Assumptions'!$B$12+MAX(MAX(T594,0)-'Tax Assumptions'!$B$14,0)*'Tax Assumptions'!$B$13+MIN(T594*'Tax Assumptions'!$B$15,'Tax Assumptions'!$B$16)+MIN(T594*'Tax Assumptions'!$B$17,'Tax Assumptions'!$B$18)+IF(W594=0,0,LOOKUP(W594,'Tax Assumptions'!$K$9:$K$17,'Tax Assumptions'!$N$9:$N$17)+(W594-LOOKUP(W594,'Tax Assumptions'!$K$9:$K$17,'Tax Assumptions'!$K$9:$K$17))*LOOKUP(W594,'Tax Assumptions'!$K$9:$K$17,'Tax Assumptions'!$M$9:$M$17))+IF(W594=0,0,LOOKUP(W594,'Tax Assumptions'!$P$9:$P$12,'Tax Assumptions'!$S$9:$S$12)+(W594-LOOKUP(W594,'Tax Assumptions'!$P$9:$P$12,'Tax Assumptions'!$P$9:$P$12))*LOOKUP(W594,'Tax Assumptions'!$P$9:$P$12,'Tax Assumptions'!$R$9:$R$12))</f>
        <v>422436.20330352732</v>
      </c>
      <c r="Y594" s="230">
        <f t="shared" si="333"/>
        <v>506901.31028287602</v>
      </c>
      <c r="Z594" s="230">
        <f>IF(J594&lt;=10,INDEX('Savings Projection'!$BL$19:$BL$28,J594),LOOKUP(2,1/('Savings Projection'!$BL$19:$BL$28&lt;&gt;""),'Savings Projection'!$BL$19:$BL$28))*(1+'Model Inputs'!$B$35)^(J594-1)+IF(J594&lt;=10,INDEX('Savings Projection'!$BM$19:$BM$28,J594),LOOKUP(2,1/('Savings Projection'!$BM$19:$BM$28&lt;&gt;""),'Savings Projection'!$BM$19:$BM$28))*(1+'Model Inputs'!$B$36)^(J594-1)</f>
        <v>144065.12767999998</v>
      </c>
      <c r="AA594" s="230">
        <f t="shared" si="334"/>
        <v>362836.18260287604</v>
      </c>
      <c r="AB594" s="230">
        <f>MIN(MAX(AA594,0),'Tax Assumptions'!$B$20)</f>
        <v>7500</v>
      </c>
      <c r="AC594" s="230">
        <f t="shared" si="335"/>
        <v>355336.18260287604</v>
      </c>
      <c r="AD594" s="230">
        <f>MAX(AD593*(1+'Model Inputs'!$B$13)+AC594,0)</f>
        <v>1426725.0853869673</v>
      </c>
      <c r="AE594" s="230">
        <f>MAX(AE593*(1+'Model Inputs'!$B$13)+U594+AB594,0)</f>
        <v>180386.97472</v>
      </c>
      <c r="AF594" s="230">
        <f t="shared" si="336"/>
        <v>1607112.0601069673</v>
      </c>
      <c r="AG594" s="226" t="str">
        <f t="shared" si="345"/>
        <v/>
      </c>
      <c r="AH594" s="226" t="str">
        <f t="shared" si="346"/>
        <v/>
      </c>
      <c r="AI594" s="226" t="str">
        <f t="shared" si="347"/>
        <v/>
      </c>
      <c r="AJ594" s="226" t="str">
        <f t="shared" si="348"/>
        <v/>
      </c>
    </row>
    <row r="595" spans="1:36" ht="18" customHeight="1" x14ac:dyDescent="0.2">
      <c r="A595" s="226" t="str">
        <f t="shared" si="337"/>
        <v>5Y -&gt; PM Y7 Upside</v>
      </c>
      <c r="B595" s="226">
        <f t="shared" si="338"/>
        <v>5</v>
      </c>
      <c r="C595" s="235">
        <f t="shared" si="339"/>
        <v>3</v>
      </c>
      <c r="D595" s="226">
        <f t="shared" si="340"/>
        <v>7</v>
      </c>
      <c r="E595" s="226" t="str">
        <f t="shared" si="341"/>
        <v>Upside</v>
      </c>
      <c r="F595" s="230">
        <f t="shared" si="342"/>
        <v>50000000</v>
      </c>
      <c r="G595" s="236">
        <f t="shared" si="343"/>
        <v>0.2</v>
      </c>
      <c r="H595" s="230">
        <f t="shared" si="344"/>
        <v>300000</v>
      </c>
      <c r="I595" s="236">
        <f t="shared" si="326"/>
        <v>0</v>
      </c>
      <c r="J595" s="234">
        <v>6</v>
      </c>
      <c r="K595" s="234">
        <f t="shared" si="327"/>
        <v>2031</v>
      </c>
      <c r="L595" s="230">
        <f>IF(J595=1,'Model Inputs'!$B$25*(13-'Model Inputs'!$B$23)/12,'Model Inputs'!$B$25)</f>
        <v>300000</v>
      </c>
      <c r="M595" s="230">
        <f>IF(J595=1,'Model Inputs'!$B$27*(13-'Model Inputs'!$B$23)/12,IF(J595=2,'Model Inputs'!$B$27,IF(J595&lt;=MAX(3,'Model Inputs'!$B$30+1),'Model Inputs'!$B$27*(1+'Model Inputs'!$B$28)^(J595-3),'Model Inputs'!$B$27*(1+'Model Inputs'!$B$28)^(MAX(3,'Model Inputs'!$B$30+1)-3)*(1+'Model Inputs'!$B$29)^(J595-MAX(3,'Model Inputs'!$B$30+1)))))</f>
        <v>1207333.5632986501</v>
      </c>
      <c r="N595" s="236">
        <f>IF(J595&lt;=2,0,'Model Inputs'!$B$32*SIN(2*PI()*(J595-3+'Model Inputs'!$B$34)/MAX(1,'Model Inputs'!$B$33)))</f>
        <v>-2.9391523179536474E-17</v>
      </c>
      <c r="O595" s="230">
        <f t="shared" si="328"/>
        <v>1207333.5632986501</v>
      </c>
      <c r="P595" s="230">
        <f t="shared" si="349"/>
        <v>818900.66583856498</v>
      </c>
      <c r="Q595" s="230">
        <f>L595+P595+IF(J595=1,'Model Inputs'!$B$26,0)</f>
        <v>1118900.665838565</v>
      </c>
      <c r="R595" s="230">
        <f t="shared" si="330"/>
        <v>3356701.9975156952</v>
      </c>
      <c r="S595" s="230">
        <f t="shared" si="331"/>
        <v>10300000</v>
      </c>
      <c r="T595" s="230">
        <f t="shared" si="332"/>
        <v>3356701.9975156952</v>
      </c>
      <c r="U595" s="230">
        <f>MIN(T595,'Tax Assumptions'!$B$19)</f>
        <v>24500</v>
      </c>
      <c r="V595" s="230">
        <f>MAX(T595-U595-'Tax Assumptions'!$B$8,0)</f>
        <v>3316101.9975156952</v>
      </c>
      <c r="W595" s="230">
        <f>MAX(T595-U595-'Tax Assumptions'!$B$9,0)</f>
        <v>3324201.9975156952</v>
      </c>
      <c r="X595" s="230">
        <f>IF(V595=0,0,LOOKUP(V595,'Tax Assumptions'!$F$9:$F$15,'Tax Assumptions'!$I$9:$I$15)+(V595-LOOKUP(V595,'Tax Assumptions'!$F$9:$F$15,'Tax Assumptions'!$F$9:$F$15))*LOOKUP(V595,'Tax Assumptions'!$F$9:$F$15,'Tax Assumptions'!$H$9:$H$15))+MIN(MAX(T595,0),'Tax Assumptions'!$B$11)*'Tax Assumptions'!$B$10+MAX(T595,0)*'Tax Assumptions'!$B$12+MAX(MAX(T595,0)-'Tax Assumptions'!$B$14,0)*'Tax Assumptions'!$B$13+MIN(T595*'Tax Assumptions'!$B$15,'Tax Assumptions'!$B$16)+MIN(T595*'Tax Assumptions'!$B$17,'Tax Assumptions'!$B$18)+IF(W595=0,0,LOOKUP(W595,'Tax Assumptions'!$K$9:$K$17,'Tax Assumptions'!$N$9:$N$17)+(W595-LOOKUP(W595,'Tax Assumptions'!$K$9:$K$17,'Tax Assumptions'!$K$9:$K$17))*LOOKUP(W595,'Tax Assumptions'!$K$9:$K$17,'Tax Assumptions'!$M$9:$M$17))+IF(W595=0,0,LOOKUP(W595,'Tax Assumptions'!$P$9:$P$12,'Tax Assumptions'!$S$9:$S$12)+(W595-LOOKUP(W595,'Tax Assumptions'!$P$9:$P$12,'Tax Assumptions'!$P$9:$P$12))*LOOKUP(W595,'Tax Assumptions'!$P$9:$P$12,'Tax Assumptions'!$R$9:$R$12))</f>
        <v>1688600.3832063989</v>
      </c>
      <c r="Y595" s="230">
        <f t="shared" si="333"/>
        <v>1643601.6143092962</v>
      </c>
      <c r="Z595" s="230">
        <f>IF(J595&lt;=10,INDEX('Savings Projection'!$BL$19:$BL$28,J595),LOOKUP(2,1/('Savings Projection'!$BL$19:$BL$28&lt;&gt;""),'Savings Projection'!$BL$19:$BL$28))*(1+'Model Inputs'!$B$35)^(J595-1)+IF(J595&lt;=10,INDEX('Savings Projection'!$BM$19:$BM$28,J595),LOOKUP(2,1/('Savings Projection'!$BM$19:$BM$28&lt;&gt;""),'Savings Projection'!$BM$19:$BM$28))*(1+'Model Inputs'!$B$36)^(J595-1)</f>
        <v>150705.62965899997</v>
      </c>
      <c r="AA595" s="230">
        <f t="shared" si="334"/>
        <v>1492895.9846502962</v>
      </c>
      <c r="AB595" s="230">
        <f>MIN(MAX(AA595,0),'Tax Assumptions'!$B$20)</f>
        <v>7500</v>
      </c>
      <c r="AC595" s="230">
        <f t="shared" si="335"/>
        <v>1485395.9846502962</v>
      </c>
      <c r="AD595" s="230">
        <f>MAX(AD594*(1+'Model Inputs'!$B$13)+AC595,0)</f>
        <v>2997724.5751604815</v>
      </c>
      <c r="AE595" s="230">
        <f>MAX(AE594*(1+'Model Inputs'!$B$13)+U595+AB595,0)</f>
        <v>223210.1932032</v>
      </c>
      <c r="AF595" s="230">
        <f t="shared" si="336"/>
        <v>3220934.7683636816</v>
      </c>
      <c r="AG595" s="226" t="str">
        <f t="shared" si="345"/>
        <v/>
      </c>
      <c r="AH595" s="226" t="str">
        <f t="shared" si="346"/>
        <v/>
      </c>
      <c r="AI595" s="226" t="str">
        <f t="shared" si="347"/>
        <v/>
      </c>
      <c r="AJ595" s="226" t="str">
        <f t="shared" si="348"/>
        <v/>
      </c>
    </row>
    <row r="596" spans="1:36" ht="18" customHeight="1" x14ac:dyDescent="0.2">
      <c r="A596" s="226" t="str">
        <f t="shared" si="337"/>
        <v>5Y -&gt; PM Y7 Upside</v>
      </c>
      <c r="B596" s="226">
        <f t="shared" si="338"/>
        <v>5</v>
      </c>
      <c r="C596" s="235">
        <f t="shared" si="339"/>
        <v>3</v>
      </c>
      <c r="D596" s="226">
        <f t="shared" si="340"/>
        <v>7</v>
      </c>
      <c r="E596" s="226" t="str">
        <f t="shared" si="341"/>
        <v>Upside</v>
      </c>
      <c r="F596" s="230">
        <f t="shared" si="342"/>
        <v>50000000</v>
      </c>
      <c r="G596" s="236">
        <f t="shared" si="343"/>
        <v>0.2</v>
      </c>
      <c r="H596" s="230">
        <f t="shared" si="344"/>
        <v>300000</v>
      </c>
      <c r="I596" s="236">
        <f t="shared" si="326"/>
        <v>0</v>
      </c>
      <c r="J596" s="234">
        <v>7</v>
      </c>
      <c r="K596" s="234">
        <f t="shared" si="327"/>
        <v>2032</v>
      </c>
      <c r="L596" s="230">
        <f>IF(J596=1,'Model Inputs'!$B$25*(13-'Model Inputs'!$B$23)/12,'Model Inputs'!$B$25)</f>
        <v>300000</v>
      </c>
      <c r="M596" s="230">
        <f>IF(J596=1,'Model Inputs'!$B$27*(13-'Model Inputs'!$B$23)/12,IF(J596=2,'Model Inputs'!$B$27,IF(J596&lt;=MAX(3,'Model Inputs'!$B$30+1),'Model Inputs'!$B$27*(1+'Model Inputs'!$B$28)^(J596-3),'Model Inputs'!$B$27*(1+'Model Inputs'!$B$28)^(MAX(3,'Model Inputs'!$B$30+1)-3)*(1+'Model Inputs'!$B$29)^(J596-MAX(3,'Model Inputs'!$B$30+1)))))</f>
        <v>1534372.9821762268</v>
      </c>
      <c r="N596" s="236">
        <f>IF(J596&lt;=2,0,'Model Inputs'!$B$32*SIN(2*PI()*(J596-3+'Model Inputs'!$B$34)/MAX(1,'Model Inputs'!$B$33)))</f>
        <v>0.10392304845413269</v>
      </c>
      <c r="O596" s="230">
        <f t="shared" si="328"/>
        <v>1693829.6999496389</v>
      </c>
      <c r="P596" s="230">
        <f t="shared" si="349"/>
        <v>1118318.448466131</v>
      </c>
      <c r="Q596" s="230">
        <f>L596+P596+IF(J596=1,'Model Inputs'!$B$26,0)</f>
        <v>1418318.448466131</v>
      </c>
      <c r="R596" s="230">
        <f t="shared" si="330"/>
        <v>4254955.3453983925</v>
      </c>
      <c r="S596" s="230">
        <f t="shared" si="331"/>
        <v>10300000</v>
      </c>
      <c r="T596" s="230">
        <f t="shared" si="332"/>
        <v>10300000</v>
      </c>
      <c r="U596" s="230">
        <f>MIN(T596,'Tax Assumptions'!$B$19)</f>
        <v>24500</v>
      </c>
      <c r="V596" s="230">
        <f>MAX(T596-U596-'Tax Assumptions'!$B$8,0)</f>
        <v>10259400</v>
      </c>
      <c r="W596" s="230">
        <f>MAX(T596-U596-'Tax Assumptions'!$B$9,0)</f>
        <v>10267500</v>
      </c>
      <c r="X596" s="230">
        <f>IF(V596=0,0,LOOKUP(V596,'Tax Assumptions'!$F$9:$F$15,'Tax Assumptions'!$I$9:$I$15)+(V596-LOOKUP(V596,'Tax Assumptions'!$F$9:$F$15,'Tax Assumptions'!$F$9:$F$15))*LOOKUP(V596,'Tax Assumptions'!$F$9:$F$15,'Tax Assumptions'!$H$9:$H$15))+MIN(MAX(T596,0),'Tax Assumptions'!$B$11)*'Tax Assumptions'!$B$10+MAX(T596,0)*'Tax Assumptions'!$B$12+MAX(MAX(T596,0)-'Tax Assumptions'!$B$14,0)*'Tax Assumptions'!$B$13+MIN(T596*'Tax Assumptions'!$B$15,'Tax Assumptions'!$B$16)+MIN(T596*'Tax Assumptions'!$B$17,'Tax Assumptions'!$B$18)+IF(W596=0,0,LOOKUP(W596,'Tax Assumptions'!$K$9:$K$17,'Tax Assumptions'!$N$9:$N$17)+(W596-LOOKUP(W596,'Tax Assumptions'!$K$9:$K$17,'Tax Assumptions'!$K$9:$K$17))*LOOKUP(W596,'Tax Assumptions'!$K$9:$K$17,'Tax Assumptions'!$M$9:$M$17))+IF(W596=0,0,LOOKUP(W596,'Tax Assumptions'!$P$9:$P$12,'Tax Assumptions'!$S$9:$S$12)+(W596-LOOKUP(W596,'Tax Assumptions'!$P$9:$P$12,'Tax Assumptions'!$P$9:$P$12))*LOOKUP(W596,'Tax Assumptions'!$P$9:$P$12,'Tax Assumptions'!$R$9:$R$12))</f>
        <v>5394180.54</v>
      </c>
      <c r="Y596" s="230">
        <f t="shared" si="333"/>
        <v>4881319.46</v>
      </c>
      <c r="Z596" s="230">
        <f>IF(J596&lt;=10,INDEX('Savings Projection'!$BL$19:$BL$28,J596),LOOKUP(2,1/('Savings Projection'!$BL$19:$BL$28&lt;&gt;""),'Savings Projection'!$BL$19:$BL$28))*(1+'Model Inputs'!$B$35)^(J596-1)+IF(J596&lt;=10,INDEX('Savings Projection'!$BM$19:$BM$28,J596),LOOKUP(2,1/('Savings Projection'!$BM$19:$BM$28&lt;&gt;""),'Savings Projection'!$BM$19:$BM$28))*(1+'Model Inputs'!$B$36)^(J596-1)</f>
        <v>155226.79854876999</v>
      </c>
      <c r="AA596" s="230">
        <f t="shared" si="334"/>
        <v>4726092.6614512298</v>
      </c>
      <c r="AB596" s="230">
        <f>MIN(MAX(AA596,0),'Tax Assumptions'!$B$20)</f>
        <v>7500</v>
      </c>
      <c r="AC596" s="230">
        <f t="shared" si="335"/>
        <v>4718592.6614512298</v>
      </c>
      <c r="AD596" s="230">
        <f>MAX(AD595*(1+'Model Inputs'!$B$13)+AC596,0)</f>
        <v>7896180.7111213403</v>
      </c>
      <c r="AE596" s="230">
        <f>MAX(AE595*(1+'Model Inputs'!$B$13)+U596+AB596,0)</f>
        <v>268602.80479539197</v>
      </c>
      <c r="AF596" s="230">
        <f t="shared" si="336"/>
        <v>8164783.5159167321</v>
      </c>
      <c r="AG596" s="226" t="str">
        <f t="shared" si="345"/>
        <v/>
      </c>
      <c r="AH596" s="226" t="str">
        <f t="shared" si="346"/>
        <v/>
      </c>
      <c r="AI596" s="226" t="str">
        <f t="shared" si="347"/>
        <v/>
      </c>
      <c r="AJ596" s="226" t="str">
        <f t="shared" si="348"/>
        <v/>
      </c>
    </row>
    <row r="597" spans="1:36" ht="18" customHeight="1" x14ac:dyDescent="0.2">
      <c r="A597" s="226" t="str">
        <f t="shared" si="337"/>
        <v>5Y -&gt; PM Y7 Upside</v>
      </c>
      <c r="B597" s="226">
        <f t="shared" si="338"/>
        <v>5</v>
      </c>
      <c r="C597" s="235">
        <f t="shared" si="339"/>
        <v>3</v>
      </c>
      <c r="D597" s="226">
        <f t="shared" si="340"/>
        <v>7</v>
      </c>
      <c r="E597" s="226" t="str">
        <f t="shared" si="341"/>
        <v>Upside</v>
      </c>
      <c r="F597" s="230">
        <f t="shared" si="342"/>
        <v>50000000</v>
      </c>
      <c r="G597" s="236">
        <f t="shared" si="343"/>
        <v>0.2</v>
      </c>
      <c r="H597" s="230">
        <f t="shared" si="344"/>
        <v>300000</v>
      </c>
      <c r="I597" s="236">
        <f t="shared" si="326"/>
        <v>0</v>
      </c>
      <c r="J597" s="234">
        <v>8</v>
      </c>
      <c r="K597" s="234">
        <f t="shared" si="327"/>
        <v>2033</v>
      </c>
      <c r="L597" s="230">
        <f>IF(J597=1,'Model Inputs'!$B$25*(13-'Model Inputs'!$B$23)/12,'Model Inputs'!$B$25)</f>
        <v>300000</v>
      </c>
      <c r="M597" s="230">
        <f>IF(J597=1,'Model Inputs'!$B$27*(13-'Model Inputs'!$B$23)/12,IF(J597=2,'Model Inputs'!$B$27,IF(J597&lt;=MAX(3,'Model Inputs'!$B$30+1),'Model Inputs'!$B$27*(1+'Model Inputs'!$B$28)^(J597-3),'Model Inputs'!$B$27*(1+'Model Inputs'!$B$28)^(MAX(3,'Model Inputs'!$B$30+1)-3)*(1+'Model Inputs'!$B$29)^(J597-MAX(3,'Model Inputs'!$B$30+1)))))</f>
        <v>1950000.0000000002</v>
      </c>
      <c r="N597" s="236">
        <f>IF(J597&lt;=2,0,'Model Inputs'!$B$32*SIN(2*PI()*(J597-3+'Model Inputs'!$B$34)/MAX(1,'Model Inputs'!$B$33)))</f>
        <v>-0.10392304845413264</v>
      </c>
      <c r="O597" s="230">
        <f t="shared" si="328"/>
        <v>1747350.0555144416</v>
      </c>
      <c r="P597" s="230">
        <f t="shared" si="349"/>
        <v>1572205.6657868917</v>
      </c>
      <c r="Q597" s="230">
        <f>L597+P597+IF(J597=1,'Model Inputs'!$B$26,0)</f>
        <v>1872205.6657868917</v>
      </c>
      <c r="R597" s="230">
        <f t="shared" si="330"/>
        <v>5616616.9973606747</v>
      </c>
      <c r="S597" s="230">
        <f t="shared" si="331"/>
        <v>10300000</v>
      </c>
      <c r="T597" s="230">
        <f t="shared" si="332"/>
        <v>10300000</v>
      </c>
      <c r="U597" s="230">
        <f>MIN(T597,'Tax Assumptions'!$B$19)</f>
        <v>24500</v>
      </c>
      <c r="V597" s="230">
        <f>MAX(T597-U597-'Tax Assumptions'!$B$8,0)</f>
        <v>10259400</v>
      </c>
      <c r="W597" s="230">
        <f>MAX(T597-U597-'Tax Assumptions'!$B$9,0)</f>
        <v>10267500</v>
      </c>
      <c r="X597" s="230">
        <f>IF(V597=0,0,LOOKUP(V597,'Tax Assumptions'!$F$9:$F$15,'Tax Assumptions'!$I$9:$I$15)+(V597-LOOKUP(V597,'Tax Assumptions'!$F$9:$F$15,'Tax Assumptions'!$F$9:$F$15))*LOOKUP(V597,'Tax Assumptions'!$F$9:$F$15,'Tax Assumptions'!$H$9:$H$15))+MIN(MAX(T597,0),'Tax Assumptions'!$B$11)*'Tax Assumptions'!$B$10+MAX(T597,0)*'Tax Assumptions'!$B$12+MAX(MAX(T597,0)-'Tax Assumptions'!$B$14,0)*'Tax Assumptions'!$B$13+MIN(T597*'Tax Assumptions'!$B$15,'Tax Assumptions'!$B$16)+MIN(T597*'Tax Assumptions'!$B$17,'Tax Assumptions'!$B$18)+IF(W597=0,0,LOOKUP(W597,'Tax Assumptions'!$K$9:$K$17,'Tax Assumptions'!$N$9:$N$17)+(W597-LOOKUP(W597,'Tax Assumptions'!$K$9:$K$17,'Tax Assumptions'!$K$9:$K$17))*LOOKUP(W597,'Tax Assumptions'!$K$9:$K$17,'Tax Assumptions'!$M$9:$M$17))+IF(W597=0,0,LOOKUP(W597,'Tax Assumptions'!$P$9:$P$12,'Tax Assumptions'!$S$9:$S$12)+(W597-LOOKUP(W597,'Tax Assumptions'!$P$9:$P$12,'Tax Assumptions'!$P$9:$P$12))*LOOKUP(W597,'Tax Assumptions'!$P$9:$P$12,'Tax Assumptions'!$R$9:$R$12))</f>
        <v>5394180.54</v>
      </c>
      <c r="Y597" s="230">
        <f t="shared" si="333"/>
        <v>4881319.46</v>
      </c>
      <c r="Z597" s="230">
        <f>IF(J597&lt;=10,INDEX('Savings Projection'!$BL$19:$BL$28,J597),LOOKUP(2,1/('Savings Projection'!$BL$19:$BL$28&lt;&gt;""),'Savings Projection'!$BL$19:$BL$28))*(1+'Model Inputs'!$B$35)^(J597-1)+IF(J597&lt;=10,INDEX('Savings Projection'!$BM$19:$BM$28,J597),LOOKUP(2,1/('Savings Projection'!$BM$19:$BM$28&lt;&gt;""),'Savings Projection'!$BM$19:$BM$28))*(1+'Model Inputs'!$B$36)^(J597-1)</f>
        <v>159883.60250523311</v>
      </c>
      <c r="AA597" s="230">
        <f t="shared" si="334"/>
        <v>4721435.8574947668</v>
      </c>
      <c r="AB597" s="230">
        <f>MIN(MAX(AA597,0),'Tax Assumptions'!$B$20)</f>
        <v>7500</v>
      </c>
      <c r="AC597" s="230">
        <f t="shared" si="335"/>
        <v>4713935.8574947668</v>
      </c>
      <c r="AD597" s="230">
        <f>MAX(AD596*(1+'Model Inputs'!$B$13)+AC597,0)</f>
        <v>13083887.411283389</v>
      </c>
      <c r="AE597" s="230">
        <f>MAX(AE596*(1+'Model Inputs'!$B$13)+U597+AB597,0)</f>
        <v>316718.97308311553</v>
      </c>
      <c r="AF597" s="230">
        <f t="shared" si="336"/>
        <v>13400606.384366505</v>
      </c>
      <c r="AG597" s="226" t="str">
        <f t="shared" si="345"/>
        <v/>
      </c>
      <c r="AH597" s="226" t="str">
        <f t="shared" si="346"/>
        <v/>
      </c>
      <c r="AI597" s="226" t="str">
        <f t="shared" si="347"/>
        <v/>
      </c>
      <c r="AJ597" s="226" t="str">
        <f t="shared" si="348"/>
        <v/>
      </c>
    </row>
    <row r="598" spans="1:36" ht="18" customHeight="1" x14ac:dyDescent="0.2">
      <c r="A598" s="226" t="str">
        <f t="shared" si="337"/>
        <v>5Y -&gt; PM Y7 Upside</v>
      </c>
      <c r="B598" s="226">
        <f t="shared" si="338"/>
        <v>5</v>
      </c>
      <c r="C598" s="235">
        <f t="shared" si="339"/>
        <v>3</v>
      </c>
      <c r="D598" s="226">
        <f t="shared" si="340"/>
        <v>7</v>
      </c>
      <c r="E598" s="226" t="str">
        <f t="shared" si="341"/>
        <v>Upside</v>
      </c>
      <c r="F598" s="230">
        <f t="shared" si="342"/>
        <v>50000000</v>
      </c>
      <c r="G598" s="236">
        <f t="shared" si="343"/>
        <v>0.2</v>
      </c>
      <c r="H598" s="230">
        <f t="shared" si="344"/>
        <v>300000</v>
      </c>
      <c r="I598" s="236">
        <f t="shared" si="326"/>
        <v>0</v>
      </c>
      <c r="J598" s="234">
        <v>9</v>
      </c>
      <c r="K598" s="234">
        <f t="shared" si="327"/>
        <v>2034</v>
      </c>
      <c r="L598" s="230">
        <f>IF(J598=1,'Model Inputs'!$B$25*(13-'Model Inputs'!$B$23)/12,'Model Inputs'!$B$25)</f>
        <v>300000</v>
      </c>
      <c r="M598" s="230">
        <f>IF(J598=1,'Model Inputs'!$B$27*(13-'Model Inputs'!$B$23)/12,IF(J598=2,'Model Inputs'!$B$27,IF(J598&lt;=MAX(3,'Model Inputs'!$B$30+1),'Model Inputs'!$B$27*(1+'Model Inputs'!$B$28)^(J598-3),'Model Inputs'!$B$27*(1+'Model Inputs'!$B$28)^(MAX(3,'Model Inputs'!$B$30+1)-3)*(1+'Model Inputs'!$B$29)^(J598-MAX(3,'Model Inputs'!$B$30+1)))))</f>
        <v>2478210.9983498608</v>
      </c>
      <c r="N598" s="236">
        <f>IF(J598&lt;=2,0,'Model Inputs'!$B$32*SIN(2*PI()*(J598-3+'Model Inputs'!$B$34)/MAX(1,'Model Inputs'!$B$33)))</f>
        <v>-5.8783046359072947E-17</v>
      </c>
      <c r="O598" s="230">
        <f t="shared" si="328"/>
        <v>2478210.9983498603</v>
      </c>
      <c r="P598" s="230">
        <f t="shared" si="349"/>
        <v>1733969.9666232408</v>
      </c>
      <c r="Q598" s="230">
        <f>L598+P598+IF(J598=1,'Model Inputs'!$B$26,0)</f>
        <v>2033969.9666232408</v>
      </c>
      <c r="R598" s="230">
        <f t="shared" si="330"/>
        <v>6101909.8998697223</v>
      </c>
      <c r="S598" s="230">
        <f t="shared" si="331"/>
        <v>10300000</v>
      </c>
      <c r="T598" s="230">
        <f t="shared" si="332"/>
        <v>10300000</v>
      </c>
      <c r="U598" s="230">
        <f>MIN(T598,'Tax Assumptions'!$B$19)</f>
        <v>24500</v>
      </c>
      <c r="V598" s="230">
        <f>MAX(T598-U598-'Tax Assumptions'!$B$8,0)</f>
        <v>10259400</v>
      </c>
      <c r="W598" s="230">
        <f>MAX(T598-U598-'Tax Assumptions'!$B$9,0)</f>
        <v>10267500</v>
      </c>
      <c r="X598" s="230">
        <f>IF(V598=0,0,LOOKUP(V598,'Tax Assumptions'!$F$9:$F$15,'Tax Assumptions'!$I$9:$I$15)+(V598-LOOKUP(V598,'Tax Assumptions'!$F$9:$F$15,'Tax Assumptions'!$F$9:$F$15))*LOOKUP(V598,'Tax Assumptions'!$F$9:$F$15,'Tax Assumptions'!$H$9:$H$15))+MIN(MAX(T598,0),'Tax Assumptions'!$B$11)*'Tax Assumptions'!$B$10+MAX(T598,0)*'Tax Assumptions'!$B$12+MAX(MAX(T598,0)-'Tax Assumptions'!$B$14,0)*'Tax Assumptions'!$B$13+MIN(T598*'Tax Assumptions'!$B$15,'Tax Assumptions'!$B$16)+MIN(T598*'Tax Assumptions'!$B$17,'Tax Assumptions'!$B$18)+IF(W598=0,0,LOOKUP(W598,'Tax Assumptions'!$K$9:$K$17,'Tax Assumptions'!$N$9:$N$17)+(W598-LOOKUP(W598,'Tax Assumptions'!$K$9:$K$17,'Tax Assumptions'!$K$9:$K$17))*LOOKUP(W598,'Tax Assumptions'!$K$9:$K$17,'Tax Assumptions'!$M$9:$M$17))+IF(W598=0,0,LOOKUP(W598,'Tax Assumptions'!$P$9:$P$12,'Tax Assumptions'!$S$9:$S$12)+(W598-LOOKUP(W598,'Tax Assumptions'!$P$9:$P$12,'Tax Assumptions'!$P$9:$P$12))*LOOKUP(W598,'Tax Assumptions'!$P$9:$P$12,'Tax Assumptions'!$R$9:$R$12))</f>
        <v>5394180.54</v>
      </c>
      <c r="Y598" s="230">
        <f t="shared" si="333"/>
        <v>4881319.46</v>
      </c>
      <c r="Z598" s="230">
        <f>IF(J598&lt;=10,INDEX('Savings Projection'!$BL$19:$BL$28,J598),LOOKUP(2,1/('Savings Projection'!$BL$19:$BL$28&lt;&gt;""),'Savings Projection'!$BL$19:$BL$28))*(1+'Model Inputs'!$B$35)^(J598-1)+IF(J598&lt;=10,INDEX('Savings Projection'!$BM$19:$BM$28,J598),LOOKUP(2,1/('Savings Projection'!$BM$19:$BM$28&lt;&gt;""),'Savings Projection'!$BM$19:$BM$28))*(1+'Model Inputs'!$B$36)^(J598-1)</f>
        <v>164680.11058039009</v>
      </c>
      <c r="AA598" s="230">
        <f t="shared" si="334"/>
        <v>4716639.3494196096</v>
      </c>
      <c r="AB598" s="230">
        <f>MIN(MAX(AA598,0),'Tax Assumptions'!$B$20)</f>
        <v>7500</v>
      </c>
      <c r="AC598" s="230">
        <f t="shared" si="335"/>
        <v>4709139.3494196096</v>
      </c>
      <c r="AD598" s="230">
        <f>MAX(AD597*(1+'Model Inputs'!$B$13)+AC598,0)</f>
        <v>18578060.005380001</v>
      </c>
      <c r="AE598" s="230">
        <f>MAX(AE597*(1+'Model Inputs'!$B$13)+U598+AB598,0)</f>
        <v>367722.11146810249</v>
      </c>
      <c r="AF598" s="230">
        <f t="shared" si="336"/>
        <v>18945782.116848104</v>
      </c>
      <c r="AG598" s="226">
        <f t="shared" si="345"/>
        <v>9</v>
      </c>
      <c r="AH598" s="226">
        <f t="shared" si="346"/>
        <v>9</v>
      </c>
      <c r="AI598" s="226">
        <f t="shared" si="347"/>
        <v>9</v>
      </c>
      <c r="AJ598" s="226" t="str">
        <f t="shared" si="348"/>
        <v/>
      </c>
    </row>
    <row r="599" spans="1:36" ht="18" customHeight="1" x14ac:dyDescent="0.2">
      <c r="A599" s="226" t="str">
        <f t="shared" si="337"/>
        <v>5Y -&gt; PM Y7 Upside</v>
      </c>
      <c r="B599" s="226">
        <f t="shared" si="338"/>
        <v>5</v>
      </c>
      <c r="C599" s="235">
        <f t="shared" si="339"/>
        <v>3</v>
      </c>
      <c r="D599" s="226">
        <f t="shared" si="340"/>
        <v>7</v>
      </c>
      <c r="E599" s="226" t="str">
        <f t="shared" si="341"/>
        <v>Upside</v>
      </c>
      <c r="F599" s="230">
        <f t="shared" si="342"/>
        <v>50000000</v>
      </c>
      <c r="G599" s="236">
        <f t="shared" si="343"/>
        <v>0.2</v>
      </c>
      <c r="H599" s="230">
        <f t="shared" si="344"/>
        <v>300000</v>
      </c>
      <c r="I599" s="236">
        <f t="shared" si="326"/>
        <v>0</v>
      </c>
      <c r="J599" s="234">
        <v>10</v>
      </c>
      <c r="K599" s="234">
        <f t="shared" si="327"/>
        <v>2035</v>
      </c>
      <c r="L599" s="230">
        <f>IF(J599=1,'Model Inputs'!$B$25*(13-'Model Inputs'!$B$23)/12,'Model Inputs'!$B$25)</f>
        <v>300000</v>
      </c>
      <c r="M599" s="230">
        <f>IF(J599=1,'Model Inputs'!$B$27*(13-'Model Inputs'!$B$23)/12,IF(J599=2,'Model Inputs'!$B$27,IF(J599&lt;=MAX(3,'Model Inputs'!$B$30+1),'Model Inputs'!$B$27*(1+'Model Inputs'!$B$28)^(J599-3),'Model Inputs'!$B$27*(1+'Model Inputs'!$B$28)^(MAX(3,'Model Inputs'!$B$30+1)-3)*(1+'Model Inputs'!$B$29)^(J599-MAX(3,'Model Inputs'!$B$30+1)))))</f>
        <v>3149502.4370985711</v>
      </c>
      <c r="N599" s="236">
        <f>IF(J599&lt;=2,0,'Model Inputs'!$B$32*SIN(2*PI()*(J599-3+'Model Inputs'!$B$34)/MAX(1,'Model Inputs'!$B$33)))</f>
        <v>0.10392304845413271</v>
      </c>
      <c r="O599" s="230">
        <f t="shared" si="328"/>
        <v>3476808.331475575</v>
      </c>
      <c r="P599" s="230">
        <f t="shared" si="349"/>
        <v>2295495.7626410057</v>
      </c>
      <c r="Q599" s="230">
        <f>L599+P599+IF(J599=1,'Model Inputs'!$B$26,0)</f>
        <v>2595495.7626410057</v>
      </c>
      <c r="R599" s="230">
        <f t="shared" si="330"/>
        <v>7786487.2879230175</v>
      </c>
      <c r="S599" s="230">
        <f t="shared" si="331"/>
        <v>10300000</v>
      </c>
      <c r="T599" s="230">
        <f t="shared" si="332"/>
        <v>10300000</v>
      </c>
      <c r="U599" s="230">
        <f>MIN(T599,'Tax Assumptions'!$B$19)</f>
        <v>24500</v>
      </c>
      <c r="V599" s="230">
        <f>MAX(T599-U599-'Tax Assumptions'!$B$8,0)</f>
        <v>10259400</v>
      </c>
      <c r="W599" s="230">
        <f>MAX(T599-U599-'Tax Assumptions'!$B$9,0)</f>
        <v>10267500</v>
      </c>
      <c r="X599" s="230">
        <f>IF(V599=0,0,LOOKUP(V599,'Tax Assumptions'!$F$9:$F$15,'Tax Assumptions'!$I$9:$I$15)+(V599-LOOKUP(V599,'Tax Assumptions'!$F$9:$F$15,'Tax Assumptions'!$F$9:$F$15))*LOOKUP(V599,'Tax Assumptions'!$F$9:$F$15,'Tax Assumptions'!$H$9:$H$15))+MIN(MAX(T599,0),'Tax Assumptions'!$B$11)*'Tax Assumptions'!$B$10+MAX(T599,0)*'Tax Assumptions'!$B$12+MAX(MAX(T599,0)-'Tax Assumptions'!$B$14,0)*'Tax Assumptions'!$B$13+MIN(T599*'Tax Assumptions'!$B$15,'Tax Assumptions'!$B$16)+MIN(T599*'Tax Assumptions'!$B$17,'Tax Assumptions'!$B$18)+IF(W599=0,0,LOOKUP(W599,'Tax Assumptions'!$K$9:$K$17,'Tax Assumptions'!$N$9:$N$17)+(W599-LOOKUP(W599,'Tax Assumptions'!$K$9:$K$17,'Tax Assumptions'!$K$9:$K$17))*LOOKUP(W599,'Tax Assumptions'!$K$9:$K$17,'Tax Assumptions'!$M$9:$M$17))+IF(W599=0,0,LOOKUP(W599,'Tax Assumptions'!$P$9:$P$12,'Tax Assumptions'!$S$9:$S$12)+(W599-LOOKUP(W599,'Tax Assumptions'!$P$9:$P$12,'Tax Assumptions'!$P$9:$P$12))*LOOKUP(W599,'Tax Assumptions'!$P$9:$P$12,'Tax Assumptions'!$R$9:$R$12))</f>
        <v>5394180.54</v>
      </c>
      <c r="Y599" s="230">
        <f t="shared" si="333"/>
        <v>4881319.46</v>
      </c>
      <c r="Z599" s="230">
        <f>IF(J599&lt;=10,INDEX('Savings Projection'!$BL$19:$BL$28,J599),LOOKUP(2,1/('Savings Projection'!$BL$19:$BL$28&lt;&gt;""),'Savings Projection'!$BL$19:$BL$28))*(1+'Model Inputs'!$B$35)^(J599-1)+IF(J599&lt;=10,INDEX('Savings Projection'!$BM$19:$BM$28,J599),LOOKUP(2,1/('Savings Projection'!$BM$19:$BM$28&lt;&gt;""),'Savings Projection'!$BM$19:$BM$28))*(1+'Model Inputs'!$B$36)^(J599-1)</f>
        <v>169620.51389780178</v>
      </c>
      <c r="AA599" s="230">
        <f t="shared" si="334"/>
        <v>4711698.9461021982</v>
      </c>
      <c r="AB599" s="230">
        <f>MIN(MAX(AA599,0),'Tax Assumptions'!$B$20)</f>
        <v>7500</v>
      </c>
      <c r="AC599" s="230">
        <f t="shared" si="335"/>
        <v>4704198.9461021982</v>
      </c>
      <c r="AD599" s="230">
        <f>MAX(AD598*(1+'Model Inputs'!$B$13)+AC599,0)</f>
        <v>24396942.551805001</v>
      </c>
      <c r="AE599" s="230">
        <f>MAX(AE598*(1+'Model Inputs'!$B$13)+U599+AB599,0)</f>
        <v>421785.43815618864</v>
      </c>
      <c r="AF599" s="230">
        <f t="shared" si="336"/>
        <v>24818727.989961188</v>
      </c>
      <c r="AG599" s="226" t="str">
        <f t="shared" si="345"/>
        <v/>
      </c>
      <c r="AH599" s="226" t="str">
        <f t="shared" si="346"/>
        <v/>
      </c>
      <c r="AI599" s="226" t="str">
        <f t="shared" si="347"/>
        <v/>
      </c>
      <c r="AJ599" s="226">
        <f t="shared" si="348"/>
        <v>10</v>
      </c>
    </row>
    <row r="600" spans="1:36" ht="18" customHeight="1" x14ac:dyDescent="0.2">
      <c r="A600" s="226" t="str">
        <f t="shared" si="337"/>
        <v>5Y -&gt; PM Y7 Upside</v>
      </c>
      <c r="B600" s="226">
        <f t="shared" si="338"/>
        <v>5</v>
      </c>
      <c r="C600" s="235">
        <f t="shared" si="339"/>
        <v>3</v>
      </c>
      <c r="D600" s="226">
        <f t="shared" si="340"/>
        <v>7</v>
      </c>
      <c r="E600" s="226" t="str">
        <f t="shared" si="341"/>
        <v>Upside</v>
      </c>
      <c r="F600" s="230">
        <f t="shared" si="342"/>
        <v>50000000</v>
      </c>
      <c r="G600" s="236">
        <f t="shared" si="343"/>
        <v>0.2</v>
      </c>
      <c r="H600" s="230">
        <f t="shared" si="344"/>
        <v>300000</v>
      </c>
      <c r="I600" s="236">
        <f t="shared" si="326"/>
        <v>0</v>
      </c>
      <c r="J600" s="234">
        <v>11</v>
      </c>
      <c r="K600" s="234">
        <f t="shared" si="327"/>
        <v>2036</v>
      </c>
      <c r="L600" s="230">
        <f>IF(J600=1,'Model Inputs'!$B$25*(13-'Model Inputs'!$B$23)/12,'Model Inputs'!$B$25)</f>
        <v>300000</v>
      </c>
      <c r="M600" s="230">
        <f>IF(J600=1,'Model Inputs'!$B$27*(13-'Model Inputs'!$B$23)/12,IF(J600=2,'Model Inputs'!$B$27,IF(J600&lt;=MAX(3,'Model Inputs'!$B$30+1),'Model Inputs'!$B$27*(1+'Model Inputs'!$B$28)^(J600-3),'Model Inputs'!$B$27*(1+'Model Inputs'!$B$28)^(MAX(3,'Model Inputs'!$B$30+1)-3)*(1+'Model Inputs'!$B$29)^(J600-MAX(3,'Model Inputs'!$B$30+1)))))</f>
        <v>4002631.578947369</v>
      </c>
      <c r="N600" s="236">
        <f>IF(J600&lt;=2,0,'Model Inputs'!$B$32*SIN(2*PI()*(J600-3+'Model Inputs'!$B$34)/MAX(1,'Model Inputs'!$B$33)))</f>
        <v>-0.10392304845413253</v>
      </c>
      <c r="O600" s="230">
        <f t="shared" si="328"/>
        <v>3586665.9034243808</v>
      </c>
      <c r="P600" s="230">
        <f t="shared" si="349"/>
        <v>3227158.9981941464</v>
      </c>
      <c r="Q600" s="230">
        <f>L600+P600+IF(J600=1,'Model Inputs'!$B$26,0)</f>
        <v>3527158.9981941464</v>
      </c>
      <c r="R600" s="230">
        <f t="shared" si="330"/>
        <v>10581476.994582439</v>
      </c>
      <c r="S600" s="230">
        <f t="shared" si="331"/>
        <v>10300000</v>
      </c>
      <c r="T600" s="230">
        <f t="shared" si="332"/>
        <v>10300000</v>
      </c>
      <c r="U600" s="230">
        <f>MIN(T600,'Tax Assumptions'!$B$19)</f>
        <v>24500</v>
      </c>
      <c r="V600" s="230">
        <f>MAX(T600-U600-'Tax Assumptions'!$B$8,0)</f>
        <v>10259400</v>
      </c>
      <c r="W600" s="230">
        <f>MAX(T600-U600-'Tax Assumptions'!$B$9,0)</f>
        <v>10267500</v>
      </c>
      <c r="X600" s="230">
        <f>IF(V600=0,0,LOOKUP(V600,'Tax Assumptions'!$F$9:$F$15,'Tax Assumptions'!$I$9:$I$15)+(V600-LOOKUP(V600,'Tax Assumptions'!$F$9:$F$15,'Tax Assumptions'!$F$9:$F$15))*LOOKUP(V600,'Tax Assumptions'!$F$9:$F$15,'Tax Assumptions'!$H$9:$H$15))+MIN(MAX(T600,0),'Tax Assumptions'!$B$11)*'Tax Assumptions'!$B$10+MAX(T600,0)*'Tax Assumptions'!$B$12+MAX(MAX(T600,0)-'Tax Assumptions'!$B$14,0)*'Tax Assumptions'!$B$13+MIN(T600*'Tax Assumptions'!$B$15,'Tax Assumptions'!$B$16)+MIN(T600*'Tax Assumptions'!$B$17,'Tax Assumptions'!$B$18)+IF(W600=0,0,LOOKUP(W600,'Tax Assumptions'!$K$9:$K$17,'Tax Assumptions'!$N$9:$N$17)+(W600-LOOKUP(W600,'Tax Assumptions'!$K$9:$K$17,'Tax Assumptions'!$K$9:$K$17))*LOOKUP(W600,'Tax Assumptions'!$K$9:$K$17,'Tax Assumptions'!$M$9:$M$17))+IF(W600=0,0,LOOKUP(W600,'Tax Assumptions'!$P$9:$P$12,'Tax Assumptions'!$S$9:$S$12)+(W600-LOOKUP(W600,'Tax Assumptions'!$P$9:$P$12,'Tax Assumptions'!$P$9:$P$12))*LOOKUP(W600,'Tax Assumptions'!$P$9:$P$12,'Tax Assumptions'!$R$9:$R$12))</f>
        <v>5394180.54</v>
      </c>
      <c r="Y600" s="230">
        <f t="shared" si="333"/>
        <v>4881319.46</v>
      </c>
      <c r="Z600" s="230">
        <f>IF(J600&lt;=10,INDEX('Savings Projection'!$BL$19:$BL$28,J600),LOOKUP(2,1/('Savings Projection'!$BL$19:$BL$28&lt;&gt;""),'Savings Projection'!$BL$19:$BL$28))*(1+'Model Inputs'!$B$35)^(J600-1)+IF(J600&lt;=10,INDEX('Savings Projection'!$BM$19:$BM$28,J600),LOOKUP(2,1/('Savings Projection'!$BM$19:$BM$28&lt;&gt;""),'Savings Projection'!$BM$19:$BM$28))*(1+'Model Inputs'!$B$36)^(J600-1)</f>
        <v>174709.12931473582</v>
      </c>
      <c r="AA600" s="230">
        <f t="shared" si="334"/>
        <v>4706610.3306852644</v>
      </c>
      <c r="AB600" s="230">
        <f>MIN(MAX(AA600,0),'Tax Assumptions'!$B$20)</f>
        <v>7500</v>
      </c>
      <c r="AC600" s="230">
        <f t="shared" si="335"/>
        <v>4699110.3306852644</v>
      </c>
      <c r="AD600" s="230">
        <f>MAX(AD599*(1+'Model Inputs'!$B$13)+AC600,0)</f>
        <v>30559869.435598567</v>
      </c>
      <c r="AE600" s="230">
        <f>MAX(AE599*(1+'Model Inputs'!$B$13)+U600+AB600,0)</f>
        <v>479092.56444555998</v>
      </c>
      <c r="AF600" s="230">
        <f t="shared" si="336"/>
        <v>31038962.000044126</v>
      </c>
      <c r="AG600" s="226" t="str">
        <f t="shared" si="345"/>
        <v/>
      </c>
      <c r="AH600" s="226" t="str">
        <f t="shared" si="346"/>
        <v/>
      </c>
      <c r="AI600" s="226" t="str">
        <f t="shared" si="347"/>
        <v/>
      </c>
      <c r="AJ600" s="226" t="str">
        <f t="shared" si="348"/>
        <v/>
      </c>
    </row>
    <row r="601" spans="1:36" ht="18" customHeight="1" x14ac:dyDescent="0.2">
      <c r="A601" s="226" t="str">
        <f t="shared" si="337"/>
        <v>5Y -&gt; PM Y7 Upside</v>
      </c>
      <c r="B601" s="226">
        <f t="shared" si="338"/>
        <v>5</v>
      </c>
      <c r="C601" s="235">
        <f t="shared" si="339"/>
        <v>3</v>
      </c>
      <c r="D601" s="226">
        <f t="shared" si="340"/>
        <v>7</v>
      </c>
      <c r="E601" s="226" t="str">
        <f t="shared" si="341"/>
        <v>Upside</v>
      </c>
      <c r="F601" s="230">
        <f t="shared" si="342"/>
        <v>50000000</v>
      </c>
      <c r="G601" s="236">
        <f t="shared" si="343"/>
        <v>0.2</v>
      </c>
      <c r="H601" s="230">
        <f t="shared" si="344"/>
        <v>300000</v>
      </c>
      <c r="I601" s="236">
        <f t="shared" si="326"/>
        <v>0</v>
      </c>
      <c r="J601" s="234">
        <v>12</v>
      </c>
      <c r="K601" s="234">
        <f t="shared" si="327"/>
        <v>2037</v>
      </c>
      <c r="L601" s="230">
        <f>IF(J601=1,'Model Inputs'!$B$25*(13-'Model Inputs'!$B$23)/12,'Model Inputs'!$B$25)</f>
        <v>300000</v>
      </c>
      <c r="M601" s="230">
        <f>IF(J601=1,'Model Inputs'!$B$27*(13-'Model Inputs'!$B$23)/12,IF(J601=2,'Model Inputs'!$B$27,IF(J601&lt;=MAX(3,'Model Inputs'!$B$30+1),'Model Inputs'!$B$27*(1+'Model Inputs'!$B$28)^(J601-3),'Model Inputs'!$B$27*(1+'Model Inputs'!$B$28)^(MAX(3,'Model Inputs'!$B$30+1)-3)*(1+'Model Inputs'!$B$29)^(J601-MAX(3,'Model Inputs'!$B$30+1)))))</f>
        <v>5086854.15450761</v>
      </c>
      <c r="N601" s="236">
        <f>IF(J601&lt;=2,0,'Model Inputs'!$B$32*SIN(2*PI()*(J601-3+'Model Inputs'!$B$34)/MAX(1,'Model Inputs'!$B$33)))</f>
        <v>-8.8174569538609421E-17</v>
      </c>
      <c r="O601" s="230">
        <f t="shared" si="328"/>
        <v>5086854.1545076091</v>
      </c>
      <c r="P601" s="230">
        <f t="shared" si="349"/>
        <v>3559201.5104371794</v>
      </c>
      <c r="Q601" s="230">
        <f>L601+P601+IF(J601=1,'Model Inputs'!$B$26,0)</f>
        <v>3859201.5104371794</v>
      </c>
      <c r="R601" s="230">
        <f t="shared" si="330"/>
        <v>11577604.531311538</v>
      </c>
      <c r="S601" s="230">
        <f t="shared" si="331"/>
        <v>10300000</v>
      </c>
      <c r="T601" s="230">
        <f t="shared" si="332"/>
        <v>10300000</v>
      </c>
      <c r="U601" s="230">
        <f>MIN(T601,'Tax Assumptions'!$B$19)</f>
        <v>24500</v>
      </c>
      <c r="V601" s="230">
        <f>MAX(T601-U601-'Tax Assumptions'!$B$8,0)</f>
        <v>10259400</v>
      </c>
      <c r="W601" s="230">
        <f>MAX(T601-U601-'Tax Assumptions'!$B$9,0)</f>
        <v>10267500</v>
      </c>
      <c r="X601" s="230">
        <f>IF(V601=0,0,LOOKUP(V601,'Tax Assumptions'!$F$9:$F$15,'Tax Assumptions'!$I$9:$I$15)+(V601-LOOKUP(V601,'Tax Assumptions'!$F$9:$F$15,'Tax Assumptions'!$F$9:$F$15))*LOOKUP(V601,'Tax Assumptions'!$F$9:$F$15,'Tax Assumptions'!$H$9:$H$15))+MIN(MAX(T601,0),'Tax Assumptions'!$B$11)*'Tax Assumptions'!$B$10+MAX(T601,0)*'Tax Assumptions'!$B$12+MAX(MAX(T601,0)-'Tax Assumptions'!$B$14,0)*'Tax Assumptions'!$B$13+MIN(T601*'Tax Assumptions'!$B$15,'Tax Assumptions'!$B$16)+MIN(T601*'Tax Assumptions'!$B$17,'Tax Assumptions'!$B$18)+IF(W601=0,0,LOOKUP(W601,'Tax Assumptions'!$K$9:$K$17,'Tax Assumptions'!$N$9:$N$17)+(W601-LOOKUP(W601,'Tax Assumptions'!$K$9:$K$17,'Tax Assumptions'!$K$9:$K$17))*LOOKUP(W601,'Tax Assumptions'!$K$9:$K$17,'Tax Assumptions'!$M$9:$M$17))+IF(W601=0,0,LOOKUP(W601,'Tax Assumptions'!$P$9:$P$12,'Tax Assumptions'!$S$9:$S$12)+(W601-LOOKUP(W601,'Tax Assumptions'!$P$9:$P$12,'Tax Assumptions'!$P$9:$P$12))*LOOKUP(W601,'Tax Assumptions'!$P$9:$P$12,'Tax Assumptions'!$R$9:$R$12))</f>
        <v>5394180.54</v>
      </c>
      <c r="Y601" s="230">
        <f t="shared" si="333"/>
        <v>4881319.46</v>
      </c>
      <c r="Z601" s="230">
        <f>IF(J601&lt;=10,INDEX('Savings Projection'!$BL$19:$BL$28,J601),LOOKUP(2,1/('Savings Projection'!$BL$19:$BL$28&lt;&gt;""),'Savings Projection'!$BL$19:$BL$28))*(1+'Model Inputs'!$B$35)^(J601-1)+IF(J601&lt;=10,INDEX('Savings Projection'!$BM$19:$BM$28,J601),LOOKUP(2,1/('Savings Projection'!$BM$19:$BM$28&lt;&gt;""),'Savings Projection'!$BM$19:$BM$28))*(1+'Model Inputs'!$B$36)^(J601-1)</f>
        <v>179950.4031941779</v>
      </c>
      <c r="AA601" s="230">
        <f t="shared" si="334"/>
        <v>4701369.0568058221</v>
      </c>
      <c r="AB601" s="230">
        <f>MIN(MAX(AA601,0),'Tax Assumptions'!$B$20)</f>
        <v>7500</v>
      </c>
      <c r="AC601" s="230">
        <f t="shared" si="335"/>
        <v>4693869.0568058221</v>
      </c>
      <c r="AD601" s="230">
        <f>MAX(AD600*(1+'Model Inputs'!$B$13)+AC601,0)</f>
        <v>37087330.658540301</v>
      </c>
      <c r="AE601" s="230">
        <f>MAX(AE600*(1+'Model Inputs'!$B$13)+U601+AB601,0)</f>
        <v>539838.11831229366</v>
      </c>
      <c r="AF601" s="230">
        <f t="shared" si="336"/>
        <v>37627168.776852593</v>
      </c>
      <c r="AG601" s="226" t="str">
        <f t="shared" si="345"/>
        <v/>
      </c>
      <c r="AH601" s="226" t="str">
        <f t="shared" si="346"/>
        <v/>
      </c>
      <c r="AI601" s="226" t="str">
        <f t="shared" si="347"/>
        <v/>
      </c>
      <c r="AJ601" s="226" t="str">
        <f t="shared" si="348"/>
        <v/>
      </c>
    </row>
    <row r="602" spans="1:36" ht="18" customHeight="1" x14ac:dyDescent="0.2">
      <c r="A602" s="226" t="str">
        <f t="shared" si="337"/>
        <v>5Y -&gt; PM Y7 Upside</v>
      </c>
      <c r="B602" s="226">
        <f t="shared" si="338"/>
        <v>5</v>
      </c>
      <c r="C602" s="235">
        <f t="shared" si="339"/>
        <v>3</v>
      </c>
      <c r="D602" s="226">
        <f t="shared" si="340"/>
        <v>7</v>
      </c>
      <c r="E602" s="226" t="str">
        <f t="shared" si="341"/>
        <v>Upside</v>
      </c>
      <c r="F602" s="230">
        <f t="shared" si="342"/>
        <v>50000000</v>
      </c>
      <c r="G602" s="236">
        <f t="shared" si="343"/>
        <v>0.2</v>
      </c>
      <c r="H602" s="230">
        <f t="shared" si="344"/>
        <v>300000</v>
      </c>
      <c r="I602" s="236">
        <f t="shared" si="326"/>
        <v>0</v>
      </c>
      <c r="J602" s="234">
        <v>13</v>
      </c>
      <c r="K602" s="234">
        <f t="shared" si="327"/>
        <v>2038</v>
      </c>
      <c r="L602" s="230">
        <f>IF(J602=1,'Model Inputs'!$B$25*(13-'Model Inputs'!$B$23)/12,'Model Inputs'!$B$25)</f>
        <v>300000</v>
      </c>
      <c r="M602" s="230">
        <f>IF(J602=1,'Model Inputs'!$B$27*(13-'Model Inputs'!$B$23)/12,IF(J602=2,'Model Inputs'!$B$27,IF(J602&lt;=MAX(3,'Model Inputs'!$B$30+1),'Model Inputs'!$B$27*(1+'Model Inputs'!$B$28)^(J602-3),'Model Inputs'!$B$27*(1+'Model Inputs'!$B$28)^(MAX(3,'Model Inputs'!$B$30+1)-3)*(1+'Model Inputs'!$B$29)^(J602-MAX(3,'Model Inputs'!$B$30+1)))))</f>
        <v>6464768.1603602255</v>
      </c>
      <c r="N602" s="236">
        <f>IF(J602&lt;=2,0,'Model Inputs'!$B$32*SIN(2*PI()*(J602-3+'Model Inputs'!$B$34)/MAX(1,'Model Inputs'!$B$33)))</f>
        <v>0.10392304845413261</v>
      </c>
      <c r="O602" s="230">
        <f t="shared" si="328"/>
        <v>7136606.5751340752</v>
      </c>
      <c r="P602" s="230">
        <f t="shared" si="349"/>
        <v>4711807.0917368019</v>
      </c>
      <c r="Q602" s="230">
        <f>L602+P602+IF(J602=1,'Model Inputs'!$B$26,0)</f>
        <v>5011807.0917368019</v>
      </c>
      <c r="R602" s="230">
        <f t="shared" si="330"/>
        <v>15035421.275210407</v>
      </c>
      <c r="S602" s="230">
        <f t="shared" si="331"/>
        <v>10300000</v>
      </c>
      <c r="T602" s="230">
        <f t="shared" si="332"/>
        <v>10300000</v>
      </c>
      <c r="U602" s="230">
        <f>MIN(T602,'Tax Assumptions'!$B$19)</f>
        <v>24500</v>
      </c>
      <c r="V602" s="230">
        <f>MAX(T602-U602-'Tax Assumptions'!$B$8,0)</f>
        <v>10259400</v>
      </c>
      <c r="W602" s="230">
        <f>MAX(T602-U602-'Tax Assumptions'!$B$9,0)</f>
        <v>10267500</v>
      </c>
      <c r="X602" s="230">
        <f>IF(V602=0,0,LOOKUP(V602,'Tax Assumptions'!$F$9:$F$15,'Tax Assumptions'!$I$9:$I$15)+(V602-LOOKUP(V602,'Tax Assumptions'!$F$9:$F$15,'Tax Assumptions'!$F$9:$F$15))*LOOKUP(V602,'Tax Assumptions'!$F$9:$F$15,'Tax Assumptions'!$H$9:$H$15))+MIN(MAX(T602,0),'Tax Assumptions'!$B$11)*'Tax Assumptions'!$B$10+MAX(T602,0)*'Tax Assumptions'!$B$12+MAX(MAX(T602,0)-'Tax Assumptions'!$B$14,0)*'Tax Assumptions'!$B$13+MIN(T602*'Tax Assumptions'!$B$15,'Tax Assumptions'!$B$16)+MIN(T602*'Tax Assumptions'!$B$17,'Tax Assumptions'!$B$18)+IF(W602=0,0,LOOKUP(W602,'Tax Assumptions'!$K$9:$K$17,'Tax Assumptions'!$N$9:$N$17)+(W602-LOOKUP(W602,'Tax Assumptions'!$K$9:$K$17,'Tax Assumptions'!$K$9:$K$17))*LOOKUP(W602,'Tax Assumptions'!$K$9:$K$17,'Tax Assumptions'!$M$9:$M$17))+IF(W602=0,0,LOOKUP(W602,'Tax Assumptions'!$P$9:$P$12,'Tax Assumptions'!$S$9:$S$12)+(W602-LOOKUP(W602,'Tax Assumptions'!$P$9:$P$12,'Tax Assumptions'!$P$9:$P$12))*LOOKUP(W602,'Tax Assumptions'!$P$9:$P$12,'Tax Assumptions'!$R$9:$R$12))</f>
        <v>5394180.54</v>
      </c>
      <c r="Y602" s="230">
        <f t="shared" si="333"/>
        <v>4881319.46</v>
      </c>
      <c r="Z602" s="230">
        <f>IF(J602&lt;=10,INDEX('Savings Projection'!$BL$19:$BL$28,J602),LOOKUP(2,1/('Savings Projection'!$BL$19:$BL$28&lt;&gt;""),'Savings Projection'!$BL$19:$BL$28))*(1+'Model Inputs'!$B$35)^(J602-1)+IF(J602&lt;=10,INDEX('Savings Projection'!$BM$19:$BM$28,J602),LOOKUP(2,1/('Savings Projection'!$BM$19:$BM$28&lt;&gt;""),'Savings Projection'!$BM$19:$BM$28))*(1+'Model Inputs'!$B$36)^(J602-1)</f>
        <v>185348.91529000323</v>
      </c>
      <c r="AA602" s="230">
        <f t="shared" si="334"/>
        <v>4695970.5447099963</v>
      </c>
      <c r="AB602" s="230">
        <f>MIN(MAX(AA602,0),'Tax Assumptions'!$B$20)</f>
        <v>7500</v>
      </c>
      <c r="AC602" s="230">
        <f t="shared" si="335"/>
        <v>4688470.5447099963</v>
      </c>
      <c r="AD602" s="230">
        <f>MAX(AD601*(1+'Model Inputs'!$B$13)+AC602,0)</f>
        <v>44001041.042762719</v>
      </c>
      <c r="AE602" s="230">
        <f>MAX(AE601*(1+'Model Inputs'!$B$13)+U602+AB602,0)</f>
        <v>604228.40541103133</v>
      </c>
      <c r="AF602" s="230">
        <f t="shared" si="336"/>
        <v>44605269.448173754</v>
      </c>
      <c r="AG602" s="226" t="str">
        <f t="shared" si="345"/>
        <v/>
      </c>
      <c r="AH602" s="226" t="str">
        <f t="shared" si="346"/>
        <v/>
      </c>
      <c r="AI602" s="226" t="str">
        <f t="shared" si="347"/>
        <v/>
      </c>
      <c r="AJ602" s="226" t="str">
        <f t="shared" si="348"/>
        <v/>
      </c>
    </row>
    <row r="603" spans="1:36" ht="18" customHeight="1" x14ac:dyDescent="0.2">
      <c r="A603" s="226" t="str">
        <f t="shared" si="337"/>
        <v>5Y -&gt; PM Y7 Upside</v>
      </c>
      <c r="B603" s="226">
        <f t="shared" si="338"/>
        <v>5</v>
      </c>
      <c r="C603" s="235">
        <f t="shared" si="339"/>
        <v>3</v>
      </c>
      <c r="D603" s="226">
        <f t="shared" si="340"/>
        <v>7</v>
      </c>
      <c r="E603" s="226" t="str">
        <f t="shared" si="341"/>
        <v>Upside</v>
      </c>
      <c r="F603" s="230">
        <f t="shared" si="342"/>
        <v>50000000</v>
      </c>
      <c r="G603" s="236">
        <f t="shared" si="343"/>
        <v>0.2</v>
      </c>
      <c r="H603" s="230">
        <f t="shared" si="344"/>
        <v>300000</v>
      </c>
      <c r="I603" s="236">
        <f t="shared" si="326"/>
        <v>0</v>
      </c>
      <c r="J603" s="234">
        <v>14</v>
      </c>
      <c r="K603" s="234">
        <f t="shared" si="327"/>
        <v>2039</v>
      </c>
      <c r="L603" s="230">
        <f>IF(J603=1,'Model Inputs'!$B$25*(13-'Model Inputs'!$B$23)/12,'Model Inputs'!$B$25)</f>
        <v>300000</v>
      </c>
      <c r="M603" s="230">
        <f>IF(J603=1,'Model Inputs'!$B$27*(13-'Model Inputs'!$B$23)/12,IF(J603=2,'Model Inputs'!$B$27,IF(J603&lt;=MAX(3,'Model Inputs'!$B$30+1),'Model Inputs'!$B$27*(1+'Model Inputs'!$B$28)^(J603-3),'Model Inputs'!$B$27*(1+'Model Inputs'!$B$28)^(MAX(3,'Model Inputs'!$B$30+1)-3)*(1+'Model Inputs'!$B$29)^(J603-MAX(3,'Model Inputs'!$B$30+1)))))</f>
        <v>8215927.9778393377</v>
      </c>
      <c r="N603" s="236">
        <f>IF(J603&lt;=2,0,'Model Inputs'!$B$32*SIN(2*PI()*(J603-3+'Model Inputs'!$B$34)/MAX(1,'Model Inputs'!$B$33)))</f>
        <v>-0.10392304845413251</v>
      </c>
      <c r="O603" s="230">
        <f t="shared" si="328"/>
        <v>7362103.6965026772</v>
      </c>
      <c r="P603" s="230">
        <f t="shared" si="349"/>
        <v>6624168.4699774589</v>
      </c>
      <c r="Q603" s="230">
        <f>L603+P603+IF(J603=1,'Model Inputs'!$B$26,0)</f>
        <v>6924168.4699774589</v>
      </c>
      <c r="R603" s="230">
        <f t="shared" si="330"/>
        <v>20772505.409932375</v>
      </c>
      <c r="S603" s="230">
        <f t="shared" si="331"/>
        <v>10300000</v>
      </c>
      <c r="T603" s="230">
        <f t="shared" si="332"/>
        <v>10300000</v>
      </c>
      <c r="U603" s="230">
        <f>MIN(T603,'Tax Assumptions'!$B$19)</f>
        <v>24500</v>
      </c>
      <c r="V603" s="230">
        <f>MAX(T603-U603-'Tax Assumptions'!$B$8,0)</f>
        <v>10259400</v>
      </c>
      <c r="W603" s="230">
        <f>MAX(T603-U603-'Tax Assumptions'!$B$9,0)</f>
        <v>10267500</v>
      </c>
      <c r="X603" s="230">
        <f>IF(V603=0,0,LOOKUP(V603,'Tax Assumptions'!$F$9:$F$15,'Tax Assumptions'!$I$9:$I$15)+(V603-LOOKUP(V603,'Tax Assumptions'!$F$9:$F$15,'Tax Assumptions'!$F$9:$F$15))*LOOKUP(V603,'Tax Assumptions'!$F$9:$F$15,'Tax Assumptions'!$H$9:$H$15))+MIN(MAX(T603,0),'Tax Assumptions'!$B$11)*'Tax Assumptions'!$B$10+MAX(T603,0)*'Tax Assumptions'!$B$12+MAX(MAX(T603,0)-'Tax Assumptions'!$B$14,0)*'Tax Assumptions'!$B$13+MIN(T603*'Tax Assumptions'!$B$15,'Tax Assumptions'!$B$16)+MIN(T603*'Tax Assumptions'!$B$17,'Tax Assumptions'!$B$18)+IF(W603=0,0,LOOKUP(W603,'Tax Assumptions'!$K$9:$K$17,'Tax Assumptions'!$N$9:$N$17)+(W603-LOOKUP(W603,'Tax Assumptions'!$K$9:$K$17,'Tax Assumptions'!$K$9:$K$17))*LOOKUP(W603,'Tax Assumptions'!$K$9:$K$17,'Tax Assumptions'!$M$9:$M$17))+IF(W603=0,0,LOOKUP(W603,'Tax Assumptions'!$P$9:$P$12,'Tax Assumptions'!$S$9:$S$12)+(W603-LOOKUP(W603,'Tax Assumptions'!$P$9:$P$12,'Tax Assumptions'!$P$9:$P$12))*LOOKUP(W603,'Tax Assumptions'!$P$9:$P$12,'Tax Assumptions'!$R$9:$R$12))</f>
        <v>5394180.54</v>
      </c>
      <c r="Y603" s="230">
        <f t="shared" si="333"/>
        <v>4881319.46</v>
      </c>
      <c r="Z603" s="230">
        <f>IF(J603&lt;=10,INDEX('Savings Projection'!$BL$19:$BL$28,J603),LOOKUP(2,1/('Savings Projection'!$BL$19:$BL$28&lt;&gt;""),'Savings Projection'!$BL$19:$BL$28))*(1+'Model Inputs'!$B$35)^(J603-1)+IF(J603&lt;=10,INDEX('Savings Projection'!$BM$19:$BM$28,J603),LOOKUP(2,1/('Savings Projection'!$BM$19:$BM$28&lt;&gt;""),'Savings Projection'!$BM$19:$BM$28))*(1+'Model Inputs'!$B$36)^(J603-1)</f>
        <v>190909.3827487033</v>
      </c>
      <c r="AA603" s="230">
        <f t="shared" si="334"/>
        <v>4690410.0772512965</v>
      </c>
      <c r="AB603" s="230">
        <f>MIN(MAX(AA603,0),'Tax Assumptions'!$B$20)</f>
        <v>7500</v>
      </c>
      <c r="AC603" s="230">
        <f t="shared" si="335"/>
        <v>4682910.0772512965</v>
      </c>
      <c r="AD603" s="230">
        <f>MAX(AD602*(1+'Model Inputs'!$B$13)+AC603,0)</f>
        <v>51324013.582579777</v>
      </c>
      <c r="AE603" s="230">
        <f>MAX(AE602*(1+'Model Inputs'!$B$13)+U603+AB603,0)</f>
        <v>672482.1097356932</v>
      </c>
      <c r="AF603" s="230">
        <f t="shared" si="336"/>
        <v>51996495.692315467</v>
      </c>
      <c r="AG603" s="226" t="str">
        <f t="shared" si="345"/>
        <v/>
      </c>
      <c r="AH603" s="226" t="str">
        <f t="shared" si="346"/>
        <v/>
      </c>
      <c r="AI603" s="226" t="str">
        <f t="shared" si="347"/>
        <v/>
      </c>
      <c r="AJ603" s="226" t="str">
        <f t="shared" si="348"/>
        <v/>
      </c>
    </row>
    <row r="604" spans="1:36" ht="18" customHeight="1" x14ac:dyDescent="0.2">
      <c r="A604" s="226" t="str">
        <f t="shared" si="337"/>
        <v>5Y -&gt; PM Y7 Upside</v>
      </c>
      <c r="B604" s="226">
        <f t="shared" si="338"/>
        <v>5</v>
      </c>
      <c r="C604" s="235">
        <f t="shared" si="339"/>
        <v>3</v>
      </c>
      <c r="D604" s="226">
        <f t="shared" si="340"/>
        <v>7</v>
      </c>
      <c r="E604" s="226" t="str">
        <f t="shared" si="341"/>
        <v>Upside</v>
      </c>
      <c r="F604" s="230">
        <f t="shared" si="342"/>
        <v>50000000</v>
      </c>
      <c r="G604" s="236">
        <f t="shared" si="343"/>
        <v>0.2</v>
      </c>
      <c r="H604" s="230">
        <f t="shared" si="344"/>
        <v>300000</v>
      </c>
      <c r="I604" s="236">
        <f t="shared" si="326"/>
        <v>0</v>
      </c>
      <c r="J604" s="234">
        <v>15</v>
      </c>
      <c r="K604" s="234">
        <f t="shared" si="327"/>
        <v>2040</v>
      </c>
      <c r="L604" s="230">
        <f>IF(J604=1,'Model Inputs'!$B$25*(13-'Model Inputs'!$B$23)/12,'Model Inputs'!$B$25)</f>
        <v>300000</v>
      </c>
      <c r="M604" s="230">
        <f>IF(J604=1,'Model Inputs'!$B$27*(13-'Model Inputs'!$B$23)/12,IF(J604=2,'Model Inputs'!$B$27,IF(J604&lt;=MAX(3,'Model Inputs'!$B$30+1),'Model Inputs'!$B$27*(1+'Model Inputs'!$B$28)^(J604-3),'Model Inputs'!$B$27*(1+'Model Inputs'!$B$28)^(MAX(3,'Model Inputs'!$B$30+1)-3)*(1+'Model Inputs'!$B$29)^(J604-MAX(3,'Model Inputs'!$B$30+1)))))</f>
        <v>10441437.475041937</v>
      </c>
      <c r="N604" s="236">
        <f>IF(J604&lt;=2,0,'Model Inputs'!$B$32*SIN(2*PI()*(J604-3+'Model Inputs'!$B$34)/MAX(1,'Model Inputs'!$B$33)))</f>
        <v>-1.1756609271814589E-16</v>
      </c>
      <c r="O604" s="230">
        <f t="shared" si="328"/>
        <v>10441437.475041935</v>
      </c>
      <c r="P604" s="230">
        <f t="shared" si="349"/>
        <v>7305729.4161605267</v>
      </c>
      <c r="Q604" s="230">
        <f>L604+P604+IF(J604=1,'Model Inputs'!$B$26,0)</f>
        <v>7605729.4161605267</v>
      </c>
      <c r="R604" s="230">
        <f t="shared" si="330"/>
        <v>22817188.248481579</v>
      </c>
      <c r="S604" s="230">
        <f t="shared" si="331"/>
        <v>10300000</v>
      </c>
      <c r="T604" s="230">
        <f t="shared" si="332"/>
        <v>10300000</v>
      </c>
      <c r="U604" s="230">
        <f>MIN(T604,'Tax Assumptions'!$B$19)</f>
        <v>24500</v>
      </c>
      <c r="V604" s="230">
        <f>MAX(T604-U604-'Tax Assumptions'!$B$8,0)</f>
        <v>10259400</v>
      </c>
      <c r="W604" s="230">
        <f>MAX(T604-U604-'Tax Assumptions'!$B$9,0)</f>
        <v>10267500</v>
      </c>
      <c r="X604" s="230">
        <f>IF(V604=0,0,LOOKUP(V604,'Tax Assumptions'!$F$9:$F$15,'Tax Assumptions'!$I$9:$I$15)+(V604-LOOKUP(V604,'Tax Assumptions'!$F$9:$F$15,'Tax Assumptions'!$F$9:$F$15))*LOOKUP(V604,'Tax Assumptions'!$F$9:$F$15,'Tax Assumptions'!$H$9:$H$15))+MIN(MAX(T604,0),'Tax Assumptions'!$B$11)*'Tax Assumptions'!$B$10+MAX(T604,0)*'Tax Assumptions'!$B$12+MAX(MAX(T604,0)-'Tax Assumptions'!$B$14,0)*'Tax Assumptions'!$B$13+MIN(T604*'Tax Assumptions'!$B$15,'Tax Assumptions'!$B$16)+MIN(T604*'Tax Assumptions'!$B$17,'Tax Assumptions'!$B$18)+IF(W604=0,0,LOOKUP(W604,'Tax Assumptions'!$K$9:$K$17,'Tax Assumptions'!$N$9:$N$17)+(W604-LOOKUP(W604,'Tax Assumptions'!$K$9:$K$17,'Tax Assumptions'!$K$9:$K$17))*LOOKUP(W604,'Tax Assumptions'!$K$9:$K$17,'Tax Assumptions'!$M$9:$M$17))+IF(W604=0,0,LOOKUP(W604,'Tax Assumptions'!$P$9:$P$12,'Tax Assumptions'!$S$9:$S$12)+(W604-LOOKUP(W604,'Tax Assumptions'!$P$9:$P$12,'Tax Assumptions'!$P$9:$P$12))*LOOKUP(W604,'Tax Assumptions'!$P$9:$P$12,'Tax Assumptions'!$R$9:$R$12))</f>
        <v>5394180.54</v>
      </c>
      <c r="Y604" s="230">
        <f t="shared" si="333"/>
        <v>4881319.46</v>
      </c>
      <c r="Z604" s="230">
        <f>IF(J604&lt;=10,INDEX('Savings Projection'!$BL$19:$BL$28,J604),LOOKUP(2,1/('Savings Projection'!$BL$19:$BL$28&lt;&gt;""),'Savings Projection'!$BL$19:$BL$28))*(1+'Model Inputs'!$B$35)^(J604-1)+IF(J604&lt;=10,INDEX('Savings Projection'!$BM$19:$BM$28,J604),LOOKUP(2,1/('Savings Projection'!$BM$19:$BM$28&lt;&gt;""),'Savings Projection'!$BM$19:$BM$28))*(1+'Model Inputs'!$B$36)^(J604-1)</f>
        <v>196636.66423116444</v>
      </c>
      <c r="AA604" s="230">
        <f t="shared" si="334"/>
        <v>4684682.7957688356</v>
      </c>
      <c r="AB604" s="230">
        <f>MIN(MAX(AA604,0),'Tax Assumptions'!$B$20)</f>
        <v>7500</v>
      </c>
      <c r="AC604" s="230">
        <f t="shared" si="335"/>
        <v>4677182.7957688356</v>
      </c>
      <c r="AD604" s="230">
        <f>MAX(AD603*(1+'Model Inputs'!$B$13)+AC604,0)</f>
        <v>59080637.193303399</v>
      </c>
      <c r="AE604" s="230">
        <f>MAX(AE603*(1+'Model Inputs'!$B$13)+U604+AB604,0)</f>
        <v>744831.03631983488</v>
      </c>
      <c r="AF604" s="230">
        <f t="shared" si="336"/>
        <v>59825468.229623236</v>
      </c>
      <c r="AG604" s="226" t="str">
        <f t="shared" si="345"/>
        <v/>
      </c>
      <c r="AH604" s="226" t="str">
        <f t="shared" si="346"/>
        <v/>
      </c>
      <c r="AI604" s="226" t="str">
        <f t="shared" si="347"/>
        <v/>
      </c>
      <c r="AJ604" s="226" t="str">
        <f t="shared" si="348"/>
        <v/>
      </c>
    </row>
    <row r="605" spans="1:36" ht="18" customHeight="1" x14ac:dyDescent="0.2">
      <c r="A605" s="226" t="str">
        <f t="shared" si="337"/>
        <v>5Y -&gt; PM Y7 Upside</v>
      </c>
      <c r="B605" s="226">
        <f t="shared" si="338"/>
        <v>5</v>
      </c>
      <c r="C605" s="235">
        <f t="shared" si="339"/>
        <v>3</v>
      </c>
      <c r="D605" s="226">
        <f t="shared" si="340"/>
        <v>7</v>
      </c>
      <c r="E605" s="226" t="str">
        <f t="shared" si="341"/>
        <v>Upside</v>
      </c>
      <c r="F605" s="230">
        <f t="shared" si="342"/>
        <v>50000000</v>
      </c>
      <c r="G605" s="236">
        <f t="shared" si="343"/>
        <v>0.2</v>
      </c>
      <c r="H605" s="230">
        <f t="shared" si="344"/>
        <v>300000</v>
      </c>
      <c r="I605" s="236">
        <f t="shared" si="326"/>
        <v>0</v>
      </c>
      <c r="J605" s="234">
        <v>16</v>
      </c>
      <c r="K605" s="234">
        <f t="shared" si="327"/>
        <v>2041</v>
      </c>
      <c r="L605" s="230">
        <f>IF(J605=1,'Model Inputs'!$B$25*(13-'Model Inputs'!$B$23)/12,'Model Inputs'!$B$25)</f>
        <v>300000</v>
      </c>
      <c r="M605" s="230">
        <f>IF(J605=1,'Model Inputs'!$B$27*(13-'Model Inputs'!$B$23)/12,IF(J605=2,'Model Inputs'!$B$27,IF(J605&lt;=MAX(3,'Model Inputs'!$B$30+1),'Model Inputs'!$B$27*(1+'Model Inputs'!$B$28)^(J605-3),'Model Inputs'!$B$27*(1+'Model Inputs'!$B$28)^(MAX(3,'Model Inputs'!$B$30+1)-3)*(1+'Model Inputs'!$B$29)^(J605-MAX(3,'Model Inputs'!$B$30+1)))))</f>
        <v>13269787.276528884</v>
      </c>
      <c r="N605" s="236">
        <f>IF(J605&lt;=2,0,'Model Inputs'!$B$32*SIN(2*PI()*(J605-3+'Model Inputs'!$B$34)/MAX(1,'Model Inputs'!$B$33)))</f>
        <v>0.10392304845413262</v>
      </c>
      <c r="O605" s="230">
        <f t="shared" si="328"/>
        <v>14648824.022643628</v>
      </c>
      <c r="P605" s="230">
        <f t="shared" si="349"/>
        <v>9671604.0304071214</v>
      </c>
      <c r="Q605" s="230">
        <f>L605+P605+IF(J605=1,'Model Inputs'!$B$26,0)</f>
        <v>9971604.0304071214</v>
      </c>
      <c r="R605" s="230">
        <f t="shared" si="330"/>
        <v>29914812.091221362</v>
      </c>
      <c r="S605" s="230">
        <f t="shared" si="331"/>
        <v>10300000</v>
      </c>
      <c r="T605" s="230">
        <f t="shared" si="332"/>
        <v>10300000</v>
      </c>
      <c r="U605" s="230">
        <f>MIN(T605,'Tax Assumptions'!$B$19)</f>
        <v>24500</v>
      </c>
      <c r="V605" s="230">
        <f>MAX(T605-U605-'Tax Assumptions'!$B$8,0)</f>
        <v>10259400</v>
      </c>
      <c r="W605" s="230">
        <f>MAX(T605-U605-'Tax Assumptions'!$B$9,0)</f>
        <v>10267500</v>
      </c>
      <c r="X605" s="230">
        <f>IF(V605=0,0,LOOKUP(V605,'Tax Assumptions'!$F$9:$F$15,'Tax Assumptions'!$I$9:$I$15)+(V605-LOOKUP(V605,'Tax Assumptions'!$F$9:$F$15,'Tax Assumptions'!$F$9:$F$15))*LOOKUP(V605,'Tax Assumptions'!$F$9:$F$15,'Tax Assumptions'!$H$9:$H$15))+MIN(MAX(T605,0),'Tax Assumptions'!$B$11)*'Tax Assumptions'!$B$10+MAX(T605,0)*'Tax Assumptions'!$B$12+MAX(MAX(T605,0)-'Tax Assumptions'!$B$14,0)*'Tax Assumptions'!$B$13+MIN(T605*'Tax Assumptions'!$B$15,'Tax Assumptions'!$B$16)+MIN(T605*'Tax Assumptions'!$B$17,'Tax Assumptions'!$B$18)+IF(W605=0,0,LOOKUP(W605,'Tax Assumptions'!$K$9:$K$17,'Tax Assumptions'!$N$9:$N$17)+(W605-LOOKUP(W605,'Tax Assumptions'!$K$9:$K$17,'Tax Assumptions'!$K$9:$K$17))*LOOKUP(W605,'Tax Assumptions'!$K$9:$K$17,'Tax Assumptions'!$M$9:$M$17))+IF(W605=0,0,LOOKUP(W605,'Tax Assumptions'!$P$9:$P$12,'Tax Assumptions'!$S$9:$S$12)+(W605-LOOKUP(W605,'Tax Assumptions'!$P$9:$P$12,'Tax Assumptions'!$P$9:$P$12))*LOOKUP(W605,'Tax Assumptions'!$P$9:$P$12,'Tax Assumptions'!$R$9:$R$12))</f>
        <v>5394180.54</v>
      </c>
      <c r="Y605" s="230">
        <f t="shared" si="333"/>
        <v>4881319.46</v>
      </c>
      <c r="Z605" s="230">
        <f>IF(J605&lt;=10,INDEX('Savings Projection'!$BL$19:$BL$28,J605),LOOKUP(2,1/('Savings Projection'!$BL$19:$BL$28&lt;&gt;""),'Savings Projection'!$BL$19:$BL$28))*(1+'Model Inputs'!$B$35)^(J605-1)+IF(J605&lt;=10,INDEX('Savings Projection'!$BM$19:$BM$28,J605),LOOKUP(2,1/('Savings Projection'!$BM$19:$BM$28&lt;&gt;""),'Savings Projection'!$BM$19:$BM$28))*(1+'Model Inputs'!$B$36)^(J605-1)</f>
        <v>202535.76415809937</v>
      </c>
      <c r="AA605" s="230">
        <f t="shared" si="334"/>
        <v>4678783.695841901</v>
      </c>
      <c r="AB605" s="230">
        <f>MIN(MAX(AA605,0),'Tax Assumptions'!$B$20)</f>
        <v>7500</v>
      </c>
      <c r="AC605" s="230">
        <f t="shared" si="335"/>
        <v>4671283.695841901</v>
      </c>
      <c r="AD605" s="230">
        <f>MAX(AD604*(1+'Model Inputs'!$B$13)+AC605,0)</f>
        <v>67296759.120743513</v>
      </c>
      <c r="AE605" s="230">
        <f>MAX(AE604*(1+'Model Inputs'!$B$13)+U605+AB605,0)</f>
        <v>821520.89849902503</v>
      </c>
      <c r="AF605" s="230">
        <f t="shared" si="336"/>
        <v>68118280.01924254</v>
      </c>
      <c r="AG605" s="226" t="str">
        <f t="shared" si="345"/>
        <v/>
      </c>
      <c r="AH605" s="226" t="str">
        <f t="shared" si="346"/>
        <v/>
      </c>
      <c r="AI605" s="226" t="str">
        <f t="shared" si="347"/>
        <v/>
      </c>
      <c r="AJ605" s="226" t="str">
        <f t="shared" si="348"/>
        <v/>
      </c>
    </row>
    <row r="606" spans="1:36" ht="18" customHeight="1" x14ac:dyDescent="0.2">
      <c r="A606" s="226" t="str">
        <f t="shared" si="337"/>
        <v>5Y -&gt; PM Y7 Upside</v>
      </c>
      <c r="B606" s="226">
        <f t="shared" si="338"/>
        <v>5</v>
      </c>
      <c r="C606" s="235">
        <f t="shared" si="339"/>
        <v>3</v>
      </c>
      <c r="D606" s="226">
        <f t="shared" si="340"/>
        <v>7</v>
      </c>
      <c r="E606" s="226" t="str">
        <f t="shared" si="341"/>
        <v>Upside</v>
      </c>
      <c r="F606" s="230">
        <f t="shared" si="342"/>
        <v>50000000</v>
      </c>
      <c r="G606" s="236">
        <f t="shared" si="343"/>
        <v>0.2</v>
      </c>
      <c r="H606" s="230">
        <f t="shared" si="344"/>
        <v>300000</v>
      </c>
      <c r="I606" s="236">
        <f t="shared" si="326"/>
        <v>0</v>
      </c>
      <c r="J606" s="234">
        <v>17</v>
      </c>
      <c r="K606" s="234">
        <f t="shared" si="327"/>
        <v>2042</v>
      </c>
      <c r="L606" s="230">
        <f>IF(J606=1,'Model Inputs'!$B$25*(13-'Model Inputs'!$B$23)/12,'Model Inputs'!$B$25)</f>
        <v>300000</v>
      </c>
      <c r="M606" s="230">
        <f>IF(J606=1,'Model Inputs'!$B$27*(13-'Model Inputs'!$B$23)/12,IF(J606=2,'Model Inputs'!$B$27,IF(J606&lt;=MAX(3,'Model Inputs'!$B$30+1),'Model Inputs'!$B$27*(1+'Model Inputs'!$B$28)^(J606-3),'Model Inputs'!$B$27*(1+'Model Inputs'!$B$28)^(MAX(3,'Model Inputs'!$B$30+1)-3)*(1+'Model Inputs'!$B$29)^(J606-MAX(3,'Model Inputs'!$B$30+1)))))</f>
        <v>16864273.217670217</v>
      </c>
      <c r="N606" s="236">
        <f>IF(J606&lt;=2,0,'Model Inputs'!$B$32*SIN(2*PI()*(J606-3+'Model Inputs'!$B$34)/MAX(1,'Model Inputs'!$B$33)))</f>
        <v>-0.1039230484541325</v>
      </c>
      <c r="O606" s="230">
        <f t="shared" si="328"/>
        <v>15111686.534926547</v>
      </c>
      <c r="P606" s="230">
        <f t="shared" si="349"/>
        <v>13596977.385743205</v>
      </c>
      <c r="Q606" s="230">
        <f>L606+P606+IF(J606=1,'Model Inputs'!$B$26,0)</f>
        <v>13896977.385743205</v>
      </c>
      <c r="R606" s="230">
        <f t="shared" si="330"/>
        <v>41690932.157229617</v>
      </c>
      <c r="S606" s="230">
        <f t="shared" si="331"/>
        <v>10300000</v>
      </c>
      <c r="T606" s="230">
        <f t="shared" si="332"/>
        <v>10300000</v>
      </c>
      <c r="U606" s="230">
        <f>MIN(T606,'Tax Assumptions'!$B$19)</f>
        <v>24500</v>
      </c>
      <c r="V606" s="230">
        <f>MAX(T606-U606-'Tax Assumptions'!$B$8,0)</f>
        <v>10259400</v>
      </c>
      <c r="W606" s="230">
        <f>MAX(T606-U606-'Tax Assumptions'!$B$9,0)</f>
        <v>10267500</v>
      </c>
      <c r="X606" s="230">
        <f>IF(V606=0,0,LOOKUP(V606,'Tax Assumptions'!$F$9:$F$15,'Tax Assumptions'!$I$9:$I$15)+(V606-LOOKUP(V606,'Tax Assumptions'!$F$9:$F$15,'Tax Assumptions'!$F$9:$F$15))*LOOKUP(V606,'Tax Assumptions'!$F$9:$F$15,'Tax Assumptions'!$H$9:$H$15))+MIN(MAX(T606,0),'Tax Assumptions'!$B$11)*'Tax Assumptions'!$B$10+MAX(T606,0)*'Tax Assumptions'!$B$12+MAX(MAX(T606,0)-'Tax Assumptions'!$B$14,0)*'Tax Assumptions'!$B$13+MIN(T606*'Tax Assumptions'!$B$15,'Tax Assumptions'!$B$16)+MIN(T606*'Tax Assumptions'!$B$17,'Tax Assumptions'!$B$18)+IF(W606=0,0,LOOKUP(W606,'Tax Assumptions'!$K$9:$K$17,'Tax Assumptions'!$N$9:$N$17)+(W606-LOOKUP(W606,'Tax Assumptions'!$K$9:$K$17,'Tax Assumptions'!$K$9:$K$17))*LOOKUP(W606,'Tax Assumptions'!$K$9:$K$17,'Tax Assumptions'!$M$9:$M$17))+IF(W606=0,0,LOOKUP(W606,'Tax Assumptions'!$P$9:$P$12,'Tax Assumptions'!$S$9:$S$12)+(W606-LOOKUP(W606,'Tax Assumptions'!$P$9:$P$12,'Tax Assumptions'!$P$9:$P$12))*LOOKUP(W606,'Tax Assumptions'!$P$9:$P$12,'Tax Assumptions'!$R$9:$R$12))</f>
        <v>5394180.54</v>
      </c>
      <c r="Y606" s="230">
        <f t="shared" si="333"/>
        <v>4881319.46</v>
      </c>
      <c r="Z606" s="230">
        <f>IF(J606&lt;=10,INDEX('Savings Projection'!$BL$19:$BL$28,J606),LOOKUP(2,1/('Savings Projection'!$BL$19:$BL$28&lt;&gt;""),'Savings Projection'!$BL$19:$BL$28))*(1+'Model Inputs'!$B$35)^(J606-1)+IF(J606&lt;=10,INDEX('Savings Projection'!$BM$19:$BM$28,J606),LOOKUP(2,1/('Savings Projection'!$BM$19:$BM$28&lt;&gt;""),'Savings Projection'!$BM$19:$BM$28))*(1+'Model Inputs'!$B$36)^(J606-1)</f>
        <v>208611.83708284231</v>
      </c>
      <c r="AA606" s="230">
        <f t="shared" si="334"/>
        <v>4672707.6229171576</v>
      </c>
      <c r="AB606" s="230">
        <f>MIN(MAX(AA606,0),'Tax Assumptions'!$B$20)</f>
        <v>7500</v>
      </c>
      <c r="AC606" s="230">
        <f t="shared" si="335"/>
        <v>4665207.6229171576</v>
      </c>
      <c r="AD606" s="230">
        <f>MAX(AD605*(1+'Model Inputs'!$B$13)+AC606,0)</f>
        <v>75999772.290905282</v>
      </c>
      <c r="AE606" s="230">
        <f>MAX(AE605*(1+'Model Inputs'!$B$13)+U606+AB606,0)</f>
        <v>902812.15240896656</v>
      </c>
      <c r="AF606" s="230">
        <f t="shared" si="336"/>
        <v>76902584.443314254</v>
      </c>
      <c r="AG606" s="226" t="str">
        <f t="shared" si="345"/>
        <v/>
      </c>
      <c r="AH606" s="226" t="str">
        <f t="shared" si="346"/>
        <v/>
      </c>
      <c r="AI606" s="226" t="str">
        <f t="shared" si="347"/>
        <v/>
      </c>
      <c r="AJ606" s="226" t="str">
        <f t="shared" si="348"/>
        <v/>
      </c>
    </row>
    <row r="607" spans="1:36" ht="18" customHeight="1" x14ac:dyDescent="0.2">
      <c r="A607" s="226" t="str">
        <f t="shared" si="337"/>
        <v>5Y -&gt; PM Y7 Upside</v>
      </c>
      <c r="B607" s="226">
        <f t="shared" si="338"/>
        <v>5</v>
      </c>
      <c r="C607" s="235">
        <f t="shared" si="339"/>
        <v>3</v>
      </c>
      <c r="D607" s="226">
        <f t="shared" si="340"/>
        <v>7</v>
      </c>
      <c r="E607" s="226" t="str">
        <f t="shared" si="341"/>
        <v>Upside</v>
      </c>
      <c r="F607" s="230">
        <f t="shared" si="342"/>
        <v>50000000</v>
      </c>
      <c r="G607" s="236">
        <f t="shared" si="343"/>
        <v>0.2</v>
      </c>
      <c r="H607" s="230">
        <f t="shared" si="344"/>
        <v>300000</v>
      </c>
      <c r="I607" s="236">
        <f t="shared" si="326"/>
        <v>0</v>
      </c>
      <c r="J607" s="234">
        <v>18</v>
      </c>
      <c r="K607" s="234">
        <f t="shared" si="327"/>
        <v>2043</v>
      </c>
      <c r="L607" s="230">
        <f>IF(J607=1,'Model Inputs'!$B$25*(13-'Model Inputs'!$B$23)/12,'Model Inputs'!$B$25)</f>
        <v>300000</v>
      </c>
      <c r="M607" s="230">
        <f>IF(J607=1,'Model Inputs'!$B$27*(13-'Model Inputs'!$B$23)/12,IF(J607=2,'Model Inputs'!$B$27,IF(J607&lt;=MAX(3,'Model Inputs'!$B$30+1),'Model Inputs'!$B$27*(1+'Model Inputs'!$B$28)^(J607-3),'Model Inputs'!$B$27*(1+'Model Inputs'!$B$28)^(MAX(3,'Model Inputs'!$B$30+1)-3)*(1+'Model Inputs'!$B$29)^(J607-MAX(3,'Model Inputs'!$B$30+1)))))</f>
        <v>21432424.290875554</v>
      </c>
      <c r="N607" s="236">
        <f>IF(J607&lt;=2,0,'Model Inputs'!$B$32*SIN(2*PI()*(J607-3+'Model Inputs'!$B$34)/MAX(1,'Model Inputs'!$B$33)))</f>
        <v>-5.7328325735374245E-16</v>
      </c>
      <c r="O607" s="230">
        <f t="shared" si="328"/>
        <v>21432424.290875543</v>
      </c>
      <c r="P607" s="230">
        <f t="shared" si="349"/>
        <v>14995970.906855816</v>
      </c>
      <c r="Q607" s="230">
        <f>L607+P607+IF(J607=1,'Model Inputs'!$B$26,0)</f>
        <v>15295970.906855816</v>
      </c>
      <c r="R607" s="230">
        <f t="shared" si="330"/>
        <v>45887912.72056745</v>
      </c>
      <c r="S607" s="230">
        <f t="shared" si="331"/>
        <v>10300000</v>
      </c>
      <c r="T607" s="230">
        <f t="shared" si="332"/>
        <v>10300000</v>
      </c>
      <c r="U607" s="230">
        <f>MIN(T607,'Tax Assumptions'!$B$19)</f>
        <v>24500</v>
      </c>
      <c r="V607" s="230">
        <f>MAX(T607-U607-'Tax Assumptions'!$B$8,0)</f>
        <v>10259400</v>
      </c>
      <c r="W607" s="230">
        <f>MAX(T607-U607-'Tax Assumptions'!$B$9,0)</f>
        <v>10267500</v>
      </c>
      <c r="X607" s="230">
        <f>IF(V607=0,0,LOOKUP(V607,'Tax Assumptions'!$F$9:$F$15,'Tax Assumptions'!$I$9:$I$15)+(V607-LOOKUP(V607,'Tax Assumptions'!$F$9:$F$15,'Tax Assumptions'!$F$9:$F$15))*LOOKUP(V607,'Tax Assumptions'!$F$9:$F$15,'Tax Assumptions'!$H$9:$H$15))+MIN(MAX(T607,0),'Tax Assumptions'!$B$11)*'Tax Assumptions'!$B$10+MAX(T607,0)*'Tax Assumptions'!$B$12+MAX(MAX(T607,0)-'Tax Assumptions'!$B$14,0)*'Tax Assumptions'!$B$13+MIN(T607*'Tax Assumptions'!$B$15,'Tax Assumptions'!$B$16)+MIN(T607*'Tax Assumptions'!$B$17,'Tax Assumptions'!$B$18)+IF(W607=0,0,LOOKUP(W607,'Tax Assumptions'!$K$9:$K$17,'Tax Assumptions'!$N$9:$N$17)+(W607-LOOKUP(W607,'Tax Assumptions'!$K$9:$K$17,'Tax Assumptions'!$K$9:$K$17))*LOOKUP(W607,'Tax Assumptions'!$K$9:$K$17,'Tax Assumptions'!$M$9:$M$17))+IF(W607=0,0,LOOKUP(W607,'Tax Assumptions'!$P$9:$P$12,'Tax Assumptions'!$S$9:$S$12)+(W607-LOOKUP(W607,'Tax Assumptions'!$P$9:$P$12,'Tax Assumptions'!$P$9:$P$12))*LOOKUP(W607,'Tax Assumptions'!$P$9:$P$12,'Tax Assumptions'!$R$9:$R$12))</f>
        <v>5394180.54</v>
      </c>
      <c r="Y607" s="230">
        <f t="shared" si="333"/>
        <v>4881319.46</v>
      </c>
      <c r="Z607" s="230">
        <f>IF(J607&lt;=10,INDEX('Savings Projection'!$BL$19:$BL$28,J607),LOOKUP(2,1/('Savings Projection'!$BL$19:$BL$28&lt;&gt;""),'Savings Projection'!$BL$19:$BL$28))*(1+'Model Inputs'!$B$35)^(J607-1)+IF(J607&lt;=10,INDEX('Savings Projection'!$BM$19:$BM$28,J607),LOOKUP(2,1/('Savings Projection'!$BM$19:$BM$28&lt;&gt;""),'Savings Projection'!$BM$19:$BM$28))*(1+'Model Inputs'!$B$36)^(J607-1)</f>
        <v>214870.1921953276</v>
      </c>
      <c r="AA607" s="230">
        <f t="shared" si="334"/>
        <v>4666449.267804672</v>
      </c>
      <c r="AB607" s="230">
        <f>MIN(MAX(AA607,0),'Tax Assumptions'!$B$20)</f>
        <v>7500</v>
      </c>
      <c r="AC607" s="230">
        <f t="shared" si="335"/>
        <v>4658949.267804672</v>
      </c>
      <c r="AD607" s="230">
        <f>MAX(AD606*(1+'Model Inputs'!$B$13)+AC607,0)</f>
        <v>85218707.896164268</v>
      </c>
      <c r="AE607" s="230">
        <f>MAX(AE606*(1+'Model Inputs'!$B$13)+U607+AB607,0)</f>
        <v>988980.88155350462</v>
      </c>
      <c r="AF607" s="230">
        <f t="shared" si="336"/>
        <v>86207688.777717769</v>
      </c>
      <c r="AG607" s="226" t="str">
        <f t="shared" si="345"/>
        <v/>
      </c>
      <c r="AH607" s="226" t="str">
        <f t="shared" si="346"/>
        <v/>
      </c>
      <c r="AI607" s="226" t="str">
        <f t="shared" si="347"/>
        <v/>
      </c>
      <c r="AJ607" s="226" t="str">
        <f t="shared" si="348"/>
        <v/>
      </c>
    </row>
    <row r="608" spans="1:36" ht="18" customHeight="1" x14ac:dyDescent="0.2">
      <c r="A608" s="226" t="str">
        <f t="shared" si="337"/>
        <v>5Y -&gt; PM Y7 Upside</v>
      </c>
      <c r="B608" s="226">
        <f t="shared" si="338"/>
        <v>5</v>
      </c>
      <c r="C608" s="235">
        <f t="shared" si="339"/>
        <v>3</v>
      </c>
      <c r="D608" s="226">
        <f t="shared" si="340"/>
        <v>7</v>
      </c>
      <c r="E608" s="226" t="str">
        <f t="shared" si="341"/>
        <v>Upside</v>
      </c>
      <c r="F608" s="230">
        <f t="shared" si="342"/>
        <v>50000000</v>
      </c>
      <c r="G608" s="236">
        <f t="shared" si="343"/>
        <v>0.2</v>
      </c>
      <c r="H608" s="230">
        <f t="shared" si="344"/>
        <v>300000</v>
      </c>
      <c r="I608" s="236">
        <f t="shared" si="326"/>
        <v>0</v>
      </c>
      <c r="J608" s="234">
        <v>19</v>
      </c>
      <c r="K608" s="234">
        <f t="shared" si="327"/>
        <v>2044</v>
      </c>
      <c r="L608" s="230">
        <f>IF(J608=1,'Model Inputs'!$B$25*(13-'Model Inputs'!$B$23)/12,'Model Inputs'!$B$25)</f>
        <v>300000</v>
      </c>
      <c r="M608" s="230">
        <f>IF(J608=1,'Model Inputs'!$B$27*(13-'Model Inputs'!$B$23)/12,IF(J608=2,'Model Inputs'!$B$27,IF(J608&lt;=MAX(3,'Model Inputs'!$B$30+1),'Model Inputs'!$B$27*(1+'Model Inputs'!$B$28)^(J608-3),'Model Inputs'!$B$27*(1+'Model Inputs'!$B$28)^(MAX(3,'Model Inputs'!$B$30+1)-3)*(1+'Model Inputs'!$B$29)^(J608-MAX(3,'Model Inputs'!$B$30+1)))))</f>
        <v>27237984.409717187</v>
      </c>
      <c r="N608" s="236">
        <f>IF(J608&lt;=2,0,'Model Inputs'!$B$32*SIN(2*PI()*(J608-3+'Model Inputs'!$B$34)/MAX(1,'Model Inputs'!$B$33)))</f>
        <v>0.10392304845413286</v>
      </c>
      <c r="O608" s="230">
        <f t="shared" si="328"/>
        <v>30068638.783321142</v>
      </c>
      <c r="P608" s="230">
        <f t="shared" si="349"/>
        <v>19852239.851888295</v>
      </c>
      <c r="Q608" s="230">
        <f>L608+P608+IF(J608=1,'Model Inputs'!$B$26,0)</f>
        <v>20152239.851888295</v>
      </c>
      <c r="R608" s="230">
        <f t="shared" si="330"/>
        <v>60456719.555664882</v>
      </c>
      <c r="S608" s="230">
        <f t="shared" si="331"/>
        <v>10300000</v>
      </c>
      <c r="T608" s="230">
        <f t="shared" si="332"/>
        <v>10300000</v>
      </c>
      <c r="U608" s="230">
        <f>MIN(T608,'Tax Assumptions'!$B$19)</f>
        <v>24500</v>
      </c>
      <c r="V608" s="230">
        <f>MAX(T608-U608-'Tax Assumptions'!$B$8,0)</f>
        <v>10259400</v>
      </c>
      <c r="W608" s="230">
        <f>MAX(T608-U608-'Tax Assumptions'!$B$9,0)</f>
        <v>10267500</v>
      </c>
      <c r="X608" s="230">
        <f>IF(V608=0,0,LOOKUP(V608,'Tax Assumptions'!$F$9:$F$15,'Tax Assumptions'!$I$9:$I$15)+(V608-LOOKUP(V608,'Tax Assumptions'!$F$9:$F$15,'Tax Assumptions'!$F$9:$F$15))*LOOKUP(V608,'Tax Assumptions'!$F$9:$F$15,'Tax Assumptions'!$H$9:$H$15))+MIN(MAX(T608,0),'Tax Assumptions'!$B$11)*'Tax Assumptions'!$B$10+MAX(T608,0)*'Tax Assumptions'!$B$12+MAX(MAX(T608,0)-'Tax Assumptions'!$B$14,0)*'Tax Assumptions'!$B$13+MIN(T608*'Tax Assumptions'!$B$15,'Tax Assumptions'!$B$16)+MIN(T608*'Tax Assumptions'!$B$17,'Tax Assumptions'!$B$18)+IF(W608=0,0,LOOKUP(W608,'Tax Assumptions'!$K$9:$K$17,'Tax Assumptions'!$N$9:$N$17)+(W608-LOOKUP(W608,'Tax Assumptions'!$K$9:$K$17,'Tax Assumptions'!$K$9:$K$17))*LOOKUP(W608,'Tax Assumptions'!$K$9:$K$17,'Tax Assumptions'!$M$9:$M$17))+IF(W608=0,0,LOOKUP(W608,'Tax Assumptions'!$P$9:$P$12,'Tax Assumptions'!$S$9:$S$12)+(W608-LOOKUP(W608,'Tax Assumptions'!$P$9:$P$12,'Tax Assumptions'!$P$9:$P$12))*LOOKUP(W608,'Tax Assumptions'!$P$9:$P$12,'Tax Assumptions'!$R$9:$R$12))</f>
        <v>5394180.54</v>
      </c>
      <c r="Y608" s="230">
        <f t="shared" si="333"/>
        <v>4881319.46</v>
      </c>
      <c r="Z608" s="230">
        <f>IF(J608&lt;=10,INDEX('Savings Projection'!$BL$19:$BL$28,J608),LOOKUP(2,1/('Savings Projection'!$BL$19:$BL$28&lt;&gt;""),'Savings Projection'!$BL$19:$BL$28))*(1+'Model Inputs'!$B$35)^(J608-1)+IF(J608&lt;=10,INDEX('Savings Projection'!$BM$19:$BM$28,J608),LOOKUP(2,1/('Savings Projection'!$BM$19:$BM$28&lt;&gt;""),'Savings Projection'!$BM$19:$BM$28))*(1+'Model Inputs'!$B$36)^(J608-1)</f>
        <v>221316.29796118743</v>
      </c>
      <c r="AA608" s="230">
        <f t="shared" si="334"/>
        <v>4660003.1620388124</v>
      </c>
      <c r="AB608" s="230">
        <f>MIN(MAX(AA608,0),'Tax Assumptions'!$B$20)</f>
        <v>7500</v>
      </c>
      <c r="AC608" s="230">
        <f t="shared" si="335"/>
        <v>4652503.1620388124</v>
      </c>
      <c r="AD608" s="230">
        <f>MAX(AD607*(1+'Model Inputs'!$B$13)+AC608,0)</f>
        <v>94984333.531972945</v>
      </c>
      <c r="AE608" s="230">
        <f>MAX(AE607*(1+'Model Inputs'!$B$13)+U608+AB608,0)</f>
        <v>1080319.7344467151</v>
      </c>
      <c r="AF608" s="230">
        <f t="shared" si="336"/>
        <v>96064653.266419664</v>
      </c>
      <c r="AG608" s="226" t="str">
        <f t="shared" si="345"/>
        <v/>
      </c>
      <c r="AH608" s="226" t="str">
        <f t="shared" si="346"/>
        <v/>
      </c>
      <c r="AI608" s="226" t="str">
        <f t="shared" si="347"/>
        <v/>
      </c>
      <c r="AJ608" s="226" t="str">
        <f t="shared" si="348"/>
        <v/>
      </c>
    </row>
    <row r="609" spans="1:36" ht="18" customHeight="1" x14ac:dyDescent="0.2">
      <c r="A609" s="226" t="str">
        <f t="shared" si="337"/>
        <v>5Y -&gt; PM Y7 Upside</v>
      </c>
      <c r="B609" s="226">
        <f t="shared" si="338"/>
        <v>5</v>
      </c>
      <c r="C609" s="235">
        <f t="shared" si="339"/>
        <v>3</v>
      </c>
      <c r="D609" s="226">
        <f t="shared" si="340"/>
        <v>7</v>
      </c>
      <c r="E609" s="226" t="str">
        <f t="shared" si="341"/>
        <v>Upside</v>
      </c>
      <c r="F609" s="230">
        <f t="shared" si="342"/>
        <v>50000000</v>
      </c>
      <c r="G609" s="236">
        <f t="shared" si="343"/>
        <v>0.2</v>
      </c>
      <c r="H609" s="230">
        <f t="shared" si="344"/>
        <v>300000</v>
      </c>
      <c r="I609" s="236">
        <f t="shared" si="326"/>
        <v>0</v>
      </c>
      <c r="J609" s="234">
        <v>20</v>
      </c>
      <c r="K609" s="234">
        <f t="shared" si="327"/>
        <v>2045</v>
      </c>
      <c r="L609" s="230">
        <f>IF(J609=1,'Model Inputs'!$B$25*(13-'Model Inputs'!$B$23)/12,'Model Inputs'!$B$25)</f>
        <v>300000</v>
      </c>
      <c r="M609" s="230">
        <f>IF(J609=1,'Model Inputs'!$B$27*(13-'Model Inputs'!$B$23)/12,IF(J609=2,'Model Inputs'!$B$27,IF(J609&lt;=MAX(3,'Model Inputs'!$B$30+1),'Model Inputs'!$B$27*(1+'Model Inputs'!$B$28)^(J609-3),'Model Inputs'!$B$27*(1+'Model Inputs'!$B$28)^(MAX(3,'Model Inputs'!$B$30+1)-3)*(1+'Model Inputs'!$B$29)^(J609-MAX(3,'Model Inputs'!$B$30+1)))))</f>
        <v>34616139.762586243</v>
      </c>
      <c r="N609" s="236">
        <f>IF(J609&lt;=2,0,'Model Inputs'!$B$32*SIN(2*PI()*(J609-3+'Model Inputs'!$B$34)/MAX(1,'Model Inputs'!$B$33)))</f>
        <v>-0.10392304845413269</v>
      </c>
      <c r="O609" s="230">
        <f t="shared" si="328"/>
        <v>31018724.992743965</v>
      </c>
      <c r="P609" s="230">
        <f t="shared" si="349"/>
        <v>27909585.160209741</v>
      </c>
      <c r="Q609" s="230">
        <f>L609+P609+IF(J609=1,'Model Inputs'!$B$26,0)</f>
        <v>28209585.160209741</v>
      </c>
      <c r="R609" s="230">
        <f t="shared" si="330"/>
        <v>84628755.480629221</v>
      </c>
      <c r="S609" s="230">
        <f t="shared" si="331"/>
        <v>10300000</v>
      </c>
      <c r="T609" s="230">
        <f t="shared" si="332"/>
        <v>10300000</v>
      </c>
      <c r="U609" s="230">
        <f>MIN(T609,'Tax Assumptions'!$B$19)</f>
        <v>24500</v>
      </c>
      <c r="V609" s="230">
        <f>MAX(T609-U609-'Tax Assumptions'!$B$8,0)</f>
        <v>10259400</v>
      </c>
      <c r="W609" s="230">
        <f>MAX(T609-U609-'Tax Assumptions'!$B$9,0)</f>
        <v>10267500</v>
      </c>
      <c r="X609" s="230">
        <f>IF(V609=0,0,LOOKUP(V609,'Tax Assumptions'!$F$9:$F$15,'Tax Assumptions'!$I$9:$I$15)+(V609-LOOKUP(V609,'Tax Assumptions'!$F$9:$F$15,'Tax Assumptions'!$F$9:$F$15))*LOOKUP(V609,'Tax Assumptions'!$F$9:$F$15,'Tax Assumptions'!$H$9:$H$15))+MIN(MAX(T609,0),'Tax Assumptions'!$B$11)*'Tax Assumptions'!$B$10+MAX(T609,0)*'Tax Assumptions'!$B$12+MAX(MAX(T609,0)-'Tax Assumptions'!$B$14,0)*'Tax Assumptions'!$B$13+MIN(T609*'Tax Assumptions'!$B$15,'Tax Assumptions'!$B$16)+MIN(T609*'Tax Assumptions'!$B$17,'Tax Assumptions'!$B$18)+IF(W609=0,0,LOOKUP(W609,'Tax Assumptions'!$K$9:$K$17,'Tax Assumptions'!$N$9:$N$17)+(W609-LOOKUP(W609,'Tax Assumptions'!$K$9:$K$17,'Tax Assumptions'!$K$9:$K$17))*LOOKUP(W609,'Tax Assumptions'!$K$9:$K$17,'Tax Assumptions'!$M$9:$M$17))+IF(W609=0,0,LOOKUP(W609,'Tax Assumptions'!$P$9:$P$12,'Tax Assumptions'!$S$9:$S$12)+(W609-LOOKUP(W609,'Tax Assumptions'!$P$9:$P$12,'Tax Assumptions'!$P$9:$P$12))*LOOKUP(W609,'Tax Assumptions'!$P$9:$P$12,'Tax Assumptions'!$R$9:$R$12))</f>
        <v>5394180.54</v>
      </c>
      <c r="Y609" s="230">
        <f t="shared" si="333"/>
        <v>4881319.46</v>
      </c>
      <c r="Z609" s="230">
        <f>IF(J609&lt;=10,INDEX('Savings Projection'!$BL$19:$BL$28,J609),LOOKUP(2,1/('Savings Projection'!$BL$19:$BL$28&lt;&gt;""),'Savings Projection'!$BL$19:$BL$28))*(1+'Model Inputs'!$B$35)^(J609-1)+IF(J609&lt;=10,INDEX('Savings Projection'!$BM$19:$BM$28,J609),LOOKUP(2,1/('Savings Projection'!$BM$19:$BM$28&lt;&gt;""),'Savings Projection'!$BM$19:$BM$28))*(1+'Model Inputs'!$B$36)^(J609-1)</f>
        <v>227955.78690002306</v>
      </c>
      <c r="AA609" s="230">
        <f t="shared" si="334"/>
        <v>4653363.673099977</v>
      </c>
      <c r="AB609" s="230">
        <f>MIN(MAX(AA609,0),'Tax Assumptions'!$B$20)</f>
        <v>7500</v>
      </c>
      <c r="AC609" s="230">
        <f t="shared" si="335"/>
        <v>4645863.673099977</v>
      </c>
      <c r="AD609" s="230">
        <f>MAX(AD608*(1+'Model Inputs'!$B$13)+AC609,0)</f>
        <v>105329257.21699131</v>
      </c>
      <c r="AE609" s="230">
        <f>MAX(AE608*(1+'Model Inputs'!$B$13)+U609+AB609,0)</f>
        <v>1177138.9185135181</v>
      </c>
      <c r="AF609" s="230">
        <f t="shared" si="336"/>
        <v>106506396.13550483</v>
      </c>
      <c r="AG609" s="226" t="str">
        <f t="shared" si="345"/>
        <v/>
      </c>
      <c r="AH609" s="226" t="str">
        <f t="shared" si="346"/>
        <v/>
      </c>
      <c r="AI609" s="226" t="str">
        <f t="shared" si="347"/>
        <v/>
      </c>
      <c r="AJ609" s="226" t="str">
        <f t="shared" si="348"/>
        <v/>
      </c>
    </row>
    <row r="610" spans="1:36" ht="18" customHeight="1" x14ac:dyDescent="0.2">
      <c r="A610" s="226" t="str">
        <f t="shared" si="337"/>
        <v>5Y -&gt; PM Y7 Upside</v>
      </c>
      <c r="B610" s="226">
        <f t="shared" si="338"/>
        <v>5</v>
      </c>
      <c r="C610" s="235">
        <f t="shared" si="339"/>
        <v>3</v>
      </c>
      <c r="D610" s="226">
        <f t="shared" si="340"/>
        <v>7</v>
      </c>
      <c r="E610" s="226" t="str">
        <f t="shared" si="341"/>
        <v>Upside</v>
      </c>
      <c r="F610" s="230">
        <f t="shared" si="342"/>
        <v>50000000</v>
      </c>
      <c r="G610" s="236">
        <f t="shared" si="343"/>
        <v>0.2</v>
      </c>
      <c r="H610" s="230">
        <f t="shared" si="344"/>
        <v>300000</v>
      </c>
      <c r="I610" s="236">
        <f t="shared" si="326"/>
        <v>0</v>
      </c>
      <c r="J610" s="234">
        <v>21</v>
      </c>
      <c r="K610" s="234">
        <f t="shared" si="327"/>
        <v>2046</v>
      </c>
      <c r="L610" s="230">
        <f>IF(J610=1,'Model Inputs'!$B$25*(13-'Model Inputs'!$B$23)/12,'Model Inputs'!$B$25)</f>
        <v>300000</v>
      </c>
      <c r="M610" s="230">
        <f>IF(J610=1,'Model Inputs'!$B$27*(13-'Model Inputs'!$B$23)/12,IF(J610=2,'Model Inputs'!$B$27,IF(J610&lt;=MAX(3,'Model Inputs'!$B$30+1),'Model Inputs'!$B$27*(1+'Model Inputs'!$B$28)^(J610-3),'Model Inputs'!$B$27*(1+'Model Inputs'!$B$28)^(MAX(3,'Model Inputs'!$B$30+1)-3)*(1+'Model Inputs'!$B$29)^(J610-MAX(3,'Model Inputs'!$B$30+1)))))</f>
        <v>43992870.912849829</v>
      </c>
      <c r="N610" s="236">
        <f>IF(J610&lt;=2,0,'Model Inputs'!$B$32*SIN(2*PI()*(J610-3+'Model Inputs'!$B$34)/MAX(1,'Model Inputs'!$B$33)))</f>
        <v>-1.7634913907721884E-16</v>
      </c>
      <c r="O610" s="230">
        <f t="shared" si="328"/>
        <v>43992870.912849821</v>
      </c>
      <c r="P610" s="230">
        <f t="shared" si="349"/>
        <v>30781203.440388259</v>
      </c>
      <c r="Q610" s="230">
        <f>L610+P610+IF(J610=1,'Model Inputs'!$B$26,0)</f>
        <v>31081203.440388259</v>
      </c>
      <c r="R610" s="230">
        <f t="shared" si="330"/>
        <v>93243610.321164772</v>
      </c>
      <c r="S610" s="230">
        <f t="shared" si="331"/>
        <v>10300000</v>
      </c>
      <c r="T610" s="230">
        <f t="shared" si="332"/>
        <v>10300000</v>
      </c>
      <c r="U610" s="230">
        <f>MIN(T610,'Tax Assumptions'!$B$19)</f>
        <v>24500</v>
      </c>
      <c r="V610" s="230">
        <f>MAX(T610-U610-'Tax Assumptions'!$B$8,0)</f>
        <v>10259400</v>
      </c>
      <c r="W610" s="230">
        <f>MAX(T610-U610-'Tax Assumptions'!$B$9,0)</f>
        <v>10267500</v>
      </c>
      <c r="X610" s="230">
        <f>IF(V610=0,0,LOOKUP(V610,'Tax Assumptions'!$F$9:$F$15,'Tax Assumptions'!$I$9:$I$15)+(V610-LOOKUP(V610,'Tax Assumptions'!$F$9:$F$15,'Tax Assumptions'!$F$9:$F$15))*LOOKUP(V610,'Tax Assumptions'!$F$9:$F$15,'Tax Assumptions'!$H$9:$H$15))+MIN(MAX(T610,0),'Tax Assumptions'!$B$11)*'Tax Assumptions'!$B$10+MAX(T610,0)*'Tax Assumptions'!$B$12+MAX(MAX(T610,0)-'Tax Assumptions'!$B$14,0)*'Tax Assumptions'!$B$13+MIN(T610*'Tax Assumptions'!$B$15,'Tax Assumptions'!$B$16)+MIN(T610*'Tax Assumptions'!$B$17,'Tax Assumptions'!$B$18)+IF(W610=0,0,LOOKUP(W610,'Tax Assumptions'!$K$9:$K$17,'Tax Assumptions'!$N$9:$N$17)+(W610-LOOKUP(W610,'Tax Assumptions'!$K$9:$K$17,'Tax Assumptions'!$K$9:$K$17))*LOOKUP(W610,'Tax Assumptions'!$K$9:$K$17,'Tax Assumptions'!$M$9:$M$17))+IF(W610=0,0,LOOKUP(W610,'Tax Assumptions'!$P$9:$P$12,'Tax Assumptions'!$S$9:$S$12)+(W610-LOOKUP(W610,'Tax Assumptions'!$P$9:$P$12,'Tax Assumptions'!$P$9:$P$12))*LOOKUP(W610,'Tax Assumptions'!$P$9:$P$12,'Tax Assumptions'!$R$9:$R$12))</f>
        <v>5394180.54</v>
      </c>
      <c r="Y610" s="230">
        <f t="shared" si="333"/>
        <v>4881319.46</v>
      </c>
      <c r="Z610" s="230">
        <f>IF(J610&lt;=10,INDEX('Savings Projection'!$BL$19:$BL$28,J610),LOOKUP(2,1/('Savings Projection'!$BL$19:$BL$28&lt;&gt;""),'Savings Projection'!$BL$19:$BL$28))*(1+'Model Inputs'!$B$35)^(J610-1)+IF(J610&lt;=10,INDEX('Savings Projection'!$BM$19:$BM$28,J610),LOOKUP(2,1/('Savings Projection'!$BM$19:$BM$28&lt;&gt;""),'Savings Projection'!$BM$19:$BM$28))*(1+'Model Inputs'!$B$36)^(J610-1)</f>
        <v>234794.46050702373</v>
      </c>
      <c r="AA610" s="230">
        <f t="shared" si="334"/>
        <v>4646524.9994929759</v>
      </c>
      <c r="AB610" s="230">
        <f>MIN(MAX(AA610,0),'Tax Assumptions'!$B$20)</f>
        <v>7500</v>
      </c>
      <c r="AC610" s="230">
        <f t="shared" si="335"/>
        <v>4639024.9994929759</v>
      </c>
      <c r="AD610" s="230">
        <f>MAX(AD609*(1+'Model Inputs'!$B$13)+AC610,0)</f>
        <v>116288037.64950377</v>
      </c>
      <c r="AE610" s="230">
        <f>MAX(AE609*(1+'Model Inputs'!$B$13)+U610+AB610,0)</f>
        <v>1279767.2536243291</v>
      </c>
      <c r="AF610" s="230">
        <f t="shared" si="336"/>
        <v>117567804.9031281</v>
      </c>
      <c r="AG610" s="226" t="str">
        <f t="shared" si="345"/>
        <v/>
      </c>
      <c r="AH610" s="226" t="str">
        <f t="shared" si="346"/>
        <v/>
      </c>
      <c r="AI610" s="226" t="str">
        <f t="shared" si="347"/>
        <v/>
      </c>
      <c r="AJ610" s="226" t="str">
        <f t="shared" si="348"/>
        <v/>
      </c>
    </row>
    <row r="611" spans="1:36" ht="18" customHeight="1" x14ac:dyDescent="0.2">
      <c r="A611" s="226" t="str">
        <f t="shared" si="337"/>
        <v>5Y -&gt; PM Y7 Upside</v>
      </c>
      <c r="B611" s="226">
        <f t="shared" si="338"/>
        <v>5</v>
      </c>
      <c r="C611" s="235">
        <f t="shared" si="339"/>
        <v>3</v>
      </c>
      <c r="D611" s="226">
        <f t="shared" si="340"/>
        <v>7</v>
      </c>
      <c r="E611" s="226" t="str">
        <f t="shared" si="341"/>
        <v>Upside</v>
      </c>
      <c r="F611" s="230">
        <f t="shared" si="342"/>
        <v>50000000</v>
      </c>
      <c r="G611" s="236">
        <f t="shared" si="343"/>
        <v>0.2</v>
      </c>
      <c r="H611" s="230">
        <f t="shared" si="344"/>
        <v>300000</v>
      </c>
      <c r="I611" s="236">
        <f t="shared" si="326"/>
        <v>0</v>
      </c>
      <c r="J611" s="234">
        <v>22</v>
      </c>
      <c r="K611" s="234">
        <f t="shared" si="327"/>
        <v>2047</v>
      </c>
      <c r="L611" s="230">
        <f>IF(J611=1,'Model Inputs'!$B$25*(13-'Model Inputs'!$B$23)/12,'Model Inputs'!$B$25)</f>
        <v>300000</v>
      </c>
      <c r="M611" s="230">
        <f>IF(J611=1,'Model Inputs'!$B$27*(13-'Model Inputs'!$B$23)/12,IF(J611=2,'Model Inputs'!$B$27,IF(J611&lt;=MAX(3,'Model Inputs'!$B$30+1),'Model Inputs'!$B$27*(1+'Model Inputs'!$B$28)^(J611-3),'Model Inputs'!$B$27*(1+'Model Inputs'!$B$28)^(MAX(3,'Model Inputs'!$B$30+1)-3)*(1+'Model Inputs'!$B$29)^(J611-MAX(3,'Model Inputs'!$B$30+1)))))</f>
        <v>55909546.9462616</v>
      </c>
      <c r="N611" s="236">
        <f>IF(J611&lt;=2,0,'Model Inputs'!$B$32*SIN(2*PI()*(J611-3+'Model Inputs'!$B$34)/MAX(1,'Model Inputs'!$B$33)))</f>
        <v>0.10392304845413287</v>
      </c>
      <c r="O611" s="230">
        <f t="shared" si="328"/>
        <v>61719837.502606563</v>
      </c>
      <c r="P611" s="230">
        <f t="shared" si="349"/>
        <v>40749334.43282336</v>
      </c>
      <c r="Q611" s="230">
        <f>L611+P611+IF(J611=1,'Model Inputs'!$B$26,0)</f>
        <v>41049334.43282336</v>
      </c>
      <c r="R611" s="230">
        <f t="shared" si="330"/>
        <v>123148003.29847008</v>
      </c>
      <c r="S611" s="230">
        <f t="shared" si="331"/>
        <v>10300000</v>
      </c>
      <c r="T611" s="230">
        <f t="shared" si="332"/>
        <v>10300000</v>
      </c>
      <c r="U611" s="230">
        <f>MIN(T611,'Tax Assumptions'!$B$19)</f>
        <v>24500</v>
      </c>
      <c r="V611" s="230">
        <f>MAX(T611-U611-'Tax Assumptions'!$B$8,0)</f>
        <v>10259400</v>
      </c>
      <c r="W611" s="230">
        <f>MAX(T611-U611-'Tax Assumptions'!$B$9,0)</f>
        <v>10267500</v>
      </c>
      <c r="X611" s="230">
        <f>IF(V611=0,0,LOOKUP(V611,'Tax Assumptions'!$F$9:$F$15,'Tax Assumptions'!$I$9:$I$15)+(V611-LOOKUP(V611,'Tax Assumptions'!$F$9:$F$15,'Tax Assumptions'!$F$9:$F$15))*LOOKUP(V611,'Tax Assumptions'!$F$9:$F$15,'Tax Assumptions'!$H$9:$H$15))+MIN(MAX(T611,0),'Tax Assumptions'!$B$11)*'Tax Assumptions'!$B$10+MAX(T611,0)*'Tax Assumptions'!$B$12+MAX(MAX(T611,0)-'Tax Assumptions'!$B$14,0)*'Tax Assumptions'!$B$13+MIN(T611*'Tax Assumptions'!$B$15,'Tax Assumptions'!$B$16)+MIN(T611*'Tax Assumptions'!$B$17,'Tax Assumptions'!$B$18)+IF(W611=0,0,LOOKUP(W611,'Tax Assumptions'!$K$9:$K$17,'Tax Assumptions'!$N$9:$N$17)+(W611-LOOKUP(W611,'Tax Assumptions'!$K$9:$K$17,'Tax Assumptions'!$K$9:$K$17))*LOOKUP(W611,'Tax Assumptions'!$K$9:$K$17,'Tax Assumptions'!$M$9:$M$17))+IF(W611=0,0,LOOKUP(W611,'Tax Assumptions'!$P$9:$P$12,'Tax Assumptions'!$S$9:$S$12)+(W611-LOOKUP(W611,'Tax Assumptions'!$P$9:$P$12,'Tax Assumptions'!$P$9:$P$12))*LOOKUP(W611,'Tax Assumptions'!$P$9:$P$12,'Tax Assumptions'!$R$9:$R$12))</f>
        <v>5394180.54</v>
      </c>
      <c r="Y611" s="230">
        <f t="shared" si="333"/>
        <v>4881319.46</v>
      </c>
      <c r="Z611" s="230">
        <f>IF(J611&lt;=10,INDEX('Savings Projection'!$BL$19:$BL$28,J611),LOOKUP(2,1/('Savings Projection'!$BL$19:$BL$28&lt;&gt;""),'Savings Projection'!$BL$19:$BL$28))*(1+'Model Inputs'!$B$35)^(J611-1)+IF(J611&lt;=10,INDEX('Savings Projection'!$BM$19:$BM$28,J611),LOOKUP(2,1/('Savings Projection'!$BM$19:$BM$28&lt;&gt;""),'Savings Projection'!$BM$19:$BM$28))*(1+'Model Inputs'!$B$36)^(J611-1)</f>
        <v>241838.2943222344</v>
      </c>
      <c r="AA611" s="230">
        <f t="shared" si="334"/>
        <v>4639481.1656777654</v>
      </c>
      <c r="AB611" s="230">
        <f>MIN(MAX(AA611,0),'Tax Assumptions'!$B$20)</f>
        <v>7500</v>
      </c>
      <c r="AC611" s="230">
        <f t="shared" si="335"/>
        <v>4631981.1656777654</v>
      </c>
      <c r="AD611" s="230">
        <f>MAX(AD610*(1+'Model Inputs'!$B$13)+AC611,0)</f>
        <v>127897301.07415177</v>
      </c>
      <c r="AE611" s="230">
        <f>MAX(AE610*(1+'Model Inputs'!$B$13)+U611+AB611,0)</f>
        <v>1388553.2888417889</v>
      </c>
      <c r="AF611" s="230">
        <f t="shared" si="336"/>
        <v>129285854.36299355</v>
      </c>
      <c r="AG611" s="226" t="str">
        <f t="shared" si="345"/>
        <v/>
      </c>
      <c r="AH611" s="226" t="str">
        <f t="shared" si="346"/>
        <v/>
      </c>
      <c r="AI611" s="226" t="str">
        <f t="shared" si="347"/>
        <v/>
      </c>
      <c r="AJ611" s="226" t="str">
        <f t="shared" si="348"/>
        <v/>
      </c>
    </row>
    <row r="612" spans="1:36" ht="18" customHeight="1" x14ac:dyDescent="0.2">
      <c r="A612" s="226" t="str">
        <f t="shared" si="337"/>
        <v>5Y -&gt; PM Y7 Upside</v>
      </c>
      <c r="B612" s="226">
        <f t="shared" si="338"/>
        <v>5</v>
      </c>
      <c r="C612" s="235">
        <f t="shared" si="339"/>
        <v>3</v>
      </c>
      <c r="D612" s="226">
        <f t="shared" si="340"/>
        <v>7</v>
      </c>
      <c r="E612" s="226" t="str">
        <f t="shared" si="341"/>
        <v>Upside</v>
      </c>
      <c r="F612" s="230">
        <f t="shared" si="342"/>
        <v>50000000</v>
      </c>
      <c r="G612" s="236">
        <f t="shared" si="343"/>
        <v>0.2</v>
      </c>
      <c r="H612" s="230">
        <f t="shared" si="344"/>
        <v>300000</v>
      </c>
      <c r="I612" s="236">
        <f t="shared" si="326"/>
        <v>0</v>
      </c>
      <c r="J612" s="234">
        <v>23</v>
      </c>
      <c r="K612" s="234">
        <f t="shared" si="327"/>
        <v>2048</v>
      </c>
      <c r="L612" s="230">
        <f>IF(J612=1,'Model Inputs'!$B$25*(13-'Model Inputs'!$B$23)/12,'Model Inputs'!$B$25)</f>
        <v>300000</v>
      </c>
      <c r="M612" s="230">
        <f>IF(J612=1,'Model Inputs'!$B$27*(13-'Model Inputs'!$B$23)/12,IF(J612=2,'Model Inputs'!$B$27,IF(J612&lt;=MAX(3,'Model Inputs'!$B$30+1),'Model Inputs'!$B$27*(1+'Model Inputs'!$B$28)^(J612-3),'Model Inputs'!$B$27*(1+'Model Inputs'!$B$28)^(MAX(3,'Model Inputs'!$B$30+1)-3)*(1+'Model Inputs'!$B$29)^(J612-MAX(3,'Model Inputs'!$B$30+1)))))</f>
        <v>71054181.617940187</v>
      </c>
      <c r="N612" s="236">
        <f>IF(J612&lt;=2,0,'Model Inputs'!$B$32*SIN(2*PI()*(J612-3+'Model Inputs'!$B$34)/MAX(1,'Model Inputs'!$B$33)))</f>
        <v>-0.10392304845413268</v>
      </c>
      <c r="O612" s="230">
        <f t="shared" si="328"/>
        <v>63670014.458790243</v>
      </c>
      <c r="P612" s="230">
        <f t="shared" si="349"/>
        <v>57288095.855167374</v>
      </c>
      <c r="Q612" s="230">
        <f>L612+P612+IF(J612=1,'Model Inputs'!$B$26,0)</f>
        <v>57588095.855167374</v>
      </c>
      <c r="R612" s="230">
        <f t="shared" si="330"/>
        <v>172764287.56550211</v>
      </c>
      <c r="S612" s="230">
        <f t="shared" si="331"/>
        <v>10300000</v>
      </c>
      <c r="T612" s="230">
        <f t="shared" si="332"/>
        <v>10300000</v>
      </c>
      <c r="U612" s="230">
        <f>MIN(T612,'Tax Assumptions'!$B$19)</f>
        <v>24500</v>
      </c>
      <c r="V612" s="230">
        <f>MAX(T612-U612-'Tax Assumptions'!$B$8,0)</f>
        <v>10259400</v>
      </c>
      <c r="W612" s="230">
        <f>MAX(T612-U612-'Tax Assumptions'!$B$9,0)</f>
        <v>10267500</v>
      </c>
      <c r="X612" s="230">
        <f>IF(V612=0,0,LOOKUP(V612,'Tax Assumptions'!$F$9:$F$15,'Tax Assumptions'!$I$9:$I$15)+(V612-LOOKUP(V612,'Tax Assumptions'!$F$9:$F$15,'Tax Assumptions'!$F$9:$F$15))*LOOKUP(V612,'Tax Assumptions'!$F$9:$F$15,'Tax Assumptions'!$H$9:$H$15))+MIN(MAX(T612,0),'Tax Assumptions'!$B$11)*'Tax Assumptions'!$B$10+MAX(T612,0)*'Tax Assumptions'!$B$12+MAX(MAX(T612,0)-'Tax Assumptions'!$B$14,0)*'Tax Assumptions'!$B$13+MIN(T612*'Tax Assumptions'!$B$15,'Tax Assumptions'!$B$16)+MIN(T612*'Tax Assumptions'!$B$17,'Tax Assumptions'!$B$18)+IF(W612=0,0,LOOKUP(W612,'Tax Assumptions'!$K$9:$K$17,'Tax Assumptions'!$N$9:$N$17)+(W612-LOOKUP(W612,'Tax Assumptions'!$K$9:$K$17,'Tax Assumptions'!$K$9:$K$17))*LOOKUP(W612,'Tax Assumptions'!$K$9:$K$17,'Tax Assumptions'!$M$9:$M$17))+IF(W612=0,0,LOOKUP(W612,'Tax Assumptions'!$P$9:$P$12,'Tax Assumptions'!$S$9:$S$12)+(W612-LOOKUP(W612,'Tax Assumptions'!$P$9:$P$12,'Tax Assumptions'!$P$9:$P$12))*LOOKUP(W612,'Tax Assumptions'!$P$9:$P$12,'Tax Assumptions'!$R$9:$R$12))</f>
        <v>5394180.54</v>
      </c>
      <c r="Y612" s="230">
        <f t="shared" si="333"/>
        <v>4881319.46</v>
      </c>
      <c r="Z612" s="230">
        <f>IF(J612&lt;=10,INDEX('Savings Projection'!$BL$19:$BL$28,J612),LOOKUP(2,1/('Savings Projection'!$BL$19:$BL$28&lt;&gt;""),'Savings Projection'!$BL$19:$BL$28))*(1+'Model Inputs'!$B$35)^(J612-1)+IF(J612&lt;=10,INDEX('Savings Projection'!$BM$19:$BM$28,J612),LOOKUP(2,1/('Savings Projection'!$BM$19:$BM$28&lt;&gt;""),'Savings Projection'!$BM$19:$BM$28))*(1+'Model Inputs'!$B$36)^(J612-1)</f>
        <v>249093.44315190148</v>
      </c>
      <c r="AA612" s="230">
        <f t="shared" si="334"/>
        <v>4632226.0168480985</v>
      </c>
      <c r="AB612" s="230">
        <f>MIN(MAX(AA612,0),'Tax Assumptions'!$B$20)</f>
        <v>7500</v>
      </c>
      <c r="AC612" s="230">
        <f t="shared" si="335"/>
        <v>4624726.0168480985</v>
      </c>
      <c r="AD612" s="230">
        <f>MAX(AD611*(1+'Model Inputs'!$B$13)+AC612,0)</f>
        <v>140195865.15544897</v>
      </c>
      <c r="AE612" s="230">
        <f>MAX(AE611*(1+'Model Inputs'!$B$13)+U612+AB612,0)</f>
        <v>1503866.4861722963</v>
      </c>
      <c r="AF612" s="230">
        <f t="shared" si="336"/>
        <v>141699731.64162126</v>
      </c>
      <c r="AG612" s="226" t="str">
        <f t="shared" si="345"/>
        <v/>
      </c>
      <c r="AH612" s="226" t="str">
        <f t="shared" si="346"/>
        <v/>
      </c>
      <c r="AI612" s="226" t="str">
        <f t="shared" si="347"/>
        <v/>
      </c>
      <c r="AJ612" s="226" t="str">
        <f t="shared" si="348"/>
        <v/>
      </c>
    </row>
    <row r="613" spans="1:36" ht="18" customHeight="1" x14ac:dyDescent="0.2">
      <c r="A613" s="226" t="str">
        <f t="shared" si="337"/>
        <v>5Y -&gt; PM Y7 Upside</v>
      </c>
      <c r="B613" s="226">
        <f t="shared" si="338"/>
        <v>5</v>
      </c>
      <c r="C613" s="235">
        <f t="shared" si="339"/>
        <v>3</v>
      </c>
      <c r="D613" s="226">
        <f t="shared" si="340"/>
        <v>7</v>
      </c>
      <c r="E613" s="226" t="str">
        <f t="shared" si="341"/>
        <v>Upside</v>
      </c>
      <c r="F613" s="230">
        <f t="shared" si="342"/>
        <v>50000000</v>
      </c>
      <c r="G613" s="236">
        <f t="shared" si="343"/>
        <v>0.2</v>
      </c>
      <c r="H613" s="230">
        <f t="shared" si="344"/>
        <v>300000</v>
      </c>
      <c r="I613" s="236">
        <f t="shared" si="326"/>
        <v>0</v>
      </c>
      <c r="J613" s="234">
        <v>24</v>
      </c>
      <c r="K613" s="234">
        <f t="shared" si="327"/>
        <v>2049</v>
      </c>
      <c r="L613" s="230">
        <f>IF(J613=1,'Model Inputs'!$B$25*(13-'Model Inputs'!$B$23)/12,'Model Inputs'!$B$25)</f>
        <v>300000</v>
      </c>
      <c r="M613" s="230">
        <f>IF(J613=1,'Model Inputs'!$B$27*(13-'Model Inputs'!$B$23)/12,IF(J613=2,'Model Inputs'!$B$27,IF(J613&lt;=MAX(3,'Model Inputs'!$B$30+1),'Model Inputs'!$B$27*(1+'Model Inputs'!$B$28)^(J613-3),'Model Inputs'!$B$27*(1+'Model Inputs'!$B$28)^(MAX(3,'Model Inputs'!$B$30+1)-3)*(1+'Model Inputs'!$B$29)^(J613-MAX(3,'Model Inputs'!$B$30+1)))))</f>
        <v>90301156.084270701</v>
      </c>
      <c r="N613" s="236">
        <f>IF(J613&lt;=2,0,'Model Inputs'!$B$32*SIN(2*PI()*(J613-3+'Model Inputs'!$B$34)/MAX(1,'Model Inputs'!$B$33)))</f>
        <v>-2.0574066225675533E-16</v>
      </c>
      <c r="O613" s="230">
        <f t="shared" si="328"/>
        <v>90301156.084270686</v>
      </c>
      <c r="P613" s="230">
        <f t="shared" si="349"/>
        <v>63182470.219744325</v>
      </c>
      <c r="Q613" s="230">
        <f>L613+P613+IF(J613=1,'Model Inputs'!$B$26,0)</f>
        <v>63482470.219744325</v>
      </c>
      <c r="R613" s="230">
        <f t="shared" si="330"/>
        <v>190447410.65923297</v>
      </c>
      <c r="S613" s="230">
        <f t="shared" si="331"/>
        <v>10300000</v>
      </c>
      <c r="T613" s="230">
        <f t="shared" si="332"/>
        <v>10300000</v>
      </c>
      <c r="U613" s="230">
        <f>MIN(T613,'Tax Assumptions'!$B$19)</f>
        <v>24500</v>
      </c>
      <c r="V613" s="230">
        <f>MAX(T613-U613-'Tax Assumptions'!$B$8,0)</f>
        <v>10259400</v>
      </c>
      <c r="W613" s="230">
        <f>MAX(T613-U613-'Tax Assumptions'!$B$9,0)</f>
        <v>10267500</v>
      </c>
      <c r="X613" s="230">
        <f>IF(V613=0,0,LOOKUP(V613,'Tax Assumptions'!$F$9:$F$15,'Tax Assumptions'!$I$9:$I$15)+(V613-LOOKUP(V613,'Tax Assumptions'!$F$9:$F$15,'Tax Assumptions'!$F$9:$F$15))*LOOKUP(V613,'Tax Assumptions'!$F$9:$F$15,'Tax Assumptions'!$H$9:$H$15))+MIN(MAX(T613,0),'Tax Assumptions'!$B$11)*'Tax Assumptions'!$B$10+MAX(T613,0)*'Tax Assumptions'!$B$12+MAX(MAX(T613,0)-'Tax Assumptions'!$B$14,0)*'Tax Assumptions'!$B$13+MIN(T613*'Tax Assumptions'!$B$15,'Tax Assumptions'!$B$16)+MIN(T613*'Tax Assumptions'!$B$17,'Tax Assumptions'!$B$18)+IF(W613=0,0,LOOKUP(W613,'Tax Assumptions'!$K$9:$K$17,'Tax Assumptions'!$N$9:$N$17)+(W613-LOOKUP(W613,'Tax Assumptions'!$K$9:$K$17,'Tax Assumptions'!$K$9:$K$17))*LOOKUP(W613,'Tax Assumptions'!$K$9:$K$17,'Tax Assumptions'!$M$9:$M$17))+IF(W613=0,0,LOOKUP(W613,'Tax Assumptions'!$P$9:$P$12,'Tax Assumptions'!$S$9:$S$12)+(W613-LOOKUP(W613,'Tax Assumptions'!$P$9:$P$12,'Tax Assumptions'!$P$9:$P$12))*LOOKUP(W613,'Tax Assumptions'!$P$9:$P$12,'Tax Assumptions'!$R$9:$R$12))</f>
        <v>5394180.54</v>
      </c>
      <c r="Y613" s="230">
        <f t="shared" si="333"/>
        <v>4881319.46</v>
      </c>
      <c r="Z613" s="230">
        <f>IF(J613&lt;=10,INDEX('Savings Projection'!$BL$19:$BL$28,J613),LOOKUP(2,1/('Savings Projection'!$BL$19:$BL$28&lt;&gt;""),'Savings Projection'!$BL$19:$BL$28))*(1+'Model Inputs'!$B$35)^(J613-1)+IF(J613&lt;=10,INDEX('Savings Projection'!$BM$19:$BM$28,J613),LOOKUP(2,1/('Savings Projection'!$BM$19:$BM$28&lt;&gt;""),'Savings Projection'!$BM$19:$BM$28))*(1+'Model Inputs'!$B$36)^(J613-1)</f>
        <v>256566.24644645851</v>
      </c>
      <c r="AA613" s="230">
        <f t="shared" si="334"/>
        <v>4624753.2135535413</v>
      </c>
      <c r="AB613" s="230">
        <f>MIN(MAX(AA613,0),'Tax Assumptions'!$B$20)</f>
        <v>7500</v>
      </c>
      <c r="AC613" s="230">
        <f t="shared" si="335"/>
        <v>4617253.2135535413</v>
      </c>
      <c r="AD613" s="230">
        <f>MAX(AD612*(1+'Model Inputs'!$B$13)+AC613,0)</f>
        <v>153224870.27832946</v>
      </c>
      <c r="AE613" s="230">
        <f>MAX(AE612*(1+'Model Inputs'!$B$13)+U613+AB613,0)</f>
        <v>1626098.4753426341</v>
      </c>
      <c r="AF613" s="230">
        <f t="shared" si="336"/>
        <v>154850968.75367209</v>
      </c>
      <c r="AG613" s="226" t="str">
        <f t="shared" si="345"/>
        <v/>
      </c>
      <c r="AH613" s="226" t="str">
        <f t="shared" si="346"/>
        <v/>
      </c>
      <c r="AI613" s="226" t="str">
        <f t="shared" si="347"/>
        <v/>
      </c>
      <c r="AJ613" s="226" t="str">
        <f t="shared" si="348"/>
        <v/>
      </c>
    </row>
    <row r="614" spans="1:36" ht="18" customHeight="1" x14ac:dyDescent="0.2">
      <c r="A614" s="226" t="str">
        <f t="shared" si="337"/>
        <v>5Y -&gt; PM Y7 Upside</v>
      </c>
      <c r="B614" s="226">
        <f t="shared" si="338"/>
        <v>5</v>
      </c>
      <c r="C614" s="235">
        <f t="shared" si="339"/>
        <v>3</v>
      </c>
      <c r="D614" s="226">
        <f t="shared" si="340"/>
        <v>7</v>
      </c>
      <c r="E614" s="226" t="str">
        <f t="shared" si="341"/>
        <v>Upside</v>
      </c>
      <c r="F614" s="230">
        <f t="shared" si="342"/>
        <v>50000000</v>
      </c>
      <c r="G614" s="236">
        <f t="shared" si="343"/>
        <v>0.2</v>
      </c>
      <c r="H614" s="230">
        <f t="shared" si="344"/>
        <v>300000</v>
      </c>
      <c r="I614" s="236">
        <f t="shared" si="326"/>
        <v>0</v>
      </c>
      <c r="J614" s="234">
        <v>25</v>
      </c>
      <c r="K614" s="234">
        <f t="shared" si="327"/>
        <v>2050</v>
      </c>
      <c r="L614" s="230">
        <f>IF(J614=1,'Model Inputs'!$B$25*(13-'Model Inputs'!$B$23)/12,'Model Inputs'!$B$25)</f>
        <v>300000</v>
      </c>
      <c r="M614" s="230">
        <f>IF(J614=1,'Model Inputs'!$B$27*(13-'Model Inputs'!$B$23)/12,IF(J614=2,'Model Inputs'!$B$27,IF(J614&lt;=MAX(3,'Model Inputs'!$B$30+1),'Model Inputs'!$B$27*(1+'Model Inputs'!$B$28)^(J614-3),'Model Inputs'!$B$27*(1+'Model Inputs'!$B$28)^(MAX(3,'Model Inputs'!$B$30+1)-3)*(1+'Model Inputs'!$B$29)^(J614-MAX(3,'Model Inputs'!$B$30+1)))))</f>
        <v>114761701.62653697</v>
      </c>
      <c r="N614" s="236">
        <f>IF(J614&lt;=2,0,'Model Inputs'!$B$32*SIN(2*PI()*(J614-3+'Model Inputs'!$B$34)/MAX(1,'Model Inputs'!$B$33)))</f>
        <v>0.10392304845413287</v>
      </c>
      <c r="O614" s="230">
        <f t="shared" si="328"/>
        <v>126688087.50535031</v>
      </c>
      <c r="P614" s="230">
        <f t="shared" si="349"/>
        <v>83643370.677900568</v>
      </c>
      <c r="Q614" s="230">
        <f>L614+P614+IF(J614=1,'Model Inputs'!$B$26,0)</f>
        <v>83943370.677900568</v>
      </c>
      <c r="R614" s="230">
        <f t="shared" si="330"/>
        <v>251830112.03370172</v>
      </c>
      <c r="S614" s="230">
        <f t="shared" si="331"/>
        <v>10300000</v>
      </c>
      <c r="T614" s="230">
        <f t="shared" si="332"/>
        <v>10300000</v>
      </c>
      <c r="U614" s="230">
        <f>MIN(T614,'Tax Assumptions'!$B$19)</f>
        <v>24500</v>
      </c>
      <c r="V614" s="230">
        <f>MAX(T614-U614-'Tax Assumptions'!$B$8,0)</f>
        <v>10259400</v>
      </c>
      <c r="W614" s="230">
        <f>MAX(T614-U614-'Tax Assumptions'!$B$9,0)</f>
        <v>10267500</v>
      </c>
      <c r="X614" s="230">
        <f>IF(V614=0,0,LOOKUP(V614,'Tax Assumptions'!$F$9:$F$15,'Tax Assumptions'!$I$9:$I$15)+(V614-LOOKUP(V614,'Tax Assumptions'!$F$9:$F$15,'Tax Assumptions'!$F$9:$F$15))*LOOKUP(V614,'Tax Assumptions'!$F$9:$F$15,'Tax Assumptions'!$H$9:$H$15))+MIN(MAX(T614,0),'Tax Assumptions'!$B$11)*'Tax Assumptions'!$B$10+MAX(T614,0)*'Tax Assumptions'!$B$12+MAX(MAX(T614,0)-'Tax Assumptions'!$B$14,0)*'Tax Assumptions'!$B$13+MIN(T614*'Tax Assumptions'!$B$15,'Tax Assumptions'!$B$16)+MIN(T614*'Tax Assumptions'!$B$17,'Tax Assumptions'!$B$18)+IF(W614=0,0,LOOKUP(W614,'Tax Assumptions'!$K$9:$K$17,'Tax Assumptions'!$N$9:$N$17)+(W614-LOOKUP(W614,'Tax Assumptions'!$K$9:$K$17,'Tax Assumptions'!$K$9:$K$17))*LOOKUP(W614,'Tax Assumptions'!$K$9:$K$17,'Tax Assumptions'!$M$9:$M$17))+IF(W614=0,0,LOOKUP(W614,'Tax Assumptions'!$P$9:$P$12,'Tax Assumptions'!$S$9:$S$12)+(W614-LOOKUP(W614,'Tax Assumptions'!$P$9:$P$12,'Tax Assumptions'!$P$9:$P$12))*LOOKUP(W614,'Tax Assumptions'!$P$9:$P$12,'Tax Assumptions'!$R$9:$R$12))</f>
        <v>5394180.54</v>
      </c>
      <c r="Y614" s="230">
        <f t="shared" si="333"/>
        <v>4881319.46</v>
      </c>
      <c r="Z614" s="230">
        <f>IF(J614&lt;=10,INDEX('Savings Projection'!$BL$19:$BL$28,J614),LOOKUP(2,1/('Savings Projection'!$BL$19:$BL$28&lt;&gt;""),'Savings Projection'!$BL$19:$BL$28))*(1+'Model Inputs'!$B$35)^(J614-1)+IF(J614&lt;=10,INDEX('Savings Projection'!$BM$19:$BM$28,J614),LOOKUP(2,1/('Savings Projection'!$BM$19:$BM$28&lt;&gt;""),'Savings Projection'!$BM$19:$BM$28))*(1+'Model Inputs'!$B$36)^(J614-1)</f>
        <v>264263.23383985227</v>
      </c>
      <c r="AA614" s="230">
        <f t="shared" si="334"/>
        <v>4617056.2261601482</v>
      </c>
      <c r="AB614" s="230">
        <f>MIN(MAX(AA614,0),'Tax Assumptions'!$B$20)</f>
        <v>7500</v>
      </c>
      <c r="AC614" s="230">
        <f t="shared" si="335"/>
        <v>4609556.2261601482</v>
      </c>
      <c r="AD614" s="230">
        <f>MAX(AD613*(1+'Model Inputs'!$B$13)+AC614,0)</f>
        <v>167027918.72118938</v>
      </c>
      <c r="AE614" s="230">
        <f>MAX(AE613*(1+'Model Inputs'!$B$13)+U614+AB614,0)</f>
        <v>1755664.3838631923</v>
      </c>
      <c r="AF614" s="230">
        <f t="shared" si="336"/>
        <v>168783583.10505256</v>
      </c>
      <c r="AG614" s="226" t="str">
        <f t="shared" si="345"/>
        <v/>
      </c>
      <c r="AH614" s="226" t="str">
        <f t="shared" si="346"/>
        <v/>
      </c>
      <c r="AI614" s="226" t="str">
        <f t="shared" si="347"/>
        <v/>
      </c>
      <c r="AJ614" s="226" t="str">
        <f t="shared" si="348"/>
        <v/>
      </c>
    </row>
    <row r="615" spans="1:36" ht="18" customHeight="1" x14ac:dyDescent="0.2">
      <c r="A615" s="226" t="str">
        <f t="shared" si="337"/>
        <v>5Y -&gt; PM Y7 Upside</v>
      </c>
      <c r="B615" s="226">
        <f t="shared" si="338"/>
        <v>5</v>
      </c>
      <c r="C615" s="235">
        <f t="shared" si="339"/>
        <v>3</v>
      </c>
      <c r="D615" s="226">
        <f t="shared" si="340"/>
        <v>7</v>
      </c>
      <c r="E615" s="226" t="str">
        <f t="shared" si="341"/>
        <v>Upside</v>
      </c>
      <c r="F615" s="230">
        <f t="shared" si="342"/>
        <v>50000000</v>
      </c>
      <c r="G615" s="236">
        <f t="shared" si="343"/>
        <v>0.2</v>
      </c>
      <c r="H615" s="230">
        <f t="shared" si="344"/>
        <v>300000</v>
      </c>
      <c r="I615" s="236">
        <f t="shared" si="326"/>
        <v>0</v>
      </c>
      <c r="J615" s="234">
        <v>26</v>
      </c>
      <c r="K615" s="234">
        <f t="shared" si="327"/>
        <v>2051</v>
      </c>
      <c r="L615" s="230">
        <f>IF(J615=1,'Model Inputs'!$B$25*(13-'Model Inputs'!$B$23)/12,'Model Inputs'!$B$25)</f>
        <v>300000</v>
      </c>
      <c r="M615" s="230">
        <f>IF(J615=1,'Model Inputs'!$B$27*(13-'Model Inputs'!$B$23)/12,IF(J615=2,'Model Inputs'!$B$27,IF(J615&lt;=MAX(3,'Model Inputs'!$B$30+1),'Model Inputs'!$B$27*(1+'Model Inputs'!$B$28)^(J615-3),'Model Inputs'!$B$27*(1+'Model Inputs'!$B$28)^(MAX(3,'Model Inputs'!$B$30+1)-3)*(1+'Model Inputs'!$B$29)^(J615-MAX(3,'Model Inputs'!$B$30+1)))))</f>
        <v>145848057.00524563</v>
      </c>
      <c r="N615" s="236">
        <f>IF(J615&lt;=2,0,'Model Inputs'!$B$32*SIN(2*PI()*(J615-3+'Model Inputs'!$B$34)/MAX(1,'Model Inputs'!$B$33)))</f>
        <v>-0.10392304845413224</v>
      </c>
      <c r="O615" s="230">
        <f t="shared" si="328"/>
        <v>130691082.31014845</v>
      </c>
      <c r="P615" s="230">
        <f t="shared" si="349"/>
        <v>117591354.65008041</v>
      </c>
      <c r="Q615" s="230">
        <f>L615+P615+IF(J615=1,'Model Inputs'!$B$26,0)</f>
        <v>117891354.65008041</v>
      </c>
      <c r="R615" s="230">
        <f t="shared" si="330"/>
        <v>353674063.95024121</v>
      </c>
      <c r="S615" s="230">
        <f t="shared" si="331"/>
        <v>10300000</v>
      </c>
      <c r="T615" s="230">
        <f t="shared" si="332"/>
        <v>10300000</v>
      </c>
      <c r="U615" s="230">
        <f>MIN(T615,'Tax Assumptions'!$B$19)</f>
        <v>24500</v>
      </c>
      <c r="V615" s="230">
        <f>MAX(T615-U615-'Tax Assumptions'!$B$8,0)</f>
        <v>10259400</v>
      </c>
      <c r="W615" s="230">
        <f>MAX(T615-U615-'Tax Assumptions'!$B$9,0)</f>
        <v>10267500</v>
      </c>
      <c r="X615" s="230">
        <f>IF(V615=0,0,LOOKUP(V615,'Tax Assumptions'!$F$9:$F$15,'Tax Assumptions'!$I$9:$I$15)+(V615-LOOKUP(V615,'Tax Assumptions'!$F$9:$F$15,'Tax Assumptions'!$F$9:$F$15))*LOOKUP(V615,'Tax Assumptions'!$F$9:$F$15,'Tax Assumptions'!$H$9:$H$15))+MIN(MAX(T615,0),'Tax Assumptions'!$B$11)*'Tax Assumptions'!$B$10+MAX(T615,0)*'Tax Assumptions'!$B$12+MAX(MAX(T615,0)-'Tax Assumptions'!$B$14,0)*'Tax Assumptions'!$B$13+MIN(T615*'Tax Assumptions'!$B$15,'Tax Assumptions'!$B$16)+MIN(T615*'Tax Assumptions'!$B$17,'Tax Assumptions'!$B$18)+IF(W615=0,0,LOOKUP(W615,'Tax Assumptions'!$K$9:$K$17,'Tax Assumptions'!$N$9:$N$17)+(W615-LOOKUP(W615,'Tax Assumptions'!$K$9:$K$17,'Tax Assumptions'!$K$9:$K$17))*LOOKUP(W615,'Tax Assumptions'!$K$9:$K$17,'Tax Assumptions'!$M$9:$M$17))+IF(W615=0,0,LOOKUP(W615,'Tax Assumptions'!$P$9:$P$12,'Tax Assumptions'!$S$9:$S$12)+(W615-LOOKUP(W615,'Tax Assumptions'!$P$9:$P$12,'Tax Assumptions'!$P$9:$P$12))*LOOKUP(W615,'Tax Assumptions'!$P$9:$P$12,'Tax Assumptions'!$R$9:$R$12))</f>
        <v>5394180.54</v>
      </c>
      <c r="Y615" s="230">
        <f t="shared" si="333"/>
        <v>4881319.46</v>
      </c>
      <c r="Z615" s="230">
        <f>IF(J615&lt;=10,INDEX('Savings Projection'!$BL$19:$BL$28,J615),LOOKUP(2,1/('Savings Projection'!$BL$19:$BL$28&lt;&gt;""),'Savings Projection'!$BL$19:$BL$28))*(1+'Model Inputs'!$B$35)^(J615-1)+IF(J615&lt;=10,INDEX('Savings Projection'!$BM$19:$BM$28,J615),LOOKUP(2,1/('Savings Projection'!$BM$19:$BM$28&lt;&gt;""),'Savings Projection'!$BM$19:$BM$28))*(1+'Model Inputs'!$B$36)^(J615-1)</f>
        <v>272191.13085504784</v>
      </c>
      <c r="AA615" s="230">
        <f t="shared" si="334"/>
        <v>4609128.3291449519</v>
      </c>
      <c r="AB615" s="230">
        <f>MIN(MAX(AA615,0),'Tax Assumptions'!$B$20)</f>
        <v>7500</v>
      </c>
      <c r="AC615" s="230">
        <f t="shared" si="335"/>
        <v>4601628.3291449519</v>
      </c>
      <c r="AD615" s="230">
        <f>MAX(AD614*(1+'Model Inputs'!$B$13)+AC615,0)</f>
        <v>181651222.17360571</v>
      </c>
      <c r="AE615" s="230">
        <f>MAX(AE614*(1+'Model Inputs'!$B$13)+U615+AB615,0)</f>
        <v>1893004.2468949838</v>
      </c>
      <c r="AF615" s="230">
        <f t="shared" si="336"/>
        <v>183544226.4205007</v>
      </c>
      <c r="AG615" s="226" t="str">
        <f t="shared" si="345"/>
        <v/>
      </c>
      <c r="AH615" s="226" t="str">
        <f t="shared" si="346"/>
        <v/>
      </c>
      <c r="AI615" s="226" t="str">
        <f t="shared" si="347"/>
        <v/>
      </c>
      <c r="AJ615" s="226" t="str">
        <f t="shared" si="348"/>
        <v/>
      </c>
    </row>
    <row r="616" spans="1:36" ht="18" customHeight="1" x14ac:dyDescent="0.2">
      <c r="A616" s="226" t="str">
        <f t="shared" si="337"/>
        <v>5Y -&gt; PM Y7 Upside</v>
      </c>
      <c r="B616" s="226">
        <f t="shared" si="338"/>
        <v>5</v>
      </c>
      <c r="C616" s="235">
        <f t="shared" si="339"/>
        <v>3</v>
      </c>
      <c r="D616" s="226">
        <f t="shared" si="340"/>
        <v>7</v>
      </c>
      <c r="E616" s="226" t="str">
        <f t="shared" si="341"/>
        <v>Upside</v>
      </c>
      <c r="F616" s="230">
        <f t="shared" si="342"/>
        <v>50000000</v>
      </c>
      <c r="G616" s="236">
        <f t="shared" si="343"/>
        <v>0.2</v>
      </c>
      <c r="H616" s="230">
        <f t="shared" si="344"/>
        <v>300000</v>
      </c>
      <c r="I616" s="236">
        <f t="shared" si="326"/>
        <v>0</v>
      </c>
      <c r="J616" s="234">
        <v>27</v>
      </c>
      <c r="K616" s="234">
        <f t="shared" si="327"/>
        <v>2052</v>
      </c>
      <c r="L616" s="230">
        <f>IF(J616=1,'Model Inputs'!$B$25*(13-'Model Inputs'!$B$23)/12,'Model Inputs'!$B$25)</f>
        <v>300000</v>
      </c>
      <c r="M616" s="230">
        <f>IF(J616=1,'Model Inputs'!$B$27*(13-'Model Inputs'!$B$23)/12,IF(J616=2,'Model Inputs'!$B$27,IF(J616&lt;=MAX(3,'Model Inputs'!$B$30+1),'Model Inputs'!$B$27*(1+'Model Inputs'!$B$28)^(J616-3),'Model Inputs'!$B$27*(1+'Model Inputs'!$B$28)^(MAX(3,'Model Inputs'!$B$30+1)-3)*(1+'Model Inputs'!$B$29)^(J616-MAX(3,'Model Inputs'!$B$30+1)))))</f>
        <v>185355004.59402937</v>
      </c>
      <c r="N616" s="236">
        <f>IF(J616&lt;=2,0,'Model Inputs'!$B$32*SIN(2*PI()*(J616-3+'Model Inputs'!$B$34)/MAX(1,'Model Inputs'!$B$33)))</f>
        <v>-2.3513218543629179E-16</v>
      </c>
      <c r="O616" s="230">
        <f t="shared" si="328"/>
        <v>185355004.59402934</v>
      </c>
      <c r="P616" s="230">
        <f t="shared" si="349"/>
        <v>129690333.6089489</v>
      </c>
      <c r="Q616" s="230">
        <f>L616+P616+IF(J616=1,'Model Inputs'!$B$26,0)</f>
        <v>129990333.6089489</v>
      </c>
      <c r="R616" s="230">
        <f t="shared" si="330"/>
        <v>389971000.82684672</v>
      </c>
      <c r="S616" s="230">
        <f t="shared" si="331"/>
        <v>10300000</v>
      </c>
      <c r="T616" s="230">
        <f t="shared" si="332"/>
        <v>10300000</v>
      </c>
      <c r="U616" s="230">
        <f>MIN(T616,'Tax Assumptions'!$B$19)</f>
        <v>24500</v>
      </c>
      <c r="V616" s="230">
        <f>MAX(T616-U616-'Tax Assumptions'!$B$8,0)</f>
        <v>10259400</v>
      </c>
      <c r="W616" s="230">
        <f>MAX(T616-U616-'Tax Assumptions'!$B$9,0)</f>
        <v>10267500</v>
      </c>
      <c r="X616" s="230">
        <f>IF(V616=0,0,LOOKUP(V616,'Tax Assumptions'!$F$9:$F$15,'Tax Assumptions'!$I$9:$I$15)+(V616-LOOKUP(V616,'Tax Assumptions'!$F$9:$F$15,'Tax Assumptions'!$F$9:$F$15))*LOOKUP(V616,'Tax Assumptions'!$F$9:$F$15,'Tax Assumptions'!$H$9:$H$15))+MIN(MAX(T616,0),'Tax Assumptions'!$B$11)*'Tax Assumptions'!$B$10+MAX(T616,0)*'Tax Assumptions'!$B$12+MAX(MAX(T616,0)-'Tax Assumptions'!$B$14,0)*'Tax Assumptions'!$B$13+MIN(T616*'Tax Assumptions'!$B$15,'Tax Assumptions'!$B$16)+MIN(T616*'Tax Assumptions'!$B$17,'Tax Assumptions'!$B$18)+IF(W616=0,0,LOOKUP(W616,'Tax Assumptions'!$K$9:$K$17,'Tax Assumptions'!$N$9:$N$17)+(W616-LOOKUP(W616,'Tax Assumptions'!$K$9:$K$17,'Tax Assumptions'!$K$9:$K$17))*LOOKUP(W616,'Tax Assumptions'!$K$9:$K$17,'Tax Assumptions'!$M$9:$M$17))+IF(W616=0,0,LOOKUP(W616,'Tax Assumptions'!$P$9:$P$12,'Tax Assumptions'!$S$9:$S$12)+(W616-LOOKUP(W616,'Tax Assumptions'!$P$9:$P$12,'Tax Assumptions'!$P$9:$P$12))*LOOKUP(W616,'Tax Assumptions'!$P$9:$P$12,'Tax Assumptions'!$R$9:$R$12))</f>
        <v>5394180.54</v>
      </c>
      <c r="Y616" s="230">
        <f t="shared" si="333"/>
        <v>4881319.46</v>
      </c>
      <c r="Z616" s="230">
        <f>IF(J616&lt;=10,INDEX('Savings Projection'!$BL$19:$BL$28,J616),LOOKUP(2,1/('Savings Projection'!$BL$19:$BL$28&lt;&gt;""),'Savings Projection'!$BL$19:$BL$28))*(1+'Model Inputs'!$B$35)^(J616-1)+IF(J616&lt;=10,INDEX('Savings Projection'!$BM$19:$BM$28,J616),LOOKUP(2,1/('Savings Projection'!$BM$19:$BM$28&lt;&gt;""),'Savings Projection'!$BM$19:$BM$28))*(1+'Model Inputs'!$B$36)^(J616-1)</f>
        <v>280356.86478069925</v>
      </c>
      <c r="AA616" s="230">
        <f t="shared" si="334"/>
        <v>4600962.5952193011</v>
      </c>
      <c r="AB616" s="230">
        <f>MIN(MAX(AA616,0),'Tax Assumptions'!$B$20)</f>
        <v>7500</v>
      </c>
      <c r="AC616" s="230">
        <f t="shared" si="335"/>
        <v>4593462.5952193011</v>
      </c>
      <c r="AD616" s="230">
        <f>MAX(AD615*(1+'Model Inputs'!$B$13)+AC616,0)</f>
        <v>197143758.09924138</v>
      </c>
      <c r="AE616" s="230">
        <f>MAX(AE615*(1+'Model Inputs'!$B$13)+U616+AB616,0)</f>
        <v>2038584.5017086829</v>
      </c>
      <c r="AF616" s="230">
        <f t="shared" si="336"/>
        <v>199182342.60095006</v>
      </c>
      <c r="AG616" s="226" t="str">
        <f t="shared" si="345"/>
        <v/>
      </c>
      <c r="AH616" s="226" t="str">
        <f t="shared" si="346"/>
        <v/>
      </c>
      <c r="AI616" s="226" t="str">
        <f t="shared" si="347"/>
        <v/>
      </c>
      <c r="AJ616" s="226" t="str">
        <f t="shared" si="348"/>
        <v/>
      </c>
    </row>
    <row r="617" spans="1:36" ht="18" customHeight="1" x14ac:dyDescent="0.2">
      <c r="A617" s="226" t="str">
        <f t="shared" si="337"/>
        <v>5Y -&gt; PM Y7 Upside</v>
      </c>
      <c r="B617" s="226">
        <f t="shared" si="338"/>
        <v>5</v>
      </c>
      <c r="C617" s="235">
        <f t="shared" si="339"/>
        <v>3</v>
      </c>
      <c r="D617" s="226">
        <f t="shared" si="340"/>
        <v>7</v>
      </c>
      <c r="E617" s="226" t="str">
        <f t="shared" si="341"/>
        <v>Upside</v>
      </c>
      <c r="F617" s="230">
        <f t="shared" si="342"/>
        <v>50000000</v>
      </c>
      <c r="G617" s="236">
        <f t="shared" si="343"/>
        <v>0.2</v>
      </c>
      <c r="H617" s="230">
        <f t="shared" si="344"/>
        <v>300000</v>
      </c>
      <c r="I617" s="236">
        <f t="shared" si="326"/>
        <v>0</v>
      </c>
      <c r="J617" s="234">
        <v>28</v>
      </c>
      <c r="K617" s="234">
        <f t="shared" si="327"/>
        <v>2053</v>
      </c>
      <c r="L617" s="230">
        <f>IF(J617=1,'Model Inputs'!$B$25*(13-'Model Inputs'!$B$23)/12,'Model Inputs'!$B$25)</f>
        <v>300000</v>
      </c>
      <c r="M617" s="230">
        <f>IF(J617=1,'Model Inputs'!$B$27*(13-'Model Inputs'!$B$23)/12,IF(J617=2,'Model Inputs'!$B$27,IF(J617&lt;=MAX(3,'Model Inputs'!$B$30+1),'Model Inputs'!$B$27*(1+'Model Inputs'!$B$28)^(J617-3),'Model Inputs'!$B$27*(1+'Model Inputs'!$B$28)^(MAX(3,'Model Inputs'!$B$30+1)-3)*(1+'Model Inputs'!$B$29)^(J617-MAX(3,'Model Inputs'!$B$30+1)))))</f>
        <v>235563492.81236541</v>
      </c>
      <c r="N617" s="236">
        <f>IF(J617&lt;=2,0,'Model Inputs'!$B$32*SIN(2*PI()*(J617-3+'Model Inputs'!$B$34)/MAX(1,'Model Inputs'!$B$33)))</f>
        <v>0.10392304845413247</v>
      </c>
      <c r="O617" s="230">
        <f t="shared" si="328"/>
        <v>260043969.08992955</v>
      </c>
      <c r="P617" s="230">
        <f t="shared" si="349"/>
        <v>171689024.02305913</v>
      </c>
      <c r="Q617" s="230">
        <f>L617+P617+IF(J617=1,'Model Inputs'!$B$26,0)</f>
        <v>171989024.02305913</v>
      </c>
      <c r="R617" s="230">
        <f t="shared" si="330"/>
        <v>515967072.06917739</v>
      </c>
      <c r="S617" s="230">
        <f t="shared" si="331"/>
        <v>10300000</v>
      </c>
      <c r="T617" s="230">
        <f t="shared" si="332"/>
        <v>10300000</v>
      </c>
      <c r="U617" s="230">
        <f>MIN(T617,'Tax Assumptions'!$B$19)</f>
        <v>24500</v>
      </c>
      <c r="V617" s="230">
        <f>MAX(T617-U617-'Tax Assumptions'!$B$8,0)</f>
        <v>10259400</v>
      </c>
      <c r="W617" s="230">
        <f>MAX(T617-U617-'Tax Assumptions'!$B$9,0)</f>
        <v>10267500</v>
      </c>
      <c r="X617" s="230">
        <f>IF(V617=0,0,LOOKUP(V617,'Tax Assumptions'!$F$9:$F$15,'Tax Assumptions'!$I$9:$I$15)+(V617-LOOKUP(V617,'Tax Assumptions'!$F$9:$F$15,'Tax Assumptions'!$F$9:$F$15))*LOOKUP(V617,'Tax Assumptions'!$F$9:$F$15,'Tax Assumptions'!$H$9:$H$15))+MIN(MAX(T617,0),'Tax Assumptions'!$B$11)*'Tax Assumptions'!$B$10+MAX(T617,0)*'Tax Assumptions'!$B$12+MAX(MAX(T617,0)-'Tax Assumptions'!$B$14,0)*'Tax Assumptions'!$B$13+MIN(T617*'Tax Assumptions'!$B$15,'Tax Assumptions'!$B$16)+MIN(T617*'Tax Assumptions'!$B$17,'Tax Assumptions'!$B$18)+IF(W617=0,0,LOOKUP(W617,'Tax Assumptions'!$K$9:$K$17,'Tax Assumptions'!$N$9:$N$17)+(W617-LOOKUP(W617,'Tax Assumptions'!$K$9:$K$17,'Tax Assumptions'!$K$9:$K$17))*LOOKUP(W617,'Tax Assumptions'!$K$9:$K$17,'Tax Assumptions'!$M$9:$M$17))+IF(W617=0,0,LOOKUP(W617,'Tax Assumptions'!$P$9:$P$12,'Tax Assumptions'!$S$9:$S$12)+(W617-LOOKUP(W617,'Tax Assumptions'!$P$9:$P$12,'Tax Assumptions'!$P$9:$P$12))*LOOKUP(W617,'Tax Assumptions'!$P$9:$P$12,'Tax Assumptions'!$R$9:$R$12))</f>
        <v>5394180.54</v>
      </c>
      <c r="Y617" s="230">
        <f t="shared" si="333"/>
        <v>4881319.46</v>
      </c>
      <c r="Z617" s="230">
        <f>IF(J617&lt;=10,INDEX('Savings Projection'!$BL$19:$BL$28,J617),LOOKUP(2,1/('Savings Projection'!$BL$19:$BL$28&lt;&gt;""),'Savings Projection'!$BL$19:$BL$28))*(1+'Model Inputs'!$B$35)^(J617-1)+IF(J617&lt;=10,INDEX('Savings Projection'!$BM$19:$BM$28,J617),LOOKUP(2,1/('Savings Projection'!$BM$19:$BM$28&lt;&gt;""),'Savings Projection'!$BM$19:$BM$28))*(1+'Model Inputs'!$B$36)^(J617-1)</f>
        <v>288767.57072412025</v>
      </c>
      <c r="AA617" s="230">
        <f t="shared" si="334"/>
        <v>4592551.8892758796</v>
      </c>
      <c r="AB617" s="230">
        <f>MIN(MAX(AA617,0),'Tax Assumptions'!$B$20)</f>
        <v>7500</v>
      </c>
      <c r="AC617" s="230">
        <f t="shared" si="335"/>
        <v>4585051.8892758796</v>
      </c>
      <c r="AD617" s="230">
        <f>MAX(AD616*(1+'Model Inputs'!$B$13)+AC617,0)</f>
        <v>213557435.47447175</v>
      </c>
      <c r="AE617" s="230">
        <f>MAX(AE616*(1+'Model Inputs'!$B$13)+U617+AB617,0)</f>
        <v>2192899.5718112038</v>
      </c>
      <c r="AF617" s="230">
        <f t="shared" si="336"/>
        <v>215750335.04628295</v>
      </c>
      <c r="AG617" s="226" t="str">
        <f t="shared" si="345"/>
        <v/>
      </c>
      <c r="AH617" s="226" t="str">
        <f t="shared" si="346"/>
        <v/>
      </c>
      <c r="AI617" s="226" t="str">
        <f t="shared" si="347"/>
        <v/>
      </c>
      <c r="AJ617" s="226" t="str">
        <f t="shared" si="348"/>
        <v/>
      </c>
    </row>
    <row r="618" spans="1:36" ht="18" customHeight="1" x14ac:dyDescent="0.2">
      <c r="A618" s="226" t="str">
        <f t="shared" si="337"/>
        <v>5Y -&gt; PM Y7 Upside</v>
      </c>
      <c r="B618" s="226">
        <f t="shared" si="338"/>
        <v>5</v>
      </c>
      <c r="C618" s="235">
        <f t="shared" si="339"/>
        <v>3</v>
      </c>
      <c r="D618" s="226">
        <f t="shared" si="340"/>
        <v>7</v>
      </c>
      <c r="E618" s="226" t="str">
        <f t="shared" si="341"/>
        <v>Upside</v>
      </c>
      <c r="F618" s="230">
        <f t="shared" si="342"/>
        <v>50000000</v>
      </c>
      <c r="G618" s="236">
        <f t="shared" si="343"/>
        <v>0.2</v>
      </c>
      <c r="H618" s="230">
        <f t="shared" si="344"/>
        <v>300000</v>
      </c>
      <c r="I618" s="236">
        <f t="shared" si="326"/>
        <v>0</v>
      </c>
      <c r="J618" s="234">
        <v>29</v>
      </c>
      <c r="K618" s="234">
        <f t="shared" si="327"/>
        <v>2054</v>
      </c>
      <c r="L618" s="230">
        <f>IF(J618=1,'Model Inputs'!$B$25*(13-'Model Inputs'!$B$23)/12,'Model Inputs'!$B$25)</f>
        <v>300000</v>
      </c>
      <c r="M618" s="230">
        <f>IF(J618=1,'Model Inputs'!$B$27*(13-'Model Inputs'!$B$23)/12,IF(J618=2,'Model Inputs'!$B$27,IF(J618&lt;=MAX(3,'Model Inputs'!$B$30+1),'Model Inputs'!$B$27*(1+'Model Inputs'!$B$28)^(J618-3),'Model Inputs'!$B$27*(1+'Model Inputs'!$B$28)^(MAX(3,'Model Inputs'!$B$30+1)-3)*(1+'Model Inputs'!$B$29)^(J618-MAX(3,'Model Inputs'!$B$30+1)))))</f>
        <v>299372327.53708321</v>
      </c>
      <c r="N618" s="236">
        <f>IF(J618&lt;=2,0,'Model Inputs'!$B$32*SIN(2*PI()*(J618-3+'Model Inputs'!$B$34)/MAX(1,'Model Inputs'!$B$33)))</f>
        <v>-0.10392304845413265</v>
      </c>
      <c r="O618" s="230">
        <f t="shared" si="328"/>
        <v>268260642.63662043</v>
      </c>
      <c r="P618" s="230">
        <f t="shared" si="349"/>
        <v>241371727.96595448</v>
      </c>
      <c r="Q618" s="230">
        <f>L618+P618+IF(J618=1,'Model Inputs'!$B$26,0)</f>
        <v>241671727.96595448</v>
      </c>
      <c r="R618" s="230">
        <f t="shared" si="330"/>
        <v>725015183.89786339</v>
      </c>
      <c r="S618" s="230">
        <f t="shared" si="331"/>
        <v>10300000</v>
      </c>
      <c r="T618" s="230">
        <f t="shared" si="332"/>
        <v>10300000</v>
      </c>
      <c r="U618" s="230">
        <f>MIN(T618,'Tax Assumptions'!$B$19)</f>
        <v>24500</v>
      </c>
      <c r="V618" s="230">
        <f>MAX(T618-U618-'Tax Assumptions'!$B$8,0)</f>
        <v>10259400</v>
      </c>
      <c r="W618" s="230">
        <f>MAX(T618-U618-'Tax Assumptions'!$B$9,0)</f>
        <v>10267500</v>
      </c>
      <c r="X618" s="230">
        <f>IF(V618=0,0,LOOKUP(V618,'Tax Assumptions'!$F$9:$F$15,'Tax Assumptions'!$I$9:$I$15)+(V618-LOOKUP(V618,'Tax Assumptions'!$F$9:$F$15,'Tax Assumptions'!$F$9:$F$15))*LOOKUP(V618,'Tax Assumptions'!$F$9:$F$15,'Tax Assumptions'!$H$9:$H$15))+MIN(MAX(T618,0),'Tax Assumptions'!$B$11)*'Tax Assumptions'!$B$10+MAX(T618,0)*'Tax Assumptions'!$B$12+MAX(MAX(T618,0)-'Tax Assumptions'!$B$14,0)*'Tax Assumptions'!$B$13+MIN(T618*'Tax Assumptions'!$B$15,'Tax Assumptions'!$B$16)+MIN(T618*'Tax Assumptions'!$B$17,'Tax Assumptions'!$B$18)+IF(W618=0,0,LOOKUP(W618,'Tax Assumptions'!$K$9:$K$17,'Tax Assumptions'!$N$9:$N$17)+(W618-LOOKUP(W618,'Tax Assumptions'!$K$9:$K$17,'Tax Assumptions'!$K$9:$K$17))*LOOKUP(W618,'Tax Assumptions'!$K$9:$K$17,'Tax Assumptions'!$M$9:$M$17))+IF(W618=0,0,LOOKUP(W618,'Tax Assumptions'!$P$9:$P$12,'Tax Assumptions'!$S$9:$S$12)+(W618-LOOKUP(W618,'Tax Assumptions'!$P$9:$P$12,'Tax Assumptions'!$P$9:$P$12))*LOOKUP(W618,'Tax Assumptions'!$P$9:$P$12,'Tax Assumptions'!$R$9:$R$12))</f>
        <v>5394180.54</v>
      </c>
      <c r="Y618" s="230">
        <f t="shared" si="333"/>
        <v>4881319.46</v>
      </c>
      <c r="Z618" s="230">
        <f>IF(J618&lt;=10,INDEX('Savings Projection'!$BL$19:$BL$28,J618),LOOKUP(2,1/('Savings Projection'!$BL$19:$BL$28&lt;&gt;""),'Savings Projection'!$BL$19:$BL$28))*(1+'Model Inputs'!$B$35)^(J618-1)+IF(J618&lt;=10,INDEX('Savings Projection'!$BM$19:$BM$28,J618),LOOKUP(2,1/('Savings Projection'!$BM$19:$BM$28&lt;&gt;""),'Savings Projection'!$BM$19:$BM$28))*(1+'Model Inputs'!$B$36)^(J618-1)</f>
        <v>297430.59784584382</v>
      </c>
      <c r="AA618" s="230">
        <f t="shared" si="334"/>
        <v>4583888.862154156</v>
      </c>
      <c r="AB618" s="230">
        <f>MIN(MAX(AA618,0),'Tax Assumptions'!$B$20)</f>
        <v>7500</v>
      </c>
      <c r="AC618" s="230">
        <f t="shared" si="335"/>
        <v>4576388.862154156</v>
      </c>
      <c r="AD618" s="230">
        <f>MAX(AD617*(1+'Model Inputs'!$B$13)+AC618,0)</f>
        <v>230947270.46509421</v>
      </c>
      <c r="AE618" s="230">
        <f>MAX(AE617*(1+'Model Inputs'!$B$13)+U618+AB618,0)</f>
        <v>2356473.5461198762</v>
      </c>
      <c r="AF618" s="230">
        <f t="shared" si="336"/>
        <v>233303744.01121408</v>
      </c>
      <c r="AG618" s="226" t="str">
        <f t="shared" si="345"/>
        <v/>
      </c>
      <c r="AH618" s="226" t="str">
        <f t="shared" si="346"/>
        <v/>
      </c>
      <c r="AI618" s="226" t="str">
        <f t="shared" si="347"/>
        <v/>
      </c>
      <c r="AJ618" s="226" t="str">
        <f t="shared" si="348"/>
        <v/>
      </c>
    </row>
    <row r="619" spans="1:36" ht="18" customHeight="1" x14ac:dyDescent="0.2">
      <c r="A619" s="226" t="str">
        <f t="shared" si="337"/>
        <v>5Y -&gt; PM Y7 Upside</v>
      </c>
      <c r="B619" s="226">
        <f t="shared" si="338"/>
        <v>5</v>
      </c>
      <c r="C619" s="235">
        <f t="shared" si="339"/>
        <v>3</v>
      </c>
      <c r="D619" s="226">
        <f t="shared" si="340"/>
        <v>7</v>
      </c>
      <c r="E619" s="226" t="str">
        <f t="shared" si="341"/>
        <v>Upside</v>
      </c>
      <c r="F619" s="230">
        <f t="shared" si="342"/>
        <v>50000000</v>
      </c>
      <c r="G619" s="236">
        <f t="shared" si="343"/>
        <v>0.2</v>
      </c>
      <c r="H619" s="230">
        <f t="shared" si="344"/>
        <v>300000</v>
      </c>
      <c r="I619" s="236">
        <f t="shared" si="326"/>
        <v>0</v>
      </c>
      <c r="J619" s="234">
        <v>30</v>
      </c>
      <c r="K619" s="234">
        <f t="shared" si="327"/>
        <v>2055</v>
      </c>
      <c r="L619" s="230">
        <f>IF(J619=1,'Model Inputs'!$B$25*(13-'Model Inputs'!$B$23)/12,'Model Inputs'!$B$25)</f>
        <v>300000</v>
      </c>
      <c r="M619" s="230">
        <f>IF(J619=1,'Model Inputs'!$B$27*(13-'Model Inputs'!$B$23)/12,IF(J619=2,'Model Inputs'!$B$27,IF(J619&lt;=MAX(3,'Model Inputs'!$B$30+1),'Model Inputs'!$B$27*(1+'Model Inputs'!$B$28)^(J619-3),'Model Inputs'!$B$27*(1+'Model Inputs'!$B$28)^(MAX(3,'Model Inputs'!$B$30+1)-3)*(1+'Model Inputs'!$B$29)^(J619-MAX(3,'Model Inputs'!$B$30+1)))))</f>
        <v>380465535.74563926</v>
      </c>
      <c r="N619" s="236">
        <f>IF(J619&lt;=2,0,'Model Inputs'!$B$32*SIN(2*PI()*(J619-3+'Model Inputs'!$B$34)/MAX(1,'Model Inputs'!$B$33)))</f>
        <v>-2.645237086158283E-16</v>
      </c>
      <c r="O619" s="230">
        <f t="shared" si="328"/>
        <v>380465535.7456392</v>
      </c>
      <c r="P619" s="230">
        <f t="shared" si="349"/>
        <v>266206474.24994773</v>
      </c>
      <c r="Q619" s="230">
        <f>L619+P619+IF(J619=1,'Model Inputs'!$B$26,0)</f>
        <v>266506474.24994773</v>
      </c>
      <c r="R619" s="230">
        <f t="shared" si="330"/>
        <v>799519422.74984312</v>
      </c>
      <c r="S619" s="230">
        <f t="shared" si="331"/>
        <v>10300000</v>
      </c>
      <c r="T619" s="230">
        <f t="shared" si="332"/>
        <v>10300000</v>
      </c>
      <c r="U619" s="230">
        <f>MIN(T619,'Tax Assumptions'!$B$19)</f>
        <v>24500</v>
      </c>
      <c r="V619" s="230">
        <f>MAX(T619-U619-'Tax Assumptions'!$B$8,0)</f>
        <v>10259400</v>
      </c>
      <c r="W619" s="230">
        <f>MAX(T619-U619-'Tax Assumptions'!$B$9,0)</f>
        <v>10267500</v>
      </c>
      <c r="X619" s="230">
        <f>IF(V619=0,0,LOOKUP(V619,'Tax Assumptions'!$F$9:$F$15,'Tax Assumptions'!$I$9:$I$15)+(V619-LOOKUP(V619,'Tax Assumptions'!$F$9:$F$15,'Tax Assumptions'!$F$9:$F$15))*LOOKUP(V619,'Tax Assumptions'!$F$9:$F$15,'Tax Assumptions'!$H$9:$H$15))+MIN(MAX(T619,0),'Tax Assumptions'!$B$11)*'Tax Assumptions'!$B$10+MAX(T619,0)*'Tax Assumptions'!$B$12+MAX(MAX(T619,0)-'Tax Assumptions'!$B$14,0)*'Tax Assumptions'!$B$13+MIN(T619*'Tax Assumptions'!$B$15,'Tax Assumptions'!$B$16)+MIN(T619*'Tax Assumptions'!$B$17,'Tax Assumptions'!$B$18)+IF(W619=0,0,LOOKUP(W619,'Tax Assumptions'!$K$9:$K$17,'Tax Assumptions'!$N$9:$N$17)+(W619-LOOKUP(W619,'Tax Assumptions'!$K$9:$K$17,'Tax Assumptions'!$K$9:$K$17))*LOOKUP(W619,'Tax Assumptions'!$K$9:$K$17,'Tax Assumptions'!$M$9:$M$17))+IF(W619=0,0,LOOKUP(W619,'Tax Assumptions'!$P$9:$P$12,'Tax Assumptions'!$S$9:$S$12)+(W619-LOOKUP(W619,'Tax Assumptions'!$P$9:$P$12,'Tax Assumptions'!$P$9:$P$12))*LOOKUP(W619,'Tax Assumptions'!$P$9:$P$12,'Tax Assumptions'!$R$9:$R$12))</f>
        <v>5394180.54</v>
      </c>
      <c r="Y619" s="230">
        <f t="shared" si="333"/>
        <v>4881319.46</v>
      </c>
      <c r="Z619" s="230">
        <f>IF(J619&lt;=10,INDEX('Savings Projection'!$BL$19:$BL$28,J619),LOOKUP(2,1/('Savings Projection'!$BL$19:$BL$28&lt;&gt;""),'Savings Projection'!$BL$19:$BL$28))*(1+'Model Inputs'!$B$35)^(J619-1)+IF(J619&lt;=10,INDEX('Savings Projection'!$BM$19:$BM$28,J619),LOOKUP(2,1/('Savings Projection'!$BM$19:$BM$28&lt;&gt;""),'Savings Projection'!$BM$19:$BM$28))*(1+'Model Inputs'!$B$36)^(J619-1)</f>
        <v>306353.51578121912</v>
      </c>
      <c r="AA619" s="230">
        <f t="shared" si="334"/>
        <v>4574965.9442187808</v>
      </c>
      <c r="AB619" s="230">
        <f>MIN(MAX(AA619,0),'Tax Assumptions'!$B$20)</f>
        <v>7500</v>
      </c>
      <c r="AC619" s="230">
        <f t="shared" si="335"/>
        <v>4567465.9442187808</v>
      </c>
      <c r="AD619" s="230">
        <f>MAX(AD618*(1+'Model Inputs'!$B$13)+AC619,0)</f>
        <v>249371572.63721865</v>
      </c>
      <c r="AE619" s="230">
        <f>MAX(AE618*(1+'Model Inputs'!$B$13)+U619+AB619,0)</f>
        <v>2529861.958887069</v>
      </c>
      <c r="AF619" s="230">
        <f t="shared" si="336"/>
        <v>251901434.59610572</v>
      </c>
      <c r="AG619" s="226" t="str">
        <f t="shared" si="345"/>
        <v/>
      </c>
      <c r="AH619" s="226" t="str">
        <f t="shared" si="346"/>
        <v/>
      </c>
      <c r="AI619" s="226" t="str">
        <f t="shared" si="347"/>
        <v/>
      </c>
      <c r="AJ619" s="226" t="str">
        <f t="shared" si="348"/>
        <v/>
      </c>
    </row>
    <row r="620" spans="1:36" ht="18" customHeight="1" x14ac:dyDescent="0.2">
      <c r="A620" s="226" t="str">
        <f t="shared" ref="A620:A649" si="350">$A$41</f>
        <v>5Y -&gt; PM Y7 Tail</v>
      </c>
      <c r="B620" s="226">
        <f t="shared" ref="B620:B649" si="351">$B$41</f>
        <v>5</v>
      </c>
      <c r="C620" s="235">
        <f t="shared" ref="C620:C649" si="352">$C$41</f>
        <v>3</v>
      </c>
      <c r="D620" s="226">
        <f t="shared" ref="D620:D649" si="353">$D$41</f>
        <v>7</v>
      </c>
      <c r="E620" s="226" t="str">
        <f t="shared" ref="E620:E649" si="354">$E$41</f>
        <v>Tail</v>
      </c>
      <c r="F620" s="230">
        <f t="shared" ref="F620:F649" si="355">$F$41</f>
        <v>100000000</v>
      </c>
      <c r="G620" s="236">
        <f t="shared" ref="G620:G649" si="356">$G$41</f>
        <v>0.15</v>
      </c>
      <c r="H620" s="230">
        <f t="shared" ref="H620:H649" si="357">$H$41</f>
        <v>300000</v>
      </c>
      <c r="I620" s="236">
        <f t="shared" si="326"/>
        <v>0</v>
      </c>
      <c r="J620" s="234">
        <v>1</v>
      </c>
      <c r="K620" s="234">
        <f t="shared" si="327"/>
        <v>2026</v>
      </c>
      <c r="L620" s="230">
        <f>IF(J620=1,'Model Inputs'!$B$25*(13-'Model Inputs'!$B$23)/12,'Model Inputs'!$B$25)</f>
        <v>100000</v>
      </c>
      <c r="M620" s="230">
        <f>IF(J620=1,'Model Inputs'!$B$27*(13-'Model Inputs'!$B$23)/12,IF(J620=2,'Model Inputs'!$B$27,IF(J620&lt;=MAX(3,'Model Inputs'!$B$30+1),'Model Inputs'!$B$27*(1+'Model Inputs'!$B$28)^(J620-3),'Model Inputs'!$B$27*(1+'Model Inputs'!$B$28)^(MAX(3,'Model Inputs'!$B$30+1)-3)*(1+'Model Inputs'!$B$29)^(J620-MAX(3,'Model Inputs'!$B$30+1)))))</f>
        <v>150000</v>
      </c>
      <c r="N620" s="236">
        <f>IF(J620&lt;=2,0,'Model Inputs'!$B$32*SIN(2*PI()*(J620-3+'Model Inputs'!$B$34)/MAX(1,'Model Inputs'!$B$33)))</f>
        <v>0</v>
      </c>
      <c r="O620" s="230">
        <f t="shared" si="328"/>
        <v>150000</v>
      </c>
      <c r="P620" s="230">
        <f>0</f>
        <v>0</v>
      </c>
      <c r="Q620" s="230">
        <f>L620+P620+IF(J620=1,'Model Inputs'!$B$26,0)</f>
        <v>550000</v>
      </c>
      <c r="R620" s="230">
        <f t="shared" si="330"/>
        <v>550000</v>
      </c>
      <c r="S620" s="230">
        <f t="shared" si="331"/>
        <v>15300000</v>
      </c>
      <c r="T620" s="230">
        <f t="shared" si="332"/>
        <v>550000</v>
      </c>
      <c r="U620" s="230">
        <f>MIN(T620,'Tax Assumptions'!$B$19)</f>
        <v>24500</v>
      </c>
      <c r="V620" s="230">
        <f>MAX(T620-U620-'Tax Assumptions'!$B$8,0)</f>
        <v>509400</v>
      </c>
      <c r="W620" s="230">
        <f>MAX(T620-U620-'Tax Assumptions'!$B$9,0)</f>
        <v>517500</v>
      </c>
      <c r="X620" s="230">
        <f>IF(V620=0,0,LOOKUP(V620,'Tax Assumptions'!$F$9:$F$15,'Tax Assumptions'!$I$9:$I$15)+(V620-LOOKUP(V620,'Tax Assumptions'!$F$9:$F$15,'Tax Assumptions'!$F$9:$F$15))*LOOKUP(V620,'Tax Assumptions'!$F$9:$F$15,'Tax Assumptions'!$H$9:$H$15))+MIN(MAX(T620,0),'Tax Assumptions'!$B$11)*'Tax Assumptions'!$B$10+MAX(T620,0)*'Tax Assumptions'!$B$12+MAX(MAX(T620,0)-'Tax Assumptions'!$B$14,0)*'Tax Assumptions'!$B$13+MIN(T620*'Tax Assumptions'!$B$15,'Tax Assumptions'!$B$16)+MIN(T620*'Tax Assumptions'!$B$17,'Tax Assumptions'!$B$18)+IF(W620=0,0,LOOKUP(W620,'Tax Assumptions'!$K$9:$K$17,'Tax Assumptions'!$N$9:$N$17)+(W620-LOOKUP(W620,'Tax Assumptions'!$K$9:$K$17,'Tax Assumptions'!$K$9:$K$17))*LOOKUP(W620,'Tax Assumptions'!$K$9:$K$17,'Tax Assumptions'!$M$9:$M$17))+IF(W620=0,0,LOOKUP(W620,'Tax Assumptions'!$P$9:$P$12,'Tax Assumptions'!$S$9:$S$12)+(W620-LOOKUP(W620,'Tax Assumptions'!$P$9:$P$12,'Tax Assumptions'!$P$9:$P$12))*LOOKUP(W620,'Tax Assumptions'!$P$9:$P$12,'Tax Assumptions'!$R$9:$R$12))</f>
        <v>222834.53000000003</v>
      </c>
      <c r="Y620" s="230">
        <f t="shared" si="333"/>
        <v>302665.46999999997</v>
      </c>
      <c r="Z620" s="230">
        <f>IF(J620&lt;=10,INDEX('Savings Projection'!$BL$19:$BL$28,J620),LOOKUP(2,1/('Savings Projection'!$BL$19:$BL$28&lt;&gt;""),'Savings Projection'!$BL$19:$BL$28))*(1+'Model Inputs'!$B$35)^(J620-1)+IF(J620&lt;=10,INDEX('Savings Projection'!$BM$19:$BM$28,J620),LOOKUP(2,1/('Savings Projection'!$BM$19:$BM$28&lt;&gt;""),'Savings Projection'!$BM$19:$BM$28))*(1+'Model Inputs'!$B$36)^(J620-1)</f>
        <v>118000</v>
      </c>
      <c r="AA620" s="230">
        <f t="shared" si="334"/>
        <v>184665.46999999997</v>
      </c>
      <c r="AB620" s="230">
        <f>MIN(MAX(AA620,0),'Tax Assumptions'!$B$20)</f>
        <v>7500</v>
      </c>
      <c r="AC620" s="230">
        <f t="shared" si="335"/>
        <v>177165.46999999997</v>
      </c>
      <c r="AD620" s="230">
        <f>MAX('Model Inputs'!$B$7*(1+'Model Inputs'!$B$13)+AC620,0)</f>
        <v>336165.47</v>
      </c>
      <c r="AE620" s="230">
        <f>MAX(('Model Inputs'!$B$8+'Model Inputs'!$B$9+'Model Inputs'!$B$10)*(1+'Model Inputs'!$B$13)+U620+AB620,0)</f>
        <v>32000</v>
      </c>
      <c r="AF620" s="230">
        <f t="shared" si="336"/>
        <v>368165.47</v>
      </c>
      <c r="AG620" s="226" t="str">
        <f>IF(AND(AF620&gt;=$F$14,0&lt;$F$14),J620,"")</f>
        <v/>
      </c>
      <c r="AH620" s="226" t="str">
        <f>IF(AND(AF620&gt;=$F$15,0&lt;$F$15),J620,"")</f>
        <v/>
      </c>
      <c r="AI620" s="226" t="str">
        <f>IF(AND(AF620&gt;=$F$16,0&lt;$F$16),J620,"")</f>
        <v/>
      </c>
      <c r="AJ620" s="226" t="str">
        <f>IF(AND(AF620&gt;=$F$17,0&lt;$F$17),J620,"")</f>
        <v/>
      </c>
    </row>
    <row r="621" spans="1:36" ht="18" customHeight="1" x14ac:dyDescent="0.2">
      <c r="A621" s="226" t="str">
        <f t="shared" si="350"/>
        <v>5Y -&gt; PM Y7 Tail</v>
      </c>
      <c r="B621" s="226">
        <f t="shared" si="351"/>
        <v>5</v>
      </c>
      <c r="C621" s="235">
        <f t="shared" si="352"/>
        <v>3</v>
      </c>
      <c r="D621" s="226">
        <f t="shared" si="353"/>
        <v>7</v>
      </c>
      <c r="E621" s="226" t="str">
        <f t="shared" si="354"/>
        <v>Tail</v>
      </c>
      <c r="F621" s="230">
        <f t="shared" si="355"/>
        <v>100000000</v>
      </c>
      <c r="G621" s="236">
        <f t="shared" si="356"/>
        <v>0.15</v>
      </c>
      <c r="H621" s="230">
        <f t="shared" si="357"/>
        <v>300000</v>
      </c>
      <c r="I621" s="236">
        <f t="shared" si="326"/>
        <v>0</v>
      </c>
      <c r="J621" s="234">
        <v>2</v>
      </c>
      <c r="K621" s="234">
        <f t="shared" si="327"/>
        <v>2027</v>
      </c>
      <c r="L621" s="230">
        <f>IF(J621=1,'Model Inputs'!$B$25*(13-'Model Inputs'!$B$23)/12,'Model Inputs'!$B$25)</f>
        <v>300000</v>
      </c>
      <c r="M621" s="230">
        <f>IF(J621=1,'Model Inputs'!$B$27*(13-'Model Inputs'!$B$23)/12,IF(J621=2,'Model Inputs'!$B$27,IF(J621&lt;=MAX(3,'Model Inputs'!$B$30+1),'Model Inputs'!$B$27*(1+'Model Inputs'!$B$28)^(J621-3),'Model Inputs'!$B$27*(1+'Model Inputs'!$B$28)^(MAX(3,'Model Inputs'!$B$30+1)-3)*(1+'Model Inputs'!$B$29)^(J621-MAX(3,'Model Inputs'!$B$30+1)))))</f>
        <v>450000</v>
      </c>
      <c r="N621" s="236">
        <f>IF(J621&lt;=2,0,'Model Inputs'!$B$32*SIN(2*PI()*(J621-3+'Model Inputs'!$B$34)/MAX(1,'Model Inputs'!$B$33)))</f>
        <v>0</v>
      </c>
      <c r="O621" s="230">
        <f t="shared" si="328"/>
        <v>450000</v>
      </c>
      <c r="P621" s="230">
        <f>0.75*O620</f>
        <v>112500</v>
      </c>
      <c r="Q621" s="230">
        <f>L621+P621+IF(J621=1,'Model Inputs'!$B$26,0)</f>
        <v>412500</v>
      </c>
      <c r="R621" s="230">
        <f t="shared" si="330"/>
        <v>412500</v>
      </c>
      <c r="S621" s="230">
        <f t="shared" si="331"/>
        <v>15300000</v>
      </c>
      <c r="T621" s="230">
        <f t="shared" si="332"/>
        <v>412500</v>
      </c>
      <c r="U621" s="230">
        <f>MIN(T621,'Tax Assumptions'!$B$19)</f>
        <v>24500</v>
      </c>
      <c r="V621" s="230">
        <f>MAX(T621-U621-'Tax Assumptions'!$B$8,0)</f>
        <v>371900</v>
      </c>
      <c r="W621" s="230">
        <f>MAX(T621-U621-'Tax Assumptions'!$B$9,0)</f>
        <v>380000</v>
      </c>
      <c r="X621" s="230">
        <f>IF(V621=0,0,LOOKUP(V621,'Tax Assumptions'!$F$9:$F$15,'Tax Assumptions'!$I$9:$I$15)+(V621-LOOKUP(V621,'Tax Assumptions'!$F$9:$F$15,'Tax Assumptions'!$F$9:$F$15))*LOOKUP(V621,'Tax Assumptions'!$F$9:$F$15,'Tax Assumptions'!$H$9:$H$15))+MIN(MAX(T621,0),'Tax Assumptions'!$B$11)*'Tax Assumptions'!$B$10+MAX(T621,0)*'Tax Assumptions'!$B$12+MAX(MAX(T621,0)-'Tax Assumptions'!$B$14,0)*'Tax Assumptions'!$B$13+MIN(T621*'Tax Assumptions'!$B$15,'Tax Assumptions'!$B$16)+MIN(T621*'Tax Assumptions'!$B$17,'Tax Assumptions'!$B$18)+IF(W621=0,0,LOOKUP(W621,'Tax Assumptions'!$K$9:$K$17,'Tax Assumptions'!$N$9:$N$17)+(W621-LOOKUP(W621,'Tax Assumptions'!$K$9:$K$17,'Tax Assumptions'!$K$9:$K$17))*LOOKUP(W621,'Tax Assumptions'!$K$9:$K$17,'Tax Assumptions'!$M$9:$M$17))+IF(W621=0,0,LOOKUP(W621,'Tax Assumptions'!$P$9:$P$12,'Tax Assumptions'!$S$9:$S$12)+(W621-LOOKUP(W621,'Tax Assumptions'!$P$9:$P$12,'Tax Assumptions'!$P$9:$P$12))*LOOKUP(W621,'Tax Assumptions'!$P$9:$P$12,'Tax Assumptions'!$R$9:$R$12))</f>
        <v>156730.03</v>
      </c>
      <c r="Y621" s="230">
        <f t="shared" si="333"/>
        <v>231269.97</v>
      </c>
      <c r="Z621" s="230">
        <f>IF(J621&lt;=10,INDEX('Savings Projection'!$BL$19:$BL$28,J621),LOOKUP(2,1/('Savings Projection'!$BL$19:$BL$28&lt;&gt;""),'Savings Projection'!$BL$19:$BL$28))*(1+'Model Inputs'!$B$35)^(J621-1)+IF(J621&lt;=10,INDEX('Savings Projection'!$BM$19:$BM$28,J621),LOOKUP(2,1/('Savings Projection'!$BM$19:$BM$28&lt;&gt;""),'Savings Projection'!$BM$19:$BM$28))*(1+'Model Inputs'!$B$36)^(J621-1)</f>
        <v>121540</v>
      </c>
      <c r="AA621" s="230">
        <f t="shared" si="334"/>
        <v>109729.97</v>
      </c>
      <c r="AB621" s="230">
        <f>MIN(MAX(AA621,0),'Tax Assumptions'!$B$20)</f>
        <v>7500</v>
      </c>
      <c r="AC621" s="230">
        <f t="shared" si="335"/>
        <v>102229.97</v>
      </c>
      <c r="AD621" s="230">
        <f>MAX(AD620*(1+'Model Inputs'!$B$13)+AC621,0)</f>
        <v>458565.36820000003</v>
      </c>
      <c r="AE621" s="230">
        <f>MAX(AE620*(1+'Model Inputs'!$B$13)+U621+AB621,0)</f>
        <v>65920</v>
      </c>
      <c r="AF621" s="230">
        <f t="shared" si="336"/>
        <v>524485.36820000003</v>
      </c>
      <c r="AG621" s="226" t="str">
        <f t="shared" ref="AG621:AG649" si="358">IF(AND(AF621&gt;=$F$14,AF620&lt;$F$14),J621,"")</f>
        <v/>
      </c>
      <c r="AH621" s="226" t="str">
        <f t="shared" ref="AH621:AH649" si="359">IF(AND(AF621&gt;=$F$15,AF620&lt;$F$15),J621,"")</f>
        <v/>
      </c>
      <c r="AI621" s="226" t="str">
        <f t="shared" ref="AI621:AI649" si="360">IF(AND(AF621&gt;=$F$16,AF620&lt;$F$16),J621,"")</f>
        <v/>
      </c>
      <c r="AJ621" s="226" t="str">
        <f t="shared" ref="AJ621:AJ649" si="361">IF(AND(AF621&gt;=$F$17,AF620&lt;$F$17),J621,"")</f>
        <v/>
      </c>
    </row>
    <row r="622" spans="1:36" ht="18" customHeight="1" x14ac:dyDescent="0.2">
      <c r="A622" s="226" t="str">
        <f t="shared" si="350"/>
        <v>5Y -&gt; PM Y7 Tail</v>
      </c>
      <c r="B622" s="226">
        <f t="shared" si="351"/>
        <v>5</v>
      </c>
      <c r="C622" s="235">
        <f t="shared" si="352"/>
        <v>3</v>
      </c>
      <c r="D622" s="226">
        <f t="shared" si="353"/>
        <v>7</v>
      </c>
      <c r="E622" s="226" t="str">
        <f t="shared" si="354"/>
        <v>Tail</v>
      </c>
      <c r="F622" s="230">
        <f t="shared" si="355"/>
        <v>100000000</v>
      </c>
      <c r="G622" s="236">
        <f t="shared" si="356"/>
        <v>0.15</v>
      </c>
      <c r="H622" s="230">
        <f t="shared" si="357"/>
        <v>300000</v>
      </c>
      <c r="I622" s="236">
        <f t="shared" si="326"/>
        <v>0</v>
      </c>
      <c r="J622" s="234">
        <v>3</v>
      </c>
      <c r="K622" s="234">
        <f t="shared" si="327"/>
        <v>2028</v>
      </c>
      <c r="L622" s="230">
        <f>IF(J622=1,'Model Inputs'!$B$25*(13-'Model Inputs'!$B$23)/12,'Model Inputs'!$B$25)</f>
        <v>300000</v>
      </c>
      <c r="M622" s="230">
        <f>IF(J622=1,'Model Inputs'!$B$27*(13-'Model Inputs'!$B$23)/12,IF(J622=2,'Model Inputs'!$B$27,IF(J622&lt;=MAX(3,'Model Inputs'!$B$30+1),'Model Inputs'!$B$27*(1+'Model Inputs'!$B$28)^(J622-3),'Model Inputs'!$B$27*(1+'Model Inputs'!$B$28)^(MAX(3,'Model Inputs'!$B$30+1)-3)*(1+'Model Inputs'!$B$29)^(J622-MAX(3,'Model Inputs'!$B$30+1)))))</f>
        <v>450000</v>
      </c>
      <c r="N622" s="236">
        <f>IF(J622&lt;=2,0,'Model Inputs'!$B$32*SIN(2*PI()*(J622-3+'Model Inputs'!$B$34)/MAX(1,'Model Inputs'!$B$33)))</f>
        <v>0</v>
      </c>
      <c r="O622" s="230">
        <f t="shared" si="328"/>
        <v>450000</v>
      </c>
      <c r="P622" s="230">
        <f t="shared" ref="P622:P649" si="362">0.75*O621+0.25*O620</f>
        <v>375000</v>
      </c>
      <c r="Q622" s="230">
        <f>L622+P622+IF(J622=1,'Model Inputs'!$B$26,0)</f>
        <v>675000</v>
      </c>
      <c r="R622" s="230">
        <f t="shared" si="330"/>
        <v>675000</v>
      </c>
      <c r="S622" s="230">
        <f t="shared" si="331"/>
        <v>15300000</v>
      </c>
      <c r="T622" s="230">
        <f t="shared" si="332"/>
        <v>675000</v>
      </c>
      <c r="U622" s="230">
        <f>MIN(T622,'Tax Assumptions'!$B$19)</f>
        <v>24500</v>
      </c>
      <c r="V622" s="230">
        <f>MAX(T622-U622-'Tax Assumptions'!$B$8,0)</f>
        <v>634400</v>
      </c>
      <c r="W622" s="230">
        <f>MAX(T622-U622-'Tax Assumptions'!$B$9,0)</f>
        <v>642500</v>
      </c>
      <c r="X622" s="230">
        <f>IF(V622=0,0,LOOKUP(V622,'Tax Assumptions'!$F$9:$F$15,'Tax Assumptions'!$I$9:$I$15)+(V622-LOOKUP(V622,'Tax Assumptions'!$F$9:$F$15,'Tax Assumptions'!$F$9:$F$15))*LOOKUP(V622,'Tax Assumptions'!$F$9:$F$15,'Tax Assumptions'!$H$9:$H$15))+MIN(MAX(T622,0),'Tax Assumptions'!$B$11)*'Tax Assumptions'!$B$10+MAX(T622,0)*'Tax Assumptions'!$B$12+MAX(MAX(T622,0)-'Tax Assumptions'!$B$14,0)*'Tax Assumptions'!$B$13+MIN(T622*'Tax Assumptions'!$B$15,'Tax Assumptions'!$B$16)+MIN(T622*'Tax Assumptions'!$B$17,'Tax Assumptions'!$B$18)+IF(W622=0,0,LOOKUP(W622,'Tax Assumptions'!$K$9:$K$17,'Tax Assumptions'!$N$9:$N$17)+(W622-LOOKUP(W622,'Tax Assumptions'!$K$9:$K$17,'Tax Assumptions'!$K$9:$K$17))*LOOKUP(W622,'Tax Assumptions'!$K$9:$K$17,'Tax Assumptions'!$M$9:$M$17))+IF(W622=0,0,LOOKUP(W622,'Tax Assumptions'!$P$9:$P$12,'Tax Assumptions'!$S$9:$S$12)+(W622-LOOKUP(W622,'Tax Assumptions'!$P$9:$P$12,'Tax Assumptions'!$P$9:$P$12))*LOOKUP(W622,'Tax Assumptions'!$P$9:$P$12,'Tax Assumptions'!$R$9:$R$12))</f>
        <v>282929.53000000003</v>
      </c>
      <c r="Y622" s="230">
        <f t="shared" si="333"/>
        <v>367570.47</v>
      </c>
      <c r="Z622" s="230">
        <f>IF(J622&lt;=10,INDEX('Savings Projection'!$BL$19:$BL$28,J622),LOOKUP(2,1/('Savings Projection'!$BL$19:$BL$28&lt;&gt;""),'Savings Projection'!$BL$19:$BL$28))*(1+'Model Inputs'!$B$35)^(J622-1)+IF(J622&lt;=10,INDEX('Savings Projection'!$BM$19:$BM$28,J622),LOOKUP(2,1/('Savings Projection'!$BM$19:$BM$28&lt;&gt;""),'Savings Projection'!$BM$19:$BM$28))*(1+'Model Inputs'!$B$36)^(J622-1)</f>
        <v>135795.20000000001</v>
      </c>
      <c r="AA622" s="230">
        <f t="shared" si="334"/>
        <v>231775.26999999996</v>
      </c>
      <c r="AB622" s="230">
        <f>MIN(MAX(AA622,0),'Tax Assumptions'!$B$20)</f>
        <v>7500</v>
      </c>
      <c r="AC622" s="230">
        <f t="shared" si="335"/>
        <v>224275.26999999996</v>
      </c>
      <c r="AD622" s="230">
        <f>MAX(AD621*(1+'Model Inputs'!$B$13)+AC622,0)</f>
        <v>710354.56029199995</v>
      </c>
      <c r="AE622" s="230">
        <f>MAX(AE621*(1+'Model Inputs'!$B$13)+U622+AB622,0)</f>
        <v>101875.2</v>
      </c>
      <c r="AF622" s="230">
        <f t="shared" si="336"/>
        <v>812229.7602919999</v>
      </c>
      <c r="AG622" s="226" t="str">
        <f t="shared" si="358"/>
        <v/>
      </c>
      <c r="AH622" s="226" t="str">
        <f t="shared" si="359"/>
        <v/>
      </c>
      <c r="AI622" s="226" t="str">
        <f t="shared" si="360"/>
        <v/>
      </c>
      <c r="AJ622" s="226" t="str">
        <f t="shared" si="361"/>
        <v/>
      </c>
    </row>
    <row r="623" spans="1:36" ht="18" customHeight="1" x14ac:dyDescent="0.2">
      <c r="A623" s="226" t="str">
        <f t="shared" si="350"/>
        <v>5Y -&gt; PM Y7 Tail</v>
      </c>
      <c r="B623" s="226">
        <f t="shared" si="351"/>
        <v>5</v>
      </c>
      <c r="C623" s="235">
        <f t="shared" si="352"/>
        <v>3</v>
      </c>
      <c r="D623" s="226">
        <f t="shared" si="353"/>
        <v>7</v>
      </c>
      <c r="E623" s="226" t="str">
        <f t="shared" si="354"/>
        <v>Tail</v>
      </c>
      <c r="F623" s="230">
        <f t="shared" si="355"/>
        <v>100000000</v>
      </c>
      <c r="G623" s="236">
        <f t="shared" si="356"/>
        <v>0.15</v>
      </c>
      <c r="H623" s="230">
        <f t="shared" si="357"/>
        <v>300000</v>
      </c>
      <c r="I623" s="236">
        <f t="shared" si="326"/>
        <v>0</v>
      </c>
      <c r="J623" s="234">
        <v>4</v>
      </c>
      <c r="K623" s="234">
        <f t="shared" si="327"/>
        <v>2029</v>
      </c>
      <c r="L623" s="230">
        <f>IF(J623=1,'Model Inputs'!$B$25*(13-'Model Inputs'!$B$23)/12,'Model Inputs'!$B$25)</f>
        <v>300000</v>
      </c>
      <c r="M623" s="230">
        <f>IF(J623=1,'Model Inputs'!$B$27*(13-'Model Inputs'!$B$23)/12,IF(J623=2,'Model Inputs'!$B$27,IF(J623&lt;=MAX(3,'Model Inputs'!$B$30+1),'Model Inputs'!$B$27*(1+'Model Inputs'!$B$28)^(J623-3),'Model Inputs'!$B$27*(1+'Model Inputs'!$B$28)^(MAX(3,'Model Inputs'!$B$30+1)-3)*(1+'Model Inputs'!$B$29)^(J623-MAX(3,'Model Inputs'!$B$30+1)))))</f>
        <v>653834.84153110103</v>
      </c>
      <c r="N623" s="236">
        <f>IF(J623&lt;=2,0,'Model Inputs'!$B$32*SIN(2*PI()*(J623-3+'Model Inputs'!$B$34)/MAX(1,'Model Inputs'!$B$33)))</f>
        <v>0.10392304845413264</v>
      </c>
      <c r="O623" s="230">
        <f t="shared" si="328"/>
        <v>721783.35144853778</v>
      </c>
      <c r="P623" s="230">
        <f t="shared" si="362"/>
        <v>450000</v>
      </c>
      <c r="Q623" s="230">
        <f>L623+P623+IF(J623=1,'Model Inputs'!$B$26,0)</f>
        <v>750000</v>
      </c>
      <c r="R623" s="230">
        <f t="shared" si="330"/>
        <v>750000</v>
      </c>
      <c r="S623" s="230">
        <f t="shared" si="331"/>
        <v>15300000</v>
      </c>
      <c r="T623" s="230">
        <f t="shared" si="332"/>
        <v>750000</v>
      </c>
      <c r="U623" s="230">
        <f>MIN(T623,'Tax Assumptions'!$B$19)</f>
        <v>24500</v>
      </c>
      <c r="V623" s="230">
        <f>MAX(T623-U623-'Tax Assumptions'!$B$8,0)</f>
        <v>709400</v>
      </c>
      <c r="W623" s="230">
        <f>MAX(T623-U623-'Tax Assumptions'!$B$9,0)</f>
        <v>717500</v>
      </c>
      <c r="X623" s="230">
        <f>IF(V623=0,0,LOOKUP(V623,'Tax Assumptions'!$F$9:$F$15,'Tax Assumptions'!$I$9:$I$15)+(V623-LOOKUP(V623,'Tax Assumptions'!$F$9:$F$15,'Tax Assumptions'!$F$9:$F$15))*LOOKUP(V623,'Tax Assumptions'!$F$9:$F$15,'Tax Assumptions'!$H$9:$H$15))+MIN(MAX(T623,0),'Tax Assumptions'!$B$11)*'Tax Assumptions'!$B$10+MAX(T623,0)*'Tax Assumptions'!$B$12+MAX(MAX(T623,0)-'Tax Assumptions'!$B$14,0)*'Tax Assumptions'!$B$13+MIN(T623*'Tax Assumptions'!$B$15,'Tax Assumptions'!$B$16)+MIN(T623*'Tax Assumptions'!$B$17,'Tax Assumptions'!$B$18)+IF(W623=0,0,LOOKUP(W623,'Tax Assumptions'!$K$9:$K$17,'Tax Assumptions'!$N$9:$N$17)+(W623-LOOKUP(W623,'Tax Assumptions'!$K$9:$K$17,'Tax Assumptions'!$K$9:$K$17))*LOOKUP(W623,'Tax Assumptions'!$K$9:$K$17,'Tax Assumptions'!$M$9:$M$17))+IF(W623=0,0,LOOKUP(W623,'Tax Assumptions'!$P$9:$P$12,'Tax Assumptions'!$S$9:$S$12)+(W623-LOOKUP(W623,'Tax Assumptions'!$P$9:$P$12,'Tax Assumptions'!$P$9:$P$12))*LOOKUP(W623,'Tax Assumptions'!$P$9:$P$12,'Tax Assumptions'!$R$9:$R$12))</f>
        <v>320362.53000000003</v>
      </c>
      <c r="Y623" s="230">
        <f t="shared" si="333"/>
        <v>405137.47</v>
      </c>
      <c r="Z623" s="230">
        <f>IF(J623&lt;=10,INDEX('Savings Projection'!$BL$19:$BL$28,J623),LOOKUP(2,1/('Savings Projection'!$BL$19:$BL$28&lt;&gt;""),'Savings Projection'!$BL$19:$BL$28))*(1+'Model Inputs'!$B$35)^(J623-1)+IF(J623&lt;=10,INDEX('Savings Projection'!$BM$19:$BM$28,J623),LOOKUP(2,1/('Savings Projection'!$BM$19:$BM$28&lt;&gt;""),'Savings Projection'!$BM$19:$BM$28))*(1+'Model Inputs'!$B$36)^(J623-1)</f>
        <v>139869.05600000001</v>
      </c>
      <c r="AA623" s="230">
        <f t="shared" si="334"/>
        <v>265268.41399999999</v>
      </c>
      <c r="AB623" s="230">
        <f>MIN(MAX(AA623,0),'Tax Assumptions'!$B$20)</f>
        <v>7500</v>
      </c>
      <c r="AC623" s="230">
        <f t="shared" si="335"/>
        <v>257768.41399999999</v>
      </c>
      <c r="AD623" s="230">
        <f>MAX(AD622*(1+'Model Inputs'!$B$13)+AC623,0)</f>
        <v>1010744.2479095199</v>
      </c>
      <c r="AE623" s="230">
        <f>MAX(AE622*(1+'Model Inputs'!$B$13)+U623+AB623,0)</f>
        <v>139987.712</v>
      </c>
      <c r="AF623" s="230">
        <f t="shared" si="336"/>
        <v>1150731.9599095199</v>
      </c>
      <c r="AG623" s="226" t="str">
        <f t="shared" si="358"/>
        <v/>
      </c>
      <c r="AH623" s="226" t="str">
        <f t="shared" si="359"/>
        <v/>
      </c>
      <c r="AI623" s="226" t="str">
        <f t="shared" si="360"/>
        <v/>
      </c>
      <c r="AJ623" s="226" t="str">
        <f t="shared" si="361"/>
        <v/>
      </c>
    </row>
    <row r="624" spans="1:36" ht="18" customHeight="1" x14ac:dyDescent="0.2">
      <c r="A624" s="226" t="str">
        <f t="shared" si="350"/>
        <v>5Y -&gt; PM Y7 Tail</v>
      </c>
      <c r="B624" s="226">
        <f t="shared" si="351"/>
        <v>5</v>
      </c>
      <c r="C624" s="235">
        <f t="shared" si="352"/>
        <v>3</v>
      </c>
      <c r="D624" s="226">
        <f t="shared" si="353"/>
        <v>7</v>
      </c>
      <c r="E624" s="226" t="str">
        <f t="shared" si="354"/>
        <v>Tail</v>
      </c>
      <c r="F624" s="230">
        <f t="shared" si="355"/>
        <v>100000000</v>
      </c>
      <c r="G624" s="236">
        <f t="shared" si="356"/>
        <v>0.15</v>
      </c>
      <c r="H624" s="230">
        <f t="shared" si="357"/>
        <v>300000</v>
      </c>
      <c r="I624" s="236">
        <f t="shared" si="326"/>
        <v>0</v>
      </c>
      <c r="J624" s="234">
        <v>5</v>
      </c>
      <c r="K624" s="234">
        <f t="shared" si="327"/>
        <v>2030</v>
      </c>
      <c r="L624" s="230">
        <f>IF(J624=1,'Model Inputs'!$B$25*(13-'Model Inputs'!$B$23)/12,'Model Inputs'!$B$25)</f>
        <v>300000</v>
      </c>
      <c r="M624" s="230">
        <f>IF(J624=1,'Model Inputs'!$B$27*(13-'Model Inputs'!$B$23)/12,IF(J624=2,'Model Inputs'!$B$27,IF(J624&lt;=MAX(3,'Model Inputs'!$B$30+1),'Model Inputs'!$B$27*(1+'Model Inputs'!$B$28)^(J624-3),'Model Inputs'!$B$27*(1+'Model Inputs'!$B$28)^(MAX(3,'Model Inputs'!$B$30+1)-3)*(1+'Model Inputs'!$B$29)^(J624-MAX(3,'Model Inputs'!$B$30+1)))))</f>
        <v>950000</v>
      </c>
      <c r="N624" s="236">
        <f>IF(J624&lt;=2,0,'Model Inputs'!$B$32*SIN(2*PI()*(J624-3+'Model Inputs'!$B$34)/MAX(1,'Model Inputs'!$B$33)))</f>
        <v>-0.1039230484541326</v>
      </c>
      <c r="O624" s="230">
        <f t="shared" si="328"/>
        <v>851273.10396857408</v>
      </c>
      <c r="P624" s="230">
        <f t="shared" si="362"/>
        <v>653837.51358640334</v>
      </c>
      <c r="Q624" s="230">
        <f>L624+P624+IF(J624=1,'Model Inputs'!$B$26,0)</f>
        <v>953837.51358640334</v>
      </c>
      <c r="R624" s="230">
        <f t="shared" si="330"/>
        <v>953837.51358640334</v>
      </c>
      <c r="S624" s="230">
        <f t="shared" si="331"/>
        <v>15300000</v>
      </c>
      <c r="T624" s="230">
        <f t="shared" si="332"/>
        <v>953837.51358640334</v>
      </c>
      <c r="U624" s="230">
        <f>MIN(T624,'Tax Assumptions'!$B$19)</f>
        <v>24500</v>
      </c>
      <c r="V624" s="230">
        <f>MAX(T624-U624-'Tax Assumptions'!$B$8,0)</f>
        <v>913237.51358640334</v>
      </c>
      <c r="W624" s="230">
        <f>MAX(T624-U624-'Tax Assumptions'!$B$9,0)</f>
        <v>921337.51358640334</v>
      </c>
      <c r="X624" s="230">
        <f>IF(V624=0,0,LOOKUP(V624,'Tax Assumptions'!$F$9:$F$15,'Tax Assumptions'!$I$9:$I$15)+(V624-LOOKUP(V624,'Tax Assumptions'!$F$9:$F$15,'Tax Assumptions'!$F$9:$F$15))*LOOKUP(V624,'Tax Assumptions'!$F$9:$F$15,'Tax Assumptions'!$H$9:$H$15))+MIN(MAX(T624,0),'Tax Assumptions'!$B$11)*'Tax Assumptions'!$B$10+MAX(T624,0)*'Tax Assumptions'!$B$12+MAX(MAX(T624,0)-'Tax Assumptions'!$B$14,0)*'Tax Assumptions'!$B$13+MIN(T624*'Tax Assumptions'!$B$15,'Tax Assumptions'!$B$16)+MIN(T624*'Tax Assumptions'!$B$17,'Tax Assumptions'!$B$18)+IF(W624=0,0,LOOKUP(W624,'Tax Assumptions'!$K$9:$K$17,'Tax Assumptions'!$N$9:$N$17)+(W624-LOOKUP(W624,'Tax Assumptions'!$K$9:$K$17,'Tax Assumptions'!$K$9:$K$17))*LOOKUP(W624,'Tax Assumptions'!$K$9:$K$17,'Tax Assumptions'!$M$9:$M$17))+IF(W624=0,0,LOOKUP(W624,'Tax Assumptions'!$P$9:$P$12,'Tax Assumptions'!$S$9:$S$12)+(W624-LOOKUP(W624,'Tax Assumptions'!$P$9:$P$12,'Tax Assumptions'!$P$9:$P$12))*LOOKUP(W624,'Tax Assumptions'!$P$9:$P$12,'Tax Assumptions'!$R$9:$R$12))</f>
        <v>422436.20330352732</v>
      </c>
      <c r="Y624" s="230">
        <f t="shared" si="333"/>
        <v>506901.31028287602</v>
      </c>
      <c r="Z624" s="230">
        <f>IF(J624&lt;=10,INDEX('Savings Projection'!$BL$19:$BL$28,J624),LOOKUP(2,1/('Savings Projection'!$BL$19:$BL$28&lt;&gt;""),'Savings Projection'!$BL$19:$BL$28))*(1+'Model Inputs'!$B$35)^(J624-1)+IF(J624&lt;=10,INDEX('Savings Projection'!$BM$19:$BM$28,J624),LOOKUP(2,1/('Savings Projection'!$BM$19:$BM$28&lt;&gt;""),'Savings Projection'!$BM$19:$BM$28))*(1+'Model Inputs'!$B$36)^(J624-1)</f>
        <v>144065.12767999998</v>
      </c>
      <c r="AA624" s="230">
        <f t="shared" si="334"/>
        <v>362836.18260287604</v>
      </c>
      <c r="AB624" s="230">
        <f>MIN(MAX(AA624,0),'Tax Assumptions'!$B$20)</f>
        <v>7500</v>
      </c>
      <c r="AC624" s="230">
        <f t="shared" si="335"/>
        <v>355336.18260287604</v>
      </c>
      <c r="AD624" s="230">
        <f>MAX(AD623*(1+'Model Inputs'!$B$13)+AC624,0)</f>
        <v>1426725.0853869673</v>
      </c>
      <c r="AE624" s="230">
        <f>MAX(AE623*(1+'Model Inputs'!$B$13)+U624+AB624,0)</f>
        <v>180386.97472</v>
      </c>
      <c r="AF624" s="230">
        <f t="shared" si="336"/>
        <v>1607112.0601069673</v>
      </c>
      <c r="AG624" s="226" t="str">
        <f t="shared" si="358"/>
        <v/>
      </c>
      <c r="AH624" s="226" t="str">
        <f t="shared" si="359"/>
        <v/>
      </c>
      <c r="AI624" s="226" t="str">
        <f t="shared" si="360"/>
        <v/>
      </c>
      <c r="AJ624" s="226" t="str">
        <f t="shared" si="361"/>
        <v/>
      </c>
    </row>
    <row r="625" spans="1:36" ht="18" customHeight="1" x14ac:dyDescent="0.2">
      <c r="A625" s="226" t="str">
        <f t="shared" si="350"/>
        <v>5Y -&gt; PM Y7 Tail</v>
      </c>
      <c r="B625" s="226">
        <f t="shared" si="351"/>
        <v>5</v>
      </c>
      <c r="C625" s="235">
        <f t="shared" si="352"/>
        <v>3</v>
      </c>
      <c r="D625" s="226">
        <f t="shared" si="353"/>
        <v>7</v>
      </c>
      <c r="E625" s="226" t="str">
        <f t="shared" si="354"/>
        <v>Tail</v>
      </c>
      <c r="F625" s="230">
        <f t="shared" si="355"/>
        <v>100000000</v>
      </c>
      <c r="G625" s="236">
        <f t="shared" si="356"/>
        <v>0.15</v>
      </c>
      <c r="H625" s="230">
        <f t="shared" si="357"/>
        <v>300000</v>
      </c>
      <c r="I625" s="236">
        <f t="shared" si="326"/>
        <v>0</v>
      </c>
      <c r="J625" s="234">
        <v>6</v>
      </c>
      <c r="K625" s="234">
        <f t="shared" si="327"/>
        <v>2031</v>
      </c>
      <c r="L625" s="230">
        <f>IF(J625=1,'Model Inputs'!$B$25*(13-'Model Inputs'!$B$23)/12,'Model Inputs'!$B$25)</f>
        <v>300000</v>
      </c>
      <c r="M625" s="230">
        <f>IF(J625=1,'Model Inputs'!$B$27*(13-'Model Inputs'!$B$23)/12,IF(J625=2,'Model Inputs'!$B$27,IF(J625&lt;=MAX(3,'Model Inputs'!$B$30+1),'Model Inputs'!$B$27*(1+'Model Inputs'!$B$28)^(J625-3),'Model Inputs'!$B$27*(1+'Model Inputs'!$B$28)^(MAX(3,'Model Inputs'!$B$30+1)-3)*(1+'Model Inputs'!$B$29)^(J625-MAX(3,'Model Inputs'!$B$30+1)))))</f>
        <v>1207333.5632986501</v>
      </c>
      <c r="N625" s="236">
        <f>IF(J625&lt;=2,0,'Model Inputs'!$B$32*SIN(2*PI()*(J625-3+'Model Inputs'!$B$34)/MAX(1,'Model Inputs'!$B$33)))</f>
        <v>-2.9391523179536474E-17</v>
      </c>
      <c r="O625" s="230">
        <f t="shared" si="328"/>
        <v>1207333.5632986501</v>
      </c>
      <c r="P625" s="230">
        <f t="shared" si="362"/>
        <v>818900.66583856498</v>
      </c>
      <c r="Q625" s="230">
        <f>L625+P625+IF(J625=1,'Model Inputs'!$B$26,0)</f>
        <v>1118900.665838565</v>
      </c>
      <c r="R625" s="230">
        <f t="shared" si="330"/>
        <v>3356701.9975156952</v>
      </c>
      <c r="S625" s="230">
        <f t="shared" si="331"/>
        <v>15300000</v>
      </c>
      <c r="T625" s="230">
        <f t="shared" si="332"/>
        <v>3356701.9975156952</v>
      </c>
      <c r="U625" s="230">
        <f>MIN(T625,'Tax Assumptions'!$B$19)</f>
        <v>24500</v>
      </c>
      <c r="V625" s="230">
        <f>MAX(T625-U625-'Tax Assumptions'!$B$8,0)</f>
        <v>3316101.9975156952</v>
      </c>
      <c r="W625" s="230">
        <f>MAX(T625-U625-'Tax Assumptions'!$B$9,0)</f>
        <v>3324201.9975156952</v>
      </c>
      <c r="X625" s="230">
        <f>IF(V625=0,0,LOOKUP(V625,'Tax Assumptions'!$F$9:$F$15,'Tax Assumptions'!$I$9:$I$15)+(V625-LOOKUP(V625,'Tax Assumptions'!$F$9:$F$15,'Tax Assumptions'!$F$9:$F$15))*LOOKUP(V625,'Tax Assumptions'!$F$9:$F$15,'Tax Assumptions'!$H$9:$H$15))+MIN(MAX(T625,0),'Tax Assumptions'!$B$11)*'Tax Assumptions'!$B$10+MAX(T625,0)*'Tax Assumptions'!$B$12+MAX(MAX(T625,0)-'Tax Assumptions'!$B$14,0)*'Tax Assumptions'!$B$13+MIN(T625*'Tax Assumptions'!$B$15,'Tax Assumptions'!$B$16)+MIN(T625*'Tax Assumptions'!$B$17,'Tax Assumptions'!$B$18)+IF(W625=0,0,LOOKUP(W625,'Tax Assumptions'!$K$9:$K$17,'Tax Assumptions'!$N$9:$N$17)+(W625-LOOKUP(W625,'Tax Assumptions'!$K$9:$K$17,'Tax Assumptions'!$K$9:$K$17))*LOOKUP(W625,'Tax Assumptions'!$K$9:$K$17,'Tax Assumptions'!$M$9:$M$17))+IF(W625=0,0,LOOKUP(W625,'Tax Assumptions'!$P$9:$P$12,'Tax Assumptions'!$S$9:$S$12)+(W625-LOOKUP(W625,'Tax Assumptions'!$P$9:$P$12,'Tax Assumptions'!$P$9:$P$12))*LOOKUP(W625,'Tax Assumptions'!$P$9:$P$12,'Tax Assumptions'!$R$9:$R$12))</f>
        <v>1688600.3832063989</v>
      </c>
      <c r="Y625" s="230">
        <f t="shared" si="333"/>
        <v>1643601.6143092962</v>
      </c>
      <c r="Z625" s="230">
        <f>IF(J625&lt;=10,INDEX('Savings Projection'!$BL$19:$BL$28,J625),LOOKUP(2,1/('Savings Projection'!$BL$19:$BL$28&lt;&gt;""),'Savings Projection'!$BL$19:$BL$28))*(1+'Model Inputs'!$B$35)^(J625-1)+IF(J625&lt;=10,INDEX('Savings Projection'!$BM$19:$BM$28,J625),LOOKUP(2,1/('Savings Projection'!$BM$19:$BM$28&lt;&gt;""),'Savings Projection'!$BM$19:$BM$28))*(1+'Model Inputs'!$B$36)^(J625-1)</f>
        <v>150705.62965899997</v>
      </c>
      <c r="AA625" s="230">
        <f t="shared" si="334"/>
        <v>1492895.9846502962</v>
      </c>
      <c r="AB625" s="230">
        <f>MIN(MAX(AA625,0),'Tax Assumptions'!$B$20)</f>
        <v>7500</v>
      </c>
      <c r="AC625" s="230">
        <f t="shared" si="335"/>
        <v>1485395.9846502962</v>
      </c>
      <c r="AD625" s="230">
        <f>MAX(AD624*(1+'Model Inputs'!$B$13)+AC625,0)</f>
        <v>2997724.5751604815</v>
      </c>
      <c r="AE625" s="230">
        <f>MAX(AE624*(1+'Model Inputs'!$B$13)+U625+AB625,0)</f>
        <v>223210.1932032</v>
      </c>
      <c r="AF625" s="230">
        <f t="shared" si="336"/>
        <v>3220934.7683636816</v>
      </c>
      <c r="AG625" s="226" t="str">
        <f t="shared" si="358"/>
        <v/>
      </c>
      <c r="AH625" s="226" t="str">
        <f t="shared" si="359"/>
        <v/>
      </c>
      <c r="AI625" s="226" t="str">
        <f t="shared" si="360"/>
        <v/>
      </c>
      <c r="AJ625" s="226" t="str">
        <f t="shared" si="361"/>
        <v/>
      </c>
    </row>
    <row r="626" spans="1:36" ht="18" customHeight="1" x14ac:dyDescent="0.2">
      <c r="A626" s="226" t="str">
        <f t="shared" si="350"/>
        <v>5Y -&gt; PM Y7 Tail</v>
      </c>
      <c r="B626" s="226">
        <f t="shared" si="351"/>
        <v>5</v>
      </c>
      <c r="C626" s="235">
        <f t="shared" si="352"/>
        <v>3</v>
      </c>
      <c r="D626" s="226">
        <f t="shared" si="353"/>
        <v>7</v>
      </c>
      <c r="E626" s="226" t="str">
        <f t="shared" si="354"/>
        <v>Tail</v>
      </c>
      <c r="F626" s="230">
        <f t="shared" si="355"/>
        <v>100000000</v>
      </c>
      <c r="G626" s="236">
        <f t="shared" si="356"/>
        <v>0.15</v>
      </c>
      <c r="H626" s="230">
        <f t="shared" si="357"/>
        <v>300000</v>
      </c>
      <c r="I626" s="236">
        <f t="shared" ref="I626:I689" si="363">$J$17</f>
        <v>0</v>
      </c>
      <c r="J626" s="234">
        <v>7</v>
      </c>
      <c r="K626" s="234">
        <f t="shared" ref="K626:K689" si="364">2025+J626</f>
        <v>2032</v>
      </c>
      <c r="L626" s="230">
        <f>IF(J626=1,'Model Inputs'!$B$25*(13-'Model Inputs'!$B$23)/12,'Model Inputs'!$B$25)</f>
        <v>300000</v>
      </c>
      <c r="M626" s="230">
        <f>IF(J626=1,'Model Inputs'!$B$27*(13-'Model Inputs'!$B$23)/12,IF(J626=2,'Model Inputs'!$B$27,IF(J626&lt;=MAX(3,'Model Inputs'!$B$30+1),'Model Inputs'!$B$27*(1+'Model Inputs'!$B$28)^(J626-3),'Model Inputs'!$B$27*(1+'Model Inputs'!$B$28)^(MAX(3,'Model Inputs'!$B$30+1)-3)*(1+'Model Inputs'!$B$29)^(J626-MAX(3,'Model Inputs'!$B$30+1)))))</f>
        <v>1534372.9821762268</v>
      </c>
      <c r="N626" s="236">
        <f>IF(J626&lt;=2,0,'Model Inputs'!$B$32*SIN(2*PI()*(J626-3+'Model Inputs'!$B$34)/MAX(1,'Model Inputs'!$B$33)))</f>
        <v>0.10392304845413269</v>
      </c>
      <c r="O626" s="230">
        <f t="shared" ref="O626:O689" si="365">M626*(1+N626)</f>
        <v>1693829.6999496389</v>
      </c>
      <c r="P626" s="230">
        <f t="shared" si="362"/>
        <v>1118318.448466131</v>
      </c>
      <c r="Q626" s="230">
        <f>L626+P626+IF(J626=1,'Model Inputs'!$B$26,0)</f>
        <v>1418318.448466131</v>
      </c>
      <c r="R626" s="230">
        <f t="shared" ref="R626:R689" si="366">IF(J626&lt;=B626,Q626,Q626*C626)</f>
        <v>4254955.3453983925</v>
      </c>
      <c r="S626" s="230">
        <f t="shared" ref="S626:S689" si="367">H626+F626*G626*(1+I626)^MAX(0,J626-D626)</f>
        <v>15300000</v>
      </c>
      <c r="T626" s="230">
        <f t="shared" ref="T626:T689" si="368">IF(J626&gt;=D626,S626,R626)</f>
        <v>15300000</v>
      </c>
      <c r="U626" s="230">
        <f>MIN(T626,'Tax Assumptions'!$B$19)</f>
        <v>24500</v>
      </c>
      <c r="V626" s="230">
        <f>MAX(T626-U626-'Tax Assumptions'!$B$8,0)</f>
        <v>15259400</v>
      </c>
      <c r="W626" s="230">
        <f>MAX(T626-U626-'Tax Assumptions'!$B$9,0)</f>
        <v>15267500</v>
      </c>
      <c r="X626" s="230">
        <f>IF(V626=0,0,LOOKUP(V626,'Tax Assumptions'!$F$9:$F$15,'Tax Assumptions'!$I$9:$I$15)+(V626-LOOKUP(V626,'Tax Assumptions'!$F$9:$F$15,'Tax Assumptions'!$F$9:$F$15))*LOOKUP(V626,'Tax Assumptions'!$F$9:$F$15,'Tax Assumptions'!$H$9:$H$15))+MIN(MAX(T626,0),'Tax Assumptions'!$B$11)*'Tax Assumptions'!$B$10+MAX(T626,0)*'Tax Assumptions'!$B$12+MAX(MAX(T626,0)-'Tax Assumptions'!$B$14,0)*'Tax Assumptions'!$B$13+MIN(T626*'Tax Assumptions'!$B$15,'Tax Assumptions'!$B$16)+MIN(T626*'Tax Assumptions'!$B$17,'Tax Assumptions'!$B$18)+IF(W626=0,0,LOOKUP(W626,'Tax Assumptions'!$K$9:$K$17,'Tax Assumptions'!$N$9:$N$17)+(W626-LOOKUP(W626,'Tax Assumptions'!$K$9:$K$17,'Tax Assumptions'!$K$9:$K$17))*LOOKUP(W626,'Tax Assumptions'!$K$9:$K$17,'Tax Assumptions'!$M$9:$M$17))+IF(W626=0,0,LOOKUP(W626,'Tax Assumptions'!$P$9:$P$12,'Tax Assumptions'!$S$9:$S$12)+(W626-LOOKUP(W626,'Tax Assumptions'!$P$9:$P$12,'Tax Assumptions'!$P$9:$P$12))*LOOKUP(W626,'Tax Assumptions'!$P$9:$P$12,'Tax Assumptions'!$R$9:$R$12))</f>
        <v>8070480.54</v>
      </c>
      <c r="Y626" s="230">
        <f t="shared" ref="Y626:Y689" si="369">T626-U626-X626</f>
        <v>7205019.46</v>
      </c>
      <c r="Z626" s="230">
        <f>IF(J626&lt;=10,INDEX('Savings Projection'!$BL$19:$BL$28,J626),LOOKUP(2,1/('Savings Projection'!$BL$19:$BL$28&lt;&gt;""),'Savings Projection'!$BL$19:$BL$28))*(1+'Model Inputs'!$B$35)^(J626-1)+IF(J626&lt;=10,INDEX('Savings Projection'!$BM$19:$BM$28,J626),LOOKUP(2,1/('Savings Projection'!$BM$19:$BM$28&lt;&gt;""),'Savings Projection'!$BM$19:$BM$28))*(1+'Model Inputs'!$B$36)^(J626-1)</f>
        <v>155226.79854876999</v>
      </c>
      <c r="AA626" s="230">
        <f t="shared" ref="AA626:AA689" si="370">Y626-Z626</f>
        <v>7049792.6614512298</v>
      </c>
      <c r="AB626" s="230">
        <f>MIN(MAX(AA626,0),'Tax Assumptions'!$B$20)</f>
        <v>7500</v>
      </c>
      <c r="AC626" s="230">
        <f t="shared" ref="AC626:AC689" si="371">AA626-AB626</f>
        <v>7042292.6614512298</v>
      </c>
      <c r="AD626" s="230">
        <f>MAX(AD625*(1+'Model Inputs'!$B$13)+AC626,0)</f>
        <v>10219880.711121339</v>
      </c>
      <c r="AE626" s="230">
        <f>MAX(AE625*(1+'Model Inputs'!$B$13)+U626+AB626,0)</f>
        <v>268602.80479539197</v>
      </c>
      <c r="AF626" s="230">
        <f t="shared" ref="AF626:AF689" si="372">AD626+AE626</f>
        <v>10488483.515916731</v>
      </c>
      <c r="AG626" s="226" t="str">
        <f t="shared" si="358"/>
        <v/>
      </c>
      <c r="AH626" s="226" t="str">
        <f t="shared" si="359"/>
        <v/>
      </c>
      <c r="AI626" s="226" t="str">
        <f t="shared" si="360"/>
        <v/>
      </c>
      <c r="AJ626" s="226" t="str">
        <f t="shared" si="361"/>
        <v/>
      </c>
    </row>
    <row r="627" spans="1:36" ht="18" customHeight="1" x14ac:dyDescent="0.2">
      <c r="A627" s="226" t="str">
        <f t="shared" si="350"/>
        <v>5Y -&gt; PM Y7 Tail</v>
      </c>
      <c r="B627" s="226">
        <f t="shared" si="351"/>
        <v>5</v>
      </c>
      <c r="C627" s="235">
        <f t="shared" si="352"/>
        <v>3</v>
      </c>
      <c r="D627" s="226">
        <f t="shared" si="353"/>
        <v>7</v>
      </c>
      <c r="E627" s="226" t="str">
        <f t="shared" si="354"/>
        <v>Tail</v>
      </c>
      <c r="F627" s="230">
        <f t="shared" si="355"/>
        <v>100000000</v>
      </c>
      <c r="G627" s="236">
        <f t="shared" si="356"/>
        <v>0.15</v>
      </c>
      <c r="H627" s="230">
        <f t="shared" si="357"/>
        <v>300000</v>
      </c>
      <c r="I627" s="236">
        <f t="shared" si="363"/>
        <v>0</v>
      </c>
      <c r="J627" s="234">
        <v>8</v>
      </c>
      <c r="K627" s="234">
        <f t="shared" si="364"/>
        <v>2033</v>
      </c>
      <c r="L627" s="230">
        <f>IF(J627=1,'Model Inputs'!$B$25*(13-'Model Inputs'!$B$23)/12,'Model Inputs'!$B$25)</f>
        <v>300000</v>
      </c>
      <c r="M627" s="230">
        <f>IF(J627=1,'Model Inputs'!$B$27*(13-'Model Inputs'!$B$23)/12,IF(J627=2,'Model Inputs'!$B$27,IF(J627&lt;=MAX(3,'Model Inputs'!$B$30+1),'Model Inputs'!$B$27*(1+'Model Inputs'!$B$28)^(J627-3),'Model Inputs'!$B$27*(1+'Model Inputs'!$B$28)^(MAX(3,'Model Inputs'!$B$30+1)-3)*(1+'Model Inputs'!$B$29)^(J627-MAX(3,'Model Inputs'!$B$30+1)))))</f>
        <v>1950000.0000000002</v>
      </c>
      <c r="N627" s="236">
        <f>IF(J627&lt;=2,0,'Model Inputs'!$B$32*SIN(2*PI()*(J627-3+'Model Inputs'!$B$34)/MAX(1,'Model Inputs'!$B$33)))</f>
        <v>-0.10392304845413264</v>
      </c>
      <c r="O627" s="230">
        <f t="shared" si="365"/>
        <v>1747350.0555144416</v>
      </c>
      <c r="P627" s="230">
        <f t="shared" si="362"/>
        <v>1572205.6657868917</v>
      </c>
      <c r="Q627" s="230">
        <f>L627+P627+IF(J627=1,'Model Inputs'!$B$26,0)</f>
        <v>1872205.6657868917</v>
      </c>
      <c r="R627" s="230">
        <f t="shared" si="366"/>
        <v>5616616.9973606747</v>
      </c>
      <c r="S627" s="230">
        <f t="shared" si="367"/>
        <v>15300000</v>
      </c>
      <c r="T627" s="230">
        <f t="shared" si="368"/>
        <v>15300000</v>
      </c>
      <c r="U627" s="230">
        <f>MIN(T627,'Tax Assumptions'!$B$19)</f>
        <v>24500</v>
      </c>
      <c r="V627" s="230">
        <f>MAX(T627-U627-'Tax Assumptions'!$B$8,0)</f>
        <v>15259400</v>
      </c>
      <c r="W627" s="230">
        <f>MAX(T627-U627-'Tax Assumptions'!$B$9,0)</f>
        <v>15267500</v>
      </c>
      <c r="X627" s="230">
        <f>IF(V627=0,0,LOOKUP(V627,'Tax Assumptions'!$F$9:$F$15,'Tax Assumptions'!$I$9:$I$15)+(V627-LOOKUP(V627,'Tax Assumptions'!$F$9:$F$15,'Tax Assumptions'!$F$9:$F$15))*LOOKUP(V627,'Tax Assumptions'!$F$9:$F$15,'Tax Assumptions'!$H$9:$H$15))+MIN(MAX(T627,0),'Tax Assumptions'!$B$11)*'Tax Assumptions'!$B$10+MAX(T627,0)*'Tax Assumptions'!$B$12+MAX(MAX(T627,0)-'Tax Assumptions'!$B$14,0)*'Tax Assumptions'!$B$13+MIN(T627*'Tax Assumptions'!$B$15,'Tax Assumptions'!$B$16)+MIN(T627*'Tax Assumptions'!$B$17,'Tax Assumptions'!$B$18)+IF(W627=0,0,LOOKUP(W627,'Tax Assumptions'!$K$9:$K$17,'Tax Assumptions'!$N$9:$N$17)+(W627-LOOKUP(W627,'Tax Assumptions'!$K$9:$K$17,'Tax Assumptions'!$K$9:$K$17))*LOOKUP(W627,'Tax Assumptions'!$K$9:$K$17,'Tax Assumptions'!$M$9:$M$17))+IF(W627=0,0,LOOKUP(W627,'Tax Assumptions'!$P$9:$P$12,'Tax Assumptions'!$S$9:$S$12)+(W627-LOOKUP(W627,'Tax Assumptions'!$P$9:$P$12,'Tax Assumptions'!$P$9:$P$12))*LOOKUP(W627,'Tax Assumptions'!$P$9:$P$12,'Tax Assumptions'!$R$9:$R$12))</f>
        <v>8070480.54</v>
      </c>
      <c r="Y627" s="230">
        <f t="shared" si="369"/>
        <v>7205019.46</v>
      </c>
      <c r="Z627" s="230">
        <f>IF(J627&lt;=10,INDEX('Savings Projection'!$BL$19:$BL$28,J627),LOOKUP(2,1/('Savings Projection'!$BL$19:$BL$28&lt;&gt;""),'Savings Projection'!$BL$19:$BL$28))*(1+'Model Inputs'!$B$35)^(J627-1)+IF(J627&lt;=10,INDEX('Savings Projection'!$BM$19:$BM$28,J627),LOOKUP(2,1/('Savings Projection'!$BM$19:$BM$28&lt;&gt;""),'Savings Projection'!$BM$19:$BM$28))*(1+'Model Inputs'!$B$36)^(J627-1)</f>
        <v>159883.60250523311</v>
      </c>
      <c r="AA627" s="230">
        <f t="shared" si="370"/>
        <v>7045135.8574947668</v>
      </c>
      <c r="AB627" s="230">
        <f>MIN(MAX(AA627,0),'Tax Assumptions'!$B$20)</f>
        <v>7500</v>
      </c>
      <c r="AC627" s="230">
        <f t="shared" si="371"/>
        <v>7037635.8574947668</v>
      </c>
      <c r="AD627" s="230">
        <f>MAX(AD626*(1+'Model Inputs'!$B$13)+AC627,0)</f>
        <v>17870709.411283389</v>
      </c>
      <c r="AE627" s="230">
        <f>MAX(AE626*(1+'Model Inputs'!$B$13)+U627+AB627,0)</f>
        <v>316718.97308311553</v>
      </c>
      <c r="AF627" s="230">
        <f t="shared" si="372"/>
        <v>18187428.384366505</v>
      </c>
      <c r="AG627" s="226">
        <f t="shared" si="358"/>
        <v>8</v>
      </c>
      <c r="AH627" s="226">
        <f t="shared" si="359"/>
        <v>8</v>
      </c>
      <c r="AI627" s="226">
        <f t="shared" si="360"/>
        <v>8</v>
      </c>
      <c r="AJ627" s="226" t="str">
        <f t="shared" si="361"/>
        <v/>
      </c>
    </row>
    <row r="628" spans="1:36" ht="18" customHeight="1" x14ac:dyDescent="0.2">
      <c r="A628" s="226" t="str">
        <f t="shared" si="350"/>
        <v>5Y -&gt; PM Y7 Tail</v>
      </c>
      <c r="B628" s="226">
        <f t="shared" si="351"/>
        <v>5</v>
      </c>
      <c r="C628" s="235">
        <f t="shared" si="352"/>
        <v>3</v>
      </c>
      <c r="D628" s="226">
        <f t="shared" si="353"/>
        <v>7</v>
      </c>
      <c r="E628" s="226" t="str">
        <f t="shared" si="354"/>
        <v>Tail</v>
      </c>
      <c r="F628" s="230">
        <f t="shared" si="355"/>
        <v>100000000</v>
      </c>
      <c r="G628" s="236">
        <f t="shared" si="356"/>
        <v>0.15</v>
      </c>
      <c r="H628" s="230">
        <f t="shared" si="357"/>
        <v>300000</v>
      </c>
      <c r="I628" s="236">
        <f t="shared" si="363"/>
        <v>0</v>
      </c>
      <c r="J628" s="234">
        <v>9</v>
      </c>
      <c r="K628" s="234">
        <f t="shared" si="364"/>
        <v>2034</v>
      </c>
      <c r="L628" s="230">
        <f>IF(J628=1,'Model Inputs'!$B$25*(13-'Model Inputs'!$B$23)/12,'Model Inputs'!$B$25)</f>
        <v>300000</v>
      </c>
      <c r="M628" s="230">
        <f>IF(J628=1,'Model Inputs'!$B$27*(13-'Model Inputs'!$B$23)/12,IF(J628=2,'Model Inputs'!$B$27,IF(J628&lt;=MAX(3,'Model Inputs'!$B$30+1),'Model Inputs'!$B$27*(1+'Model Inputs'!$B$28)^(J628-3),'Model Inputs'!$B$27*(1+'Model Inputs'!$B$28)^(MAX(3,'Model Inputs'!$B$30+1)-3)*(1+'Model Inputs'!$B$29)^(J628-MAX(3,'Model Inputs'!$B$30+1)))))</f>
        <v>2478210.9983498608</v>
      </c>
      <c r="N628" s="236">
        <f>IF(J628&lt;=2,0,'Model Inputs'!$B$32*SIN(2*PI()*(J628-3+'Model Inputs'!$B$34)/MAX(1,'Model Inputs'!$B$33)))</f>
        <v>-5.8783046359072947E-17</v>
      </c>
      <c r="O628" s="230">
        <f t="shared" si="365"/>
        <v>2478210.9983498603</v>
      </c>
      <c r="P628" s="230">
        <f t="shared" si="362"/>
        <v>1733969.9666232408</v>
      </c>
      <c r="Q628" s="230">
        <f>L628+P628+IF(J628=1,'Model Inputs'!$B$26,0)</f>
        <v>2033969.9666232408</v>
      </c>
      <c r="R628" s="230">
        <f t="shared" si="366"/>
        <v>6101909.8998697223</v>
      </c>
      <c r="S628" s="230">
        <f t="shared" si="367"/>
        <v>15300000</v>
      </c>
      <c r="T628" s="230">
        <f t="shared" si="368"/>
        <v>15300000</v>
      </c>
      <c r="U628" s="230">
        <f>MIN(T628,'Tax Assumptions'!$B$19)</f>
        <v>24500</v>
      </c>
      <c r="V628" s="230">
        <f>MAX(T628-U628-'Tax Assumptions'!$B$8,0)</f>
        <v>15259400</v>
      </c>
      <c r="W628" s="230">
        <f>MAX(T628-U628-'Tax Assumptions'!$B$9,0)</f>
        <v>15267500</v>
      </c>
      <c r="X628" s="230">
        <f>IF(V628=0,0,LOOKUP(V628,'Tax Assumptions'!$F$9:$F$15,'Tax Assumptions'!$I$9:$I$15)+(V628-LOOKUP(V628,'Tax Assumptions'!$F$9:$F$15,'Tax Assumptions'!$F$9:$F$15))*LOOKUP(V628,'Tax Assumptions'!$F$9:$F$15,'Tax Assumptions'!$H$9:$H$15))+MIN(MAX(T628,0),'Tax Assumptions'!$B$11)*'Tax Assumptions'!$B$10+MAX(T628,0)*'Tax Assumptions'!$B$12+MAX(MAX(T628,0)-'Tax Assumptions'!$B$14,0)*'Tax Assumptions'!$B$13+MIN(T628*'Tax Assumptions'!$B$15,'Tax Assumptions'!$B$16)+MIN(T628*'Tax Assumptions'!$B$17,'Tax Assumptions'!$B$18)+IF(W628=0,0,LOOKUP(W628,'Tax Assumptions'!$K$9:$K$17,'Tax Assumptions'!$N$9:$N$17)+(W628-LOOKUP(W628,'Tax Assumptions'!$K$9:$K$17,'Tax Assumptions'!$K$9:$K$17))*LOOKUP(W628,'Tax Assumptions'!$K$9:$K$17,'Tax Assumptions'!$M$9:$M$17))+IF(W628=0,0,LOOKUP(W628,'Tax Assumptions'!$P$9:$P$12,'Tax Assumptions'!$S$9:$S$12)+(W628-LOOKUP(W628,'Tax Assumptions'!$P$9:$P$12,'Tax Assumptions'!$P$9:$P$12))*LOOKUP(W628,'Tax Assumptions'!$P$9:$P$12,'Tax Assumptions'!$R$9:$R$12))</f>
        <v>8070480.54</v>
      </c>
      <c r="Y628" s="230">
        <f t="shared" si="369"/>
        <v>7205019.46</v>
      </c>
      <c r="Z628" s="230">
        <f>IF(J628&lt;=10,INDEX('Savings Projection'!$BL$19:$BL$28,J628),LOOKUP(2,1/('Savings Projection'!$BL$19:$BL$28&lt;&gt;""),'Savings Projection'!$BL$19:$BL$28))*(1+'Model Inputs'!$B$35)^(J628-1)+IF(J628&lt;=10,INDEX('Savings Projection'!$BM$19:$BM$28,J628),LOOKUP(2,1/('Savings Projection'!$BM$19:$BM$28&lt;&gt;""),'Savings Projection'!$BM$19:$BM$28))*(1+'Model Inputs'!$B$36)^(J628-1)</f>
        <v>164680.11058039009</v>
      </c>
      <c r="AA628" s="230">
        <f t="shared" si="370"/>
        <v>7040339.3494196096</v>
      </c>
      <c r="AB628" s="230">
        <f>MIN(MAX(AA628,0),'Tax Assumptions'!$B$20)</f>
        <v>7500</v>
      </c>
      <c r="AC628" s="230">
        <f t="shared" si="371"/>
        <v>7032839.3494196096</v>
      </c>
      <c r="AD628" s="230">
        <f>MAX(AD627*(1+'Model Inputs'!$B$13)+AC628,0)</f>
        <v>25975791.325380001</v>
      </c>
      <c r="AE628" s="230">
        <f>MAX(AE627*(1+'Model Inputs'!$B$13)+U628+AB628,0)</f>
        <v>367722.11146810249</v>
      </c>
      <c r="AF628" s="230">
        <f t="shared" si="372"/>
        <v>26343513.436848104</v>
      </c>
      <c r="AG628" s="226" t="str">
        <f t="shared" si="358"/>
        <v/>
      </c>
      <c r="AH628" s="226" t="str">
        <f t="shared" si="359"/>
        <v/>
      </c>
      <c r="AI628" s="226" t="str">
        <f t="shared" si="360"/>
        <v/>
      </c>
      <c r="AJ628" s="226">
        <f t="shared" si="361"/>
        <v>9</v>
      </c>
    </row>
    <row r="629" spans="1:36" ht="18" customHeight="1" x14ac:dyDescent="0.2">
      <c r="A629" s="226" t="str">
        <f t="shared" si="350"/>
        <v>5Y -&gt; PM Y7 Tail</v>
      </c>
      <c r="B629" s="226">
        <f t="shared" si="351"/>
        <v>5</v>
      </c>
      <c r="C629" s="235">
        <f t="shared" si="352"/>
        <v>3</v>
      </c>
      <c r="D629" s="226">
        <f t="shared" si="353"/>
        <v>7</v>
      </c>
      <c r="E629" s="226" t="str">
        <f t="shared" si="354"/>
        <v>Tail</v>
      </c>
      <c r="F629" s="230">
        <f t="shared" si="355"/>
        <v>100000000</v>
      </c>
      <c r="G629" s="236">
        <f t="shared" si="356"/>
        <v>0.15</v>
      </c>
      <c r="H629" s="230">
        <f t="shared" si="357"/>
        <v>300000</v>
      </c>
      <c r="I629" s="236">
        <f t="shared" si="363"/>
        <v>0</v>
      </c>
      <c r="J629" s="234">
        <v>10</v>
      </c>
      <c r="K629" s="234">
        <f t="shared" si="364"/>
        <v>2035</v>
      </c>
      <c r="L629" s="230">
        <f>IF(J629=1,'Model Inputs'!$B$25*(13-'Model Inputs'!$B$23)/12,'Model Inputs'!$B$25)</f>
        <v>300000</v>
      </c>
      <c r="M629" s="230">
        <f>IF(J629=1,'Model Inputs'!$B$27*(13-'Model Inputs'!$B$23)/12,IF(J629=2,'Model Inputs'!$B$27,IF(J629&lt;=MAX(3,'Model Inputs'!$B$30+1),'Model Inputs'!$B$27*(1+'Model Inputs'!$B$28)^(J629-3),'Model Inputs'!$B$27*(1+'Model Inputs'!$B$28)^(MAX(3,'Model Inputs'!$B$30+1)-3)*(1+'Model Inputs'!$B$29)^(J629-MAX(3,'Model Inputs'!$B$30+1)))))</f>
        <v>3149502.4370985711</v>
      </c>
      <c r="N629" s="236">
        <f>IF(J629&lt;=2,0,'Model Inputs'!$B$32*SIN(2*PI()*(J629-3+'Model Inputs'!$B$34)/MAX(1,'Model Inputs'!$B$33)))</f>
        <v>0.10392304845413271</v>
      </c>
      <c r="O629" s="230">
        <f t="shared" si="365"/>
        <v>3476808.331475575</v>
      </c>
      <c r="P629" s="230">
        <f t="shared" si="362"/>
        <v>2295495.7626410057</v>
      </c>
      <c r="Q629" s="230">
        <f>L629+P629+IF(J629=1,'Model Inputs'!$B$26,0)</f>
        <v>2595495.7626410057</v>
      </c>
      <c r="R629" s="230">
        <f t="shared" si="366"/>
        <v>7786487.2879230175</v>
      </c>
      <c r="S629" s="230">
        <f t="shared" si="367"/>
        <v>15300000</v>
      </c>
      <c r="T629" s="230">
        <f t="shared" si="368"/>
        <v>15300000</v>
      </c>
      <c r="U629" s="230">
        <f>MIN(T629,'Tax Assumptions'!$B$19)</f>
        <v>24500</v>
      </c>
      <c r="V629" s="230">
        <f>MAX(T629-U629-'Tax Assumptions'!$B$8,0)</f>
        <v>15259400</v>
      </c>
      <c r="W629" s="230">
        <f>MAX(T629-U629-'Tax Assumptions'!$B$9,0)</f>
        <v>15267500</v>
      </c>
      <c r="X629" s="230">
        <f>IF(V629=0,0,LOOKUP(V629,'Tax Assumptions'!$F$9:$F$15,'Tax Assumptions'!$I$9:$I$15)+(V629-LOOKUP(V629,'Tax Assumptions'!$F$9:$F$15,'Tax Assumptions'!$F$9:$F$15))*LOOKUP(V629,'Tax Assumptions'!$F$9:$F$15,'Tax Assumptions'!$H$9:$H$15))+MIN(MAX(T629,0),'Tax Assumptions'!$B$11)*'Tax Assumptions'!$B$10+MAX(T629,0)*'Tax Assumptions'!$B$12+MAX(MAX(T629,0)-'Tax Assumptions'!$B$14,0)*'Tax Assumptions'!$B$13+MIN(T629*'Tax Assumptions'!$B$15,'Tax Assumptions'!$B$16)+MIN(T629*'Tax Assumptions'!$B$17,'Tax Assumptions'!$B$18)+IF(W629=0,0,LOOKUP(W629,'Tax Assumptions'!$K$9:$K$17,'Tax Assumptions'!$N$9:$N$17)+(W629-LOOKUP(W629,'Tax Assumptions'!$K$9:$K$17,'Tax Assumptions'!$K$9:$K$17))*LOOKUP(W629,'Tax Assumptions'!$K$9:$K$17,'Tax Assumptions'!$M$9:$M$17))+IF(W629=0,0,LOOKUP(W629,'Tax Assumptions'!$P$9:$P$12,'Tax Assumptions'!$S$9:$S$12)+(W629-LOOKUP(W629,'Tax Assumptions'!$P$9:$P$12,'Tax Assumptions'!$P$9:$P$12))*LOOKUP(W629,'Tax Assumptions'!$P$9:$P$12,'Tax Assumptions'!$R$9:$R$12))</f>
        <v>8070480.54</v>
      </c>
      <c r="Y629" s="230">
        <f t="shared" si="369"/>
        <v>7205019.46</v>
      </c>
      <c r="Z629" s="230">
        <f>IF(J629&lt;=10,INDEX('Savings Projection'!$BL$19:$BL$28,J629),LOOKUP(2,1/('Savings Projection'!$BL$19:$BL$28&lt;&gt;""),'Savings Projection'!$BL$19:$BL$28))*(1+'Model Inputs'!$B$35)^(J629-1)+IF(J629&lt;=10,INDEX('Savings Projection'!$BM$19:$BM$28,J629),LOOKUP(2,1/('Savings Projection'!$BM$19:$BM$28&lt;&gt;""),'Savings Projection'!$BM$19:$BM$28))*(1+'Model Inputs'!$B$36)^(J629-1)</f>
        <v>169620.51389780178</v>
      </c>
      <c r="AA629" s="230">
        <f t="shared" si="370"/>
        <v>7035398.9461021982</v>
      </c>
      <c r="AB629" s="230">
        <f>MIN(MAX(AA629,0),'Tax Assumptions'!$B$20)</f>
        <v>7500</v>
      </c>
      <c r="AC629" s="230">
        <f t="shared" si="371"/>
        <v>7027898.9461021982</v>
      </c>
      <c r="AD629" s="230">
        <f>MAX(AD628*(1+'Model Inputs'!$B$13)+AC629,0)</f>
        <v>34562237.751005001</v>
      </c>
      <c r="AE629" s="230">
        <f>MAX(AE628*(1+'Model Inputs'!$B$13)+U629+AB629,0)</f>
        <v>421785.43815618864</v>
      </c>
      <c r="AF629" s="230">
        <f t="shared" si="372"/>
        <v>34984023.189161189</v>
      </c>
      <c r="AG629" s="226" t="str">
        <f t="shared" si="358"/>
        <v/>
      </c>
      <c r="AH629" s="226" t="str">
        <f t="shared" si="359"/>
        <v/>
      </c>
      <c r="AI629" s="226" t="str">
        <f t="shared" si="360"/>
        <v/>
      </c>
      <c r="AJ629" s="226" t="str">
        <f t="shared" si="361"/>
        <v/>
      </c>
    </row>
    <row r="630" spans="1:36" ht="18" customHeight="1" x14ac:dyDescent="0.2">
      <c r="A630" s="226" t="str">
        <f t="shared" si="350"/>
        <v>5Y -&gt; PM Y7 Tail</v>
      </c>
      <c r="B630" s="226">
        <f t="shared" si="351"/>
        <v>5</v>
      </c>
      <c r="C630" s="235">
        <f t="shared" si="352"/>
        <v>3</v>
      </c>
      <c r="D630" s="226">
        <f t="shared" si="353"/>
        <v>7</v>
      </c>
      <c r="E630" s="226" t="str">
        <f t="shared" si="354"/>
        <v>Tail</v>
      </c>
      <c r="F630" s="230">
        <f t="shared" si="355"/>
        <v>100000000</v>
      </c>
      <c r="G630" s="236">
        <f t="shared" si="356"/>
        <v>0.15</v>
      </c>
      <c r="H630" s="230">
        <f t="shared" si="357"/>
        <v>300000</v>
      </c>
      <c r="I630" s="236">
        <f t="shared" si="363"/>
        <v>0</v>
      </c>
      <c r="J630" s="234">
        <v>11</v>
      </c>
      <c r="K630" s="234">
        <f t="shared" si="364"/>
        <v>2036</v>
      </c>
      <c r="L630" s="230">
        <f>IF(J630=1,'Model Inputs'!$B$25*(13-'Model Inputs'!$B$23)/12,'Model Inputs'!$B$25)</f>
        <v>300000</v>
      </c>
      <c r="M630" s="230">
        <f>IF(J630=1,'Model Inputs'!$B$27*(13-'Model Inputs'!$B$23)/12,IF(J630=2,'Model Inputs'!$B$27,IF(J630&lt;=MAX(3,'Model Inputs'!$B$30+1),'Model Inputs'!$B$27*(1+'Model Inputs'!$B$28)^(J630-3),'Model Inputs'!$B$27*(1+'Model Inputs'!$B$28)^(MAX(3,'Model Inputs'!$B$30+1)-3)*(1+'Model Inputs'!$B$29)^(J630-MAX(3,'Model Inputs'!$B$30+1)))))</f>
        <v>4002631.578947369</v>
      </c>
      <c r="N630" s="236">
        <f>IF(J630&lt;=2,0,'Model Inputs'!$B$32*SIN(2*PI()*(J630-3+'Model Inputs'!$B$34)/MAX(1,'Model Inputs'!$B$33)))</f>
        <v>-0.10392304845413253</v>
      </c>
      <c r="O630" s="230">
        <f t="shared" si="365"/>
        <v>3586665.9034243808</v>
      </c>
      <c r="P630" s="230">
        <f t="shared" si="362"/>
        <v>3227158.9981941464</v>
      </c>
      <c r="Q630" s="230">
        <f>L630+P630+IF(J630=1,'Model Inputs'!$B$26,0)</f>
        <v>3527158.9981941464</v>
      </c>
      <c r="R630" s="230">
        <f t="shared" si="366"/>
        <v>10581476.994582439</v>
      </c>
      <c r="S630" s="230">
        <f t="shared" si="367"/>
        <v>15300000</v>
      </c>
      <c r="T630" s="230">
        <f t="shared" si="368"/>
        <v>15300000</v>
      </c>
      <c r="U630" s="230">
        <f>MIN(T630,'Tax Assumptions'!$B$19)</f>
        <v>24500</v>
      </c>
      <c r="V630" s="230">
        <f>MAX(T630-U630-'Tax Assumptions'!$B$8,0)</f>
        <v>15259400</v>
      </c>
      <c r="W630" s="230">
        <f>MAX(T630-U630-'Tax Assumptions'!$B$9,0)</f>
        <v>15267500</v>
      </c>
      <c r="X630" s="230">
        <f>IF(V630=0,0,LOOKUP(V630,'Tax Assumptions'!$F$9:$F$15,'Tax Assumptions'!$I$9:$I$15)+(V630-LOOKUP(V630,'Tax Assumptions'!$F$9:$F$15,'Tax Assumptions'!$F$9:$F$15))*LOOKUP(V630,'Tax Assumptions'!$F$9:$F$15,'Tax Assumptions'!$H$9:$H$15))+MIN(MAX(T630,0),'Tax Assumptions'!$B$11)*'Tax Assumptions'!$B$10+MAX(T630,0)*'Tax Assumptions'!$B$12+MAX(MAX(T630,0)-'Tax Assumptions'!$B$14,0)*'Tax Assumptions'!$B$13+MIN(T630*'Tax Assumptions'!$B$15,'Tax Assumptions'!$B$16)+MIN(T630*'Tax Assumptions'!$B$17,'Tax Assumptions'!$B$18)+IF(W630=0,0,LOOKUP(W630,'Tax Assumptions'!$K$9:$K$17,'Tax Assumptions'!$N$9:$N$17)+(W630-LOOKUP(W630,'Tax Assumptions'!$K$9:$K$17,'Tax Assumptions'!$K$9:$K$17))*LOOKUP(W630,'Tax Assumptions'!$K$9:$K$17,'Tax Assumptions'!$M$9:$M$17))+IF(W630=0,0,LOOKUP(W630,'Tax Assumptions'!$P$9:$P$12,'Tax Assumptions'!$S$9:$S$12)+(W630-LOOKUP(W630,'Tax Assumptions'!$P$9:$P$12,'Tax Assumptions'!$P$9:$P$12))*LOOKUP(W630,'Tax Assumptions'!$P$9:$P$12,'Tax Assumptions'!$R$9:$R$12))</f>
        <v>8070480.54</v>
      </c>
      <c r="Y630" s="230">
        <f t="shared" si="369"/>
        <v>7205019.46</v>
      </c>
      <c r="Z630" s="230">
        <f>IF(J630&lt;=10,INDEX('Savings Projection'!$BL$19:$BL$28,J630),LOOKUP(2,1/('Savings Projection'!$BL$19:$BL$28&lt;&gt;""),'Savings Projection'!$BL$19:$BL$28))*(1+'Model Inputs'!$B$35)^(J630-1)+IF(J630&lt;=10,INDEX('Savings Projection'!$BM$19:$BM$28,J630),LOOKUP(2,1/('Savings Projection'!$BM$19:$BM$28&lt;&gt;""),'Savings Projection'!$BM$19:$BM$28))*(1+'Model Inputs'!$B$36)^(J630-1)</f>
        <v>174709.12931473582</v>
      </c>
      <c r="AA630" s="230">
        <f t="shared" si="370"/>
        <v>7030310.3306852644</v>
      </c>
      <c r="AB630" s="230">
        <f>MIN(MAX(AA630,0),'Tax Assumptions'!$B$20)</f>
        <v>7500</v>
      </c>
      <c r="AC630" s="230">
        <f t="shared" si="371"/>
        <v>7022810.3306852644</v>
      </c>
      <c r="AD630" s="230">
        <f>MAX(AD629*(1+'Model Inputs'!$B$13)+AC630,0)</f>
        <v>43658782.346750572</v>
      </c>
      <c r="AE630" s="230">
        <f>MAX(AE629*(1+'Model Inputs'!$B$13)+U630+AB630,0)</f>
        <v>479092.56444555998</v>
      </c>
      <c r="AF630" s="230">
        <f t="shared" si="372"/>
        <v>44137874.911196135</v>
      </c>
      <c r="AG630" s="226" t="str">
        <f t="shared" si="358"/>
        <v/>
      </c>
      <c r="AH630" s="226" t="str">
        <f t="shared" si="359"/>
        <v/>
      </c>
      <c r="AI630" s="226" t="str">
        <f t="shared" si="360"/>
        <v/>
      </c>
      <c r="AJ630" s="226" t="str">
        <f t="shared" si="361"/>
        <v/>
      </c>
    </row>
    <row r="631" spans="1:36" ht="18" customHeight="1" x14ac:dyDescent="0.2">
      <c r="A631" s="226" t="str">
        <f t="shared" si="350"/>
        <v>5Y -&gt; PM Y7 Tail</v>
      </c>
      <c r="B631" s="226">
        <f t="shared" si="351"/>
        <v>5</v>
      </c>
      <c r="C631" s="235">
        <f t="shared" si="352"/>
        <v>3</v>
      </c>
      <c r="D631" s="226">
        <f t="shared" si="353"/>
        <v>7</v>
      </c>
      <c r="E631" s="226" t="str">
        <f t="shared" si="354"/>
        <v>Tail</v>
      </c>
      <c r="F631" s="230">
        <f t="shared" si="355"/>
        <v>100000000</v>
      </c>
      <c r="G631" s="236">
        <f t="shared" si="356"/>
        <v>0.15</v>
      </c>
      <c r="H631" s="230">
        <f t="shared" si="357"/>
        <v>300000</v>
      </c>
      <c r="I631" s="236">
        <f t="shared" si="363"/>
        <v>0</v>
      </c>
      <c r="J631" s="234">
        <v>12</v>
      </c>
      <c r="K631" s="234">
        <f t="shared" si="364"/>
        <v>2037</v>
      </c>
      <c r="L631" s="230">
        <f>IF(J631=1,'Model Inputs'!$B$25*(13-'Model Inputs'!$B$23)/12,'Model Inputs'!$B$25)</f>
        <v>300000</v>
      </c>
      <c r="M631" s="230">
        <f>IF(J631=1,'Model Inputs'!$B$27*(13-'Model Inputs'!$B$23)/12,IF(J631=2,'Model Inputs'!$B$27,IF(J631&lt;=MAX(3,'Model Inputs'!$B$30+1),'Model Inputs'!$B$27*(1+'Model Inputs'!$B$28)^(J631-3),'Model Inputs'!$B$27*(1+'Model Inputs'!$B$28)^(MAX(3,'Model Inputs'!$B$30+1)-3)*(1+'Model Inputs'!$B$29)^(J631-MAX(3,'Model Inputs'!$B$30+1)))))</f>
        <v>5086854.15450761</v>
      </c>
      <c r="N631" s="236">
        <f>IF(J631&lt;=2,0,'Model Inputs'!$B$32*SIN(2*PI()*(J631-3+'Model Inputs'!$B$34)/MAX(1,'Model Inputs'!$B$33)))</f>
        <v>-8.8174569538609421E-17</v>
      </c>
      <c r="O631" s="230">
        <f t="shared" si="365"/>
        <v>5086854.1545076091</v>
      </c>
      <c r="P631" s="230">
        <f t="shared" si="362"/>
        <v>3559201.5104371794</v>
      </c>
      <c r="Q631" s="230">
        <f>L631+P631+IF(J631=1,'Model Inputs'!$B$26,0)</f>
        <v>3859201.5104371794</v>
      </c>
      <c r="R631" s="230">
        <f t="shared" si="366"/>
        <v>11577604.531311538</v>
      </c>
      <c r="S631" s="230">
        <f t="shared" si="367"/>
        <v>15300000</v>
      </c>
      <c r="T631" s="230">
        <f t="shared" si="368"/>
        <v>15300000</v>
      </c>
      <c r="U631" s="230">
        <f>MIN(T631,'Tax Assumptions'!$B$19)</f>
        <v>24500</v>
      </c>
      <c r="V631" s="230">
        <f>MAX(T631-U631-'Tax Assumptions'!$B$8,0)</f>
        <v>15259400</v>
      </c>
      <c r="W631" s="230">
        <f>MAX(T631-U631-'Tax Assumptions'!$B$9,0)</f>
        <v>15267500</v>
      </c>
      <c r="X631" s="230">
        <f>IF(V631=0,0,LOOKUP(V631,'Tax Assumptions'!$F$9:$F$15,'Tax Assumptions'!$I$9:$I$15)+(V631-LOOKUP(V631,'Tax Assumptions'!$F$9:$F$15,'Tax Assumptions'!$F$9:$F$15))*LOOKUP(V631,'Tax Assumptions'!$F$9:$F$15,'Tax Assumptions'!$H$9:$H$15))+MIN(MAX(T631,0),'Tax Assumptions'!$B$11)*'Tax Assumptions'!$B$10+MAX(T631,0)*'Tax Assumptions'!$B$12+MAX(MAX(T631,0)-'Tax Assumptions'!$B$14,0)*'Tax Assumptions'!$B$13+MIN(T631*'Tax Assumptions'!$B$15,'Tax Assumptions'!$B$16)+MIN(T631*'Tax Assumptions'!$B$17,'Tax Assumptions'!$B$18)+IF(W631=0,0,LOOKUP(W631,'Tax Assumptions'!$K$9:$K$17,'Tax Assumptions'!$N$9:$N$17)+(W631-LOOKUP(W631,'Tax Assumptions'!$K$9:$K$17,'Tax Assumptions'!$K$9:$K$17))*LOOKUP(W631,'Tax Assumptions'!$K$9:$K$17,'Tax Assumptions'!$M$9:$M$17))+IF(W631=0,0,LOOKUP(W631,'Tax Assumptions'!$P$9:$P$12,'Tax Assumptions'!$S$9:$S$12)+(W631-LOOKUP(W631,'Tax Assumptions'!$P$9:$P$12,'Tax Assumptions'!$P$9:$P$12))*LOOKUP(W631,'Tax Assumptions'!$P$9:$P$12,'Tax Assumptions'!$R$9:$R$12))</f>
        <v>8070480.54</v>
      </c>
      <c r="Y631" s="230">
        <f t="shared" si="369"/>
        <v>7205019.46</v>
      </c>
      <c r="Z631" s="230">
        <f>IF(J631&lt;=10,INDEX('Savings Projection'!$BL$19:$BL$28,J631),LOOKUP(2,1/('Savings Projection'!$BL$19:$BL$28&lt;&gt;""),'Savings Projection'!$BL$19:$BL$28))*(1+'Model Inputs'!$B$35)^(J631-1)+IF(J631&lt;=10,INDEX('Savings Projection'!$BM$19:$BM$28,J631),LOOKUP(2,1/('Savings Projection'!$BM$19:$BM$28&lt;&gt;""),'Savings Projection'!$BM$19:$BM$28))*(1+'Model Inputs'!$B$36)^(J631-1)</f>
        <v>179950.4031941779</v>
      </c>
      <c r="AA631" s="230">
        <f t="shared" si="370"/>
        <v>7025069.0568058221</v>
      </c>
      <c r="AB631" s="230">
        <f>MIN(MAX(AA631,0),'Tax Assumptions'!$B$20)</f>
        <v>7500</v>
      </c>
      <c r="AC631" s="230">
        <f t="shared" si="371"/>
        <v>7017569.0568058221</v>
      </c>
      <c r="AD631" s="230">
        <f>MAX(AD630*(1+'Model Inputs'!$B$13)+AC631,0)</f>
        <v>53295878.344361432</v>
      </c>
      <c r="AE631" s="230">
        <f>MAX(AE630*(1+'Model Inputs'!$B$13)+U631+AB631,0)</f>
        <v>539838.11831229366</v>
      </c>
      <c r="AF631" s="230">
        <f t="shared" si="372"/>
        <v>53835716.462673724</v>
      </c>
      <c r="AG631" s="226" t="str">
        <f t="shared" si="358"/>
        <v/>
      </c>
      <c r="AH631" s="226" t="str">
        <f t="shared" si="359"/>
        <v/>
      </c>
      <c r="AI631" s="226" t="str">
        <f t="shared" si="360"/>
        <v/>
      </c>
      <c r="AJ631" s="226" t="str">
        <f t="shared" si="361"/>
        <v/>
      </c>
    </row>
    <row r="632" spans="1:36" ht="18" customHeight="1" x14ac:dyDescent="0.2">
      <c r="A632" s="226" t="str">
        <f t="shared" si="350"/>
        <v>5Y -&gt; PM Y7 Tail</v>
      </c>
      <c r="B632" s="226">
        <f t="shared" si="351"/>
        <v>5</v>
      </c>
      <c r="C632" s="235">
        <f t="shared" si="352"/>
        <v>3</v>
      </c>
      <c r="D632" s="226">
        <f t="shared" si="353"/>
        <v>7</v>
      </c>
      <c r="E632" s="226" t="str">
        <f t="shared" si="354"/>
        <v>Tail</v>
      </c>
      <c r="F632" s="230">
        <f t="shared" si="355"/>
        <v>100000000</v>
      </c>
      <c r="G632" s="236">
        <f t="shared" si="356"/>
        <v>0.15</v>
      </c>
      <c r="H632" s="230">
        <f t="shared" si="357"/>
        <v>300000</v>
      </c>
      <c r="I632" s="236">
        <f t="shared" si="363"/>
        <v>0</v>
      </c>
      <c r="J632" s="234">
        <v>13</v>
      </c>
      <c r="K632" s="234">
        <f t="shared" si="364"/>
        <v>2038</v>
      </c>
      <c r="L632" s="230">
        <f>IF(J632=1,'Model Inputs'!$B$25*(13-'Model Inputs'!$B$23)/12,'Model Inputs'!$B$25)</f>
        <v>300000</v>
      </c>
      <c r="M632" s="230">
        <f>IF(J632=1,'Model Inputs'!$B$27*(13-'Model Inputs'!$B$23)/12,IF(J632=2,'Model Inputs'!$B$27,IF(J632&lt;=MAX(3,'Model Inputs'!$B$30+1),'Model Inputs'!$B$27*(1+'Model Inputs'!$B$28)^(J632-3),'Model Inputs'!$B$27*(1+'Model Inputs'!$B$28)^(MAX(3,'Model Inputs'!$B$30+1)-3)*(1+'Model Inputs'!$B$29)^(J632-MAX(3,'Model Inputs'!$B$30+1)))))</f>
        <v>6464768.1603602255</v>
      </c>
      <c r="N632" s="236">
        <f>IF(J632&lt;=2,0,'Model Inputs'!$B$32*SIN(2*PI()*(J632-3+'Model Inputs'!$B$34)/MAX(1,'Model Inputs'!$B$33)))</f>
        <v>0.10392304845413261</v>
      </c>
      <c r="O632" s="230">
        <f t="shared" si="365"/>
        <v>7136606.5751340752</v>
      </c>
      <c r="P632" s="230">
        <f t="shared" si="362"/>
        <v>4711807.0917368019</v>
      </c>
      <c r="Q632" s="230">
        <f>L632+P632+IF(J632=1,'Model Inputs'!$B$26,0)</f>
        <v>5011807.0917368019</v>
      </c>
      <c r="R632" s="230">
        <f t="shared" si="366"/>
        <v>15035421.275210407</v>
      </c>
      <c r="S632" s="230">
        <f t="shared" si="367"/>
        <v>15300000</v>
      </c>
      <c r="T632" s="230">
        <f t="shared" si="368"/>
        <v>15300000</v>
      </c>
      <c r="U632" s="230">
        <f>MIN(T632,'Tax Assumptions'!$B$19)</f>
        <v>24500</v>
      </c>
      <c r="V632" s="230">
        <f>MAX(T632-U632-'Tax Assumptions'!$B$8,0)</f>
        <v>15259400</v>
      </c>
      <c r="W632" s="230">
        <f>MAX(T632-U632-'Tax Assumptions'!$B$9,0)</f>
        <v>15267500</v>
      </c>
      <c r="X632" s="230">
        <f>IF(V632=0,0,LOOKUP(V632,'Tax Assumptions'!$F$9:$F$15,'Tax Assumptions'!$I$9:$I$15)+(V632-LOOKUP(V632,'Tax Assumptions'!$F$9:$F$15,'Tax Assumptions'!$F$9:$F$15))*LOOKUP(V632,'Tax Assumptions'!$F$9:$F$15,'Tax Assumptions'!$H$9:$H$15))+MIN(MAX(T632,0),'Tax Assumptions'!$B$11)*'Tax Assumptions'!$B$10+MAX(T632,0)*'Tax Assumptions'!$B$12+MAX(MAX(T632,0)-'Tax Assumptions'!$B$14,0)*'Tax Assumptions'!$B$13+MIN(T632*'Tax Assumptions'!$B$15,'Tax Assumptions'!$B$16)+MIN(T632*'Tax Assumptions'!$B$17,'Tax Assumptions'!$B$18)+IF(W632=0,0,LOOKUP(W632,'Tax Assumptions'!$K$9:$K$17,'Tax Assumptions'!$N$9:$N$17)+(W632-LOOKUP(W632,'Tax Assumptions'!$K$9:$K$17,'Tax Assumptions'!$K$9:$K$17))*LOOKUP(W632,'Tax Assumptions'!$K$9:$K$17,'Tax Assumptions'!$M$9:$M$17))+IF(W632=0,0,LOOKUP(W632,'Tax Assumptions'!$P$9:$P$12,'Tax Assumptions'!$S$9:$S$12)+(W632-LOOKUP(W632,'Tax Assumptions'!$P$9:$P$12,'Tax Assumptions'!$P$9:$P$12))*LOOKUP(W632,'Tax Assumptions'!$P$9:$P$12,'Tax Assumptions'!$R$9:$R$12))</f>
        <v>8070480.54</v>
      </c>
      <c r="Y632" s="230">
        <f t="shared" si="369"/>
        <v>7205019.46</v>
      </c>
      <c r="Z632" s="230">
        <f>IF(J632&lt;=10,INDEX('Savings Projection'!$BL$19:$BL$28,J632),LOOKUP(2,1/('Savings Projection'!$BL$19:$BL$28&lt;&gt;""),'Savings Projection'!$BL$19:$BL$28))*(1+'Model Inputs'!$B$35)^(J632-1)+IF(J632&lt;=10,INDEX('Savings Projection'!$BM$19:$BM$28,J632),LOOKUP(2,1/('Savings Projection'!$BM$19:$BM$28&lt;&gt;""),'Savings Projection'!$BM$19:$BM$28))*(1+'Model Inputs'!$B$36)^(J632-1)</f>
        <v>185348.91529000323</v>
      </c>
      <c r="AA632" s="230">
        <f t="shared" si="370"/>
        <v>7019670.5447099963</v>
      </c>
      <c r="AB632" s="230">
        <f>MIN(MAX(AA632,0),'Tax Assumptions'!$B$20)</f>
        <v>7500</v>
      </c>
      <c r="AC632" s="230">
        <f t="shared" si="371"/>
        <v>7012170.5447099963</v>
      </c>
      <c r="AD632" s="230">
        <f>MAX(AD631*(1+'Model Inputs'!$B$13)+AC632,0)</f>
        <v>63505801.589733116</v>
      </c>
      <c r="AE632" s="230">
        <f>MAX(AE631*(1+'Model Inputs'!$B$13)+U632+AB632,0)</f>
        <v>604228.40541103133</v>
      </c>
      <c r="AF632" s="230">
        <f t="shared" si="372"/>
        <v>64110029.995144151</v>
      </c>
      <c r="AG632" s="226" t="str">
        <f t="shared" si="358"/>
        <v/>
      </c>
      <c r="AH632" s="226" t="str">
        <f t="shared" si="359"/>
        <v/>
      </c>
      <c r="AI632" s="226" t="str">
        <f t="shared" si="360"/>
        <v/>
      </c>
      <c r="AJ632" s="226" t="str">
        <f t="shared" si="361"/>
        <v/>
      </c>
    </row>
    <row r="633" spans="1:36" ht="18" customHeight="1" x14ac:dyDescent="0.2">
      <c r="A633" s="226" t="str">
        <f t="shared" si="350"/>
        <v>5Y -&gt; PM Y7 Tail</v>
      </c>
      <c r="B633" s="226">
        <f t="shared" si="351"/>
        <v>5</v>
      </c>
      <c r="C633" s="235">
        <f t="shared" si="352"/>
        <v>3</v>
      </c>
      <c r="D633" s="226">
        <f t="shared" si="353"/>
        <v>7</v>
      </c>
      <c r="E633" s="226" t="str">
        <f t="shared" si="354"/>
        <v>Tail</v>
      </c>
      <c r="F633" s="230">
        <f t="shared" si="355"/>
        <v>100000000</v>
      </c>
      <c r="G633" s="236">
        <f t="shared" si="356"/>
        <v>0.15</v>
      </c>
      <c r="H633" s="230">
        <f t="shared" si="357"/>
        <v>300000</v>
      </c>
      <c r="I633" s="236">
        <f t="shared" si="363"/>
        <v>0</v>
      </c>
      <c r="J633" s="234">
        <v>14</v>
      </c>
      <c r="K633" s="234">
        <f t="shared" si="364"/>
        <v>2039</v>
      </c>
      <c r="L633" s="230">
        <f>IF(J633=1,'Model Inputs'!$B$25*(13-'Model Inputs'!$B$23)/12,'Model Inputs'!$B$25)</f>
        <v>300000</v>
      </c>
      <c r="M633" s="230">
        <f>IF(J633=1,'Model Inputs'!$B$27*(13-'Model Inputs'!$B$23)/12,IF(J633=2,'Model Inputs'!$B$27,IF(J633&lt;=MAX(3,'Model Inputs'!$B$30+1),'Model Inputs'!$B$27*(1+'Model Inputs'!$B$28)^(J633-3),'Model Inputs'!$B$27*(1+'Model Inputs'!$B$28)^(MAX(3,'Model Inputs'!$B$30+1)-3)*(1+'Model Inputs'!$B$29)^(J633-MAX(3,'Model Inputs'!$B$30+1)))))</f>
        <v>8215927.9778393377</v>
      </c>
      <c r="N633" s="236">
        <f>IF(J633&lt;=2,0,'Model Inputs'!$B$32*SIN(2*PI()*(J633-3+'Model Inputs'!$B$34)/MAX(1,'Model Inputs'!$B$33)))</f>
        <v>-0.10392304845413251</v>
      </c>
      <c r="O633" s="230">
        <f t="shared" si="365"/>
        <v>7362103.6965026772</v>
      </c>
      <c r="P633" s="230">
        <f t="shared" si="362"/>
        <v>6624168.4699774589</v>
      </c>
      <c r="Q633" s="230">
        <f>L633+P633+IF(J633=1,'Model Inputs'!$B$26,0)</f>
        <v>6924168.4699774589</v>
      </c>
      <c r="R633" s="230">
        <f t="shared" si="366"/>
        <v>20772505.409932375</v>
      </c>
      <c r="S633" s="230">
        <f t="shared" si="367"/>
        <v>15300000</v>
      </c>
      <c r="T633" s="230">
        <f t="shared" si="368"/>
        <v>15300000</v>
      </c>
      <c r="U633" s="230">
        <f>MIN(T633,'Tax Assumptions'!$B$19)</f>
        <v>24500</v>
      </c>
      <c r="V633" s="230">
        <f>MAX(T633-U633-'Tax Assumptions'!$B$8,0)</f>
        <v>15259400</v>
      </c>
      <c r="W633" s="230">
        <f>MAX(T633-U633-'Tax Assumptions'!$B$9,0)</f>
        <v>15267500</v>
      </c>
      <c r="X633" s="230">
        <f>IF(V633=0,0,LOOKUP(V633,'Tax Assumptions'!$F$9:$F$15,'Tax Assumptions'!$I$9:$I$15)+(V633-LOOKUP(V633,'Tax Assumptions'!$F$9:$F$15,'Tax Assumptions'!$F$9:$F$15))*LOOKUP(V633,'Tax Assumptions'!$F$9:$F$15,'Tax Assumptions'!$H$9:$H$15))+MIN(MAX(T633,0),'Tax Assumptions'!$B$11)*'Tax Assumptions'!$B$10+MAX(T633,0)*'Tax Assumptions'!$B$12+MAX(MAX(T633,0)-'Tax Assumptions'!$B$14,0)*'Tax Assumptions'!$B$13+MIN(T633*'Tax Assumptions'!$B$15,'Tax Assumptions'!$B$16)+MIN(T633*'Tax Assumptions'!$B$17,'Tax Assumptions'!$B$18)+IF(W633=0,0,LOOKUP(W633,'Tax Assumptions'!$K$9:$K$17,'Tax Assumptions'!$N$9:$N$17)+(W633-LOOKUP(W633,'Tax Assumptions'!$K$9:$K$17,'Tax Assumptions'!$K$9:$K$17))*LOOKUP(W633,'Tax Assumptions'!$K$9:$K$17,'Tax Assumptions'!$M$9:$M$17))+IF(W633=0,0,LOOKUP(W633,'Tax Assumptions'!$P$9:$P$12,'Tax Assumptions'!$S$9:$S$12)+(W633-LOOKUP(W633,'Tax Assumptions'!$P$9:$P$12,'Tax Assumptions'!$P$9:$P$12))*LOOKUP(W633,'Tax Assumptions'!$P$9:$P$12,'Tax Assumptions'!$R$9:$R$12))</f>
        <v>8070480.54</v>
      </c>
      <c r="Y633" s="230">
        <f t="shared" si="369"/>
        <v>7205019.46</v>
      </c>
      <c r="Z633" s="230">
        <f>IF(J633&lt;=10,INDEX('Savings Projection'!$BL$19:$BL$28,J633),LOOKUP(2,1/('Savings Projection'!$BL$19:$BL$28&lt;&gt;""),'Savings Projection'!$BL$19:$BL$28))*(1+'Model Inputs'!$B$35)^(J633-1)+IF(J633&lt;=10,INDEX('Savings Projection'!$BM$19:$BM$28,J633),LOOKUP(2,1/('Savings Projection'!$BM$19:$BM$28&lt;&gt;""),'Savings Projection'!$BM$19:$BM$28))*(1+'Model Inputs'!$B$36)^(J633-1)</f>
        <v>190909.3827487033</v>
      </c>
      <c r="AA633" s="230">
        <f t="shared" si="370"/>
        <v>7014110.0772512965</v>
      </c>
      <c r="AB633" s="230">
        <f>MIN(MAX(AA633,0),'Tax Assumptions'!$B$20)</f>
        <v>7500</v>
      </c>
      <c r="AC633" s="230">
        <f t="shared" si="371"/>
        <v>7006610.0772512965</v>
      </c>
      <c r="AD633" s="230">
        <f>MAX(AD632*(1+'Model Inputs'!$B$13)+AC633,0)</f>
        <v>74322759.762368411</v>
      </c>
      <c r="AE633" s="230">
        <f>MAX(AE632*(1+'Model Inputs'!$B$13)+U633+AB633,0)</f>
        <v>672482.1097356932</v>
      </c>
      <c r="AF633" s="230">
        <f t="shared" si="372"/>
        <v>74995241.872104108</v>
      </c>
      <c r="AG633" s="226" t="str">
        <f t="shared" si="358"/>
        <v/>
      </c>
      <c r="AH633" s="226" t="str">
        <f t="shared" si="359"/>
        <v/>
      </c>
      <c r="AI633" s="226" t="str">
        <f t="shared" si="360"/>
        <v/>
      </c>
      <c r="AJ633" s="226" t="str">
        <f t="shared" si="361"/>
        <v/>
      </c>
    </row>
    <row r="634" spans="1:36" ht="18" customHeight="1" x14ac:dyDescent="0.2">
      <c r="A634" s="226" t="str">
        <f t="shared" si="350"/>
        <v>5Y -&gt; PM Y7 Tail</v>
      </c>
      <c r="B634" s="226">
        <f t="shared" si="351"/>
        <v>5</v>
      </c>
      <c r="C634" s="235">
        <f t="shared" si="352"/>
        <v>3</v>
      </c>
      <c r="D634" s="226">
        <f t="shared" si="353"/>
        <v>7</v>
      </c>
      <c r="E634" s="226" t="str">
        <f t="shared" si="354"/>
        <v>Tail</v>
      </c>
      <c r="F634" s="230">
        <f t="shared" si="355"/>
        <v>100000000</v>
      </c>
      <c r="G634" s="236">
        <f t="shared" si="356"/>
        <v>0.15</v>
      </c>
      <c r="H634" s="230">
        <f t="shared" si="357"/>
        <v>300000</v>
      </c>
      <c r="I634" s="236">
        <f t="shared" si="363"/>
        <v>0</v>
      </c>
      <c r="J634" s="234">
        <v>15</v>
      </c>
      <c r="K634" s="234">
        <f t="shared" si="364"/>
        <v>2040</v>
      </c>
      <c r="L634" s="230">
        <f>IF(J634=1,'Model Inputs'!$B$25*(13-'Model Inputs'!$B$23)/12,'Model Inputs'!$B$25)</f>
        <v>300000</v>
      </c>
      <c r="M634" s="230">
        <f>IF(J634=1,'Model Inputs'!$B$27*(13-'Model Inputs'!$B$23)/12,IF(J634=2,'Model Inputs'!$B$27,IF(J634&lt;=MAX(3,'Model Inputs'!$B$30+1),'Model Inputs'!$B$27*(1+'Model Inputs'!$B$28)^(J634-3),'Model Inputs'!$B$27*(1+'Model Inputs'!$B$28)^(MAX(3,'Model Inputs'!$B$30+1)-3)*(1+'Model Inputs'!$B$29)^(J634-MAX(3,'Model Inputs'!$B$30+1)))))</f>
        <v>10441437.475041937</v>
      </c>
      <c r="N634" s="236">
        <f>IF(J634&lt;=2,0,'Model Inputs'!$B$32*SIN(2*PI()*(J634-3+'Model Inputs'!$B$34)/MAX(1,'Model Inputs'!$B$33)))</f>
        <v>-1.1756609271814589E-16</v>
      </c>
      <c r="O634" s="230">
        <f t="shared" si="365"/>
        <v>10441437.475041935</v>
      </c>
      <c r="P634" s="230">
        <f t="shared" si="362"/>
        <v>7305729.4161605267</v>
      </c>
      <c r="Q634" s="230">
        <f>L634+P634+IF(J634=1,'Model Inputs'!$B$26,0)</f>
        <v>7605729.4161605267</v>
      </c>
      <c r="R634" s="230">
        <f t="shared" si="366"/>
        <v>22817188.248481579</v>
      </c>
      <c r="S634" s="230">
        <f t="shared" si="367"/>
        <v>15300000</v>
      </c>
      <c r="T634" s="230">
        <f t="shared" si="368"/>
        <v>15300000</v>
      </c>
      <c r="U634" s="230">
        <f>MIN(T634,'Tax Assumptions'!$B$19)</f>
        <v>24500</v>
      </c>
      <c r="V634" s="230">
        <f>MAX(T634-U634-'Tax Assumptions'!$B$8,0)</f>
        <v>15259400</v>
      </c>
      <c r="W634" s="230">
        <f>MAX(T634-U634-'Tax Assumptions'!$B$9,0)</f>
        <v>15267500</v>
      </c>
      <c r="X634" s="230">
        <f>IF(V634=0,0,LOOKUP(V634,'Tax Assumptions'!$F$9:$F$15,'Tax Assumptions'!$I$9:$I$15)+(V634-LOOKUP(V634,'Tax Assumptions'!$F$9:$F$15,'Tax Assumptions'!$F$9:$F$15))*LOOKUP(V634,'Tax Assumptions'!$F$9:$F$15,'Tax Assumptions'!$H$9:$H$15))+MIN(MAX(T634,0),'Tax Assumptions'!$B$11)*'Tax Assumptions'!$B$10+MAX(T634,0)*'Tax Assumptions'!$B$12+MAX(MAX(T634,0)-'Tax Assumptions'!$B$14,0)*'Tax Assumptions'!$B$13+MIN(T634*'Tax Assumptions'!$B$15,'Tax Assumptions'!$B$16)+MIN(T634*'Tax Assumptions'!$B$17,'Tax Assumptions'!$B$18)+IF(W634=0,0,LOOKUP(W634,'Tax Assumptions'!$K$9:$K$17,'Tax Assumptions'!$N$9:$N$17)+(W634-LOOKUP(W634,'Tax Assumptions'!$K$9:$K$17,'Tax Assumptions'!$K$9:$K$17))*LOOKUP(W634,'Tax Assumptions'!$K$9:$K$17,'Tax Assumptions'!$M$9:$M$17))+IF(W634=0,0,LOOKUP(W634,'Tax Assumptions'!$P$9:$P$12,'Tax Assumptions'!$S$9:$S$12)+(W634-LOOKUP(W634,'Tax Assumptions'!$P$9:$P$12,'Tax Assumptions'!$P$9:$P$12))*LOOKUP(W634,'Tax Assumptions'!$P$9:$P$12,'Tax Assumptions'!$R$9:$R$12))</f>
        <v>8070480.54</v>
      </c>
      <c r="Y634" s="230">
        <f t="shared" si="369"/>
        <v>7205019.46</v>
      </c>
      <c r="Z634" s="230">
        <f>IF(J634&lt;=10,INDEX('Savings Projection'!$BL$19:$BL$28,J634),LOOKUP(2,1/('Savings Projection'!$BL$19:$BL$28&lt;&gt;""),'Savings Projection'!$BL$19:$BL$28))*(1+'Model Inputs'!$B$35)^(J634-1)+IF(J634&lt;=10,INDEX('Savings Projection'!$BM$19:$BM$28,J634),LOOKUP(2,1/('Savings Projection'!$BM$19:$BM$28&lt;&gt;""),'Savings Projection'!$BM$19:$BM$28))*(1+'Model Inputs'!$B$36)^(J634-1)</f>
        <v>196636.66423116444</v>
      </c>
      <c r="AA634" s="230">
        <f t="shared" si="370"/>
        <v>7008382.7957688356</v>
      </c>
      <c r="AB634" s="230">
        <f>MIN(MAX(AA634,0),'Tax Assumptions'!$B$20)</f>
        <v>7500</v>
      </c>
      <c r="AC634" s="230">
        <f t="shared" si="371"/>
        <v>7000882.7957688356</v>
      </c>
      <c r="AD634" s="230">
        <f>MAX(AD633*(1+'Model Inputs'!$B$13)+AC634,0)</f>
        <v>85783008.143879369</v>
      </c>
      <c r="AE634" s="230">
        <f>MAX(AE633*(1+'Model Inputs'!$B$13)+U634+AB634,0)</f>
        <v>744831.03631983488</v>
      </c>
      <c r="AF634" s="230">
        <f t="shared" si="372"/>
        <v>86527839.180199206</v>
      </c>
      <c r="AG634" s="226" t="str">
        <f t="shared" si="358"/>
        <v/>
      </c>
      <c r="AH634" s="226" t="str">
        <f t="shared" si="359"/>
        <v/>
      </c>
      <c r="AI634" s="226" t="str">
        <f t="shared" si="360"/>
        <v/>
      </c>
      <c r="AJ634" s="226" t="str">
        <f t="shared" si="361"/>
        <v/>
      </c>
    </row>
    <row r="635" spans="1:36" ht="18" customHeight="1" x14ac:dyDescent="0.2">
      <c r="A635" s="226" t="str">
        <f t="shared" si="350"/>
        <v>5Y -&gt; PM Y7 Tail</v>
      </c>
      <c r="B635" s="226">
        <f t="shared" si="351"/>
        <v>5</v>
      </c>
      <c r="C635" s="235">
        <f t="shared" si="352"/>
        <v>3</v>
      </c>
      <c r="D635" s="226">
        <f t="shared" si="353"/>
        <v>7</v>
      </c>
      <c r="E635" s="226" t="str">
        <f t="shared" si="354"/>
        <v>Tail</v>
      </c>
      <c r="F635" s="230">
        <f t="shared" si="355"/>
        <v>100000000</v>
      </c>
      <c r="G635" s="236">
        <f t="shared" si="356"/>
        <v>0.15</v>
      </c>
      <c r="H635" s="230">
        <f t="shared" si="357"/>
        <v>300000</v>
      </c>
      <c r="I635" s="236">
        <f t="shared" si="363"/>
        <v>0</v>
      </c>
      <c r="J635" s="234">
        <v>16</v>
      </c>
      <c r="K635" s="234">
        <f t="shared" si="364"/>
        <v>2041</v>
      </c>
      <c r="L635" s="230">
        <f>IF(J635=1,'Model Inputs'!$B$25*(13-'Model Inputs'!$B$23)/12,'Model Inputs'!$B$25)</f>
        <v>300000</v>
      </c>
      <c r="M635" s="230">
        <f>IF(J635=1,'Model Inputs'!$B$27*(13-'Model Inputs'!$B$23)/12,IF(J635=2,'Model Inputs'!$B$27,IF(J635&lt;=MAX(3,'Model Inputs'!$B$30+1),'Model Inputs'!$B$27*(1+'Model Inputs'!$B$28)^(J635-3),'Model Inputs'!$B$27*(1+'Model Inputs'!$B$28)^(MAX(3,'Model Inputs'!$B$30+1)-3)*(1+'Model Inputs'!$B$29)^(J635-MAX(3,'Model Inputs'!$B$30+1)))))</f>
        <v>13269787.276528884</v>
      </c>
      <c r="N635" s="236">
        <f>IF(J635&lt;=2,0,'Model Inputs'!$B$32*SIN(2*PI()*(J635-3+'Model Inputs'!$B$34)/MAX(1,'Model Inputs'!$B$33)))</f>
        <v>0.10392304845413262</v>
      </c>
      <c r="O635" s="230">
        <f t="shared" si="365"/>
        <v>14648824.022643628</v>
      </c>
      <c r="P635" s="230">
        <f t="shared" si="362"/>
        <v>9671604.0304071214</v>
      </c>
      <c r="Q635" s="230">
        <f>L635+P635+IF(J635=1,'Model Inputs'!$B$26,0)</f>
        <v>9971604.0304071214</v>
      </c>
      <c r="R635" s="230">
        <f t="shared" si="366"/>
        <v>29914812.091221362</v>
      </c>
      <c r="S635" s="230">
        <f t="shared" si="367"/>
        <v>15300000</v>
      </c>
      <c r="T635" s="230">
        <f t="shared" si="368"/>
        <v>15300000</v>
      </c>
      <c r="U635" s="230">
        <f>MIN(T635,'Tax Assumptions'!$B$19)</f>
        <v>24500</v>
      </c>
      <c r="V635" s="230">
        <f>MAX(T635-U635-'Tax Assumptions'!$B$8,0)</f>
        <v>15259400</v>
      </c>
      <c r="W635" s="230">
        <f>MAX(T635-U635-'Tax Assumptions'!$B$9,0)</f>
        <v>15267500</v>
      </c>
      <c r="X635" s="230">
        <f>IF(V635=0,0,LOOKUP(V635,'Tax Assumptions'!$F$9:$F$15,'Tax Assumptions'!$I$9:$I$15)+(V635-LOOKUP(V635,'Tax Assumptions'!$F$9:$F$15,'Tax Assumptions'!$F$9:$F$15))*LOOKUP(V635,'Tax Assumptions'!$F$9:$F$15,'Tax Assumptions'!$H$9:$H$15))+MIN(MAX(T635,0),'Tax Assumptions'!$B$11)*'Tax Assumptions'!$B$10+MAX(T635,0)*'Tax Assumptions'!$B$12+MAX(MAX(T635,0)-'Tax Assumptions'!$B$14,0)*'Tax Assumptions'!$B$13+MIN(T635*'Tax Assumptions'!$B$15,'Tax Assumptions'!$B$16)+MIN(T635*'Tax Assumptions'!$B$17,'Tax Assumptions'!$B$18)+IF(W635=0,0,LOOKUP(W635,'Tax Assumptions'!$K$9:$K$17,'Tax Assumptions'!$N$9:$N$17)+(W635-LOOKUP(W635,'Tax Assumptions'!$K$9:$K$17,'Tax Assumptions'!$K$9:$K$17))*LOOKUP(W635,'Tax Assumptions'!$K$9:$K$17,'Tax Assumptions'!$M$9:$M$17))+IF(W635=0,0,LOOKUP(W635,'Tax Assumptions'!$P$9:$P$12,'Tax Assumptions'!$S$9:$S$12)+(W635-LOOKUP(W635,'Tax Assumptions'!$P$9:$P$12,'Tax Assumptions'!$P$9:$P$12))*LOOKUP(W635,'Tax Assumptions'!$P$9:$P$12,'Tax Assumptions'!$R$9:$R$12))</f>
        <v>8070480.54</v>
      </c>
      <c r="Y635" s="230">
        <f t="shared" si="369"/>
        <v>7205019.46</v>
      </c>
      <c r="Z635" s="230">
        <f>IF(J635&lt;=10,INDEX('Savings Projection'!$BL$19:$BL$28,J635),LOOKUP(2,1/('Savings Projection'!$BL$19:$BL$28&lt;&gt;""),'Savings Projection'!$BL$19:$BL$28))*(1+'Model Inputs'!$B$35)^(J635-1)+IF(J635&lt;=10,INDEX('Savings Projection'!$BM$19:$BM$28,J635),LOOKUP(2,1/('Savings Projection'!$BM$19:$BM$28&lt;&gt;""),'Savings Projection'!$BM$19:$BM$28))*(1+'Model Inputs'!$B$36)^(J635-1)</f>
        <v>202535.76415809937</v>
      </c>
      <c r="AA635" s="230">
        <f t="shared" si="370"/>
        <v>7002483.695841901</v>
      </c>
      <c r="AB635" s="230">
        <f>MIN(MAX(AA635,0),'Tax Assumptions'!$B$20)</f>
        <v>7500</v>
      </c>
      <c r="AC635" s="230">
        <f t="shared" si="371"/>
        <v>6994983.695841901</v>
      </c>
      <c r="AD635" s="230">
        <f>MAX(AD634*(1+'Model Inputs'!$B$13)+AC635,0)</f>
        <v>97924972.328354031</v>
      </c>
      <c r="AE635" s="230">
        <f>MAX(AE634*(1+'Model Inputs'!$B$13)+U635+AB635,0)</f>
        <v>821520.89849902503</v>
      </c>
      <c r="AF635" s="230">
        <f t="shared" si="372"/>
        <v>98746493.226853058</v>
      </c>
      <c r="AG635" s="226" t="str">
        <f t="shared" si="358"/>
        <v/>
      </c>
      <c r="AH635" s="226" t="str">
        <f t="shared" si="359"/>
        <v/>
      </c>
      <c r="AI635" s="226" t="str">
        <f t="shared" si="360"/>
        <v/>
      </c>
      <c r="AJ635" s="226" t="str">
        <f t="shared" si="361"/>
        <v/>
      </c>
    </row>
    <row r="636" spans="1:36" ht="18" customHeight="1" x14ac:dyDescent="0.2">
      <c r="A636" s="226" t="str">
        <f t="shared" si="350"/>
        <v>5Y -&gt; PM Y7 Tail</v>
      </c>
      <c r="B636" s="226">
        <f t="shared" si="351"/>
        <v>5</v>
      </c>
      <c r="C636" s="235">
        <f t="shared" si="352"/>
        <v>3</v>
      </c>
      <c r="D636" s="226">
        <f t="shared" si="353"/>
        <v>7</v>
      </c>
      <c r="E636" s="226" t="str">
        <f t="shared" si="354"/>
        <v>Tail</v>
      </c>
      <c r="F636" s="230">
        <f t="shared" si="355"/>
        <v>100000000</v>
      </c>
      <c r="G636" s="236">
        <f t="shared" si="356"/>
        <v>0.15</v>
      </c>
      <c r="H636" s="230">
        <f t="shared" si="357"/>
        <v>300000</v>
      </c>
      <c r="I636" s="236">
        <f t="shared" si="363"/>
        <v>0</v>
      </c>
      <c r="J636" s="234">
        <v>17</v>
      </c>
      <c r="K636" s="234">
        <f t="shared" si="364"/>
        <v>2042</v>
      </c>
      <c r="L636" s="230">
        <f>IF(J636=1,'Model Inputs'!$B$25*(13-'Model Inputs'!$B$23)/12,'Model Inputs'!$B$25)</f>
        <v>300000</v>
      </c>
      <c r="M636" s="230">
        <f>IF(J636=1,'Model Inputs'!$B$27*(13-'Model Inputs'!$B$23)/12,IF(J636=2,'Model Inputs'!$B$27,IF(J636&lt;=MAX(3,'Model Inputs'!$B$30+1),'Model Inputs'!$B$27*(1+'Model Inputs'!$B$28)^(J636-3),'Model Inputs'!$B$27*(1+'Model Inputs'!$B$28)^(MAX(3,'Model Inputs'!$B$30+1)-3)*(1+'Model Inputs'!$B$29)^(J636-MAX(3,'Model Inputs'!$B$30+1)))))</f>
        <v>16864273.217670217</v>
      </c>
      <c r="N636" s="236">
        <f>IF(J636&lt;=2,0,'Model Inputs'!$B$32*SIN(2*PI()*(J636-3+'Model Inputs'!$B$34)/MAX(1,'Model Inputs'!$B$33)))</f>
        <v>-0.1039230484541325</v>
      </c>
      <c r="O636" s="230">
        <f t="shared" si="365"/>
        <v>15111686.534926547</v>
      </c>
      <c r="P636" s="230">
        <f t="shared" si="362"/>
        <v>13596977.385743205</v>
      </c>
      <c r="Q636" s="230">
        <f>L636+P636+IF(J636=1,'Model Inputs'!$B$26,0)</f>
        <v>13896977.385743205</v>
      </c>
      <c r="R636" s="230">
        <f t="shared" si="366"/>
        <v>41690932.157229617</v>
      </c>
      <c r="S636" s="230">
        <f t="shared" si="367"/>
        <v>15300000</v>
      </c>
      <c r="T636" s="230">
        <f t="shared" si="368"/>
        <v>15300000</v>
      </c>
      <c r="U636" s="230">
        <f>MIN(T636,'Tax Assumptions'!$B$19)</f>
        <v>24500</v>
      </c>
      <c r="V636" s="230">
        <f>MAX(T636-U636-'Tax Assumptions'!$B$8,0)</f>
        <v>15259400</v>
      </c>
      <c r="W636" s="230">
        <f>MAX(T636-U636-'Tax Assumptions'!$B$9,0)</f>
        <v>15267500</v>
      </c>
      <c r="X636" s="230">
        <f>IF(V636=0,0,LOOKUP(V636,'Tax Assumptions'!$F$9:$F$15,'Tax Assumptions'!$I$9:$I$15)+(V636-LOOKUP(V636,'Tax Assumptions'!$F$9:$F$15,'Tax Assumptions'!$F$9:$F$15))*LOOKUP(V636,'Tax Assumptions'!$F$9:$F$15,'Tax Assumptions'!$H$9:$H$15))+MIN(MAX(T636,0),'Tax Assumptions'!$B$11)*'Tax Assumptions'!$B$10+MAX(T636,0)*'Tax Assumptions'!$B$12+MAX(MAX(T636,0)-'Tax Assumptions'!$B$14,0)*'Tax Assumptions'!$B$13+MIN(T636*'Tax Assumptions'!$B$15,'Tax Assumptions'!$B$16)+MIN(T636*'Tax Assumptions'!$B$17,'Tax Assumptions'!$B$18)+IF(W636=0,0,LOOKUP(W636,'Tax Assumptions'!$K$9:$K$17,'Tax Assumptions'!$N$9:$N$17)+(W636-LOOKUP(W636,'Tax Assumptions'!$K$9:$K$17,'Tax Assumptions'!$K$9:$K$17))*LOOKUP(W636,'Tax Assumptions'!$K$9:$K$17,'Tax Assumptions'!$M$9:$M$17))+IF(W636=0,0,LOOKUP(W636,'Tax Assumptions'!$P$9:$P$12,'Tax Assumptions'!$S$9:$S$12)+(W636-LOOKUP(W636,'Tax Assumptions'!$P$9:$P$12,'Tax Assumptions'!$P$9:$P$12))*LOOKUP(W636,'Tax Assumptions'!$P$9:$P$12,'Tax Assumptions'!$R$9:$R$12))</f>
        <v>8070480.54</v>
      </c>
      <c r="Y636" s="230">
        <f t="shared" si="369"/>
        <v>7205019.46</v>
      </c>
      <c r="Z636" s="230">
        <f>IF(J636&lt;=10,INDEX('Savings Projection'!$BL$19:$BL$28,J636),LOOKUP(2,1/('Savings Projection'!$BL$19:$BL$28&lt;&gt;""),'Savings Projection'!$BL$19:$BL$28))*(1+'Model Inputs'!$B$35)^(J636-1)+IF(J636&lt;=10,INDEX('Savings Projection'!$BM$19:$BM$28,J636),LOOKUP(2,1/('Savings Projection'!$BM$19:$BM$28&lt;&gt;""),'Savings Projection'!$BM$19:$BM$28))*(1+'Model Inputs'!$B$36)^(J636-1)</f>
        <v>208611.83708284231</v>
      </c>
      <c r="AA636" s="230">
        <f t="shared" si="370"/>
        <v>6996407.6229171576</v>
      </c>
      <c r="AB636" s="230">
        <f>MIN(MAX(AA636,0),'Tax Assumptions'!$B$20)</f>
        <v>7500</v>
      </c>
      <c r="AC636" s="230">
        <f t="shared" si="371"/>
        <v>6988907.6229171576</v>
      </c>
      <c r="AD636" s="230">
        <f>MAX(AD635*(1+'Model Inputs'!$B$13)+AC636,0)</f>
        <v>110789378.29097244</v>
      </c>
      <c r="AE636" s="230">
        <f>MAX(AE635*(1+'Model Inputs'!$B$13)+U636+AB636,0)</f>
        <v>902812.15240896656</v>
      </c>
      <c r="AF636" s="230">
        <f t="shared" si="372"/>
        <v>111692190.44338141</v>
      </c>
      <c r="AG636" s="226" t="str">
        <f t="shared" si="358"/>
        <v/>
      </c>
      <c r="AH636" s="226" t="str">
        <f t="shared" si="359"/>
        <v/>
      </c>
      <c r="AI636" s="226" t="str">
        <f t="shared" si="360"/>
        <v/>
      </c>
      <c r="AJ636" s="226" t="str">
        <f t="shared" si="361"/>
        <v/>
      </c>
    </row>
    <row r="637" spans="1:36" ht="18" customHeight="1" x14ac:dyDescent="0.2">
      <c r="A637" s="226" t="str">
        <f t="shared" si="350"/>
        <v>5Y -&gt; PM Y7 Tail</v>
      </c>
      <c r="B637" s="226">
        <f t="shared" si="351"/>
        <v>5</v>
      </c>
      <c r="C637" s="235">
        <f t="shared" si="352"/>
        <v>3</v>
      </c>
      <c r="D637" s="226">
        <f t="shared" si="353"/>
        <v>7</v>
      </c>
      <c r="E637" s="226" t="str">
        <f t="shared" si="354"/>
        <v>Tail</v>
      </c>
      <c r="F637" s="230">
        <f t="shared" si="355"/>
        <v>100000000</v>
      </c>
      <c r="G637" s="236">
        <f t="shared" si="356"/>
        <v>0.15</v>
      </c>
      <c r="H637" s="230">
        <f t="shared" si="357"/>
        <v>300000</v>
      </c>
      <c r="I637" s="236">
        <f t="shared" si="363"/>
        <v>0</v>
      </c>
      <c r="J637" s="234">
        <v>18</v>
      </c>
      <c r="K637" s="234">
        <f t="shared" si="364"/>
        <v>2043</v>
      </c>
      <c r="L637" s="230">
        <f>IF(J637=1,'Model Inputs'!$B$25*(13-'Model Inputs'!$B$23)/12,'Model Inputs'!$B$25)</f>
        <v>300000</v>
      </c>
      <c r="M637" s="230">
        <f>IF(J637=1,'Model Inputs'!$B$27*(13-'Model Inputs'!$B$23)/12,IF(J637=2,'Model Inputs'!$B$27,IF(J637&lt;=MAX(3,'Model Inputs'!$B$30+1),'Model Inputs'!$B$27*(1+'Model Inputs'!$B$28)^(J637-3),'Model Inputs'!$B$27*(1+'Model Inputs'!$B$28)^(MAX(3,'Model Inputs'!$B$30+1)-3)*(1+'Model Inputs'!$B$29)^(J637-MAX(3,'Model Inputs'!$B$30+1)))))</f>
        <v>21432424.290875554</v>
      </c>
      <c r="N637" s="236">
        <f>IF(J637&lt;=2,0,'Model Inputs'!$B$32*SIN(2*PI()*(J637-3+'Model Inputs'!$B$34)/MAX(1,'Model Inputs'!$B$33)))</f>
        <v>-5.7328325735374245E-16</v>
      </c>
      <c r="O637" s="230">
        <f t="shared" si="365"/>
        <v>21432424.290875543</v>
      </c>
      <c r="P637" s="230">
        <f t="shared" si="362"/>
        <v>14995970.906855816</v>
      </c>
      <c r="Q637" s="230">
        <f>L637+P637+IF(J637=1,'Model Inputs'!$B$26,0)</f>
        <v>15295970.906855816</v>
      </c>
      <c r="R637" s="230">
        <f t="shared" si="366"/>
        <v>45887912.72056745</v>
      </c>
      <c r="S637" s="230">
        <f t="shared" si="367"/>
        <v>15300000</v>
      </c>
      <c r="T637" s="230">
        <f t="shared" si="368"/>
        <v>15300000</v>
      </c>
      <c r="U637" s="230">
        <f>MIN(T637,'Tax Assumptions'!$B$19)</f>
        <v>24500</v>
      </c>
      <c r="V637" s="230">
        <f>MAX(T637-U637-'Tax Assumptions'!$B$8,0)</f>
        <v>15259400</v>
      </c>
      <c r="W637" s="230">
        <f>MAX(T637-U637-'Tax Assumptions'!$B$9,0)</f>
        <v>15267500</v>
      </c>
      <c r="X637" s="230">
        <f>IF(V637=0,0,LOOKUP(V637,'Tax Assumptions'!$F$9:$F$15,'Tax Assumptions'!$I$9:$I$15)+(V637-LOOKUP(V637,'Tax Assumptions'!$F$9:$F$15,'Tax Assumptions'!$F$9:$F$15))*LOOKUP(V637,'Tax Assumptions'!$F$9:$F$15,'Tax Assumptions'!$H$9:$H$15))+MIN(MAX(T637,0),'Tax Assumptions'!$B$11)*'Tax Assumptions'!$B$10+MAX(T637,0)*'Tax Assumptions'!$B$12+MAX(MAX(T637,0)-'Tax Assumptions'!$B$14,0)*'Tax Assumptions'!$B$13+MIN(T637*'Tax Assumptions'!$B$15,'Tax Assumptions'!$B$16)+MIN(T637*'Tax Assumptions'!$B$17,'Tax Assumptions'!$B$18)+IF(W637=0,0,LOOKUP(W637,'Tax Assumptions'!$K$9:$K$17,'Tax Assumptions'!$N$9:$N$17)+(W637-LOOKUP(W637,'Tax Assumptions'!$K$9:$K$17,'Tax Assumptions'!$K$9:$K$17))*LOOKUP(W637,'Tax Assumptions'!$K$9:$K$17,'Tax Assumptions'!$M$9:$M$17))+IF(W637=0,0,LOOKUP(W637,'Tax Assumptions'!$P$9:$P$12,'Tax Assumptions'!$S$9:$S$12)+(W637-LOOKUP(W637,'Tax Assumptions'!$P$9:$P$12,'Tax Assumptions'!$P$9:$P$12))*LOOKUP(W637,'Tax Assumptions'!$P$9:$P$12,'Tax Assumptions'!$R$9:$R$12))</f>
        <v>8070480.54</v>
      </c>
      <c r="Y637" s="230">
        <f t="shared" si="369"/>
        <v>7205019.46</v>
      </c>
      <c r="Z637" s="230">
        <f>IF(J637&lt;=10,INDEX('Savings Projection'!$BL$19:$BL$28,J637),LOOKUP(2,1/('Savings Projection'!$BL$19:$BL$28&lt;&gt;""),'Savings Projection'!$BL$19:$BL$28))*(1+'Model Inputs'!$B$35)^(J637-1)+IF(J637&lt;=10,INDEX('Savings Projection'!$BM$19:$BM$28,J637),LOOKUP(2,1/('Savings Projection'!$BM$19:$BM$28&lt;&gt;""),'Savings Projection'!$BM$19:$BM$28))*(1+'Model Inputs'!$B$36)^(J637-1)</f>
        <v>214870.1921953276</v>
      </c>
      <c r="AA637" s="230">
        <f t="shared" si="370"/>
        <v>6990149.267804672</v>
      </c>
      <c r="AB637" s="230">
        <f>MIN(MAX(AA637,0),'Tax Assumptions'!$B$20)</f>
        <v>7500</v>
      </c>
      <c r="AC637" s="230">
        <f t="shared" si="371"/>
        <v>6982649.267804672</v>
      </c>
      <c r="AD637" s="230">
        <f>MAX(AD636*(1+'Model Inputs'!$B$13)+AC637,0)</f>
        <v>124419390.25623547</v>
      </c>
      <c r="AE637" s="230">
        <f>MAX(AE636*(1+'Model Inputs'!$B$13)+U637+AB637,0)</f>
        <v>988980.88155350462</v>
      </c>
      <c r="AF637" s="230">
        <f t="shared" si="372"/>
        <v>125408371.13778897</v>
      </c>
      <c r="AG637" s="226" t="str">
        <f t="shared" si="358"/>
        <v/>
      </c>
      <c r="AH637" s="226" t="str">
        <f t="shared" si="359"/>
        <v/>
      </c>
      <c r="AI637" s="226" t="str">
        <f t="shared" si="360"/>
        <v/>
      </c>
      <c r="AJ637" s="226" t="str">
        <f t="shared" si="361"/>
        <v/>
      </c>
    </row>
    <row r="638" spans="1:36" ht="18" customHeight="1" x14ac:dyDescent="0.2">
      <c r="A638" s="226" t="str">
        <f t="shared" si="350"/>
        <v>5Y -&gt; PM Y7 Tail</v>
      </c>
      <c r="B638" s="226">
        <f t="shared" si="351"/>
        <v>5</v>
      </c>
      <c r="C638" s="235">
        <f t="shared" si="352"/>
        <v>3</v>
      </c>
      <c r="D638" s="226">
        <f t="shared" si="353"/>
        <v>7</v>
      </c>
      <c r="E638" s="226" t="str">
        <f t="shared" si="354"/>
        <v>Tail</v>
      </c>
      <c r="F638" s="230">
        <f t="shared" si="355"/>
        <v>100000000</v>
      </c>
      <c r="G638" s="236">
        <f t="shared" si="356"/>
        <v>0.15</v>
      </c>
      <c r="H638" s="230">
        <f t="shared" si="357"/>
        <v>300000</v>
      </c>
      <c r="I638" s="236">
        <f t="shared" si="363"/>
        <v>0</v>
      </c>
      <c r="J638" s="234">
        <v>19</v>
      </c>
      <c r="K638" s="234">
        <f t="shared" si="364"/>
        <v>2044</v>
      </c>
      <c r="L638" s="230">
        <f>IF(J638=1,'Model Inputs'!$B$25*(13-'Model Inputs'!$B$23)/12,'Model Inputs'!$B$25)</f>
        <v>300000</v>
      </c>
      <c r="M638" s="230">
        <f>IF(J638=1,'Model Inputs'!$B$27*(13-'Model Inputs'!$B$23)/12,IF(J638=2,'Model Inputs'!$B$27,IF(J638&lt;=MAX(3,'Model Inputs'!$B$30+1),'Model Inputs'!$B$27*(1+'Model Inputs'!$B$28)^(J638-3),'Model Inputs'!$B$27*(1+'Model Inputs'!$B$28)^(MAX(3,'Model Inputs'!$B$30+1)-3)*(1+'Model Inputs'!$B$29)^(J638-MAX(3,'Model Inputs'!$B$30+1)))))</f>
        <v>27237984.409717187</v>
      </c>
      <c r="N638" s="236">
        <f>IF(J638&lt;=2,0,'Model Inputs'!$B$32*SIN(2*PI()*(J638-3+'Model Inputs'!$B$34)/MAX(1,'Model Inputs'!$B$33)))</f>
        <v>0.10392304845413286</v>
      </c>
      <c r="O638" s="230">
        <f t="shared" si="365"/>
        <v>30068638.783321142</v>
      </c>
      <c r="P638" s="230">
        <f t="shared" si="362"/>
        <v>19852239.851888295</v>
      </c>
      <c r="Q638" s="230">
        <f>L638+P638+IF(J638=1,'Model Inputs'!$B$26,0)</f>
        <v>20152239.851888295</v>
      </c>
      <c r="R638" s="230">
        <f t="shared" si="366"/>
        <v>60456719.555664882</v>
      </c>
      <c r="S638" s="230">
        <f t="shared" si="367"/>
        <v>15300000</v>
      </c>
      <c r="T638" s="230">
        <f t="shared" si="368"/>
        <v>15300000</v>
      </c>
      <c r="U638" s="230">
        <f>MIN(T638,'Tax Assumptions'!$B$19)</f>
        <v>24500</v>
      </c>
      <c r="V638" s="230">
        <f>MAX(T638-U638-'Tax Assumptions'!$B$8,0)</f>
        <v>15259400</v>
      </c>
      <c r="W638" s="230">
        <f>MAX(T638-U638-'Tax Assumptions'!$B$9,0)</f>
        <v>15267500</v>
      </c>
      <c r="X638" s="230">
        <f>IF(V638=0,0,LOOKUP(V638,'Tax Assumptions'!$F$9:$F$15,'Tax Assumptions'!$I$9:$I$15)+(V638-LOOKUP(V638,'Tax Assumptions'!$F$9:$F$15,'Tax Assumptions'!$F$9:$F$15))*LOOKUP(V638,'Tax Assumptions'!$F$9:$F$15,'Tax Assumptions'!$H$9:$H$15))+MIN(MAX(T638,0),'Tax Assumptions'!$B$11)*'Tax Assumptions'!$B$10+MAX(T638,0)*'Tax Assumptions'!$B$12+MAX(MAX(T638,0)-'Tax Assumptions'!$B$14,0)*'Tax Assumptions'!$B$13+MIN(T638*'Tax Assumptions'!$B$15,'Tax Assumptions'!$B$16)+MIN(T638*'Tax Assumptions'!$B$17,'Tax Assumptions'!$B$18)+IF(W638=0,0,LOOKUP(W638,'Tax Assumptions'!$K$9:$K$17,'Tax Assumptions'!$N$9:$N$17)+(W638-LOOKUP(W638,'Tax Assumptions'!$K$9:$K$17,'Tax Assumptions'!$K$9:$K$17))*LOOKUP(W638,'Tax Assumptions'!$K$9:$K$17,'Tax Assumptions'!$M$9:$M$17))+IF(W638=0,0,LOOKUP(W638,'Tax Assumptions'!$P$9:$P$12,'Tax Assumptions'!$S$9:$S$12)+(W638-LOOKUP(W638,'Tax Assumptions'!$P$9:$P$12,'Tax Assumptions'!$P$9:$P$12))*LOOKUP(W638,'Tax Assumptions'!$P$9:$P$12,'Tax Assumptions'!$R$9:$R$12))</f>
        <v>8070480.54</v>
      </c>
      <c r="Y638" s="230">
        <f t="shared" si="369"/>
        <v>7205019.46</v>
      </c>
      <c r="Z638" s="230">
        <f>IF(J638&lt;=10,INDEX('Savings Projection'!$BL$19:$BL$28,J638),LOOKUP(2,1/('Savings Projection'!$BL$19:$BL$28&lt;&gt;""),'Savings Projection'!$BL$19:$BL$28))*(1+'Model Inputs'!$B$35)^(J638-1)+IF(J638&lt;=10,INDEX('Savings Projection'!$BM$19:$BM$28,J638),LOOKUP(2,1/('Savings Projection'!$BM$19:$BM$28&lt;&gt;""),'Savings Projection'!$BM$19:$BM$28))*(1+'Model Inputs'!$B$36)^(J638-1)</f>
        <v>221316.29796118743</v>
      </c>
      <c r="AA638" s="230">
        <f t="shared" si="370"/>
        <v>6983703.1620388124</v>
      </c>
      <c r="AB638" s="230">
        <f>MIN(MAX(AA638,0),'Tax Assumptions'!$B$20)</f>
        <v>7500</v>
      </c>
      <c r="AC638" s="230">
        <f t="shared" si="371"/>
        <v>6976203.1620388124</v>
      </c>
      <c r="AD638" s="230">
        <f>MAX(AD637*(1+'Model Inputs'!$B$13)+AC638,0)</f>
        <v>138860756.83364841</v>
      </c>
      <c r="AE638" s="230">
        <f>MAX(AE637*(1+'Model Inputs'!$B$13)+U638+AB638,0)</f>
        <v>1080319.7344467151</v>
      </c>
      <c r="AF638" s="230">
        <f t="shared" si="372"/>
        <v>139941076.56809512</v>
      </c>
      <c r="AG638" s="226" t="str">
        <f t="shared" si="358"/>
        <v/>
      </c>
      <c r="AH638" s="226" t="str">
        <f t="shared" si="359"/>
        <v/>
      </c>
      <c r="AI638" s="226" t="str">
        <f t="shared" si="360"/>
        <v/>
      </c>
      <c r="AJ638" s="226" t="str">
        <f t="shared" si="361"/>
        <v/>
      </c>
    </row>
    <row r="639" spans="1:36" ht="18" customHeight="1" x14ac:dyDescent="0.2">
      <c r="A639" s="226" t="str">
        <f t="shared" si="350"/>
        <v>5Y -&gt; PM Y7 Tail</v>
      </c>
      <c r="B639" s="226">
        <f t="shared" si="351"/>
        <v>5</v>
      </c>
      <c r="C639" s="235">
        <f t="shared" si="352"/>
        <v>3</v>
      </c>
      <c r="D639" s="226">
        <f t="shared" si="353"/>
        <v>7</v>
      </c>
      <c r="E639" s="226" t="str">
        <f t="shared" si="354"/>
        <v>Tail</v>
      </c>
      <c r="F639" s="230">
        <f t="shared" si="355"/>
        <v>100000000</v>
      </c>
      <c r="G639" s="236">
        <f t="shared" si="356"/>
        <v>0.15</v>
      </c>
      <c r="H639" s="230">
        <f t="shared" si="357"/>
        <v>300000</v>
      </c>
      <c r="I639" s="236">
        <f t="shared" si="363"/>
        <v>0</v>
      </c>
      <c r="J639" s="234">
        <v>20</v>
      </c>
      <c r="K639" s="234">
        <f t="shared" si="364"/>
        <v>2045</v>
      </c>
      <c r="L639" s="230">
        <f>IF(J639=1,'Model Inputs'!$B$25*(13-'Model Inputs'!$B$23)/12,'Model Inputs'!$B$25)</f>
        <v>300000</v>
      </c>
      <c r="M639" s="230">
        <f>IF(J639=1,'Model Inputs'!$B$27*(13-'Model Inputs'!$B$23)/12,IF(J639=2,'Model Inputs'!$B$27,IF(J639&lt;=MAX(3,'Model Inputs'!$B$30+1),'Model Inputs'!$B$27*(1+'Model Inputs'!$B$28)^(J639-3),'Model Inputs'!$B$27*(1+'Model Inputs'!$B$28)^(MAX(3,'Model Inputs'!$B$30+1)-3)*(1+'Model Inputs'!$B$29)^(J639-MAX(3,'Model Inputs'!$B$30+1)))))</f>
        <v>34616139.762586243</v>
      </c>
      <c r="N639" s="236">
        <f>IF(J639&lt;=2,0,'Model Inputs'!$B$32*SIN(2*PI()*(J639-3+'Model Inputs'!$B$34)/MAX(1,'Model Inputs'!$B$33)))</f>
        <v>-0.10392304845413269</v>
      </c>
      <c r="O639" s="230">
        <f t="shared" si="365"/>
        <v>31018724.992743965</v>
      </c>
      <c r="P639" s="230">
        <f t="shared" si="362"/>
        <v>27909585.160209741</v>
      </c>
      <c r="Q639" s="230">
        <f>L639+P639+IF(J639=1,'Model Inputs'!$B$26,0)</f>
        <v>28209585.160209741</v>
      </c>
      <c r="R639" s="230">
        <f t="shared" si="366"/>
        <v>84628755.480629221</v>
      </c>
      <c r="S639" s="230">
        <f t="shared" si="367"/>
        <v>15300000</v>
      </c>
      <c r="T639" s="230">
        <f t="shared" si="368"/>
        <v>15300000</v>
      </c>
      <c r="U639" s="230">
        <f>MIN(T639,'Tax Assumptions'!$B$19)</f>
        <v>24500</v>
      </c>
      <c r="V639" s="230">
        <f>MAX(T639-U639-'Tax Assumptions'!$B$8,0)</f>
        <v>15259400</v>
      </c>
      <c r="W639" s="230">
        <f>MAX(T639-U639-'Tax Assumptions'!$B$9,0)</f>
        <v>15267500</v>
      </c>
      <c r="X639" s="230">
        <f>IF(V639=0,0,LOOKUP(V639,'Tax Assumptions'!$F$9:$F$15,'Tax Assumptions'!$I$9:$I$15)+(V639-LOOKUP(V639,'Tax Assumptions'!$F$9:$F$15,'Tax Assumptions'!$F$9:$F$15))*LOOKUP(V639,'Tax Assumptions'!$F$9:$F$15,'Tax Assumptions'!$H$9:$H$15))+MIN(MAX(T639,0),'Tax Assumptions'!$B$11)*'Tax Assumptions'!$B$10+MAX(T639,0)*'Tax Assumptions'!$B$12+MAX(MAX(T639,0)-'Tax Assumptions'!$B$14,0)*'Tax Assumptions'!$B$13+MIN(T639*'Tax Assumptions'!$B$15,'Tax Assumptions'!$B$16)+MIN(T639*'Tax Assumptions'!$B$17,'Tax Assumptions'!$B$18)+IF(W639=0,0,LOOKUP(W639,'Tax Assumptions'!$K$9:$K$17,'Tax Assumptions'!$N$9:$N$17)+(W639-LOOKUP(W639,'Tax Assumptions'!$K$9:$K$17,'Tax Assumptions'!$K$9:$K$17))*LOOKUP(W639,'Tax Assumptions'!$K$9:$K$17,'Tax Assumptions'!$M$9:$M$17))+IF(W639=0,0,LOOKUP(W639,'Tax Assumptions'!$P$9:$P$12,'Tax Assumptions'!$S$9:$S$12)+(W639-LOOKUP(W639,'Tax Assumptions'!$P$9:$P$12,'Tax Assumptions'!$P$9:$P$12))*LOOKUP(W639,'Tax Assumptions'!$P$9:$P$12,'Tax Assumptions'!$R$9:$R$12))</f>
        <v>8070480.54</v>
      </c>
      <c r="Y639" s="230">
        <f t="shared" si="369"/>
        <v>7205019.46</v>
      </c>
      <c r="Z639" s="230">
        <f>IF(J639&lt;=10,INDEX('Savings Projection'!$BL$19:$BL$28,J639),LOOKUP(2,1/('Savings Projection'!$BL$19:$BL$28&lt;&gt;""),'Savings Projection'!$BL$19:$BL$28))*(1+'Model Inputs'!$B$35)^(J639-1)+IF(J639&lt;=10,INDEX('Savings Projection'!$BM$19:$BM$28,J639),LOOKUP(2,1/('Savings Projection'!$BM$19:$BM$28&lt;&gt;""),'Savings Projection'!$BM$19:$BM$28))*(1+'Model Inputs'!$B$36)^(J639-1)</f>
        <v>227955.78690002306</v>
      </c>
      <c r="AA639" s="230">
        <f t="shared" si="370"/>
        <v>6977063.673099977</v>
      </c>
      <c r="AB639" s="230">
        <f>MIN(MAX(AA639,0),'Tax Assumptions'!$B$20)</f>
        <v>7500</v>
      </c>
      <c r="AC639" s="230">
        <f t="shared" si="371"/>
        <v>6969563.673099977</v>
      </c>
      <c r="AD639" s="230">
        <f>MAX(AD638*(1+'Model Inputs'!$B$13)+AC639,0)</f>
        <v>154161965.9167673</v>
      </c>
      <c r="AE639" s="230">
        <f>MAX(AE638*(1+'Model Inputs'!$B$13)+U639+AB639,0)</f>
        <v>1177138.9185135181</v>
      </c>
      <c r="AF639" s="230">
        <f t="shared" si="372"/>
        <v>155339104.83528081</v>
      </c>
      <c r="AG639" s="226" t="str">
        <f t="shared" si="358"/>
        <v/>
      </c>
      <c r="AH639" s="226" t="str">
        <f t="shared" si="359"/>
        <v/>
      </c>
      <c r="AI639" s="226" t="str">
        <f t="shared" si="360"/>
        <v/>
      </c>
      <c r="AJ639" s="226" t="str">
        <f t="shared" si="361"/>
        <v/>
      </c>
    </row>
    <row r="640" spans="1:36" ht="18" customHeight="1" x14ac:dyDescent="0.2">
      <c r="A640" s="226" t="str">
        <f t="shared" si="350"/>
        <v>5Y -&gt; PM Y7 Tail</v>
      </c>
      <c r="B640" s="226">
        <f t="shared" si="351"/>
        <v>5</v>
      </c>
      <c r="C640" s="235">
        <f t="shared" si="352"/>
        <v>3</v>
      </c>
      <c r="D640" s="226">
        <f t="shared" si="353"/>
        <v>7</v>
      </c>
      <c r="E640" s="226" t="str">
        <f t="shared" si="354"/>
        <v>Tail</v>
      </c>
      <c r="F640" s="230">
        <f t="shared" si="355"/>
        <v>100000000</v>
      </c>
      <c r="G640" s="236">
        <f t="shared" si="356"/>
        <v>0.15</v>
      </c>
      <c r="H640" s="230">
        <f t="shared" si="357"/>
        <v>300000</v>
      </c>
      <c r="I640" s="236">
        <f t="shared" si="363"/>
        <v>0</v>
      </c>
      <c r="J640" s="234">
        <v>21</v>
      </c>
      <c r="K640" s="234">
        <f t="shared" si="364"/>
        <v>2046</v>
      </c>
      <c r="L640" s="230">
        <f>IF(J640=1,'Model Inputs'!$B$25*(13-'Model Inputs'!$B$23)/12,'Model Inputs'!$B$25)</f>
        <v>300000</v>
      </c>
      <c r="M640" s="230">
        <f>IF(J640=1,'Model Inputs'!$B$27*(13-'Model Inputs'!$B$23)/12,IF(J640=2,'Model Inputs'!$B$27,IF(J640&lt;=MAX(3,'Model Inputs'!$B$30+1),'Model Inputs'!$B$27*(1+'Model Inputs'!$B$28)^(J640-3),'Model Inputs'!$B$27*(1+'Model Inputs'!$B$28)^(MAX(3,'Model Inputs'!$B$30+1)-3)*(1+'Model Inputs'!$B$29)^(J640-MAX(3,'Model Inputs'!$B$30+1)))))</f>
        <v>43992870.912849829</v>
      </c>
      <c r="N640" s="236">
        <f>IF(J640&lt;=2,0,'Model Inputs'!$B$32*SIN(2*PI()*(J640-3+'Model Inputs'!$B$34)/MAX(1,'Model Inputs'!$B$33)))</f>
        <v>-1.7634913907721884E-16</v>
      </c>
      <c r="O640" s="230">
        <f t="shared" si="365"/>
        <v>43992870.912849821</v>
      </c>
      <c r="P640" s="230">
        <f t="shared" si="362"/>
        <v>30781203.440388259</v>
      </c>
      <c r="Q640" s="230">
        <f>L640+P640+IF(J640=1,'Model Inputs'!$B$26,0)</f>
        <v>31081203.440388259</v>
      </c>
      <c r="R640" s="230">
        <f t="shared" si="366"/>
        <v>93243610.321164772</v>
      </c>
      <c r="S640" s="230">
        <f t="shared" si="367"/>
        <v>15300000</v>
      </c>
      <c r="T640" s="230">
        <f t="shared" si="368"/>
        <v>15300000</v>
      </c>
      <c r="U640" s="230">
        <f>MIN(T640,'Tax Assumptions'!$B$19)</f>
        <v>24500</v>
      </c>
      <c r="V640" s="230">
        <f>MAX(T640-U640-'Tax Assumptions'!$B$8,0)</f>
        <v>15259400</v>
      </c>
      <c r="W640" s="230">
        <f>MAX(T640-U640-'Tax Assumptions'!$B$9,0)</f>
        <v>15267500</v>
      </c>
      <c r="X640" s="230">
        <f>IF(V640=0,0,LOOKUP(V640,'Tax Assumptions'!$F$9:$F$15,'Tax Assumptions'!$I$9:$I$15)+(V640-LOOKUP(V640,'Tax Assumptions'!$F$9:$F$15,'Tax Assumptions'!$F$9:$F$15))*LOOKUP(V640,'Tax Assumptions'!$F$9:$F$15,'Tax Assumptions'!$H$9:$H$15))+MIN(MAX(T640,0),'Tax Assumptions'!$B$11)*'Tax Assumptions'!$B$10+MAX(T640,0)*'Tax Assumptions'!$B$12+MAX(MAX(T640,0)-'Tax Assumptions'!$B$14,0)*'Tax Assumptions'!$B$13+MIN(T640*'Tax Assumptions'!$B$15,'Tax Assumptions'!$B$16)+MIN(T640*'Tax Assumptions'!$B$17,'Tax Assumptions'!$B$18)+IF(W640=0,0,LOOKUP(W640,'Tax Assumptions'!$K$9:$K$17,'Tax Assumptions'!$N$9:$N$17)+(W640-LOOKUP(W640,'Tax Assumptions'!$K$9:$K$17,'Tax Assumptions'!$K$9:$K$17))*LOOKUP(W640,'Tax Assumptions'!$K$9:$K$17,'Tax Assumptions'!$M$9:$M$17))+IF(W640=0,0,LOOKUP(W640,'Tax Assumptions'!$P$9:$P$12,'Tax Assumptions'!$S$9:$S$12)+(W640-LOOKUP(W640,'Tax Assumptions'!$P$9:$P$12,'Tax Assumptions'!$P$9:$P$12))*LOOKUP(W640,'Tax Assumptions'!$P$9:$P$12,'Tax Assumptions'!$R$9:$R$12))</f>
        <v>8070480.54</v>
      </c>
      <c r="Y640" s="230">
        <f t="shared" si="369"/>
        <v>7205019.46</v>
      </c>
      <c r="Z640" s="230">
        <f>IF(J640&lt;=10,INDEX('Savings Projection'!$BL$19:$BL$28,J640),LOOKUP(2,1/('Savings Projection'!$BL$19:$BL$28&lt;&gt;""),'Savings Projection'!$BL$19:$BL$28))*(1+'Model Inputs'!$B$35)^(J640-1)+IF(J640&lt;=10,INDEX('Savings Projection'!$BM$19:$BM$28,J640),LOOKUP(2,1/('Savings Projection'!$BM$19:$BM$28&lt;&gt;""),'Savings Projection'!$BM$19:$BM$28))*(1+'Model Inputs'!$B$36)^(J640-1)</f>
        <v>234794.46050702373</v>
      </c>
      <c r="AA640" s="230">
        <f t="shared" si="370"/>
        <v>6970224.9994929759</v>
      </c>
      <c r="AB640" s="230">
        <f>MIN(MAX(AA640,0),'Tax Assumptions'!$B$20)</f>
        <v>7500</v>
      </c>
      <c r="AC640" s="230">
        <f t="shared" si="371"/>
        <v>6962724.9994929759</v>
      </c>
      <c r="AD640" s="230">
        <f>MAX(AD639*(1+'Model Inputs'!$B$13)+AC640,0)</f>
        <v>170374408.87126631</v>
      </c>
      <c r="AE640" s="230">
        <f>MAX(AE639*(1+'Model Inputs'!$B$13)+U640+AB640,0)</f>
        <v>1279767.2536243291</v>
      </c>
      <c r="AF640" s="230">
        <f t="shared" si="372"/>
        <v>171654176.12489063</v>
      </c>
      <c r="AG640" s="226" t="str">
        <f t="shared" si="358"/>
        <v/>
      </c>
      <c r="AH640" s="226" t="str">
        <f t="shared" si="359"/>
        <v/>
      </c>
      <c r="AI640" s="226" t="str">
        <f t="shared" si="360"/>
        <v/>
      </c>
      <c r="AJ640" s="226" t="str">
        <f t="shared" si="361"/>
        <v/>
      </c>
    </row>
    <row r="641" spans="1:36" ht="18" customHeight="1" x14ac:dyDescent="0.2">
      <c r="A641" s="226" t="str">
        <f t="shared" si="350"/>
        <v>5Y -&gt; PM Y7 Tail</v>
      </c>
      <c r="B641" s="226">
        <f t="shared" si="351"/>
        <v>5</v>
      </c>
      <c r="C641" s="235">
        <f t="shared" si="352"/>
        <v>3</v>
      </c>
      <c r="D641" s="226">
        <f t="shared" si="353"/>
        <v>7</v>
      </c>
      <c r="E641" s="226" t="str">
        <f t="shared" si="354"/>
        <v>Tail</v>
      </c>
      <c r="F641" s="230">
        <f t="shared" si="355"/>
        <v>100000000</v>
      </c>
      <c r="G641" s="236">
        <f t="shared" si="356"/>
        <v>0.15</v>
      </c>
      <c r="H641" s="230">
        <f t="shared" si="357"/>
        <v>300000</v>
      </c>
      <c r="I641" s="236">
        <f t="shared" si="363"/>
        <v>0</v>
      </c>
      <c r="J641" s="234">
        <v>22</v>
      </c>
      <c r="K641" s="234">
        <f t="shared" si="364"/>
        <v>2047</v>
      </c>
      <c r="L641" s="230">
        <f>IF(J641=1,'Model Inputs'!$B$25*(13-'Model Inputs'!$B$23)/12,'Model Inputs'!$B$25)</f>
        <v>300000</v>
      </c>
      <c r="M641" s="230">
        <f>IF(J641=1,'Model Inputs'!$B$27*(13-'Model Inputs'!$B$23)/12,IF(J641=2,'Model Inputs'!$B$27,IF(J641&lt;=MAX(3,'Model Inputs'!$B$30+1),'Model Inputs'!$B$27*(1+'Model Inputs'!$B$28)^(J641-3),'Model Inputs'!$B$27*(1+'Model Inputs'!$B$28)^(MAX(3,'Model Inputs'!$B$30+1)-3)*(1+'Model Inputs'!$B$29)^(J641-MAX(3,'Model Inputs'!$B$30+1)))))</f>
        <v>55909546.9462616</v>
      </c>
      <c r="N641" s="236">
        <f>IF(J641&lt;=2,0,'Model Inputs'!$B$32*SIN(2*PI()*(J641-3+'Model Inputs'!$B$34)/MAX(1,'Model Inputs'!$B$33)))</f>
        <v>0.10392304845413287</v>
      </c>
      <c r="O641" s="230">
        <f t="shared" si="365"/>
        <v>61719837.502606563</v>
      </c>
      <c r="P641" s="230">
        <f t="shared" si="362"/>
        <v>40749334.43282336</v>
      </c>
      <c r="Q641" s="230">
        <f>L641+P641+IF(J641=1,'Model Inputs'!$B$26,0)</f>
        <v>41049334.43282336</v>
      </c>
      <c r="R641" s="230">
        <f t="shared" si="366"/>
        <v>123148003.29847008</v>
      </c>
      <c r="S641" s="230">
        <f t="shared" si="367"/>
        <v>15300000</v>
      </c>
      <c r="T641" s="230">
        <f t="shared" si="368"/>
        <v>15300000</v>
      </c>
      <c r="U641" s="230">
        <f>MIN(T641,'Tax Assumptions'!$B$19)</f>
        <v>24500</v>
      </c>
      <c r="V641" s="230">
        <f>MAX(T641-U641-'Tax Assumptions'!$B$8,0)</f>
        <v>15259400</v>
      </c>
      <c r="W641" s="230">
        <f>MAX(T641-U641-'Tax Assumptions'!$B$9,0)</f>
        <v>15267500</v>
      </c>
      <c r="X641" s="230">
        <f>IF(V641=0,0,LOOKUP(V641,'Tax Assumptions'!$F$9:$F$15,'Tax Assumptions'!$I$9:$I$15)+(V641-LOOKUP(V641,'Tax Assumptions'!$F$9:$F$15,'Tax Assumptions'!$F$9:$F$15))*LOOKUP(V641,'Tax Assumptions'!$F$9:$F$15,'Tax Assumptions'!$H$9:$H$15))+MIN(MAX(T641,0),'Tax Assumptions'!$B$11)*'Tax Assumptions'!$B$10+MAX(T641,0)*'Tax Assumptions'!$B$12+MAX(MAX(T641,0)-'Tax Assumptions'!$B$14,0)*'Tax Assumptions'!$B$13+MIN(T641*'Tax Assumptions'!$B$15,'Tax Assumptions'!$B$16)+MIN(T641*'Tax Assumptions'!$B$17,'Tax Assumptions'!$B$18)+IF(W641=0,0,LOOKUP(W641,'Tax Assumptions'!$K$9:$K$17,'Tax Assumptions'!$N$9:$N$17)+(W641-LOOKUP(W641,'Tax Assumptions'!$K$9:$K$17,'Tax Assumptions'!$K$9:$K$17))*LOOKUP(W641,'Tax Assumptions'!$K$9:$K$17,'Tax Assumptions'!$M$9:$M$17))+IF(W641=0,0,LOOKUP(W641,'Tax Assumptions'!$P$9:$P$12,'Tax Assumptions'!$S$9:$S$12)+(W641-LOOKUP(W641,'Tax Assumptions'!$P$9:$P$12,'Tax Assumptions'!$P$9:$P$12))*LOOKUP(W641,'Tax Assumptions'!$P$9:$P$12,'Tax Assumptions'!$R$9:$R$12))</f>
        <v>8070480.54</v>
      </c>
      <c r="Y641" s="230">
        <f t="shared" si="369"/>
        <v>7205019.46</v>
      </c>
      <c r="Z641" s="230">
        <f>IF(J641&lt;=10,INDEX('Savings Projection'!$BL$19:$BL$28,J641),LOOKUP(2,1/('Savings Projection'!$BL$19:$BL$28&lt;&gt;""),'Savings Projection'!$BL$19:$BL$28))*(1+'Model Inputs'!$B$35)^(J641-1)+IF(J641&lt;=10,INDEX('Savings Projection'!$BM$19:$BM$28,J641),LOOKUP(2,1/('Savings Projection'!$BM$19:$BM$28&lt;&gt;""),'Savings Projection'!$BM$19:$BM$28))*(1+'Model Inputs'!$B$36)^(J641-1)</f>
        <v>241838.2943222344</v>
      </c>
      <c r="AA641" s="230">
        <f t="shared" si="370"/>
        <v>6963181.1656777654</v>
      </c>
      <c r="AB641" s="230">
        <f>MIN(MAX(AA641,0),'Tax Assumptions'!$B$20)</f>
        <v>7500</v>
      </c>
      <c r="AC641" s="230">
        <f t="shared" si="371"/>
        <v>6955681.1656777654</v>
      </c>
      <c r="AD641" s="230">
        <f>MAX(AD640*(1+'Model Inputs'!$B$13)+AC641,0)</f>
        <v>187552554.56922004</v>
      </c>
      <c r="AE641" s="230">
        <f>MAX(AE640*(1+'Model Inputs'!$B$13)+U641+AB641,0)</f>
        <v>1388553.2888417889</v>
      </c>
      <c r="AF641" s="230">
        <f t="shared" si="372"/>
        <v>188941107.85806182</v>
      </c>
      <c r="AG641" s="226" t="str">
        <f t="shared" si="358"/>
        <v/>
      </c>
      <c r="AH641" s="226" t="str">
        <f t="shared" si="359"/>
        <v/>
      </c>
      <c r="AI641" s="226" t="str">
        <f t="shared" si="360"/>
        <v/>
      </c>
      <c r="AJ641" s="226" t="str">
        <f t="shared" si="361"/>
        <v/>
      </c>
    </row>
    <row r="642" spans="1:36" ht="18" customHeight="1" x14ac:dyDescent="0.2">
      <c r="A642" s="226" t="str">
        <f t="shared" si="350"/>
        <v>5Y -&gt; PM Y7 Tail</v>
      </c>
      <c r="B642" s="226">
        <f t="shared" si="351"/>
        <v>5</v>
      </c>
      <c r="C642" s="235">
        <f t="shared" si="352"/>
        <v>3</v>
      </c>
      <c r="D642" s="226">
        <f t="shared" si="353"/>
        <v>7</v>
      </c>
      <c r="E642" s="226" t="str">
        <f t="shared" si="354"/>
        <v>Tail</v>
      </c>
      <c r="F642" s="230">
        <f t="shared" si="355"/>
        <v>100000000</v>
      </c>
      <c r="G642" s="236">
        <f t="shared" si="356"/>
        <v>0.15</v>
      </c>
      <c r="H642" s="230">
        <f t="shared" si="357"/>
        <v>300000</v>
      </c>
      <c r="I642" s="236">
        <f t="shared" si="363"/>
        <v>0</v>
      </c>
      <c r="J642" s="234">
        <v>23</v>
      </c>
      <c r="K642" s="234">
        <f t="shared" si="364"/>
        <v>2048</v>
      </c>
      <c r="L642" s="230">
        <f>IF(J642=1,'Model Inputs'!$B$25*(13-'Model Inputs'!$B$23)/12,'Model Inputs'!$B$25)</f>
        <v>300000</v>
      </c>
      <c r="M642" s="230">
        <f>IF(J642=1,'Model Inputs'!$B$27*(13-'Model Inputs'!$B$23)/12,IF(J642=2,'Model Inputs'!$B$27,IF(J642&lt;=MAX(3,'Model Inputs'!$B$30+1),'Model Inputs'!$B$27*(1+'Model Inputs'!$B$28)^(J642-3),'Model Inputs'!$B$27*(1+'Model Inputs'!$B$28)^(MAX(3,'Model Inputs'!$B$30+1)-3)*(1+'Model Inputs'!$B$29)^(J642-MAX(3,'Model Inputs'!$B$30+1)))))</f>
        <v>71054181.617940187</v>
      </c>
      <c r="N642" s="236">
        <f>IF(J642&lt;=2,0,'Model Inputs'!$B$32*SIN(2*PI()*(J642-3+'Model Inputs'!$B$34)/MAX(1,'Model Inputs'!$B$33)))</f>
        <v>-0.10392304845413268</v>
      </c>
      <c r="O642" s="230">
        <f t="shared" si="365"/>
        <v>63670014.458790243</v>
      </c>
      <c r="P642" s="230">
        <f t="shared" si="362"/>
        <v>57288095.855167374</v>
      </c>
      <c r="Q642" s="230">
        <f>L642+P642+IF(J642=1,'Model Inputs'!$B$26,0)</f>
        <v>57588095.855167374</v>
      </c>
      <c r="R642" s="230">
        <f t="shared" si="366"/>
        <v>172764287.56550211</v>
      </c>
      <c r="S642" s="230">
        <f t="shared" si="367"/>
        <v>15300000</v>
      </c>
      <c r="T642" s="230">
        <f t="shared" si="368"/>
        <v>15300000</v>
      </c>
      <c r="U642" s="230">
        <f>MIN(T642,'Tax Assumptions'!$B$19)</f>
        <v>24500</v>
      </c>
      <c r="V642" s="230">
        <f>MAX(T642-U642-'Tax Assumptions'!$B$8,0)</f>
        <v>15259400</v>
      </c>
      <c r="W642" s="230">
        <f>MAX(T642-U642-'Tax Assumptions'!$B$9,0)</f>
        <v>15267500</v>
      </c>
      <c r="X642" s="230">
        <f>IF(V642=0,0,LOOKUP(V642,'Tax Assumptions'!$F$9:$F$15,'Tax Assumptions'!$I$9:$I$15)+(V642-LOOKUP(V642,'Tax Assumptions'!$F$9:$F$15,'Tax Assumptions'!$F$9:$F$15))*LOOKUP(V642,'Tax Assumptions'!$F$9:$F$15,'Tax Assumptions'!$H$9:$H$15))+MIN(MAX(T642,0),'Tax Assumptions'!$B$11)*'Tax Assumptions'!$B$10+MAX(T642,0)*'Tax Assumptions'!$B$12+MAX(MAX(T642,0)-'Tax Assumptions'!$B$14,0)*'Tax Assumptions'!$B$13+MIN(T642*'Tax Assumptions'!$B$15,'Tax Assumptions'!$B$16)+MIN(T642*'Tax Assumptions'!$B$17,'Tax Assumptions'!$B$18)+IF(W642=0,0,LOOKUP(W642,'Tax Assumptions'!$K$9:$K$17,'Tax Assumptions'!$N$9:$N$17)+(W642-LOOKUP(W642,'Tax Assumptions'!$K$9:$K$17,'Tax Assumptions'!$K$9:$K$17))*LOOKUP(W642,'Tax Assumptions'!$K$9:$K$17,'Tax Assumptions'!$M$9:$M$17))+IF(W642=0,0,LOOKUP(W642,'Tax Assumptions'!$P$9:$P$12,'Tax Assumptions'!$S$9:$S$12)+(W642-LOOKUP(W642,'Tax Assumptions'!$P$9:$P$12,'Tax Assumptions'!$P$9:$P$12))*LOOKUP(W642,'Tax Assumptions'!$P$9:$P$12,'Tax Assumptions'!$R$9:$R$12))</f>
        <v>8070480.54</v>
      </c>
      <c r="Y642" s="230">
        <f t="shared" si="369"/>
        <v>7205019.46</v>
      </c>
      <c r="Z642" s="230">
        <f>IF(J642&lt;=10,INDEX('Savings Projection'!$BL$19:$BL$28,J642),LOOKUP(2,1/('Savings Projection'!$BL$19:$BL$28&lt;&gt;""),'Savings Projection'!$BL$19:$BL$28))*(1+'Model Inputs'!$B$35)^(J642-1)+IF(J642&lt;=10,INDEX('Savings Projection'!$BM$19:$BM$28,J642),LOOKUP(2,1/('Savings Projection'!$BM$19:$BM$28&lt;&gt;""),'Savings Projection'!$BM$19:$BM$28))*(1+'Model Inputs'!$B$36)^(J642-1)</f>
        <v>249093.44315190148</v>
      </c>
      <c r="AA642" s="230">
        <f t="shared" si="370"/>
        <v>6955926.0168480985</v>
      </c>
      <c r="AB642" s="230">
        <f>MIN(MAX(AA642,0),'Tax Assumptions'!$B$20)</f>
        <v>7500</v>
      </c>
      <c r="AC642" s="230">
        <f t="shared" si="371"/>
        <v>6948426.0168480985</v>
      </c>
      <c r="AD642" s="230">
        <f>MAX(AD641*(1+'Model Inputs'!$B$13)+AC642,0)</f>
        <v>205754133.86022133</v>
      </c>
      <c r="AE642" s="230">
        <f>MAX(AE641*(1+'Model Inputs'!$B$13)+U642+AB642,0)</f>
        <v>1503866.4861722963</v>
      </c>
      <c r="AF642" s="230">
        <f t="shared" si="372"/>
        <v>207258000.34639362</v>
      </c>
      <c r="AG642" s="226" t="str">
        <f t="shared" si="358"/>
        <v/>
      </c>
      <c r="AH642" s="226" t="str">
        <f t="shared" si="359"/>
        <v/>
      </c>
      <c r="AI642" s="226" t="str">
        <f t="shared" si="360"/>
        <v/>
      </c>
      <c r="AJ642" s="226" t="str">
        <f t="shared" si="361"/>
        <v/>
      </c>
    </row>
    <row r="643" spans="1:36" ht="18" customHeight="1" x14ac:dyDescent="0.2">
      <c r="A643" s="226" t="str">
        <f t="shared" si="350"/>
        <v>5Y -&gt; PM Y7 Tail</v>
      </c>
      <c r="B643" s="226">
        <f t="shared" si="351"/>
        <v>5</v>
      </c>
      <c r="C643" s="235">
        <f t="shared" si="352"/>
        <v>3</v>
      </c>
      <c r="D643" s="226">
        <f t="shared" si="353"/>
        <v>7</v>
      </c>
      <c r="E643" s="226" t="str">
        <f t="shared" si="354"/>
        <v>Tail</v>
      </c>
      <c r="F643" s="230">
        <f t="shared" si="355"/>
        <v>100000000</v>
      </c>
      <c r="G643" s="236">
        <f t="shared" si="356"/>
        <v>0.15</v>
      </c>
      <c r="H643" s="230">
        <f t="shared" si="357"/>
        <v>300000</v>
      </c>
      <c r="I643" s="236">
        <f t="shared" si="363"/>
        <v>0</v>
      </c>
      <c r="J643" s="234">
        <v>24</v>
      </c>
      <c r="K643" s="234">
        <f t="shared" si="364"/>
        <v>2049</v>
      </c>
      <c r="L643" s="230">
        <f>IF(J643=1,'Model Inputs'!$B$25*(13-'Model Inputs'!$B$23)/12,'Model Inputs'!$B$25)</f>
        <v>300000</v>
      </c>
      <c r="M643" s="230">
        <f>IF(J643=1,'Model Inputs'!$B$27*(13-'Model Inputs'!$B$23)/12,IF(J643=2,'Model Inputs'!$B$27,IF(J643&lt;=MAX(3,'Model Inputs'!$B$30+1),'Model Inputs'!$B$27*(1+'Model Inputs'!$B$28)^(J643-3),'Model Inputs'!$B$27*(1+'Model Inputs'!$B$28)^(MAX(3,'Model Inputs'!$B$30+1)-3)*(1+'Model Inputs'!$B$29)^(J643-MAX(3,'Model Inputs'!$B$30+1)))))</f>
        <v>90301156.084270701</v>
      </c>
      <c r="N643" s="236">
        <f>IF(J643&lt;=2,0,'Model Inputs'!$B$32*SIN(2*PI()*(J643-3+'Model Inputs'!$B$34)/MAX(1,'Model Inputs'!$B$33)))</f>
        <v>-2.0574066225675533E-16</v>
      </c>
      <c r="O643" s="230">
        <f t="shared" si="365"/>
        <v>90301156.084270686</v>
      </c>
      <c r="P643" s="230">
        <f t="shared" si="362"/>
        <v>63182470.219744325</v>
      </c>
      <c r="Q643" s="230">
        <f>L643+P643+IF(J643=1,'Model Inputs'!$B$26,0)</f>
        <v>63482470.219744325</v>
      </c>
      <c r="R643" s="230">
        <f t="shared" si="366"/>
        <v>190447410.65923297</v>
      </c>
      <c r="S643" s="230">
        <f t="shared" si="367"/>
        <v>15300000</v>
      </c>
      <c r="T643" s="230">
        <f t="shared" si="368"/>
        <v>15300000</v>
      </c>
      <c r="U643" s="230">
        <f>MIN(T643,'Tax Assumptions'!$B$19)</f>
        <v>24500</v>
      </c>
      <c r="V643" s="230">
        <f>MAX(T643-U643-'Tax Assumptions'!$B$8,0)</f>
        <v>15259400</v>
      </c>
      <c r="W643" s="230">
        <f>MAX(T643-U643-'Tax Assumptions'!$B$9,0)</f>
        <v>15267500</v>
      </c>
      <c r="X643" s="230">
        <f>IF(V643=0,0,LOOKUP(V643,'Tax Assumptions'!$F$9:$F$15,'Tax Assumptions'!$I$9:$I$15)+(V643-LOOKUP(V643,'Tax Assumptions'!$F$9:$F$15,'Tax Assumptions'!$F$9:$F$15))*LOOKUP(V643,'Tax Assumptions'!$F$9:$F$15,'Tax Assumptions'!$H$9:$H$15))+MIN(MAX(T643,0),'Tax Assumptions'!$B$11)*'Tax Assumptions'!$B$10+MAX(T643,0)*'Tax Assumptions'!$B$12+MAX(MAX(T643,0)-'Tax Assumptions'!$B$14,0)*'Tax Assumptions'!$B$13+MIN(T643*'Tax Assumptions'!$B$15,'Tax Assumptions'!$B$16)+MIN(T643*'Tax Assumptions'!$B$17,'Tax Assumptions'!$B$18)+IF(W643=0,0,LOOKUP(W643,'Tax Assumptions'!$K$9:$K$17,'Tax Assumptions'!$N$9:$N$17)+(W643-LOOKUP(W643,'Tax Assumptions'!$K$9:$K$17,'Tax Assumptions'!$K$9:$K$17))*LOOKUP(W643,'Tax Assumptions'!$K$9:$K$17,'Tax Assumptions'!$M$9:$M$17))+IF(W643=0,0,LOOKUP(W643,'Tax Assumptions'!$P$9:$P$12,'Tax Assumptions'!$S$9:$S$12)+(W643-LOOKUP(W643,'Tax Assumptions'!$P$9:$P$12,'Tax Assumptions'!$P$9:$P$12))*LOOKUP(W643,'Tax Assumptions'!$P$9:$P$12,'Tax Assumptions'!$R$9:$R$12))</f>
        <v>8070480.54</v>
      </c>
      <c r="Y643" s="230">
        <f t="shared" si="369"/>
        <v>7205019.46</v>
      </c>
      <c r="Z643" s="230">
        <f>IF(J643&lt;=10,INDEX('Savings Projection'!$BL$19:$BL$28,J643),LOOKUP(2,1/('Savings Projection'!$BL$19:$BL$28&lt;&gt;""),'Savings Projection'!$BL$19:$BL$28))*(1+'Model Inputs'!$B$35)^(J643-1)+IF(J643&lt;=10,INDEX('Savings Projection'!$BM$19:$BM$28,J643),LOOKUP(2,1/('Savings Projection'!$BM$19:$BM$28&lt;&gt;""),'Savings Projection'!$BM$19:$BM$28))*(1+'Model Inputs'!$B$36)^(J643-1)</f>
        <v>256566.24644645851</v>
      </c>
      <c r="AA643" s="230">
        <f t="shared" si="370"/>
        <v>6948453.2135535413</v>
      </c>
      <c r="AB643" s="230">
        <f>MIN(MAX(AA643,0),'Tax Assumptions'!$B$20)</f>
        <v>7500</v>
      </c>
      <c r="AC643" s="230">
        <f t="shared" si="371"/>
        <v>6940953.2135535413</v>
      </c>
      <c r="AD643" s="230">
        <f>MAX(AD642*(1+'Model Inputs'!$B$13)+AC643,0)</f>
        <v>225040335.10538816</v>
      </c>
      <c r="AE643" s="230">
        <f>MAX(AE642*(1+'Model Inputs'!$B$13)+U643+AB643,0)</f>
        <v>1626098.4753426341</v>
      </c>
      <c r="AF643" s="230">
        <f t="shared" si="372"/>
        <v>226666433.5807308</v>
      </c>
      <c r="AG643" s="226" t="str">
        <f t="shared" si="358"/>
        <v/>
      </c>
      <c r="AH643" s="226" t="str">
        <f t="shared" si="359"/>
        <v/>
      </c>
      <c r="AI643" s="226" t="str">
        <f t="shared" si="360"/>
        <v/>
      </c>
      <c r="AJ643" s="226" t="str">
        <f t="shared" si="361"/>
        <v/>
      </c>
    </row>
    <row r="644" spans="1:36" ht="18" customHeight="1" x14ac:dyDescent="0.2">
      <c r="A644" s="226" t="str">
        <f t="shared" si="350"/>
        <v>5Y -&gt; PM Y7 Tail</v>
      </c>
      <c r="B644" s="226">
        <f t="shared" si="351"/>
        <v>5</v>
      </c>
      <c r="C644" s="235">
        <f t="shared" si="352"/>
        <v>3</v>
      </c>
      <c r="D644" s="226">
        <f t="shared" si="353"/>
        <v>7</v>
      </c>
      <c r="E644" s="226" t="str">
        <f t="shared" si="354"/>
        <v>Tail</v>
      </c>
      <c r="F644" s="230">
        <f t="shared" si="355"/>
        <v>100000000</v>
      </c>
      <c r="G644" s="236">
        <f t="shared" si="356"/>
        <v>0.15</v>
      </c>
      <c r="H644" s="230">
        <f t="shared" si="357"/>
        <v>300000</v>
      </c>
      <c r="I644" s="236">
        <f t="shared" si="363"/>
        <v>0</v>
      </c>
      <c r="J644" s="234">
        <v>25</v>
      </c>
      <c r="K644" s="234">
        <f t="shared" si="364"/>
        <v>2050</v>
      </c>
      <c r="L644" s="230">
        <f>IF(J644=1,'Model Inputs'!$B$25*(13-'Model Inputs'!$B$23)/12,'Model Inputs'!$B$25)</f>
        <v>300000</v>
      </c>
      <c r="M644" s="230">
        <f>IF(J644=1,'Model Inputs'!$B$27*(13-'Model Inputs'!$B$23)/12,IF(J644=2,'Model Inputs'!$B$27,IF(J644&lt;=MAX(3,'Model Inputs'!$B$30+1),'Model Inputs'!$B$27*(1+'Model Inputs'!$B$28)^(J644-3),'Model Inputs'!$B$27*(1+'Model Inputs'!$B$28)^(MAX(3,'Model Inputs'!$B$30+1)-3)*(1+'Model Inputs'!$B$29)^(J644-MAX(3,'Model Inputs'!$B$30+1)))))</f>
        <v>114761701.62653697</v>
      </c>
      <c r="N644" s="236">
        <f>IF(J644&lt;=2,0,'Model Inputs'!$B$32*SIN(2*PI()*(J644-3+'Model Inputs'!$B$34)/MAX(1,'Model Inputs'!$B$33)))</f>
        <v>0.10392304845413287</v>
      </c>
      <c r="O644" s="230">
        <f t="shared" si="365"/>
        <v>126688087.50535031</v>
      </c>
      <c r="P644" s="230">
        <f t="shared" si="362"/>
        <v>83643370.677900568</v>
      </c>
      <c r="Q644" s="230">
        <f>L644+P644+IF(J644=1,'Model Inputs'!$B$26,0)</f>
        <v>83943370.677900568</v>
      </c>
      <c r="R644" s="230">
        <f t="shared" si="366"/>
        <v>251830112.03370172</v>
      </c>
      <c r="S644" s="230">
        <f t="shared" si="367"/>
        <v>15300000</v>
      </c>
      <c r="T644" s="230">
        <f t="shared" si="368"/>
        <v>15300000</v>
      </c>
      <c r="U644" s="230">
        <f>MIN(T644,'Tax Assumptions'!$B$19)</f>
        <v>24500</v>
      </c>
      <c r="V644" s="230">
        <f>MAX(T644-U644-'Tax Assumptions'!$B$8,0)</f>
        <v>15259400</v>
      </c>
      <c r="W644" s="230">
        <f>MAX(T644-U644-'Tax Assumptions'!$B$9,0)</f>
        <v>15267500</v>
      </c>
      <c r="X644" s="230">
        <f>IF(V644=0,0,LOOKUP(V644,'Tax Assumptions'!$F$9:$F$15,'Tax Assumptions'!$I$9:$I$15)+(V644-LOOKUP(V644,'Tax Assumptions'!$F$9:$F$15,'Tax Assumptions'!$F$9:$F$15))*LOOKUP(V644,'Tax Assumptions'!$F$9:$F$15,'Tax Assumptions'!$H$9:$H$15))+MIN(MAX(T644,0),'Tax Assumptions'!$B$11)*'Tax Assumptions'!$B$10+MAX(T644,0)*'Tax Assumptions'!$B$12+MAX(MAX(T644,0)-'Tax Assumptions'!$B$14,0)*'Tax Assumptions'!$B$13+MIN(T644*'Tax Assumptions'!$B$15,'Tax Assumptions'!$B$16)+MIN(T644*'Tax Assumptions'!$B$17,'Tax Assumptions'!$B$18)+IF(W644=0,0,LOOKUP(W644,'Tax Assumptions'!$K$9:$K$17,'Tax Assumptions'!$N$9:$N$17)+(W644-LOOKUP(W644,'Tax Assumptions'!$K$9:$K$17,'Tax Assumptions'!$K$9:$K$17))*LOOKUP(W644,'Tax Assumptions'!$K$9:$K$17,'Tax Assumptions'!$M$9:$M$17))+IF(W644=0,0,LOOKUP(W644,'Tax Assumptions'!$P$9:$P$12,'Tax Assumptions'!$S$9:$S$12)+(W644-LOOKUP(W644,'Tax Assumptions'!$P$9:$P$12,'Tax Assumptions'!$P$9:$P$12))*LOOKUP(W644,'Tax Assumptions'!$P$9:$P$12,'Tax Assumptions'!$R$9:$R$12))</f>
        <v>8070480.54</v>
      </c>
      <c r="Y644" s="230">
        <f t="shared" si="369"/>
        <v>7205019.46</v>
      </c>
      <c r="Z644" s="230">
        <f>IF(J644&lt;=10,INDEX('Savings Projection'!$BL$19:$BL$28,J644),LOOKUP(2,1/('Savings Projection'!$BL$19:$BL$28&lt;&gt;""),'Savings Projection'!$BL$19:$BL$28))*(1+'Model Inputs'!$B$35)^(J644-1)+IF(J644&lt;=10,INDEX('Savings Projection'!$BM$19:$BM$28,J644),LOOKUP(2,1/('Savings Projection'!$BM$19:$BM$28&lt;&gt;""),'Savings Projection'!$BM$19:$BM$28))*(1+'Model Inputs'!$B$36)^(J644-1)</f>
        <v>264263.23383985227</v>
      </c>
      <c r="AA644" s="230">
        <f t="shared" si="370"/>
        <v>6940756.2261601482</v>
      </c>
      <c r="AB644" s="230">
        <f>MIN(MAX(AA644,0),'Tax Assumptions'!$B$20)</f>
        <v>7500</v>
      </c>
      <c r="AC644" s="230">
        <f t="shared" si="371"/>
        <v>6933256.2261601482</v>
      </c>
      <c r="AD644" s="230">
        <f>MAX(AD643*(1+'Model Inputs'!$B$13)+AC644,0)</f>
        <v>245476011.43787161</v>
      </c>
      <c r="AE644" s="230">
        <f>MAX(AE643*(1+'Model Inputs'!$B$13)+U644+AB644,0)</f>
        <v>1755664.3838631923</v>
      </c>
      <c r="AF644" s="230">
        <f t="shared" si="372"/>
        <v>247231675.82173479</v>
      </c>
      <c r="AG644" s="226" t="str">
        <f t="shared" si="358"/>
        <v/>
      </c>
      <c r="AH644" s="226" t="str">
        <f t="shared" si="359"/>
        <v/>
      </c>
      <c r="AI644" s="226" t="str">
        <f t="shared" si="360"/>
        <v/>
      </c>
      <c r="AJ644" s="226" t="str">
        <f t="shared" si="361"/>
        <v/>
      </c>
    </row>
    <row r="645" spans="1:36" ht="18" customHeight="1" x14ac:dyDescent="0.2">
      <c r="A645" s="226" t="str">
        <f t="shared" si="350"/>
        <v>5Y -&gt; PM Y7 Tail</v>
      </c>
      <c r="B645" s="226">
        <f t="shared" si="351"/>
        <v>5</v>
      </c>
      <c r="C645" s="235">
        <f t="shared" si="352"/>
        <v>3</v>
      </c>
      <c r="D645" s="226">
        <f t="shared" si="353"/>
        <v>7</v>
      </c>
      <c r="E645" s="226" t="str">
        <f t="shared" si="354"/>
        <v>Tail</v>
      </c>
      <c r="F645" s="230">
        <f t="shared" si="355"/>
        <v>100000000</v>
      </c>
      <c r="G645" s="236">
        <f t="shared" si="356"/>
        <v>0.15</v>
      </c>
      <c r="H645" s="230">
        <f t="shared" si="357"/>
        <v>300000</v>
      </c>
      <c r="I645" s="236">
        <f t="shared" si="363"/>
        <v>0</v>
      </c>
      <c r="J645" s="234">
        <v>26</v>
      </c>
      <c r="K645" s="234">
        <f t="shared" si="364"/>
        <v>2051</v>
      </c>
      <c r="L645" s="230">
        <f>IF(J645=1,'Model Inputs'!$B$25*(13-'Model Inputs'!$B$23)/12,'Model Inputs'!$B$25)</f>
        <v>300000</v>
      </c>
      <c r="M645" s="230">
        <f>IF(J645=1,'Model Inputs'!$B$27*(13-'Model Inputs'!$B$23)/12,IF(J645=2,'Model Inputs'!$B$27,IF(J645&lt;=MAX(3,'Model Inputs'!$B$30+1),'Model Inputs'!$B$27*(1+'Model Inputs'!$B$28)^(J645-3),'Model Inputs'!$B$27*(1+'Model Inputs'!$B$28)^(MAX(3,'Model Inputs'!$B$30+1)-3)*(1+'Model Inputs'!$B$29)^(J645-MAX(3,'Model Inputs'!$B$30+1)))))</f>
        <v>145848057.00524563</v>
      </c>
      <c r="N645" s="236">
        <f>IF(J645&lt;=2,0,'Model Inputs'!$B$32*SIN(2*PI()*(J645-3+'Model Inputs'!$B$34)/MAX(1,'Model Inputs'!$B$33)))</f>
        <v>-0.10392304845413224</v>
      </c>
      <c r="O645" s="230">
        <f t="shared" si="365"/>
        <v>130691082.31014845</v>
      </c>
      <c r="P645" s="230">
        <f t="shared" si="362"/>
        <v>117591354.65008041</v>
      </c>
      <c r="Q645" s="230">
        <f>L645+P645+IF(J645=1,'Model Inputs'!$B$26,0)</f>
        <v>117891354.65008041</v>
      </c>
      <c r="R645" s="230">
        <f t="shared" si="366"/>
        <v>353674063.95024121</v>
      </c>
      <c r="S645" s="230">
        <f t="shared" si="367"/>
        <v>15300000</v>
      </c>
      <c r="T645" s="230">
        <f t="shared" si="368"/>
        <v>15300000</v>
      </c>
      <c r="U645" s="230">
        <f>MIN(T645,'Tax Assumptions'!$B$19)</f>
        <v>24500</v>
      </c>
      <c r="V645" s="230">
        <f>MAX(T645-U645-'Tax Assumptions'!$B$8,0)</f>
        <v>15259400</v>
      </c>
      <c r="W645" s="230">
        <f>MAX(T645-U645-'Tax Assumptions'!$B$9,0)</f>
        <v>15267500</v>
      </c>
      <c r="X645" s="230">
        <f>IF(V645=0,0,LOOKUP(V645,'Tax Assumptions'!$F$9:$F$15,'Tax Assumptions'!$I$9:$I$15)+(V645-LOOKUP(V645,'Tax Assumptions'!$F$9:$F$15,'Tax Assumptions'!$F$9:$F$15))*LOOKUP(V645,'Tax Assumptions'!$F$9:$F$15,'Tax Assumptions'!$H$9:$H$15))+MIN(MAX(T645,0),'Tax Assumptions'!$B$11)*'Tax Assumptions'!$B$10+MAX(T645,0)*'Tax Assumptions'!$B$12+MAX(MAX(T645,0)-'Tax Assumptions'!$B$14,0)*'Tax Assumptions'!$B$13+MIN(T645*'Tax Assumptions'!$B$15,'Tax Assumptions'!$B$16)+MIN(T645*'Tax Assumptions'!$B$17,'Tax Assumptions'!$B$18)+IF(W645=0,0,LOOKUP(W645,'Tax Assumptions'!$K$9:$K$17,'Tax Assumptions'!$N$9:$N$17)+(W645-LOOKUP(W645,'Tax Assumptions'!$K$9:$K$17,'Tax Assumptions'!$K$9:$K$17))*LOOKUP(W645,'Tax Assumptions'!$K$9:$K$17,'Tax Assumptions'!$M$9:$M$17))+IF(W645=0,0,LOOKUP(W645,'Tax Assumptions'!$P$9:$P$12,'Tax Assumptions'!$S$9:$S$12)+(W645-LOOKUP(W645,'Tax Assumptions'!$P$9:$P$12,'Tax Assumptions'!$P$9:$P$12))*LOOKUP(W645,'Tax Assumptions'!$P$9:$P$12,'Tax Assumptions'!$R$9:$R$12))</f>
        <v>8070480.54</v>
      </c>
      <c r="Y645" s="230">
        <f t="shared" si="369"/>
        <v>7205019.46</v>
      </c>
      <c r="Z645" s="230">
        <f>IF(J645&lt;=10,INDEX('Savings Projection'!$BL$19:$BL$28,J645),LOOKUP(2,1/('Savings Projection'!$BL$19:$BL$28&lt;&gt;""),'Savings Projection'!$BL$19:$BL$28))*(1+'Model Inputs'!$B$35)^(J645-1)+IF(J645&lt;=10,INDEX('Savings Projection'!$BM$19:$BM$28,J645),LOOKUP(2,1/('Savings Projection'!$BM$19:$BM$28&lt;&gt;""),'Savings Projection'!$BM$19:$BM$28))*(1+'Model Inputs'!$B$36)^(J645-1)</f>
        <v>272191.13085504784</v>
      </c>
      <c r="AA645" s="230">
        <f t="shared" si="370"/>
        <v>6932828.3291449519</v>
      </c>
      <c r="AB645" s="230">
        <f>MIN(MAX(AA645,0),'Tax Assumptions'!$B$20)</f>
        <v>7500</v>
      </c>
      <c r="AC645" s="230">
        <f t="shared" si="371"/>
        <v>6925328.3291449519</v>
      </c>
      <c r="AD645" s="230">
        <f>MAX(AD644*(1+'Model Inputs'!$B$13)+AC645,0)</f>
        <v>267129900.45328888</v>
      </c>
      <c r="AE645" s="230">
        <f>MAX(AE644*(1+'Model Inputs'!$B$13)+U645+AB645,0)</f>
        <v>1893004.2468949838</v>
      </c>
      <c r="AF645" s="230">
        <f t="shared" si="372"/>
        <v>269022904.70018387</v>
      </c>
      <c r="AG645" s="226" t="str">
        <f t="shared" si="358"/>
        <v/>
      </c>
      <c r="AH645" s="226" t="str">
        <f t="shared" si="359"/>
        <v/>
      </c>
      <c r="AI645" s="226" t="str">
        <f t="shared" si="360"/>
        <v/>
      </c>
      <c r="AJ645" s="226" t="str">
        <f t="shared" si="361"/>
        <v/>
      </c>
    </row>
    <row r="646" spans="1:36" ht="18" customHeight="1" x14ac:dyDescent="0.2">
      <c r="A646" s="226" t="str">
        <f t="shared" si="350"/>
        <v>5Y -&gt; PM Y7 Tail</v>
      </c>
      <c r="B646" s="226">
        <f t="shared" si="351"/>
        <v>5</v>
      </c>
      <c r="C646" s="235">
        <f t="shared" si="352"/>
        <v>3</v>
      </c>
      <c r="D646" s="226">
        <f t="shared" si="353"/>
        <v>7</v>
      </c>
      <c r="E646" s="226" t="str">
        <f t="shared" si="354"/>
        <v>Tail</v>
      </c>
      <c r="F646" s="230">
        <f t="shared" si="355"/>
        <v>100000000</v>
      </c>
      <c r="G646" s="236">
        <f t="shared" si="356"/>
        <v>0.15</v>
      </c>
      <c r="H646" s="230">
        <f t="shared" si="357"/>
        <v>300000</v>
      </c>
      <c r="I646" s="236">
        <f t="shared" si="363"/>
        <v>0</v>
      </c>
      <c r="J646" s="234">
        <v>27</v>
      </c>
      <c r="K646" s="234">
        <f t="shared" si="364"/>
        <v>2052</v>
      </c>
      <c r="L646" s="230">
        <f>IF(J646=1,'Model Inputs'!$B$25*(13-'Model Inputs'!$B$23)/12,'Model Inputs'!$B$25)</f>
        <v>300000</v>
      </c>
      <c r="M646" s="230">
        <f>IF(J646=1,'Model Inputs'!$B$27*(13-'Model Inputs'!$B$23)/12,IF(J646=2,'Model Inputs'!$B$27,IF(J646&lt;=MAX(3,'Model Inputs'!$B$30+1),'Model Inputs'!$B$27*(1+'Model Inputs'!$B$28)^(J646-3),'Model Inputs'!$B$27*(1+'Model Inputs'!$B$28)^(MAX(3,'Model Inputs'!$B$30+1)-3)*(1+'Model Inputs'!$B$29)^(J646-MAX(3,'Model Inputs'!$B$30+1)))))</f>
        <v>185355004.59402937</v>
      </c>
      <c r="N646" s="236">
        <f>IF(J646&lt;=2,0,'Model Inputs'!$B$32*SIN(2*PI()*(J646-3+'Model Inputs'!$B$34)/MAX(1,'Model Inputs'!$B$33)))</f>
        <v>-2.3513218543629179E-16</v>
      </c>
      <c r="O646" s="230">
        <f t="shared" si="365"/>
        <v>185355004.59402934</v>
      </c>
      <c r="P646" s="230">
        <f t="shared" si="362"/>
        <v>129690333.6089489</v>
      </c>
      <c r="Q646" s="230">
        <f>L646+P646+IF(J646=1,'Model Inputs'!$B$26,0)</f>
        <v>129990333.6089489</v>
      </c>
      <c r="R646" s="230">
        <f t="shared" si="366"/>
        <v>389971000.82684672</v>
      </c>
      <c r="S646" s="230">
        <f t="shared" si="367"/>
        <v>15300000</v>
      </c>
      <c r="T646" s="230">
        <f t="shared" si="368"/>
        <v>15300000</v>
      </c>
      <c r="U646" s="230">
        <f>MIN(T646,'Tax Assumptions'!$B$19)</f>
        <v>24500</v>
      </c>
      <c r="V646" s="230">
        <f>MAX(T646-U646-'Tax Assumptions'!$B$8,0)</f>
        <v>15259400</v>
      </c>
      <c r="W646" s="230">
        <f>MAX(T646-U646-'Tax Assumptions'!$B$9,0)</f>
        <v>15267500</v>
      </c>
      <c r="X646" s="230">
        <f>IF(V646=0,0,LOOKUP(V646,'Tax Assumptions'!$F$9:$F$15,'Tax Assumptions'!$I$9:$I$15)+(V646-LOOKUP(V646,'Tax Assumptions'!$F$9:$F$15,'Tax Assumptions'!$F$9:$F$15))*LOOKUP(V646,'Tax Assumptions'!$F$9:$F$15,'Tax Assumptions'!$H$9:$H$15))+MIN(MAX(T646,0),'Tax Assumptions'!$B$11)*'Tax Assumptions'!$B$10+MAX(T646,0)*'Tax Assumptions'!$B$12+MAX(MAX(T646,0)-'Tax Assumptions'!$B$14,0)*'Tax Assumptions'!$B$13+MIN(T646*'Tax Assumptions'!$B$15,'Tax Assumptions'!$B$16)+MIN(T646*'Tax Assumptions'!$B$17,'Tax Assumptions'!$B$18)+IF(W646=0,0,LOOKUP(W646,'Tax Assumptions'!$K$9:$K$17,'Tax Assumptions'!$N$9:$N$17)+(W646-LOOKUP(W646,'Tax Assumptions'!$K$9:$K$17,'Tax Assumptions'!$K$9:$K$17))*LOOKUP(W646,'Tax Assumptions'!$K$9:$K$17,'Tax Assumptions'!$M$9:$M$17))+IF(W646=0,0,LOOKUP(W646,'Tax Assumptions'!$P$9:$P$12,'Tax Assumptions'!$S$9:$S$12)+(W646-LOOKUP(W646,'Tax Assumptions'!$P$9:$P$12,'Tax Assumptions'!$P$9:$P$12))*LOOKUP(W646,'Tax Assumptions'!$P$9:$P$12,'Tax Assumptions'!$R$9:$R$12))</f>
        <v>8070480.54</v>
      </c>
      <c r="Y646" s="230">
        <f t="shared" si="369"/>
        <v>7205019.46</v>
      </c>
      <c r="Z646" s="230">
        <f>IF(J646&lt;=10,INDEX('Savings Projection'!$BL$19:$BL$28,J646),LOOKUP(2,1/('Savings Projection'!$BL$19:$BL$28&lt;&gt;""),'Savings Projection'!$BL$19:$BL$28))*(1+'Model Inputs'!$B$35)^(J646-1)+IF(J646&lt;=10,INDEX('Savings Projection'!$BM$19:$BM$28,J646),LOOKUP(2,1/('Savings Projection'!$BM$19:$BM$28&lt;&gt;""),'Savings Projection'!$BM$19:$BM$28))*(1+'Model Inputs'!$B$36)^(J646-1)</f>
        <v>280356.86478069925</v>
      </c>
      <c r="AA646" s="230">
        <f t="shared" si="370"/>
        <v>6924662.5952193011</v>
      </c>
      <c r="AB646" s="230">
        <f>MIN(MAX(AA646,0),'Tax Assumptions'!$B$20)</f>
        <v>7500</v>
      </c>
      <c r="AC646" s="230">
        <f t="shared" si="371"/>
        <v>6917162.5952193011</v>
      </c>
      <c r="AD646" s="230">
        <f>MAX(AD645*(1+'Model Inputs'!$B$13)+AC646,0)</f>
        <v>290074857.07570553</v>
      </c>
      <c r="AE646" s="230">
        <f>MAX(AE645*(1+'Model Inputs'!$B$13)+U646+AB646,0)</f>
        <v>2038584.5017086829</v>
      </c>
      <c r="AF646" s="230">
        <f t="shared" si="372"/>
        <v>292113441.57741421</v>
      </c>
      <c r="AG646" s="226" t="str">
        <f t="shared" si="358"/>
        <v/>
      </c>
      <c r="AH646" s="226" t="str">
        <f t="shared" si="359"/>
        <v/>
      </c>
      <c r="AI646" s="226" t="str">
        <f t="shared" si="360"/>
        <v/>
      </c>
      <c r="AJ646" s="226" t="str">
        <f t="shared" si="361"/>
        <v/>
      </c>
    </row>
    <row r="647" spans="1:36" ht="18" customHeight="1" x14ac:dyDescent="0.2">
      <c r="A647" s="226" t="str">
        <f t="shared" si="350"/>
        <v>5Y -&gt; PM Y7 Tail</v>
      </c>
      <c r="B647" s="226">
        <f t="shared" si="351"/>
        <v>5</v>
      </c>
      <c r="C647" s="235">
        <f t="shared" si="352"/>
        <v>3</v>
      </c>
      <c r="D647" s="226">
        <f t="shared" si="353"/>
        <v>7</v>
      </c>
      <c r="E647" s="226" t="str">
        <f t="shared" si="354"/>
        <v>Tail</v>
      </c>
      <c r="F647" s="230">
        <f t="shared" si="355"/>
        <v>100000000</v>
      </c>
      <c r="G647" s="236">
        <f t="shared" si="356"/>
        <v>0.15</v>
      </c>
      <c r="H647" s="230">
        <f t="shared" si="357"/>
        <v>300000</v>
      </c>
      <c r="I647" s="236">
        <f t="shared" si="363"/>
        <v>0</v>
      </c>
      <c r="J647" s="234">
        <v>28</v>
      </c>
      <c r="K647" s="234">
        <f t="shared" si="364"/>
        <v>2053</v>
      </c>
      <c r="L647" s="230">
        <f>IF(J647=1,'Model Inputs'!$B$25*(13-'Model Inputs'!$B$23)/12,'Model Inputs'!$B$25)</f>
        <v>300000</v>
      </c>
      <c r="M647" s="230">
        <f>IF(J647=1,'Model Inputs'!$B$27*(13-'Model Inputs'!$B$23)/12,IF(J647=2,'Model Inputs'!$B$27,IF(J647&lt;=MAX(3,'Model Inputs'!$B$30+1),'Model Inputs'!$B$27*(1+'Model Inputs'!$B$28)^(J647-3),'Model Inputs'!$B$27*(1+'Model Inputs'!$B$28)^(MAX(3,'Model Inputs'!$B$30+1)-3)*(1+'Model Inputs'!$B$29)^(J647-MAX(3,'Model Inputs'!$B$30+1)))))</f>
        <v>235563492.81236541</v>
      </c>
      <c r="N647" s="236">
        <f>IF(J647&lt;=2,0,'Model Inputs'!$B$32*SIN(2*PI()*(J647-3+'Model Inputs'!$B$34)/MAX(1,'Model Inputs'!$B$33)))</f>
        <v>0.10392304845413247</v>
      </c>
      <c r="O647" s="230">
        <f t="shared" si="365"/>
        <v>260043969.08992955</v>
      </c>
      <c r="P647" s="230">
        <f t="shared" si="362"/>
        <v>171689024.02305913</v>
      </c>
      <c r="Q647" s="230">
        <f>L647+P647+IF(J647=1,'Model Inputs'!$B$26,0)</f>
        <v>171989024.02305913</v>
      </c>
      <c r="R647" s="230">
        <f t="shared" si="366"/>
        <v>515967072.06917739</v>
      </c>
      <c r="S647" s="230">
        <f t="shared" si="367"/>
        <v>15300000</v>
      </c>
      <c r="T647" s="230">
        <f t="shared" si="368"/>
        <v>15300000</v>
      </c>
      <c r="U647" s="230">
        <f>MIN(T647,'Tax Assumptions'!$B$19)</f>
        <v>24500</v>
      </c>
      <c r="V647" s="230">
        <f>MAX(T647-U647-'Tax Assumptions'!$B$8,0)</f>
        <v>15259400</v>
      </c>
      <c r="W647" s="230">
        <f>MAX(T647-U647-'Tax Assumptions'!$B$9,0)</f>
        <v>15267500</v>
      </c>
      <c r="X647" s="230">
        <f>IF(V647=0,0,LOOKUP(V647,'Tax Assumptions'!$F$9:$F$15,'Tax Assumptions'!$I$9:$I$15)+(V647-LOOKUP(V647,'Tax Assumptions'!$F$9:$F$15,'Tax Assumptions'!$F$9:$F$15))*LOOKUP(V647,'Tax Assumptions'!$F$9:$F$15,'Tax Assumptions'!$H$9:$H$15))+MIN(MAX(T647,0),'Tax Assumptions'!$B$11)*'Tax Assumptions'!$B$10+MAX(T647,0)*'Tax Assumptions'!$B$12+MAX(MAX(T647,0)-'Tax Assumptions'!$B$14,0)*'Tax Assumptions'!$B$13+MIN(T647*'Tax Assumptions'!$B$15,'Tax Assumptions'!$B$16)+MIN(T647*'Tax Assumptions'!$B$17,'Tax Assumptions'!$B$18)+IF(W647=0,0,LOOKUP(W647,'Tax Assumptions'!$K$9:$K$17,'Tax Assumptions'!$N$9:$N$17)+(W647-LOOKUP(W647,'Tax Assumptions'!$K$9:$K$17,'Tax Assumptions'!$K$9:$K$17))*LOOKUP(W647,'Tax Assumptions'!$K$9:$K$17,'Tax Assumptions'!$M$9:$M$17))+IF(W647=0,0,LOOKUP(W647,'Tax Assumptions'!$P$9:$P$12,'Tax Assumptions'!$S$9:$S$12)+(W647-LOOKUP(W647,'Tax Assumptions'!$P$9:$P$12,'Tax Assumptions'!$P$9:$P$12))*LOOKUP(W647,'Tax Assumptions'!$P$9:$P$12,'Tax Assumptions'!$R$9:$R$12))</f>
        <v>8070480.54</v>
      </c>
      <c r="Y647" s="230">
        <f t="shared" si="369"/>
        <v>7205019.46</v>
      </c>
      <c r="Z647" s="230">
        <f>IF(J647&lt;=10,INDEX('Savings Projection'!$BL$19:$BL$28,J647),LOOKUP(2,1/('Savings Projection'!$BL$19:$BL$28&lt;&gt;""),'Savings Projection'!$BL$19:$BL$28))*(1+'Model Inputs'!$B$35)^(J647-1)+IF(J647&lt;=10,INDEX('Savings Projection'!$BM$19:$BM$28,J647),LOOKUP(2,1/('Savings Projection'!$BM$19:$BM$28&lt;&gt;""),'Savings Projection'!$BM$19:$BM$28))*(1+'Model Inputs'!$B$36)^(J647-1)</f>
        <v>288767.57072412025</v>
      </c>
      <c r="AA647" s="230">
        <f t="shared" si="370"/>
        <v>6916251.8892758796</v>
      </c>
      <c r="AB647" s="230">
        <f>MIN(MAX(AA647,0),'Tax Assumptions'!$B$20)</f>
        <v>7500</v>
      </c>
      <c r="AC647" s="230">
        <f t="shared" si="371"/>
        <v>6908751.8892758796</v>
      </c>
      <c r="AD647" s="230">
        <f>MAX(AD646*(1+'Model Inputs'!$B$13)+AC647,0)</f>
        <v>314388100.3895238</v>
      </c>
      <c r="AE647" s="230">
        <f>MAX(AE646*(1+'Model Inputs'!$B$13)+U647+AB647,0)</f>
        <v>2192899.5718112038</v>
      </c>
      <c r="AF647" s="230">
        <f t="shared" si="372"/>
        <v>316580999.961335</v>
      </c>
      <c r="AG647" s="226" t="str">
        <f t="shared" si="358"/>
        <v/>
      </c>
      <c r="AH647" s="226" t="str">
        <f t="shared" si="359"/>
        <v/>
      </c>
      <c r="AI647" s="226" t="str">
        <f t="shared" si="360"/>
        <v/>
      </c>
      <c r="AJ647" s="226" t="str">
        <f t="shared" si="361"/>
        <v/>
      </c>
    </row>
    <row r="648" spans="1:36" ht="18" customHeight="1" x14ac:dyDescent="0.2">
      <c r="A648" s="226" t="str">
        <f t="shared" si="350"/>
        <v>5Y -&gt; PM Y7 Tail</v>
      </c>
      <c r="B648" s="226">
        <f t="shared" si="351"/>
        <v>5</v>
      </c>
      <c r="C648" s="235">
        <f t="shared" si="352"/>
        <v>3</v>
      </c>
      <c r="D648" s="226">
        <f t="shared" si="353"/>
        <v>7</v>
      </c>
      <c r="E648" s="226" t="str">
        <f t="shared" si="354"/>
        <v>Tail</v>
      </c>
      <c r="F648" s="230">
        <f t="shared" si="355"/>
        <v>100000000</v>
      </c>
      <c r="G648" s="236">
        <f t="shared" si="356"/>
        <v>0.15</v>
      </c>
      <c r="H648" s="230">
        <f t="shared" si="357"/>
        <v>300000</v>
      </c>
      <c r="I648" s="236">
        <f t="shared" si="363"/>
        <v>0</v>
      </c>
      <c r="J648" s="234">
        <v>29</v>
      </c>
      <c r="K648" s="234">
        <f t="shared" si="364"/>
        <v>2054</v>
      </c>
      <c r="L648" s="230">
        <f>IF(J648=1,'Model Inputs'!$B$25*(13-'Model Inputs'!$B$23)/12,'Model Inputs'!$B$25)</f>
        <v>300000</v>
      </c>
      <c r="M648" s="230">
        <f>IF(J648=1,'Model Inputs'!$B$27*(13-'Model Inputs'!$B$23)/12,IF(J648=2,'Model Inputs'!$B$27,IF(J648&lt;=MAX(3,'Model Inputs'!$B$30+1),'Model Inputs'!$B$27*(1+'Model Inputs'!$B$28)^(J648-3),'Model Inputs'!$B$27*(1+'Model Inputs'!$B$28)^(MAX(3,'Model Inputs'!$B$30+1)-3)*(1+'Model Inputs'!$B$29)^(J648-MAX(3,'Model Inputs'!$B$30+1)))))</f>
        <v>299372327.53708321</v>
      </c>
      <c r="N648" s="236">
        <f>IF(J648&lt;=2,0,'Model Inputs'!$B$32*SIN(2*PI()*(J648-3+'Model Inputs'!$B$34)/MAX(1,'Model Inputs'!$B$33)))</f>
        <v>-0.10392304845413265</v>
      </c>
      <c r="O648" s="230">
        <f t="shared" si="365"/>
        <v>268260642.63662043</v>
      </c>
      <c r="P648" s="230">
        <f t="shared" si="362"/>
        <v>241371727.96595448</v>
      </c>
      <c r="Q648" s="230">
        <f>L648+P648+IF(J648=1,'Model Inputs'!$B$26,0)</f>
        <v>241671727.96595448</v>
      </c>
      <c r="R648" s="230">
        <f t="shared" si="366"/>
        <v>725015183.89786339</v>
      </c>
      <c r="S648" s="230">
        <f t="shared" si="367"/>
        <v>15300000</v>
      </c>
      <c r="T648" s="230">
        <f t="shared" si="368"/>
        <v>15300000</v>
      </c>
      <c r="U648" s="230">
        <f>MIN(T648,'Tax Assumptions'!$B$19)</f>
        <v>24500</v>
      </c>
      <c r="V648" s="230">
        <f>MAX(T648-U648-'Tax Assumptions'!$B$8,0)</f>
        <v>15259400</v>
      </c>
      <c r="W648" s="230">
        <f>MAX(T648-U648-'Tax Assumptions'!$B$9,0)</f>
        <v>15267500</v>
      </c>
      <c r="X648" s="230">
        <f>IF(V648=0,0,LOOKUP(V648,'Tax Assumptions'!$F$9:$F$15,'Tax Assumptions'!$I$9:$I$15)+(V648-LOOKUP(V648,'Tax Assumptions'!$F$9:$F$15,'Tax Assumptions'!$F$9:$F$15))*LOOKUP(V648,'Tax Assumptions'!$F$9:$F$15,'Tax Assumptions'!$H$9:$H$15))+MIN(MAX(T648,0),'Tax Assumptions'!$B$11)*'Tax Assumptions'!$B$10+MAX(T648,0)*'Tax Assumptions'!$B$12+MAX(MAX(T648,0)-'Tax Assumptions'!$B$14,0)*'Tax Assumptions'!$B$13+MIN(T648*'Tax Assumptions'!$B$15,'Tax Assumptions'!$B$16)+MIN(T648*'Tax Assumptions'!$B$17,'Tax Assumptions'!$B$18)+IF(W648=0,0,LOOKUP(W648,'Tax Assumptions'!$K$9:$K$17,'Tax Assumptions'!$N$9:$N$17)+(W648-LOOKUP(W648,'Tax Assumptions'!$K$9:$K$17,'Tax Assumptions'!$K$9:$K$17))*LOOKUP(W648,'Tax Assumptions'!$K$9:$K$17,'Tax Assumptions'!$M$9:$M$17))+IF(W648=0,0,LOOKUP(W648,'Tax Assumptions'!$P$9:$P$12,'Tax Assumptions'!$S$9:$S$12)+(W648-LOOKUP(W648,'Tax Assumptions'!$P$9:$P$12,'Tax Assumptions'!$P$9:$P$12))*LOOKUP(W648,'Tax Assumptions'!$P$9:$P$12,'Tax Assumptions'!$R$9:$R$12))</f>
        <v>8070480.54</v>
      </c>
      <c r="Y648" s="230">
        <f t="shared" si="369"/>
        <v>7205019.46</v>
      </c>
      <c r="Z648" s="230">
        <f>IF(J648&lt;=10,INDEX('Savings Projection'!$BL$19:$BL$28,J648),LOOKUP(2,1/('Savings Projection'!$BL$19:$BL$28&lt;&gt;""),'Savings Projection'!$BL$19:$BL$28))*(1+'Model Inputs'!$B$35)^(J648-1)+IF(J648&lt;=10,INDEX('Savings Projection'!$BM$19:$BM$28,J648),LOOKUP(2,1/('Savings Projection'!$BM$19:$BM$28&lt;&gt;""),'Savings Projection'!$BM$19:$BM$28))*(1+'Model Inputs'!$B$36)^(J648-1)</f>
        <v>297430.59784584382</v>
      </c>
      <c r="AA648" s="230">
        <f t="shared" si="370"/>
        <v>6907588.862154156</v>
      </c>
      <c r="AB648" s="230">
        <f>MIN(MAX(AA648,0),'Tax Assumptions'!$B$20)</f>
        <v>7500</v>
      </c>
      <c r="AC648" s="230">
        <f t="shared" si="371"/>
        <v>6900088.862154156</v>
      </c>
      <c r="AD648" s="230">
        <f>MAX(AD647*(1+'Model Inputs'!$B$13)+AC648,0)</f>
        <v>340151475.27504945</v>
      </c>
      <c r="AE648" s="230">
        <f>MAX(AE647*(1+'Model Inputs'!$B$13)+U648+AB648,0)</f>
        <v>2356473.5461198762</v>
      </c>
      <c r="AF648" s="230">
        <f t="shared" si="372"/>
        <v>342507948.82116932</v>
      </c>
      <c r="AG648" s="226" t="str">
        <f t="shared" si="358"/>
        <v/>
      </c>
      <c r="AH648" s="226" t="str">
        <f t="shared" si="359"/>
        <v/>
      </c>
      <c r="AI648" s="226" t="str">
        <f t="shared" si="360"/>
        <v/>
      </c>
      <c r="AJ648" s="226" t="str">
        <f t="shared" si="361"/>
        <v/>
      </c>
    </row>
    <row r="649" spans="1:36" ht="18" customHeight="1" x14ac:dyDescent="0.2">
      <c r="A649" s="226" t="str">
        <f t="shared" si="350"/>
        <v>5Y -&gt; PM Y7 Tail</v>
      </c>
      <c r="B649" s="226">
        <f t="shared" si="351"/>
        <v>5</v>
      </c>
      <c r="C649" s="235">
        <f t="shared" si="352"/>
        <v>3</v>
      </c>
      <c r="D649" s="226">
        <f t="shared" si="353"/>
        <v>7</v>
      </c>
      <c r="E649" s="226" t="str">
        <f t="shared" si="354"/>
        <v>Tail</v>
      </c>
      <c r="F649" s="230">
        <f t="shared" si="355"/>
        <v>100000000</v>
      </c>
      <c r="G649" s="236">
        <f t="shared" si="356"/>
        <v>0.15</v>
      </c>
      <c r="H649" s="230">
        <f t="shared" si="357"/>
        <v>300000</v>
      </c>
      <c r="I649" s="236">
        <f t="shared" si="363"/>
        <v>0</v>
      </c>
      <c r="J649" s="234">
        <v>30</v>
      </c>
      <c r="K649" s="234">
        <f t="shared" si="364"/>
        <v>2055</v>
      </c>
      <c r="L649" s="230">
        <f>IF(J649=1,'Model Inputs'!$B$25*(13-'Model Inputs'!$B$23)/12,'Model Inputs'!$B$25)</f>
        <v>300000</v>
      </c>
      <c r="M649" s="230">
        <f>IF(J649=1,'Model Inputs'!$B$27*(13-'Model Inputs'!$B$23)/12,IF(J649=2,'Model Inputs'!$B$27,IF(J649&lt;=MAX(3,'Model Inputs'!$B$30+1),'Model Inputs'!$B$27*(1+'Model Inputs'!$B$28)^(J649-3),'Model Inputs'!$B$27*(1+'Model Inputs'!$B$28)^(MAX(3,'Model Inputs'!$B$30+1)-3)*(1+'Model Inputs'!$B$29)^(J649-MAX(3,'Model Inputs'!$B$30+1)))))</f>
        <v>380465535.74563926</v>
      </c>
      <c r="N649" s="236">
        <f>IF(J649&lt;=2,0,'Model Inputs'!$B$32*SIN(2*PI()*(J649-3+'Model Inputs'!$B$34)/MAX(1,'Model Inputs'!$B$33)))</f>
        <v>-2.645237086158283E-16</v>
      </c>
      <c r="O649" s="230">
        <f t="shared" si="365"/>
        <v>380465535.7456392</v>
      </c>
      <c r="P649" s="230">
        <f t="shared" si="362"/>
        <v>266206474.24994773</v>
      </c>
      <c r="Q649" s="230">
        <f>L649+P649+IF(J649=1,'Model Inputs'!$B$26,0)</f>
        <v>266506474.24994773</v>
      </c>
      <c r="R649" s="230">
        <f t="shared" si="366"/>
        <v>799519422.74984312</v>
      </c>
      <c r="S649" s="230">
        <f t="shared" si="367"/>
        <v>15300000</v>
      </c>
      <c r="T649" s="230">
        <f t="shared" si="368"/>
        <v>15300000</v>
      </c>
      <c r="U649" s="230">
        <f>MIN(T649,'Tax Assumptions'!$B$19)</f>
        <v>24500</v>
      </c>
      <c r="V649" s="230">
        <f>MAX(T649-U649-'Tax Assumptions'!$B$8,0)</f>
        <v>15259400</v>
      </c>
      <c r="W649" s="230">
        <f>MAX(T649-U649-'Tax Assumptions'!$B$9,0)</f>
        <v>15267500</v>
      </c>
      <c r="X649" s="230">
        <f>IF(V649=0,0,LOOKUP(V649,'Tax Assumptions'!$F$9:$F$15,'Tax Assumptions'!$I$9:$I$15)+(V649-LOOKUP(V649,'Tax Assumptions'!$F$9:$F$15,'Tax Assumptions'!$F$9:$F$15))*LOOKUP(V649,'Tax Assumptions'!$F$9:$F$15,'Tax Assumptions'!$H$9:$H$15))+MIN(MAX(T649,0),'Tax Assumptions'!$B$11)*'Tax Assumptions'!$B$10+MAX(T649,0)*'Tax Assumptions'!$B$12+MAX(MAX(T649,0)-'Tax Assumptions'!$B$14,0)*'Tax Assumptions'!$B$13+MIN(T649*'Tax Assumptions'!$B$15,'Tax Assumptions'!$B$16)+MIN(T649*'Tax Assumptions'!$B$17,'Tax Assumptions'!$B$18)+IF(W649=0,0,LOOKUP(W649,'Tax Assumptions'!$K$9:$K$17,'Tax Assumptions'!$N$9:$N$17)+(W649-LOOKUP(W649,'Tax Assumptions'!$K$9:$K$17,'Tax Assumptions'!$K$9:$K$17))*LOOKUP(W649,'Tax Assumptions'!$K$9:$K$17,'Tax Assumptions'!$M$9:$M$17))+IF(W649=0,0,LOOKUP(W649,'Tax Assumptions'!$P$9:$P$12,'Tax Assumptions'!$S$9:$S$12)+(W649-LOOKUP(W649,'Tax Assumptions'!$P$9:$P$12,'Tax Assumptions'!$P$9:$P$12))*LOOKUP(W649,'Tax Assumptions'!$P$9:$P$12,'Tax Assumptions'!$R$9:$R$12))</f>
        <v>8070480.54</v>
      </c>
      <c r="Y649" s="230">
        <f t="shared" si="369"/>
        <v>7205019.46</v>
      </c>
      <c r="Z649" s="230">
        <f>IF(J649&lt;=10,INDEX('Savings Projection'!$BL$19:$BL$28,J649),LOOKUP(2,1/('Savings Projection'!$BL$19:$BL$28&lt;&gt;""),'Savings Projection'!$BL$19:$BL$28))*(1+'Model Inputs'!$B$35)^(J649-1)+IF(J649&lt;=10,INDEX('Savings Projection'!$BM$19:$BM$28,J649),LOOKUP(2,1/('Savings Projection'!$BM$19:$BM$28&lt;&gt;""),'Savings Projection'!$BM$19:$BM$28))*(1+'Model Inputs'!$B$36)^(J649-1)</f>
        <v>306353.51578121912</v>
      </c>
      <c r="AA649" s="230">
        <f t="shared" si="370"/>
        <v>6898665.9442187808</v>
      </c>
      <c r="AB649" s="230">
        <f>MIN(MAX(AA649,0),'Tax Assumptions'!$B$20)</f>
        <v>7500</v>
      </c>
      <c r="AC649" s="230">
        <f t="shared" si="371"/>
        <v>6891165.9442187808</v>
      </c>
      <c r="AD649" s="230">
        <f>MAX(AD648*(1+'Model Inputs'!$B$13)+AC649,0)</f>
        <v>367451729.73577118</v>
      </c>
      <c r="AE649" s="230">
        <f>MAX(AE648*(1+'Model Inputs'!$B$13)+U649+AB649,0)</f>
        <v>2529861.958887069</v>
      </c>
      <c r="AF649" s="230">
        <f t="shared" si="372"/>
        <v>369981591.69465822</v>
      </c>
      <c r="AG649" s="226" t="str">
        <f t="shared" si="358"/>
        <v/>
      </c>
      <c r="AH649" s="226" t="str">
        <f t="shared" si="359"/>
        <v/>
      </c>
      <c r="AI649" s="226" t="str">
        <f t="shared" si="360"/>
        <v/>
      </c>
      <c r="AJ649" s="226" t="str">
        <f t="shared" si="361"/>
        <v/>
      </c>
    </row>
    <row r="650" spans="1:36" ht="18" customHeight="1" x14ac:dyDescent="0.2">
      <c r="A650" s="226" t="str">
        <f t="shared" ref="A650:A679" si="373">$A$42</f>
        <v>5Y -&gt; PM Y8 Starter</v>
      </c>
      <c r="B650" s="226">
        <f t="shared" ref="B650:B679" si="374">$B$42</f>
        <v>5</v>
      </c>
      <c r="C650" s="235">
        <f t="shared" ref="C650:C679" si="375">$C$42</f>
        <v>3</v>
      </c>
      <c r="D650" s="226">
        <f t="shared" ref="D650:D679" si="376">$D$42</f>
        <v>8</v>
      </c>
      <c r="E650" s="226" t="str">
        <f t="shared" ref="E650:E679" si="377">$E$42</f>
        <v>Starter</v>
      </c>
      <c r="F650" s="230">
        <f t="shared" ref="F650:F679" si="378">$F$42</f>
        <v>10000000</v>
      </c>
      <c r="G650" s="236">
        <f t="shared" ref="G650:G679" si="379">$G$42</f>
        <v>0.15</v>
      </c>
      <c r="H650" s="230">
        <f t="shared" ref="H650:H679" si="380">$H$42</f>
        <v>300000</v>
      </c>
      <c r="I650" s="236">
        <f t="shared" si="363"/>
        <v>0</v>
      </c>
      <c r="J650" s="234">
        <v>1</v>
      </c>
      <c r="K650" s="234">
        <f t="shared" si="364"/>
        <v>2026</v>
      </c>
      <c r="L650" s="230">
        <f>IF(J650=1,'Model Inputs'!$B$25*(13-'Model Inputs'!$B$23)/12,'Model Inputs'!$B$25)</f>
        <v>100000</v>
      </c>
      <c r="M650" s="230">
        <f>IF(J650=1,'Model Inputs'!$B$27*(13-'Model Inputs'!$B$23)/12,IF(J650=2,'Model Inputs'!$B$27,IF(J650&lt;=MAX(3,'Model Inputs'!$B$30+1),'Model Inputs'!$B$27*(1+'Model Inputs'!$B$28)^(J650-3),'Model Inputs'!$B$27*(1+'Model Inputs'!$B$28)^(MAX(3,'Model Inputs'!$B$30+1)-3)*(1+'Model Inputs'!$B$29)^(J650-MAX(3,'Model Inputs'!$B$30+1)))))</f>
        <v>150000</v>
      </c>
      <c r="N650" s="236">
        <f>IF(J650&lt;=2,0,'Model Inputs'!$B$32*SIN(2*PI()*(J650-3+'Model Inputs'!$B$34)/MAX(1,'Model Inputs'!$B$33)))</f>
        <v>0</v>
      </c>
      <c r="O650" s="230">
        <f t="shared" si="365"/>
        <v>150000</v>
      </c>
      <c r="P650" s="230">
        <f>0</f>
        <v>0</v>
      </c>
      <c r="Q650" s="230">
        <f>L650+P650+IF(J650=1,'Model Inputs'!$B$26,0)</f>
        <v>550000</v>
      </c>
      <c r="R650" s="230">
        <f t="shared" si="366"/>
        <v>550000</v>
      </c>
      <c r="S650" s="230">
        <f t="shared" si="367"/>
        <v>1800000</v>
      </c>
      <c r="T650" s="230">
        <f t="shared" si="368"/>
        <v>550000</v>
      </c>
      <c r="U650" s="230">
        <f>MIN(T650,'Tax Assumptions'!$B$19)</f>
        <v>24500</v>
      </c>
      <c r="V650" s="230">
        <f>MAX(T650-U650-'Tax Assumptions'!$B$8,0)</f>
        <v>509400</v>
      </c>
      <c r="W650" s="230">
        <f>MAX(T650-U650-'Tax Assumptions'!$B$9,0)</f>
        <v>517500</v>
      </c>
      <c r="X650" s="230">
        <f>IF(V650=0,0,LOOKUP(V650,'Tax Assumptions'!$F$9:$F$15,'Tax Assumptions'!$I$9:$I$15)+(V650-LOOKUP(V650,'Tax Assumptions'!$F$9:$F$15,'Tax Assumptions'!$F$9:$F$15))*LOOKUP(V650,'Tax Assumptions'!$F$9:$F$15,'Tax Assumptions'!$H$9:$H$15))+MIN(MAX(T650,0),'Tax Assumptions'!$B$11)*'Tax Assumptions'!$B$10+MAX(T650,0)*'Tax Assumptions'!$B$12+MAX(MAX(T650,0)-'Tax Assumptions'!$B$14,0)*'Tax Assumptions'!$B$13+MIN(T650*'Tax Assumptions'!$B$15,'Tax Assumptions'!$B$16)+MIN(T650*'Tax Assumptions'!$B$17,'Tax Assumptions'!$B$18)+IF(W650=0,0,LOOKUP(W650,'Tax Assumptions'!$K$9:$K$17,'Tax Assumptions'!$N$9:$N$17)+(W650-LOOKUP(W650,'Tax Assumptions'!$K$9:$K$17,'Tax Assumptions'!$K$9:$K$17))*LOOKUP(W650,'Tax Assumptions'!$K$9:$K$17,'Tax Assumptions'!$M$9:$M$17))+IF(W650=0,0,LOOKUP(W650,'Tax Assumptions'!$P$9:$P$12,'Tax Assumptions'!$S$9:$S$12)+(W650-LOOKUP(W650,'Tax Assumptions'!$P$9:$P$12,'Tax Assumptions'!$P$9:$P$12))*LOOKUP(W650,'Tax Assumptions'!$P$9:$P$12,'Tax Assumptions'!$R$9:$R$12))</f>
        <v>222834.53000000003</v>
      </c>
      <c r="Y650" s="230">
        <f t="shared" si="369"/>
        <v>302665.46999999997</v>
      </c>
      <c r="Z650" s="230">
        <f>IF(J650&lt;=10,INDEX('Savings Projection'!$BL$19:$BL$28,J650),LOOKUP(2,1/('Savings Projection'!$BL$19:$BL$28&lt;&gt;""),'Savings Projection'!$BL$19:$BL$28))*(1+'Model Inputs'!$B$35)^(J650-1)+IF(J650&lt;=10,INDEX('Savings Projection'!$BM$19:$BM$28,J650),LOOKUP(2,1/('Savings Projection'!$BM$19:$BM$28&lt;&gt;""),'Savings Projection'!$BM$19:$BM$28))*(1+'Model Inputs'!$B$36)^(J650-1)</f>
        <v>118000</v>
      </c>
      <c r="AA650" s="230">
        <f t="shared" si="370"/>
        <v>184665.46999999997</v>
      </c>
      <c r="AB650" s="230">
        <f>MIN(MAX(AA650,0),'Tax Assumptions'!$B$20)</f>
        <v>7500</v>
      </c>
      <c r="AC650" s="230">
        <f t="shared" si="371"/>
        <v>177165.46999999997</v>
      </c>
      <c r="AD650" s="230">
        <f>MAX('Model Inputs'!$B$7*(1+'Model Inputs'!$B$13)+AC650,0)</f>
        <v>336165.47</v>
      </c>
      <c r="AE650" s="230">
        <f>MAX(('Model Inputs'!$B$8+'Model Inputs'!$B$9+'Model Inputs'!$B$10)*(1+'Model Inputs'!$B$13)+U650+AB650,0)</f>
        <v>32000</v>
      </c>
      <c r="AF650" s="230">
        <f t="shared" si="372"/>
        <v>368165.47</v>
      </c>
      <c r="AG650" s="226" t="str">
        <f>IF(AND(AF650&gt;=$F$14,0&lt;$F$14),J650,"")</f>
        <v/>
      </c>
      <c r="AH650" s="226" t="str">
        <f>IF(AND(AF650&gt;=$F$15,0&lt;$F$15),J650,"")</f>
        <v/>
      </c>
      <c r="AI650" s="226" t="str">
        <f>IF(AND(AF650&gt;=$F$16,0&lt;$F$16),J650,"")</f>
        <v/>
      </c>
      <c r="AJ650" s="226" t="str">
        <f>IF(AND(AF650&gt;=$F$17,0&lt;$F$17),J650,"")</f>
        <v/>
      </c>
    </row>
    <row r="651" spans="1:36" ht="18" customHeight="1" x14ac:dyDescent="0.2">
      <c r="A651" s="226" t="str">
        <f t="shared" si="373"/>
        <v>5Y -&gt; PM Y8 Starter</v>
      </c>
      <c r="B651" s="226">
        <f t="shared" si="374"/>
        <v>5</v>
      </c>
      <c r="C651" s="235">
        <f t="shared" si="375"/>
        <v>3</v>
      </c>
      <c r="D651" s="226">
        <f t="shared" si="376"/>
        <v>8</v>
      </c>
      <c r="E651" s="226" t="str">
        <f t="shared" si="377"/>
        <v>Starter</v>
      </c>
      <c r="F651" s="230">
        <f t="shared" si="378"/>
        <v>10000000</v>
      </c>
      <c r="G651" s="236">
        <f t="shared" si="379"/>
        <v>0.15</v>
      </c>
      <c r="H651" s="230">
        <f t="shared" si="380"/>
        <v>300000</v>
      </c>
      <c r="I651" s="236">
        <f t="shared" si="363"/>
        <v>0</v>
      </c>
      <c r="J651" s="234">
        <v>2</v>
      </c>
      <c r="K651" s="234">
        <f t="shared" si="364"/>
        <v>2027</v>
      </c>
      <c r="L651" s="230">
        <f>IF(J651=1,'Model Inputs'!$B$25*(13-'Model Inputs'!$B$23)/12,'Model Inputs'!$B$25)</f>
        <v>300000</v>
      </c>
      <c r="M651" s="230">
        <f>IF(J651=1,'Model Inputs'!$B$27*(13-'Model Inputs'!$B$23)/12,IF(J651=2,'Model Inputs'!$B$27,IF(J651&lt;=MAX(3,'Model Inputs'!$B$30+1),'Model Inputs'!$B$27*(1+'Model Inputs'!$B$28)^(J651-3),'Model Inputs'!$B$27*(1+'Model Inputs'!$B$28)^(MAX(3,'Model Inputs'!$B$30+1)-3)*(1+'Model Inputs'!$B$29)^(J651-MAX(3,'Model Inputs'!$B$30+1)))))</f>
        <v>450000</v>
      </c>
      <c r="N651" s="236">
        <f>IF(J651&lt;=2,0,'Model Inputs'!$B$32*SIN(2*PI()*(J651-3+'Model Inputs'!$B$34)/MAX(1,'Model Inputs'!$B$33)))</f>
        <v>0</v>
      </c>
      <c r="O651" s="230">
        <f t="shared" si="365"/>
        <v>450000</v>
      </c>
      <c r="P651" s="230">
        <f>0.75*O650</f>
        <v>112500</v>
      </c>
      <c r="Q651" s="230">
        <f>L651+P651+IF(J651=1,'Model Inputs'!$B$26,0)</f>
        <v>412500</v>
      </c>
      <c r="R651" s="230">
        <f t="shared" si="366"/>
        <v>412500</v>
      </c>
      <c r="S651" s="230">
        <f t="shared" si="367"/>
        <v>1800000</v>
      </c>
      <c r="T651" s="230">
        <f t="shared" si="368"/>
        <v>412500</v>
      </c>
      <c r="U651" s="230">
        <f>MIN(T651,'Tax Assumptions'!$B$19)</f>
        <v>24500</v>
      </c>
      <c r="V651" s="230">
        <f>MAX(T651-U651-'Tax Assumptions'!$B$8,0)</f>
        <v>371900</v>
      </c>
      <c r="W651" s="230">
        <f>MAX(T651-U651-'Tax Assumptions'!$B$9,0)</f>
        <v>380000</v>
      </c>
      <c r="X651" s="230">
        <f>IF(V651=0,0,LOOKUP(V651,'Tax Assumptions'!$F$9:$F$15,'Tax Assumptions'!$I$9:$I$15)+(V651-LOOKUP(V651,'Tax Assumptions'!$F$9:$F$15,'Tax Assumptions'!$F$9:$F$15))*LOOKUP(V651,'Tax Assumptions'!$F$9:$F$15,'Tax Assumptions'!$H$9:$H$15))+MIN(MAX(T651,0),'Tax Assumptions'!$B$11)*'Tax Assumptions'!$B$10+MAX(T651,0)*'Tax Assumptions'!$B$12+MAX(MAX(T651,0)-'Tax Assumptions'!$B$14,0)*'Tax Assumptions'!$B$13+MIN(T651*'Tax Assumptions'!$B$15,'Tax Assumptions'!$B$16)+MIN(T651*'Tax Assumptions'!$B$17,'Tax Assumptions'!$B$18)+IF(W651=0,0,LOOKUP(W651,'Tax Assumptions'!$K$9:$K$17,'Tax Assumptions'!$N$9:$N$17)+(W651-LOOKUP(W651,'Tax Assumptions'!$K$9:$K$17,'Tax Assumptions'!$K$9:$K$17))*LOOKUP(W651,'Tax Assumptions'!$K$9:$K$17,'Tax Assumptions'!$M$9:$M$17))+IF(W651=0,0,LOOKUP(W651,'Tax Assumptions'!$P$9:$P$12,'Tax Assumptions'!$S$9:$S$12)+(W651-LOOKUP(W651,'Tax Assumptions'!$P$9:$P$12,'Tax Assumptions'!$P$9:$P$12))*LOOKUP(W651,'Tax Assumptions'!$P$9:$P$12,'Tax Assumptions'!$R$9:$R$12))</f>
        <v>156730.03</v>
      </c>
      <c r="Y651" s="230">
        <f t="shared" si="369"/>
        <v>231269.97</v>
      </c>
      <c r="Z651" s="230">
        <f>IF(J651&lt;=10,INDEX('Savings Projection'!$BL$19:$BL$28,J651),LOOKUP(2,1/('Savings Projection'!$BL$19:$BL$28&lt;&gt;""),'Savings Projection'!$BL$19:$BL$28))*(1+'Model Inputs'!$B$35)^(J651-1)+IF(J651&lt;=10,INDEX('Savings Projection'!$BM$19:$BM$28,J651),LOOKUP(2,1/('Savings Projection'!$BM$19:$BM$28&lt;&gt;""),'Savings Projection'!$BM$19:$BM$28))*(1+'Model Inputs'!$B$36)^(J651-1)</f>
        <v>121540</v>
      </c>
      <c r="AA651" s="230">
        <f t="shared" si="370"/>
        <v>109729.97</v>
      </c>
      <c r="AB651" s="230">
        <f>MIN(MAX(AA651,0),'Tax Assumptions'!$B$20)</f>
        <v>7500</v>
      </c>
      <c r="AC651" s="230">
        <f t="shared" si="371"/>
        <v>102229.97</v>
      </c>
      <c r="AD651" s="230">
        <f>MAX(AD650*(1+'Model Inputs'!$B$13)+AC651,0)</f>
        <v>458565.36820000003</v>
      </c>
      <c r="AE651" s="230">
        <f>MAX(AE650*(1+'Model Inputs'!$B$13)+U651+AB651,0)</f>
        <v>65920</v>
      </c>
      <c r="AF651" s="230">
        <f t="shared" si="372"/>
        <v>524485.36820000003</v>
      </c>
      <c r="AG651" s="226" t="str">
        <f t="shared" ref="AG651:AG679" si="381">IF(AND(AF651&gt;=$F$14,AF650&lt;$F$14),J651,"")</f>
        <v/>
      </c>
      <c r="AH651" s="226" t="str">
        <f t="shared" ref="AH651:AH679" si="382">IF(AND(AF651&gt;=$F$15,AF650&lt;$F$15),J651,"")</f>
        <v/>
      </c>
      <c r="AI651" s="226" t="str">
        <f t="shared" ref="AI651:AI679" si="383">IF(AND(AF651&gt;=$F$16,AF650&lt;$F$16),J651,"")</f>
        <v/>
      </c>
      <c r="AJ651" s="226" t="str">
        <f t="shared" ref="AJ651:AJ679" si="384">IF(AND(AF651&gt;=$F$17,AF650&lt;$F$17),J651,"")</f>
        <v/>
      </c>
    </row>
    <row r="652" spans="1:36" ht="18" customHeight="1" x14ac:dyDescent="0.2">
      <c r="A652" s="226" t="str">
        <f t="shared" si="373"/>
        <v>5Y -&gt; PM Y8 Starter</v>
      </c>
      <c r="B652" s="226">
        <f t="shared" si="374"/>
        <v>5</v>
      </c>
      <c r="C652" s="235">
        <f t="shared" si="375"/>
        <v>3</v>
      </c>
      <c r="D652" s="226">
        <f t="shared" si="376"/>
        <v>8</v>
      </c>
      <c r="E652" s="226" t="str">
        <f t="shared" si="377"/>
        <v>Starter</v>
      </c>
      <c r="F652" s="230">
        <f t="shared" si="378"/>
        <v>10000000</v>
      </c>
      <c r="G652" s="236">
        <f t="shared" si="379"/>
        <v>0.15</v>
      </c>
      <c r="H652" s="230">
        <f t="shared" si="380"/>
        <v>300000</v>
      </c>
      <c r="I652" s="236">
        <f t="shared" si="363"/>
        <v>0</v>
      </c>
      <c r="J652" s="234">
        <v>3</v>
      </c>
      <c r="K652" s="234">
        <f t="shared" si="364"/>
        <v>2028</v>
      </c>
      <c r="L652" s="230">
        <f>IF(J652=1,'Model Inputs'!$B$25*(13-'Model Inputs'!$B$23)/12,'Model Inputs'!$B$25)</f>
        <v>300000</v>
      </c>
      <c r="M652" s="230">
        <f>IF(J652=1,'Model Inputs'!$B$27*(13-'Model Inputs'!$B$23)/12,IF(J652=2,'Model Inputs'!$B$27,IF(J652&lt;=MAX(3,'Model Inputs'!$B$30+1),'Model Inputs'!$B$27*(1+'Model Inputs'!$B$28)^(J652-3),'Model Inputs'!$B$27*(1+'Model Inputs'!$B$28)^(MAX(3,'Model Inputs'!$B$30+1)-3)*(1+'Model Inputs'!$B$29)^(J652-MAX(3,'Model Inputs'!$B$30+1)))))</f>
        <v>450000</v>
      </c>
      <c r="N652" s="236">
        <f>IF(J652&lt;=2,0,'Model Inputs'!$B$32*SIN(2*PI()*(J652-3+'Model Inputs'!$B$34)/MAX(1,'Model Inputs'!$B$33)))</f>
        <v>0</v>
      </c>
      <c r="O652" s="230">
        <f t="shared" si="365"/>
        <v>450000</v>
      </c>
      <c r="P652" s="230">
        <f t="shared" ref="P652:P679" si="385">0.75*O651+0.25*O650</f>
        <v>375000</v>
      </c>
      <c r="Q652" s="230">
        <f>L652+P652+IF(J652=1,'Model Inputs'!$B$26,0)</f>
        <v>675000</v>
      </c>
      <c r="R652" s="230">
        <f t="shared" si="366"/>
        <v>675000</v>
      </c>
      <c r="S652" s="230">
        <f t="shared" si="367"/>
        <v>1800000</v>
      </c>
      <c r="T652" s="230">
        <f t="shared" si="368"/>
        <v>675000</v>
      </c>
      <c r="U652" s="230">
        <f>MIN(T652,'Tax Assumptions'!$B$19)</f>
        <v>24500</v>
      </c>
      <c r="V652" s="230">
        <f>MAX(T652-U652-'Tax Assumptions'!$B$8,0)</f>
        <v>634400</v>
      </c>
      <c r="W652" s="230">
        <f>MAX(T652-U652-'Tax Assumptions'!$B$9,0)</f>
        <v>642500</v>
      </c>
      <c r="X652" s="230">
        <f>IF(V652=0,0,LOOKUP(V652,'Tax Assumptions'!$F$9:$F$15,'Tax Assumptions'!$I$9:$I$15)+(V652-LOOKUP(V652,'Tax Assumptions'!$F$9:$F$15,'Tax Assumptions'!$F$9:$F$15))*LOOKUP(V652,'Tax Assumptions'!$F$9:$F$15,'Tax Assumptions'!$H$9:$H$15))+MIN(MAX(T652,0),'Tax Assumptions'!$B$11)*'Tax Assumptions'!$B$10+MAX(T652,0)*'Tax Assumptions'!$B$12+MAX(MAX(T652,0)-'Tax Assumptions'!$B$14,0)*'Tax Assumptions'!$B$13+MIN(T652*'Tax Assumptions'!$B$15,'Tax Assumptions'!$B$16)+MIN(T652*'Tax Assumptions'!$B$17,'Tax Assumptions'!$B$18)+IF(W652=0,0,LOOKUP(W652,'Tax Assumptions'!$K$9:$K$17,'Tax Assumptions'!$N$9:$N$17)+(W652-LOOKUP(W652,'Tax Assumptions'!$K$9:$K$17,'Tax Assumptions'!$K$9:$K$17))*LOOKUP(W652,'Tax Assumptions'!$K$9:$K$17,'Tax Assumptions'!$M$9:$M$17))+IF(W652=0,0,LOOKUP(W652,'Tax Assumptions'!$P$9:$P$12,'Tax Assumptions'!$S$9:$S$12)+(W652-LOOKUP(W652,'Tax Assumptions'!$P$9:$P$12,'Tax Assumptions'!$P$9:$P$12))*LOOKUP(W652,'Tax Assumptions'!$P$9:$P$12,'Tax Assumptions'!$R$9:$R$12))</f>
        <v>282929.53000000003</v>
      </c>
      <c r="Y652" s="230">
        <f t="shared" si="369"/>
        <v>367570.47</v>
      </c>
      <c r="Z652" s="230">
        <f>IF(J652&lt;=10,INDEX('Savings Projection'!$BL$19:$BL$28,J652),LOOKUP(2,1/('Savings Projection'!$BL$19:$BL$28&lt;&gt;""),'Savings Projection'!$BL$19:$BL$28))*(1+'Model Inputs'!$B$35)^(J652-1)+IF(J652&lt;=10,INDEX('Savings Projection'!$BM$19:$BM$28,J652),LOOKUP(2,1/('Savings Projection'!$BM$19:$BM$28&lt;&gt;""),'Savings Projection'!$BM$19:$BM$28))*(1+'Model Inputs'!$B$36)^(J652-1)</f>
        <v>135795.20000000001</v>
      </c>
      <c r="AA652" s="230">
        <f t="shared" si="370"/>
        <v>231775.26999999996</v>
      </c>
      <c r="AB652" s="230">
        <f>MIN(MAX(AA652,0),'Tax Assumptions'!$B$20)</f>
        <v>7500</v>
      </c>
      <c r="AC652" s="230">
        <f t="shared" si="371"/>
        <v>224275.26999999996</v>
      </c>
      <c r="AD652" s="230">
        <f>MAX(AD651*(1+'Model Inputs'!$B$13)+AC652,0)</f>
        <v>710354.56029199995</v>
      </c>
      <c r="AE652" s="230">
        <f>MAX(AE651*(1+'Model Inputs'!$B$13)+U652+AB652,0)</f>
        <v>101875.2</v>
      </c>
      <c r="AF652" s="230">
        <f t="shared" si="372"/>
        <v>812229.7602919999</v>
      </c>
      <c r="AG652" s="226" t="str">
        <f t="shared" si="381"/>
        <v/>
      </c>
      <c r="AH652" s="226" t="str">
        <f t="shared" si="382"/>
        <v/>
      </c>
      <c r="AI652" s="226" t="str">
        <f t="shared" si="383"/>
        <v/>
      </c>
      <c r="AJ652" s="226" t="str">
        <f t="shared" si="384"/>
        <v/>
      </c>
    </row>
    <row r="653" spans="1:36" ht="18" customHeight="1" x14ac:dyDescent="0.2">
      <c r="A653" s="226" t="str">
        <f t="shared" si="373"/>
        <v>5Y -&gt; PM Y8 Starter</v>
      </c>
      <c r="B653" s="226">
        <f t="shared" si="374"/>
        <v>5</v>
      </c>
      <c r="C653" s="235">
        <f t="shared" si="375"/>
        <v>3</v>
      </c>
      <c r="D653" s="226">
        <f t="shared" si="376"/>
        <v>8</v>
      </c>
      <c r="E653" s="226" t="str">
        <f t="shared" si="377"/>
        <v>Starter</v>
      </c>
      <c r="F653" s="230">
        <f t="shared" si="378"/>
        <v>10000000</v>
      </c>
      <c r="G653" s="236">
        <f t="shared" si="379"/>
        <v>0.15</v>
      </c>
      <c r="H653" s="230">
        <f t="shared" si="380"/>
        <v>300000</v>
      </c>
      <c r="I653" s="236">
        <f t="shared" si="363"/>
        <v>0</v>
      </c>
      <c r="J653" s="234">
        <v>4</v>
      </c>
      <c r="K653" s="234">
        <f t="shared" si="364"/>
        <v>2029</v>
      </c>
      <c r="L653" s="230">
        <f>IF(J653=1,'Model Inputs'!$B$25*(13-'Model Inputs'!$B$23)/12,'Model Inputs'!$B$25)</f>
        <v>300000</v>
      </c>
      <c r="M653" s="230">
        <f>IF(J653=1,'Model Inputs'!$B$27*(13-'Model Inputs'!$B$23)/12,IF(J653=2,'Model Inputs'!$B$27,IF(J653&lt;=MAX(3,'Model Inputs'!$B$30+1),'Model Inputs'!$B$27*(1+'Model Inputs'!$B$28)^(J653-3),'Model Inputs'!$B$27*(1+'Model Inputs'!$B$28)^(MAX(3,'Model Inputs'!$B$30+1)-3)*(1+'Model Inputs'!$B$29)^(J653-MAX(3,'Model Inputs'!$B$30+1)))))</f>
        <v>653834.84153110103</v>
      </c>
      <c r="N653" s="236">
        <f>IF(J653&lt;=2,0,'Model Inputs'!$B$32*SIN(2*PI()*(J653-3+'Model Inputs'!$B$34)/MAX(1,'Model Inputs'!$B$33)))</f>
        <v>0.10392304845413264</v>
      </c>
      <c r="O653" s="230">
        <f t="shared" si="365"/>
        <v>721783.35144853778</v>
      </c>
      <c r="P653" s="230">
        <f t="shared" si="385"/>
        <v>450000</v>
      </c>
      <c r="Q653" s="230">
        <f>L653+P653+IF(J653=1,'Model Inputs'!$B$26,0)</f>
        <v>750000</v>
      </c>
      <c r="R653" s="230">
        <f t="shared" si="366"/>
        <v>750000</v>
      </c>
      <c r="S653" s="230">
        <f t="shared" si="367"/>
        <v>1800000</v>
      </c>
      <c r="T653" s="230">
        <f t="shared" si="368"/>
        <v>750000</v>
      </c>
      <c r="U653" s="230">
        <f>MIN(T653,'Tax Assumptions'!$B$19)</f>
        <v>24500</v>
      </c>
      <c r="V653" s="230">
        <f>MAX(T653-U653-'Tax Assumptions'!$B$8,0)</f>
        <v>709400</v>
      </c>
      <c r="W653" s="230">
        <f>MAX(T653-U653-'Tax Assumptions'!$B$9,0)</f>
        <v>717500</v>
      </c>
      <c r="X653" s="230">
        <f>IF(V653=0,0,LOOKUP(V653,'Tax Assumptions'!$F$9:$F$15,'Tax Assumptions'!$I$9:$I$15)+(V653-LOOKUP(V653,'Tax Assumptions'!$F$9:$F$15,'Tax Assumptions'!$F$9:$F$15))*LOOKUP(V653,'Tax Assumptions'!$F$9:$F$15,'Tax Assumptions'!$H$9:$H$15))+MIN(MAX(T653,0),'Tax Assumptions'!$B$11)*'Tax Assumptions'!$B$10+MAX(T653,0)*'Tax Assumptions'!$B$12+MAX(MAX(T653,0)-'Tax Assumptions'!$B$14,0)*'Tax Assumptions'!$B$13+MIN(T653*'Tax Assumptions'!$B$15,'Tax Assumptions'!$B$16)+MIN(T653*'Tax Assumptions'!$B$17,'Tax Assumptions'!$B$18)+IF(W653=0,0,LOOKUP(W653,'Tax Assumptions'!$K$9:$K$17,'Tax Assumptions'!$N$9:$N$17)+(W653-LOOKUP(W653,'Tax Assumptions'!$K$9:$K$17,'Tax Assumptions'!$K$9:$K$17))*LOOKUP(W653,'Tax Assumptions'!$K$9:$K$17,'Tax Assumptions'!$M$9:$M$17))+IF(W653=0,0,LOOKUP(W653,'Tax Assumptions'!$P$9:$P$12,'Tax Assumptions'!$S$9:$S$12)+(W653-LOOKUP(W653,'Tax Assumptions'!$P$9:$P$12,'Tax Assumptions'!$P$9:$P$12))*LOOKUP(W653,'Tax Assumptions'!$P$9:$P$12,'Tax Assumptions'!$R$9:$R$12))</f>
        <v>320362.53000000003</v>
      </c>
      <c r="Y653" s="230">
        <f t="shared" si="369"/>
        <v>405137.47</v>
      </c>
      <c r="Z653" s="230">
        <f>IF(J653&lt;=10,INDEX('Savings Projection'!$BL$19:$BL$28,J653),LOOKUP(2,1/('Savings Projection'!$BL$19:$BL$28&lt;&gt;""),'Savings Projection'!$BL$19:$BL$28))*(1+'Model Inputs'!$B$35)^(J653-1)+IF(J653&lt;=10,INDEX('Savings Projection'!$BM$19:$BM$28,J653),LOOKUP(2,1/('Savings Projection'!$BM$19:$BM$28&lt;&gt;""),'Savings Projection'!$BM$19:$BM$28))*(1+'Model Inputs'!$B$36)^(J653-1)</f>
        <v>139869.05600000001</v>
      </c>
      <c r="AA653" s="230">
        <f t="shared" si="370"/>
        <v>265268.41399999999</v>
      </c>
      <c r="AB653" s="230">
        <f>MIN(MAX(AA653,0),'Tax Assumptions'!$B$20)</f>
        <v>7500</v>
      </c>
      <c r="AC653" s="230">
        <f t="shared" si="371"/>
        <v>257768.41399999999</v>
      </c>
      <c r="AD653" s="230">
        <f>MAX(AD652*(1+'Model Inputs'!$B$13)+AC653,0)</f>
        <v>1010744.2479095199</v>
      </c>
      <c r="AE653" s="230">
        <f>MAX(AE652*(1+'Model Inputs'!$B$13)+U653+AB653,0)</f>
        <v>139987.712</v>
      </c>
      <c r="AF653" s="230">
        <f t="shared" si="372"/>
        <v>1150731.9599095199</v>
      </c>
      <c r="AG653" s="226" t="str">
        <f t="shared" si="381"/>
        <v/>
      </c>
      <c r="AH653" s="226" t="str">
        <f t="shared" si="382"/>
        <v/>
      </c>
      <c r="AI653" s="226" t="str">
        <f t="shared" si="383"/>
        <v/>
      </c>
      <c r="AJ653" s="226" t="str">
        <f t="shared" si="384"/>
        <v/>
      </c>
    </row>
    <row r="654" spans="1:36" ht="18" customHeight="1" x14ac:dyDescent="0.2">
      <c r="A654" s="226" t="str">
        <f t="shared" si="373"/>
        <v>5Y -&gt; PM Y8 Starter</v>
      </c>
      <c r="B654" s="226">
        <f t="shared" si="374"/>
        <v>5</v>
      </c>
      <c r="C654" s="235">
        <f t="shared" si="375"/>
        <v>3</v>
      </c>
      <c r="D654" s="226">
        <f t="shared" si="376"/>
        <v>8</v>
      </c>
      <c r="E654" s="226" t="str">
        <f t="shared" si="377"/>
        <v>Starter</v>
      </c>
      <c r="F654" s="230">
        <f t="shared" si="378"/>
        <v>10000000</v>
      </c>
      <c r="G654" s="236">
        <f t="shared" si="379"/>
        <v>0.15</v>
      </c>
      <c r="H654" s="230">
        <f t="shared" si="380"/>
        <v>300000</v>
      </c>
      <c r="I654" s="236">
        <f t="shared" si="363"/>
        <v>0</v>
      </c>
      <c r="J654" s="234">
        <v>5</v>
      </c>
      <c r="K654" s="234">
        <f t="shared" si="364"/>
        <v>2030</v>
      </c>
      <c r="L654" s="230">
        <f>IF(J654=1,'Model Inputs'!$B$25*(13-'Model Inputs'!$B$23)/12,'Model Inputs'!$B$25)</f>
        <v>300000</v>
      </c>
      <c r="M654" s="230">
        <f>IF(J654=1,'Model Inputs'!$B$27*(13-'Model Inputs'!$B$23)/12,IF(J654=2,'Model Inputs'!$B$27,IF(J654&lt;=MAX(3,'Model Inputs'!$B$30+1),'Model Inputs'!$B$27*(1+'Model Inputs'!$B$28)^(J654-3),'Model Inputs'!$B$27*(1+'Model Inputs'!$B$28)^(MAX(3,'Model Inputs'!$B$30+1)-3)*(1+'Model Inputs'!$B$29)^(J654-MAX(3,'Model Inputs'!$B$30+1)))))</f>
        <v>950000</v>
      </c>
      <c r="N654" s="236">
        <f>IF(J654&lt;=2,0,'Model Inputs'!$B$32*SIN(2*PI()*(J654-3+'Model Inputs'!$B$34)/MAX(1,'Model Inputs'!$B$33)))</f>
        <v>-0.1039230484541326</v>
      </c>
      <c r="O654" s="230">
        <f t="shared" si="365"/>
        <v>851273.10396857408</v>
      </c>
      <c r="P654" s="230">
        <f t="shared" si="385"/>
        <v>653837.51358640334</v>
      </c>
      <c r="Q654" s="230">
        <f>L654+P654+IF(J654=1,'Model Inputs'!$B$26,0)</f>
        <v>953837.51358640334</v>
      </c>
      <c r="R654" s="230">
        <f t="shared" si="366"/>
        <v>953837.51358640334</v>
      </c>
      <c r="S654" s="230">
        <f t="shared" si="367"/>
        <v>1800000</v>
      </c>
      <c r="T654" s="230">
        <f t="shared" si="368"/>
        <v>953837.51358640334</v>
      </c>
      <c r="U654" s="230">
        <f>MIN(T654,'Tax Assumptions'!$B$19)</f>
        <v>24500</v>
      </c>
      <c r="V654" s="230">
        <f>MAX(T654-U654-'Tax Assumptions'!$B$8,0)</f>
        <v>913237.51358640334</v>
      </c>
      <c r="W654" s="230">
        <f>MAX(T654-U654-'Tax Assumptions'!$B$9,0)</f>
        <v>921337.51358640334</v>
      </c>
      <c r="X654" s="230">
        <f>IF(V654=0,0,LOOKUP(V654,'Tax Assumptions'!$F$9:$F$15,'Tax Assumptions'!$I$9:$I$15)+(V654-LOOKUP(V654,'Tax Assumptions'!$F$9:$F$15,'Tax Assumptions'!$F$9:$F$15))*LOOKUP(V654,'Tax Assumptions'!$F$9:$F$15,'Tax Assumptions'!$H$9:$H$15))+MIN(MAX(T654,0),'Tax Assumptions'!$B$11)*'Tax Assumptions'!$B$10+MAX(T654,0)*'Tax Assumptions'!$B$12+MAX(MAX(T654,0)-'Tax Assumptions'!$B$14,0)*'Tax Assumptions'!$B$13+MIN(T654*'Tax Assumptions'!$B$15,'Tax Assumptions'!$B$16)+MIN(T654*'Tax Assumptions'!$B$17,'Tax Assumptions'!$B$18)+IF(W654=0,0,LOOKUP(W654,'Tax Assumptions'!$K$9:$K$17,'Tax Assumptions'!$N$9:$N$17)+(W654-LOOKUP(W654,'Tax Assumptions'!$K$9:$K$17,'Tax Assumptions'!$K$9:$K$17))*LOOKUP(W654,'Tax Assumptions'!$K$9:$K$17,'Tax Assumptions'!$M$9:$M$17))+IF(W654=0,0,LOOKUP(W654,'Tax Assumptions'!$P$9:$P$12,'Tax Assumptions'!$S$9:$S$12)+(W654-LOOKUP(W654,'Tax Assumptions'!$P$9:$P$12,'Tax Assumptions'!$P$9:$P$12))*LOOKUP(W654,'Tax Assumptions'!$P$9:$P$12,'Tax Assumptions'!$R$9:$R$12))</f>
        <v>422436.20330352732</v>
      </c>
      <c r="Y654" s="230">
        <f t="shared" si="369"/>
        <v>506901.31028287602</v>
      </c>
      <c r="Z654" s="230">
        <f>IF(J654&lt;=10,INDEX('Savings Projection'!$BL$19:$BL$28,J654),LOOKUP(2,1/('Savings Projection'!$BL$19:$BL$28&lt;&gt;""),'Savings Projection'!$BL$19:$BL$28))*(1+'Model Inputs'!$B$35)^(J654-1)+IF(J654&lt;=10,INDEX('Savings Projection'!$BM$19:$BM$28,J654),LOOKUP(2,1/('Savings Projection'!$BM$19:$BM$28&lt;&gt;""),'Savings Projection'!$BM$19:$BM$28))*(1+'Model Inputs'!$B$36)^(J654-1)</f>
        <v>144065.12767999998</v>
      </c>
      <c r="AA654" s="230">
        <f t="shared" si="370"/>
        <v>362836.18260287604</v>
      </c>
      <c r="AB654" s="230">
        <f>MIN(MAX(AA654,0),'Tax Assumptions'!$B$20)</f>
        <v>7500</v>
      </c>
      <c r="AC654" s="230">
        <f t="shared" si="371"/>
        <v>355336.18260287604</v>
      </c>
      <c r="AD654" s="230">
        <f>MAX(AD653*(1+'Model Inputs'!$B$13)+AC654,0)</f>
        <v>1426725.0853869673</v>
      </c>
      <c r="AE654" s="230">
        <f>MAX(AE653*(1+'Model Inputs'!$B$13)+U654+AB654,0)</f>
        <v>180386.97472</v>
      </c>
      <c r="AF654" s="230">
        <f t="shared" si="372"/>
        <v>1607112.0601069673</v>
      </c>
      <c r="AG654" s="226" t="str">
        <f t="shared" si="381"/>
        <v/>
      </c>
      <c r="AH654" s="226" t="str">
        <f t="shared" si="382"/>
        <v/>
      </c>
      <c r="AI654" s="226" t="str">
        <f t="shared" si="383"/>
        <v/>
      </c>
      <c r="AJ654" s="226" t="str">
        <f t="shared" si="384"/>
        <v/>
      </c>
    </row>
    <row r="655" spans="1:36" ht="18" customHeight="1" x14ac:dyDescent="0.2">
      <c r="A655" s="226" t="str">
        <f t="shared" si="373"/>
        <v>5Y -&gt; PM Y8 Starter</v>
      </c>
      <c r="B655" s="226">
        <f t="shared" si="374"/>
        <v>5</v>
      </c>
      <c r="C655" s="235">
        <f t="shared" si="375"/>
        <v>3</v>
      </c>
      <c r="D655" s="226">
        <f t="shared" si="376"/>
        <v>8</v>
      </c>
      <c r="E655" s="226" t="str">
        <f t="shared" si="377"/>
        <v>Starter</v>
      </c>
      <c r="F655" s="230">
        <f t="shared" si="378"/>
        <v>10000000</v>
      </c>
      <c r="G655" s="236">
        <f t="shared" si="379"/>
        <v>0.15</v>
      </c>
      <c r="H655" s="230">
        <f t="shared" si="380"/>
        <v>300000</v>
      </c>
      <c r="I655" s="236">
        <f t="shared" si="363"/>
        <v>0</v>
      </c>
      <c r="J655" s="234">
        <v>6</v>
      </c>
      <c r="K655" s="234">
        <f t="shared" si="364"/>
        <v>2031</v>
      </c>
      <c r="L655" s="230">
        <f>IF(J655=1,'Model Inputs'!$B$25*(13-'Model Inputs'!$B$23)/12,'Model Inputs'!$B$25)</f>
        <v>300000</v>
      </c>
      <c r="M655" s="230">
        <f>IF(J655=1,'Model Inputs'!$B$27*(13-'Model Inputs'!$B$23)/12,IF(J655=2,'Model Inputs'!$B$27,IF(J655&lt;=MAX(3,'Model Inputs'!$B$30+1),'Model Inputs'!$B$27*(1+'Model Inputs'!$B$28)^(J655-3),'Model Inputs'!$B$27*(1+'Model Inputs'!$B$28)^(MAX(3,'Model Inputs'!$B$30+1)-3)*(1+'Model Inputs'!$B$29)^(J655-MAX(3,'Model Inputs'!$B$30+1)))))</f>
        <v>1207333.5632986501</v>
      </c>
      <c r="N655" s="236">
        <f>IF(J655&lt;=2,0,'Model Inputs'!$B$32*SIN(2*PI()*(J655-3+'Model Inputs'!$B$34)/MAX(1,'Model Inputs'!$B$33)))</f>
        <v>-2.9391523179536474E-17</v>
      </c>
      <c r="O655" s="230">
        <f t="shared" si="365"/>
        <v>1207333.5632986501</v>
      </c>
      <c r="P655" s="230">
        <f t="shared" si="385"/>
        <v>818900.66583856498</v>
      </c>
      <c r="Q655" s="230">
        <f>L655+P655+IF(J655=1,'Model Inputs'!$B$26,0)</f>
        <v>1118900.665838565</v>
      </c>
      <c r="R655" s="230">
        <f t="shared" si="366"/>
        <v>3356701.9975156952</v>
      </c>
      <c r="S655" s="230">
        <f t="shared" si="367"/>
        <v>1800000</v>
      </c>
      <c r="T655" s="230">
        <f t="shared" si="368"/>
        <v>3356701.9975156952</v>
      </c>
      <c r="U655" s="230">
        <f>MIN(T655,'Tax Assumptions'!$B$19)</f>
        <v>24500</v>
      </c>
      <c r="V655" s="230">
        <f>MAX(T655-U655-'Tax Assumptions'!$B$8,0)</f>
        <v>3316101.9975156952</v>
      </c>
      <c r="W655" s="230">
        <f>MAX(T655-U655-'Tax Assumptions'!$B$9,0)</f>
        <v>3324201.9975156952</v>
      </c>
      <c r="X655" s="230">
        <f>IF(V655=0,0,LOOKUP(V655,'Tax Assumptions'!$F$9:$F$15,'Tax Assumptions'!$I$9:$I$15)+(V655-LOOKUP(V655,'Tax Assumptions'!$F$9:$F$15,'Tax Assumptions'!$F$9:$F$15))*LOOKUP(V655,'Tax Assumptions'!$F$9:$F$15,'Tax Assumptions'!$H$9:$H$15))+MIN(MAX(T655,0),'Tax Assumptions'!$B$11)*'Tax Assumptions'!$B$10+MAX(T655,0)*'Tax Assumptions'!$B$12+MAX(MAX(T655,0)-'Tax Assumptions'!$B$14,0)*'Tax Assumptions'!$B$13+MIN(T655*'Tax Assumptions'!$B$15,'Tax Assumptions'!$B$16)+MIN(T655*'Tax Assumptions'!$B$17,'Tax Assumptions'!$B$18)+IF(W655=0,0,LOOKUP(W655,'Tax Assumptions'!$K$9:$K$17,'Tax Assumptions'!$N$9:$N$17)+(W655-LOOKUP(W655,'Tax Assumptions'!$K$9:$K$17,'Tax Assumptions'!$K$9:$K$17))*LOOKUP(W655,'Tax Assumptions'!$K$9:$K$17,'Tax Assumptions'!$M$9:$M$17))+IF(W655=0,0,LOOKUP(W655,'Tax Assumptions'!$P$9:$P$12,'Tax Assumptions'!$S$9:$S$12)+(W655-LOOKUP(W655,'Tax Assumptions'!$P$9:$P$12,'Tax Assumptions'!$P$9:$P$12))*LOOKUP(W655,'Tax Assumptions'!$P$9:$P$12,'Tax Assumptions'!$R$9:$R$12))</f>
        <v>1688600.3832063989</v>
      </c>
      <c r="Y655" s="230">
        <f t="shared" si="369"/>
        <v>1643601.6143092962</v>
      </c>
      <c r="Z655" s="230">
        <f>IF(J655&lt;=10,INDEX('Savings Projection'!$BL$19:$BL$28,J655),LOOKUP(2,1/('Savings Projection'!$BL$19:$BL$28&lt;&gt;""),'Savings Projection'!$BL$19:$BL$28))*(1+'Model Inputs'!$B$35)^(J655-1)+IF(J655&lt;=10,INDEX('Savings Projection'!$BM$19:$BM$28,J655),LOOKUP(2,1/('Savings Projection'!$BM$19:$BM$28&lt;&gt;""),'Savings Projection'!$BM$19:$BM$28))*(1+'Model Inputs'!$B$36)^(J655-1)</f>
        <v>150705.62965899997</v>
      </c>
      <c r="AA655" s="230">
        <f t="shared" si="370"/>
        <v>1492895.9846502962</v>
      </c>
      <c r="AB655" s="230">
        <f>MIN(MAX(AA655,0),'Tax Assumptions'!$B$20)</f>
        <v>7500</v>
      </c>
      <c r="AC655" s="230">
        <f t="shared" si="371"/>
        <v>1485395.9846502962</v>
      </c>
      <c r="AD655" s="230">
        <f>MAX(AD654*(1+'Model Inputs'!$B$13)+AC655,0)</f>
        <v>2997724.5751604815</v>
      </c>
      <c r="AE655" s="230">
        <f>MAX(AE654*(1+'Model Inputs'!$B$13)+U655+AB655,0)</f>
        <v>223210.1932032</v>
      </c>
      <c r="AF655" s="230">
        <f t="shared" si="372"/>
        <v>3220934.7683636816</v>
      </c>
      <c r="AG655" s="226" t="str">
        <f t="shared" si="381"/>
        <v/>
      </c>
      <c r="AH655" s="226" t="str">
        <f t="shared" si="382"/>
        <v/>
      </c>
      <c r="AI655" s="226" t="str">
        <f t="shared" si="383"/>
        <v/>
      </c>
      <c r="AJ655" s="226" t="str">
        <f t="shared" si="384"/>
        <v/>
      </c>
    </row>
    <row r="656" spans="1:36" ht="18" customHeight="1" x14ac:dyDescent="0.2">
      <c r="A656" s="226" t="str">
        <f t="shared" si="373"/>
        <v>5Y -&gt; PM Y8 Starter</v>
      </c>
      <c r="B656" s="226">
        <f t="shared" si="374"/>
        <v>5</v>
      </c>
      <c r="C656" s="235">
        <f t="shared" si="375"/>
        <v>3</v>
      </c>
      <c r="D656" s="226">
        <f t="shared" si="376"/>
        <v>8</v>
      </c>
      <c r="E656" s="226" t="str">
        <f t="shared" si="377"/>
        <v>Starter</v>
      </c>
      <c r="F656" s="230">
        <f t="shared" si="378"/>
        <v>10000000</v>
      </c>
      <c r="G656" s="236">
        <f t="shared" si="379"/>
        <v>0.15</v>
      </c>
      <c r="H656" s="230">
        <f t="shared" si="380"/>
        <v>300000</v>
      </c>
      <c r="I656" s="236">
        <f t="shared" si="363"/>
        <v>0</v>
      </c>
      <c r="J656" s="234">
        <v>7</v>
      </c>
      <c r="K656" s="234">
        <f t="shared" si="364"/>
        <v>2032</v>
      </c>
      <c r="L656" s="230">
        <f>IF(J656=1,'Model Inputs'!$B$25*(13-'Model Inputs'!$B$23)/12,'Model Inputs'!$B$25)</f>
        <v>300000</v>
      </c>
      <c r="M656" s="230">
        <f>IF(J656=1,'Model Inputs'!$B$27*(13-'Model Inputs'!$B$23)/12,IF(J656=2,'Model Inputs'!$B$27,IF(J656&lt;=MAX(3,'Model Inputs'!$B$30+1),'Model Inputs'!$B$27*(1+'Model Inputs'!$B$28)^(J656-3),'Model Inputs'!$B$27*(1+'Model Inputs'!$B$28)^(MAX(3,'Model Inputs'!$B$30+1)-3)*(1+'Model Inputs'!$B$29)^(J656-MAX(3,'Model Inputs'!$B$30+1)))))</f>
        <v>1534372.9821762268</v>
      </c>
      <c r="N656" s="236">
        <f>IF(J656&lt;=2,0,'Model Inputs'!$B$32*SIN(2*PI()*(J656-3+'Model Inputs'!$B$34)/MAX(1,'Model Inputs'!$B$33)))</f>
        <v>0.10392304845413269</v>
      </c>
      <c r="O656" s="230">
        <f t="shared" si="365"/>
        <v>1693829.6999496389</v>
      </c>
      <c r="P656" s="230">
        <f t="shared" si="385"/>
        <v>1118318.448466131</v>
      </c>
      <c r="Q656" s="230">
        <f>L656+P656+IF(J656=1,'Model Inputs'!$B$26,0)</f>
        <v>1418318.448466131</v>
      </c>
      <c r="R656" s="230">
        <f t="shared" si="366"/>
        <v>4254955.3453983925</v>
      </c>
      <c r="S656" s="230">
        <f t="shared" si="367"/>
        <v>1800000</v>
      </c>
      <c r="T656" s="230">
        <f t="shared" si="368"/>
        <v>4254955.3453983925</v>
      </c>
      <c r="U656" s="230">
        <f>MIN(T656,'Tax Assumptions'!$B$19)</f>
        <v>24500</v>
      </c>
      <c r="V656" s="230">
        <f>MAX(T656-U656-'Tax Assumptions'!$B$8,0)</f>
        <v>4214355.3453983925</v>
      </c>
      <c r="W656" s="230">
        <f>MAX(T656-U656-'Tax Assumptions'!$B$9,0)</f>
        <v>4222455.3453983925</v>
      </c>
      <c r="X656" s="230">
        <f>IF(V656=0,0,LOOKUP(V656,'Tax Assumptions'!$F$9:$F$15,'Tax Assumptions'!$I$9:$I$15)+(V656-LOOKUP(V656,'Tax Assumptions'!$F$9:$F$15,'Tax Assumptions'!$F$9:$F$15))*LOOKUP(V656,'Tax Assumptions'!$F$9:$F$15,'Tax Assumptions'!$H$9:$H$15))+MIN(MAX(T656,0),'Tax Assumptions'!$B$11)*'Tax Assumptions'!$B$10+MAX(T656,0)*'Tax Assumptions'!$B$12+MAX(MAX(T656,0)-'Tax Assumptions'!$B$14,0)*'Tax Assumptions'!$B$13+MIN(T656*'Tax Assumptions'!$B$15,'Tax Assumptions'!$B$16)+MIN(T656*'Tax Assumptions'!$B$17,'Tax Assumptions'!$B$18)+IF(W656=0,0,LOOKUP(W656,'Tax Assumptions'!$K$9:$K$17,'Tax Assumptions'!$N$9:$N$17)+(W656-LOOKUP(W656,'Tax Assumptions'!$K$9:$K$17,'Tax Assumptions'!$K$9:$K$17))*LOOKUP(W656,'Tax Assumptions'!$K$9:$K$17,'Tax Assumptions'!$M$9:$M$17))+IF(W656=0,0,LOOKUP(W656,'Tax Assumptions'!$P$9:$P$12,'Tax Assumptions'!$S$9:$S$12)+(W656-LOOKUP(W656,'Tax Assumptions'!$P$9:$P$12,'Tax Assumptions'!$P$9:$P$12))*LOOKUP(W656,'Tax Assumptions'!$P$9:$P$12,'Tax Assumptions'!$R$9:$R$12))</f>
        <v>2163560.8234328539</v>
      </c>
      <c r="Y656" s="230">
        <f t="shared" si="369"/>
        <v>2066894.5219655386</v>
      </c>
      <c r="Z656" s="230">
        <f>IF(J656&lt;=10,INDEX('Savings Projection'!$BL$19:$BL$28,J656),LOOKUP(2,1/('Savings Projection'!$BL$19:$BL$28&lt;&gt;""),'Savings Projection'!$BL$19:$BL$28))*(1+'Model Inputs'!$B$35)^(J656-1)+IF(J656&lt;=10,INDEX('Savings Projection'!$BM$19:$BM$28,J656),LOOKUP(2,1/('Savings Projection'!$BM$19:$BM$28&lt;&gt;""),'Savings Projection'!$BM$19:$BM$28))*(1+'Model Inputs'!$B$36)^(J656-1)</f>
        <v>155226.79854876999</v>
      </c>
      <c r="AA656" s="230">
        <f t="shared" si="370"/>
        <v>1911667.7234167687</v>
      </c>
      <c r="AB656" s="230">
        <f>MIN(MAX(AA656,0),'Tax Assumptions'!$B$20)</f>
        <v>7500</v>
      </c>
      <c r="AC656" s="230">
        <f t="shared" si="371"/>
        <v>1904167.7234167687</v>
      </c>
      <c r="AD656" s="230">
        <f>MAX(AD655*(1+'Model Inputs'!$B$13)+AC656,0)</f>
        <v>5081755.7730868794</v>
      </c>
      <c r="AE656" s="230">
        <f>MAX(AE655*(1+'Model Inputs'!$B$13)+U656+AB656,0)</f>
        <v>268602.80479539197</v>
      </c>
      <c r="AF656" s="230">
        <f t="shared" si="372"/>
        <v>5350358.5778822713</v>
      </c>
      <c r="AG656" s="226" t="str">
        <f t="shared" si="381"/>
        <v/>
      </c>
      <c r="AH656" s="226" t="str">
        <f t="shared" si="382"/>
        <v/>
      </c>
      <c r="AI656" s="226" t="str">
        <f t="shared" si="383"/>
        <v/>
      </c>
      <c r="AJ656" s="226" t="str">
        <f t="shared" si="384"/>
        <v/>
      </c>
    </row>
    <row r="657" spans="1:36" ht="18" customHeight="1" x14ac:dyDescent="0.2">
      <c r="A657" s="226" t="str">
        <f t="shared" si="373"/>
        <v>5Y -&gt; PM Y8 Starter</v>
      </c>
      <c r="B657" s="226">
        <f t="shared" si="374"/>
        <v>5</v>
      </c>
      <c r="C657" s="235">
        <f t="shared" si="375"/>
        <v>3</v>
      </c>
      <c r="D657" s="226">
        <f t="shared" si="376"/>
        <v>8</v>
      </c>
      <c r="E657" s="226" t="str">
        <f t="shared" si="377"/>
        <v>Starter</v>
      </c>
      <c r="F657" s="230">
        <f t="shared" si="378"/>
        <v>10000000</v>
      </c>
      <c r="G657" s="236">
        <f t="shared" si="379"/>
        <v>0.15</v>
      </c>
      <c r="H657" s="230">
        <f t="shared" si="380"/>
        <v>300000</v>
      </c>
      <c r="I657" s="236">
        <f t="shared" si="363"/>
        <v>0</v>
      </c>
      <c r="J657" s="234">
        <v>8</v>
      </c>
      <c r="K657" s="234">
        <f t="shared" si="364"/>
        <v>2033</v>
      </c>
      <c r="L657" s="230">
        <f>IF(J657=1,'Model Inputs'!$B$25*(13-'Model Inputs'!$B$23)/12,'Model Inputs'!$B$25)</f>
        <v>300000</v>
      </c>
      <c r="M657" s="230">
        <f>IF(J657=1,'Model Inputs'!$B$27*(13-'Model Inputs'!$B$23)/12,IF(J657=2,'Model Inputs'!$B$27,IF(J657&lt;=MAX(3,'Model Inputs'!$B$30+1),'Model Inputs'!$B$27*(1+'Model Inputs'!$B$28)^(J657-3),'Model Inputs'!$B$27*(1+'Model Inputs'!$B$28)^(MAX(3,'Model Inputs'!$B$30+1)-3)*(1+'Model Inputs'!$B$29)^(J657-MAX(3,'Model Inputs'!$B$30+1)))))</f>
        <v>1950000.0000000002</v>
      </c>
      <c r="N657" s="236">
        <f>IF(J657&lt;=2,0,'Model Inputs'!$B$32*SIN(2*PI()*(J657-3+'Model Inputs'!$B$34)/MAX(1,'Model Inputs'!$B$33)))</f>
        <v>-0.10392304845413264</v>
      </c>
      <c r="O657" s="230">
        <f t="shared" si="365"/>
        <v>1747350.0555144416</v>
      </c>
      <c r="P657" s="230">
        <f t="shared" si="385"/>
        <v>1572205.6657868917</v>
      </c>
      <c r="Q657" s="230">
        <f>L657+P657+IF(J657=1,'Model Inputs'!$B$26,0)</f>
        <v>1872205.6657868917</v>
      </c>
      <c r="R657" s="230">
        <f t="shared" si="366"/>
        <v>5616616.9973606747</v>
      </c>
      <c r="S657" s="230">
        <f t="shared" si="367"/>
        <v>1800000</v>
      </c>
      <c r="T657" s="230">
        <f t="shared" si="368"/>
        <v>1800000</v>
      </c>
      <c r="U657" s="230">
        <f>MIN(T657,'Tax Assumptions'!$B$19)</f>
        <v>24500</v>
      </c>
      <c r="V657" s="230">
        <f>MAX(T657-U657-'Tax Assumptions'!$B$8,0)</f>
        <v>1759400</v>
      </c>
      <c r="W657" s="230">
        <f>MAX(T657-U657-'Tax Assumptions'!$B$9,0)</f>
        <v>1767500</v>
      </c>
      <c r="X657" s="230">
        <f>IF(V657=0,0,LOOKUP(V657,'Tax Assumptions'!$F$9:$F$15,'Tax Assumptions'!$I$9:$I$15)+(V657-LOOKUP(V657,'Tax Assumptions'!$F$9:$F$15,'Tax Assumptions'!$F$9:$F$15))*LOOKUP(V657,'Tax Assumptions'!$F$9:$F$15,'Tax Assumptions'!$H$9:$H$15))+MIN(MAX(T657,0),'Tax Assumptions'!$B$11)*'Tax Assumptions'!$B$10+MAX(T657,0)*'Tax Assumptions'!$B$12+MAX(MAX(T657,0)-'Tax Assumptions'!$B$14,0)*'Tax Assumptions'!$B$13+MIN(T657*'Tax Assumptions'!$B$15,'Tax Assumptions'!$B$16)+MIN(T657*'Tax Assumptions'!$B$17,'Tax Assumptions'!$B$18)+IF(W657=0,0,LOOKUP(W657,'Tax Assumptions'!$K$9:$K$17,'Tax Assumptions'!$N$9:$N$17)+(W657-LOOKUP(W657,'Tax Assumptions'!$K$9:$K$17,'Tax Assumptions'!$K$9:$K$17))*LOOKUP(W657,'Tax Assumptions'!$K$9:$K$17,'Tax Assumptions'!$M$9:$M$17))+IF(W657=0,0,LOOKUP(W657,'Tax Assumptions'!$P$9:$P$12,'Tax Assumptions'!$S$9:$S$12)+(W657-LOOKUP(W657,'Tax Assumptions'!$P$9:$P$12,'Tax Assumptions'!$P$9:$P$12))*LOOKUP(W657,'Tax Assumptions'!$P$9:$P$12,'Tax Assumptions'!$R$9:$R$12))</f>
        <v>865478.63500000001</v>
      </c>
      <c r="Y657" s="230">
        <f t="shared" si="369"/>
        <v>910021.36499999999</v>
      </c>
      <c r="Z657" s="230">
        <f>IF(J657&lt;=10,INDEX('Savings Projection'!$BL$19:$BL$28,J657),LOOKUP(2,1/('Savings Projection'!$BL$19:$BL$28&lt;&gt;""),'Savings Projection'!$BL$19:$BL$28))*(1+'Model Inputs'!$B$35)^(J657-1)+IF(J657&lt;=10,INDEX('Savings Projection'!$BM$19:$BM$28,J657),LOOKUP(2,1/('Savings Projection'!$BM$19:$BM$28&lt;&gt;""),'Savings Projection'!$BM$19:$BM$28))*(1+'Model Inputs'!$B$36)^(J657-1)</f>
        <v>159883.60250523311</v>
      </c>
      <c r="AA657" s="230">
        <f t="shared" si="370"/>
        <v>750137.76249476685</v>
      </c>
      <c r="AB657" s="230">
        <f>MIN(MAX(AA657,0),'Tax Assumptions'!$B$20)</f>
        <v>7500</v>
      </c>
      <c r="AC657" s="230">
        <f t="shared" si="371"/>
        <v>742637.76249476685</v>
      </c>
      <c r="AD657" s="230">
        <f>MAX(AD656*(1+'Model Inputs'!$B$13)+AC657,0)</f>
        <v>6129298.8819668591</v>
      </c>
      <c r="AE657" s="230">
        <f>MAX(AE656*(1+'Model Inputs'!$B$13)+U657+AB657,0)</f>
        <v>316718.97308311553</v>
      </c>
      <c r="AF657" s="230">
        <f t="shared" si="372"/>
        <v>6446017.8550499743</v>
      </c>
      <c r="AG657" s="226" t="str">
        <f t="shared" si="381"/>
        <v/>
      </c>
      <c r="AH657" s="226" t="str">
        <f t="shared" si="382"/>
        <v/>
      </c>
      <c r="AI657" s="226" t="str">
        <f t="shared" si="383"/>
        <v/>
      </c>
      <c r="AJ657" s="226" t="str">
        <f t="shared" si="384"/>
        <v/>
      </c>
    </row>
    <row r="658" spans="1:36" ht="18" customHeight="1" x14ac:dyDescent="0.2">
      <c r="A658" s="226" t="str">
        <f t="shared" si="373"/>
        <v>5Y -&gt; PM Y8 Starter</v>
      </c>
      <c r="B658" s="226">
        <f t="shared" si="374"/>
        <v>5</v>
      </c>
      <c r="C658" s="235">
        <f t="shared" si="375"/>
        <v>3</v>
      </c>
      <c r="D658" s="226">
        <f t="shared" si="376"/>
        <v>8</v>
      </c>
      <c r="E658" s="226" t="str">
        <f t="shared" si="377"/>
        <v>Starter</v>
      </c>
      <c r="F658" s="230">
        <f t="shared" si="378"/>
        <v>10000000</v>
      </c>
      <c r="G658" s="236">
        <f t="shared" si="379"/>
        <v>0.15</v>
      </c>
      <c r="H658" s="230">
        <f t="shared" si="380"/>
        <v>300000</v>
      </c>
      <c r="I658" s="236">
        <f t="shared" si="363"/>
        <v>0</v>
      </c>
      <c r="J658" s="234">
        <v>9</v>
      </c>
      <c r="K658" s="234">
        <f t="shared" si="364"/>
        <v>2034</v>
      </c>
      <c r="L658" s="230">
        <f>IF(J658=1,'Model Inputs'!$B$25*(13-'Model Inputs'!$B$23)/12,'Model Inputs'!$B$25)</f>
        <v>300000</v>
      </c>
      <c r="M658" s="230">
        <f>IF(J658=1,'Model Inputs'!$B$27*(13-'Model Inputs'!$B$23)/12,IF(J658=2,'Model Inputs'!$B$27,IF(J658&lt;=MAX(3,'Model Inputs'!$B$30+1),'Model Inputs'!$B$27*(1+'Model Inputs'!$B$28)^(J658-3),'Model Inputs'!$B$27*(1+'Model Inputs'!$B$28)^(MAX(3,'Model Inputs'!$B$30+1)-3)*(1+'Model Inputs'!$B$29)^(J658-MAX(3,'Model Inputs'!$B$30+1)))))</f>
        <v>2478210.9983498608</v>
      </c>
      <c r="N658" s="236">
        <f>IF(J658&lt;=2,0,'Model Inputs'!$B$32*SIN(2*PI()*(J658-3+'Model Inputs'!$B$34)/MAX(1,'Model Inputs'!$B$33)))</f>
        <v>-5.8783046359072947E-17</v>
      </c>
      <c r="O658" s="230">
        <f t="shared" si="365"/>
        <v>2478210.9983498603</v>
      </c>
      <c r="P658" s="230">
        <f t="shared" si="385"/>
        <v>1733969.9666232408</v>
      </c>
      <c r="Q658" s="230">
        <f>L658+P658+IF(J658=1,'Model Inputs'!$B$26,0)</f>
        <v>2033969.9666232408</v>
      </c>
      <c r="R658" s="230">
        <f t="shared" si="366"/>
        <v>6101909.8998697223</v>
      </c>
      <c r="S658" s="230">
        <f t="shared" si="367"/>
        <v>1800000</v>
      </c>
      <c r="T658" s="230">
        <f t="shared" si="368"/>
        <v>1800000</v>
      </c>
      <c r="U658" s="230">
        <f>MIN(T658,'Tax Assumptions'!$B$19)</f>
        <v>24500</v>
      </c>
      <c r="V658" s="230">
        <f>MAX(T658-U658-'Tax Assumptions'!$B$8,0)</f>
        <v>1759400</v>
      </c>
      <c r="W658" s="230">
        <f>MAX(T658-U658-'Tax Assumptions'!$B$9,0)</f>
        <v>1767500</v>
      </c>
      <c r="X658" s="230">
        <f>IF(V658=0,0,LOOKUP(V658,'Tax Assumptions'!$F$9:$F$15,'Tax Assumptions'!$I$9:$I$15)+(V658-LOOKUP(V658,'Tax Assumptions'!$F$9:$F$15,'Tax Assumptions'!$F$9:$F$15))*LOOKUP(V658,'Tax Assumptions'!$F$9:$F$15,'Tax Assumptions'!$H$9:$H$15))+MIN(MAX(T658,0),'Tax Assumptions'!$B$11)*'Tax Assumptions'!$B$10+MAX(T658,0)*'Tax Assumptions'!$B$12+MAX(MAX(T658,0)-'Tax Assumptions'!$B$14,0)*'Tax Assumptions'!$B$13+MIN(T658*'Tax Assumptions'!$B$15,'Tax Assumptions'!$B$16)+MIN(T658*'Tax Assumptions'!$B$17,'Tax Assumptions'!$B$18)+IF(W658=0,0,LOOKUP(W658,'Tax Assumptions'!$K$9:$K$17,'Tax Assumptions'!$N$9:$N$17)+(W658-LOOKUP(W658,'Tax Assumptions'!$K$9:$K$17,'Tax Assumptions'!$K$9:$K$17))*LOOKUP(W658,'Tax Assumptions'!$K$9:$K$17,'Tax Assumptions'!$M$9:$M$17))+IF(W658=0,0,LOOKUP(W658,'Tax Assumptions'!$P$9:$P$12,'Tax Assumptions'!$S$9:$S$12)+(W658-LOOKUP(W658,'Tax Assumptions'!$P$9:$P$12,'Tax Assumptions'!$P$9:$P$12))*LOOKUP(W658,'Tax Assumptions'!$P$9:$P$12,'Tax Assumptions'!$R$9:$R$12))</f>
        <v>865478.63500000001</v>
      </c>
      <c r="Y658" s="230">
        <f t="shared" si="369"/>
        <v>910021.36499999999</v>
      </c>
      <c r="Z658" s="230">
        <f>IF(J658&lt;=10,INDEX('Savings Projection'!$BL$19:$BL$28,J658),LOOKUP(2,1/('Savings Projection'!$BL$19:$BL$28&lt;&gt;""),'Savings Projection'!$BL$19:$BL$28))*(1+'Model Inputs'!$B$35)^(J658-1)+IF(J658&lt;=10,INDEX('Savings Projection'!$BM$19:$BM$28,J658),LOOKUP(2,1/('Savings Projection'!$BM$19:$BM$28&lt;&gt;""),'Savings Projection'!$BM$19:$BM$28))*(1+'Model Inputs'!$B$36)^(J658-1)</f>
        <v>164680.11058039009</v>
      </c>
      <c r="AA658" s="230">
        <f t="shared" si="370"/>
        <v>745341.2544196099</v>
      </c>
      <c r="AB658" s="230">
        <f>MIN(MAX(AA658,0),'Tax Assumptions'!$B$20)</f>
        <v>7500</v>
      </c>
      <c r="AC658" s="230">
        <f t="shared" si="371"/>
        <v>737841.2544196099</v>
      </c>
      <c r="AD658" s="230">
        <f>MAX(AD657*(1+'Model Inputs'!$B$13)+AC658,0)</f>
        <v>7234898.0693044811</v>
      </c>
      <c r="AE658" s="230">
        <f>MAX(AE657*(1+'Model Inputs'!$B$13)+U658+AB658,0)</f>
        <v>367722.11146810249</v>
      </c>
      <c r="AF658" s="230">
        <f t="shared" si="372"/>
        <v>7602620.1807725839</v>
      </c>
      <c r="AG658" s="226" t="str">
        <f t="shared" si="381"/>
        <v/>
      </c>
      <c r="AH658" s="226" t="str">
        <f t="shared" si="382"/>
        <v/>
      </c>
      <c r="AI658" s="226" t="str">
        <f t="shared" si="383"/>
        <v/>
      </c>
      <c r="AJ658" s="226" t="str">
        <f t="shared" si="384"/>
        <v/>
      </c>
    </row>
    <row r="659" spans="1:36" ht="18" customHeight="1" x14ac:dyDescent="0.2">
      <c r="A659" s="226" t="str">
        <f t="shared" si="373"/>
        <v>5Y -&gt; PM Y8 Starter</v>
      </c>
      <c r="B659" s="226">
        <f t="shared" si="374"/>
        <v>5</v>
      </c>
      <c r="C659" s="235">
        <f t="shared" si="375"/>
        <v>3</v>
      </c>
      <c r="D659" s="226">
        <f t="shared" si="376"/>
        <v>8</v>
      </c>
      <c r="E659" s="226" t="str">
        <f t="shared" si="377"/>
        <v>Starter</v>
      </c>
      <c r="F659" s="230">
        <f t="shared" si="378"/>
        <v>10000000</v>
      </c>
      <c r="G659" s="236">
        <f t="shared" si="379"/>
        <v>0.15</v>
      </c>
      <c r="H659" s="230">
        <f t="shared" si="380"/>
        <v>300000</v>
      </c>
      <c r="I659" s="236">
        <f t="shared" si="363"/>
        <v>0</v>
      </c>
      <c r="J659" s="234">
        <v>10</v>
      </c>
      <c r="K659" s="234">
        <f t="shared" si="364"/>
        <v>2035</v>
      </c>
      <c r="L659" s="230">
        <f>IF(J659=1,'Model Inputs'!$B$25*(13-'Model Inputs'!$B$23)/12,'Model Inputs'!$B$25)</f>
        <v>300000</v>
      </c>
      <c r="M659" s="230">
        <f>IF(J659=1,'Model Inputs'!$B$27*(13-'Model Inputs'!$B$23)/12,IF(J659=2,'Model Inputs'!$B$27,IF(J659&lt;=MAX(3,'Model Inputs'!$B$30+1),'Model Inputs'!$B$27*(1+'Model Inputs'!$B$28)^(J659-3),'Model Inputs'!$B$27*(1+'Model Inputs'!$B$28)^(MAX(3,'Model Inputs'!$B$30+1)-3)*(1+'Model Inputs'!$B$29)^(J659-MAX(3,'Model Inputs'!$B$30+1)))))</f>
        <v>3149502.4370985711</v>
      </c>
      <c r="N659" s="236">
        <f>IF(J659&lt;=2,0,'Model Inputs'!$B$32*SIN(2*PI()*(J659-3+'Model Inputs'!$B$34)/MAX(1,'Model Inputs'!$B$33)))</f>
        <v>0.10392304845413271</v>
      </c>
      <c r="O659" s="230">
        <f t="shared" si="365"/>
        <v>3476808.331475575</v>
      </c>
      <c r="P659" s="230">
        <f t="shared" si="385"/>
        <v>2295495.7626410057</v>
      </c>
      <c r="Q659" s="230">
        <f>L659+P659+IF(J659=1,'Model Inputs'!$B$26,0)</f>
        <v>2595495.7626410057</v>
      </c>
      <c r="R659" s="230">
        <f t="shared" si="366"/>
        <v>7786487.2879230175</v>
      </c>
      <c r="S659" s="230">
        <f t="shared" si="367"/>
        <v>1800000</v>
      </c>
      <c r="T659" s="230">
        <f t="shared" si="368"/>
        <v>1800000</v>
      </c>
      <c r="U659" s="230">
        <f>MIN(T659,'Tax Assumptions'!$B$19)</f>
        <v>24500</v>
      </c>
      <c r="V659" s="230">
        <f>MAX(T659-U659-'Tax Assumptions'!$B$8,0)</f>
        <v>1759400</v>
      </c>
      <c r="W659" s="230">
        <f>MAX(T659-U659-'Tax Assumptions'!$B$9,0)</f>
        <v>1767500</v>
      </c>
      <c r="X659" s="230">
        <f>IF(V659=0,0,LOOKUP(V659,'Tax Assumptions'!$F$9:$F$15,'Tax Assumptions'!$I$9:$I$15)+(V659-LOOKUP(V659,'Tax Assumptions'!$F$9:$F$15,'Tax Assumptions'!$F$9:$F$15))*LOOKUP(V659,'Tax Assumptions'!$F$9:$F$15,'Tax Assumptions'!$H$9:$H$15))+MIN(MAX(T659,0),'Tax Assumptions'!$B$11)*'Tax Assumptions'!$B$10+MAX(T659,0)*'Tax Assumptions'!$B$12+MAX(MAX(T659,0)-'Tax Assumptions'!$B$14,0)*'Tax Assumptions'!$B$13+MIN(T659*'Tax Assumptions'!$B$15,'Tax Assumptions'!$B$16)+MIN(T659*'Tax Assumptions'!$B$17,'Tax Assumptions'!$B$18)+IF(W659=0,0,LOOKUP(W659,'Tax Assumptions'!$K$9:$K$17,'Tax Assumptions'!$N$9:$N$17)+(W659-LOOKUP(W659,'Tax Assumptions'!$K$9:$K$17,'Tax Assumptions'!$K$9:$K$17))*LOOKUP(W659,'Tax Assumptions'!$K$9:$K$17,'Tax Assumptions'!$M$9:$M$17))+IF(W659=0,0,LOOKUP(W659,'Tax Assumptions'!$P$9:$P$12,'Tax Assumptions'!$S$9:$S$12)+(W659-LOOKUP(W659,'Tax Assumptions'!$P$9:$P$12,'Tax Assumptions'!$P$9:$P$12))*LOOKUP(W659,'Tax Assumptions'!$P$9:$P$12,'Tax Assumptions'!$R$9:$R$12))</f>
        <v>865478.63500000001</v>
      </c>
      <c r="Y659" s="230">
        <f t="shared" si="369"/>
        <v>910021.36499999999</v>
      </c>
      <c r="Z659" s="230">
        <f>IF(J659&lt;=10,INDEX('Savings Projection'!$BL$19:$BL$28,J659),LOOKUP(2,1/('Savings Projection'!$BL$19:$BL$28&lt;&gt;""),'Savings Projection'!$BL$19:$BL$28))*(1+'Model Inputs'!$B$35)^(J659-1)+IF(J659&lt;=10,INDEX('Savings Projection'!$BM$19:$BM$28,J659),LOOKUP(2,1/('Savings Projection'!$BM$19:$BM$28&lt;&gt;""),'Savings Projection'!$BM$19:$BM$28))*(1+'Model Inputs'!$B$36)^(J659-1)</f>
        <v>169620.51389780178</v>
      </c>
      <c r="AA659" s="230">
        <f t="shared" si="370"/>
        <v>740400.85110219824</v>
      </c>
      <c r="AB659" s="230">
        <f>MIN(MAX(AA659,0),'Tax Assumptions'!$B$20)</f>
        <v>7500</v>
      </c>
      <c r="AC659" s="230">
        <f t="shared" si="371"/>
        <v>732900.85110219824</v>
      </c>
      <c r="AD659" s="230">
        <f>MAX(AD658*(1+'Model Inputs'!$B$13)+AC659,0)</f>
        <v>8401892.8045649491</v>
      </c>
      <c r="AE659" s="230">
        <f>MAX(AE658*(1+'Model Inputs'!$B$13)+U659+AB659,0)</f>
        <v>421785.43815618864</v>
      </c>
      <c r="AF659" s="230">
        <f t="shared" si="372"/>
        <v>8823678.2427211385</v>
      </c>
      <c r="AG659" s="226" t="str">
        <f t="shared" si="381"/>
        <v/>
      </c>
      <c r="AH659" s="226" t="str">
        <f t="shared" si="382"/>
        <v/>
      </c>
      <c r="AI659" s="226" t="str">
        <f t="shared" si="383"/>
        <v/>
      </c>
      <c r="AJ659" s="226" t="str">
        <f t="shared" si="384"/>
        <v/>
      </c>
    </row>
    <row r="660" spans="1:36" ht="18" customHeight="1" x14ac:dyDescent="0.2">
      <c r="A660" s="226" t="str">
        <f t="shared" si="373"/>
        <v>5Y -&gt; PM Y8 Starter</v>
      </c>
      <c r="B660" s="226">
        <f t="shared" si="374"/>
        <v>5</v>
      </c>
      <c r="C660" s="235">
        <f t="shared" si="375"/>
        <v>3</v>
      </c>
      <c r="D660" s="226">
        <f t="shared" si="376"/>
        <v>8</v>
      </c>
      <c r="E660" s="226" t="str">
        <f t="shared" si="377"/>
        <v>Starter</v>
      </c>
      <c r="F660" s="230">
        <f t="shared" si="378"/>
        <v>10000000</v>
      </c>
      <c r="G660" s="236">
        <f t="shared" si="379"/>
        <v>0.15</v>
      </c>
      <c r="H660" s="230">
        <f t="shared" si="380"/>
        <v>300000</v>
      </c>
      <c r="I660" s="236">
        <f t="shared" si="363"/>
        <v>0</v>
      </c>
      <c r="J660" s="234">
        <v>11</v>
      </c>
      <c r="K660" s="234">
        <f t="shared" si="364"/>
        <v>2036</v>
      </c>
      <c r="L660" s="230">
        <f>IF(J660=1,'Model Inputs'!$B$25*(13-'Model Inputs'!$B$23)/12,'Model Inputs'!$B$25)</f>
        <v>300000</v>
      </c>
      <c r="M660" s="230">
        <f>IF(J660=1,'Model Inputs'!$B$27*(13-'Model Inputs'!$B$23)/12,IF(J660=2,'Model Inputs'!$B$27,IF(J660&lt;=MAX(3,'Model Inputs'!$B$30+1),'Model Inputs'!$B$27*(1+'Model Inputs'!$B$28)^(J660-3),'Model Inputs'!$B$27*(1+'Model Inputs'!$B$28)^(MAX(3,'Model Inputs'!$B$30+1)-3)*(1+'Model Inputs'!$B$29)^(J660-MAX(3,'Model Inputs'!$B$30+1)))))</f>
        <v>4002631.578947369</v>
      </c>
      <c r="N660" s="236">
        <f>IF(J660&lt;=2,0,'Model Inputs'!$B$32*SIN(2*PI()*(J660-3+'Model Inputs'!$B$34)/MAX(1,'Model Inputs'!$B$33)))</f>
        <v>-0.10392304845413253</v>
      </c>
      <c r="O660" s="230">
        <f t="shared" si="365"/>
        <v>3586665.9034243808</v>
      </c>
      <c r="P660" s="230">
        <f t="shared" si="385"/>
        <v>3227158.9981941464</v>
      </c>
      <c r="Q660" s="230">
        <f>L660+P660+IF(J660=1,'Model Inputs'!$B$26,0)</f>
        <v>3527158.9981941464</v>
      </c>
      <c r="R660" s="230">
        <f t="shared" si="366"/>
        <v>10581476.994582439</v>
      </c>
      <c r="S660" s="230">
        <f t="shared" si="367"/>
        <v>1800000</v>
      </c>
      <c r="T660" s="230">
        <f t="shared" si="368"/>
        <v>1800000</v>
      </c>
      <c r="U660" s="230">
        <f>MIN(T660,'Tax Assumptions'!$B$19)</f>
        <v>24500</v>
      </c>
      <c r="V660" s="230">
        <f>MAX(T660-U660-'Tax Assumptions'!$B$8,0)</f>
        <v>1759400</v>
      </c>
      <c r="W660" s="230">
        <f>MAX(T660-U660-'Tax Assumptions'!$B$9,0)</f>
        <v>1767500</v>
      </c>
      <c r="X660" s="230">
        <f>IF(V660=0,0,LOOKUP(V660,'Tax Assumptions'!$F$9:$F$15,'Tax Assumptions'!$I$9:$I$15)+(V660-LOOKUP(V660,'Tax Assumptions'!$F$9:$F$15,'Tax Assumptions'!$F$9:$F$15))*LOOKUP(V660,'Tax Assumptions'!$F$9:$F$15,'Tax Assumptions'!$H$9:$H$15))+MIN(MAX(T660,0),'Tax Assumptions'!$B$11)*'Tax Assumptions'!$B$10+MAX(T660,0)*'Tax Assumptions'!$B$12+MAX(MAX(T660,0)-'Tax Assumptions'!$B$14,0)*'Tax Assumptions'!$B$13+MIN(T660*'Tax Assumptions'!$B$15,'Tax Assumptions'!$B$16)+MIN(T660*'Tax Assumptions'!$B$17,'Tax Assumptions'!$B$18)+IF(W660=0,0,LOOKUP(W660,'Tax Assumptions'!$K$9:$K$17,'Tax Assumptions'!$N$9:$N$17)+(W660-LOOKUP(W660,'Tax Assumptions'!$K$9:$K$17,'Tax Assumptions'!$K$9:$K$17))*LOOKUP(W660,'Tax Assumptions'!$K$9:$K$17,'Tax Assumptions'!$M$9:$M$17))+IF(W660=0,0,LOOKUP(W660,'Tax Assumptions'!$P$9:$P$12,'Tax Assumptions'!$S$9:$S$12)+(W660-LOOKUP(W660,'Tax Assumptions'!$P$9:$P$12,'Tax Assumptions'!$P$9:$P$12))*LOOKUP(W660,'Tax Assumptions'!$P$9:$P$12,'Tax Assumptions'!$R$9:$R$12))</f>
        <v>865478.63500000001</v>
      </c>
      <c r="Y660" s="230">
        <f t="shared" si="369"/>
        <v>910021.36499999999</v>
      </c>
      <c r="Z660" s="230">
        <f>IF(J660&lt;=10,INDEX('Savings Projection'!$BL$19:$BL$28,J660),LOOKUP(2,1/('Savings Projection'!$BL$19:$BL$28&lt;&gt;""),'Savings Projection'!$BL$19:$BL$28))*(1+'Model Inputs'!$B$35)^(J660-1)+IF(J660&lt;=10,INDEX('Savings Projection'!$BM$19:$BM$28,J660),LOOKUP(2,1/('Savings Projection'!$BM$19:$BM$28&lt;&gt;""),'Savings Projection'!$BM$19:$BM$28))*(1+'Model Inputs'!$B$36)^(J660-1)</f>
        <v>174709.12931473582</v>
      </c>
      <c r="AA660" s="230">
        <f t="shared" si="370"/>
        <v>735312.23568526423</v>
      </c>
      <c r="AB660" s="230">
        <f>MIN(MAX(AA660,0),'Tax Assumptions'!$B$20)</f>
        <v>7500</v>
      </c>
      <c r="AC660" s="230">
        <f t="shared" si="371"/>
        <v>727812.23568526423</v>
      </c>
      <c r="AD660" s="230">
        <f>MAX(AD659*(1+'Model Inputs'!$B$13)+AC660,0)</f>
        <v>9633818.608524112</v>
      </c>
      <c r="AE660" s="230">
        <f>MAX(AE659*(1+'Model Inputs'!$B$13)+U660+AB660,0)</f>
        <v>479092.56444555998</v>
      </c>
      <c r="AF660" s="230">
        <f t="shared" si="372"/>
        <v>10112911.172969673</v>
      </c>
      <c r="AG660" s="226" t="str">
        <f t="shared" si="381"/>
        <v/>
      </c>
      <c r="AH660" s="226" t="str">
        <f t="shared" si="382"/>
        <v/>
      </c>
      <c r="AI660" s="226" t="str">
        <f t="shared" si="383"/>
        <v/>
      </c>
      <c r="AJ660" s="226" t="str">
        <f t="shared" si="384"/>
        <v/>
      </c>
    </row>
    <row r="661" spans="1:36" ht="18" customHeight="1" x14ac:dyDescent="0.2">
      <c r="A661" s="226" t="str">
        <f t="shared" si="373"/>
        <v>5Y -&gt; PM Y8 Starter</v>
      </c>
      <c r="B661" s="226">
        <f t="shared" si="374"/>
        <v>5</v>
      </c>
      <c r="C661" s="235">
        <f t="shared" si="375"/>
        <v>3</v>
      </c>
      <c r="D661" s="226">
        <f t="shared" si="376"/>
        <v>8</v>
      </c>
      <c r="E661" s="226" t="str">
        <f t="shared" si="377"/>
        <v>Starter</v>
      </c>
      <c r="F661" s="230">
        <f t="shared" si="378"/>
        <v>10000000</v>
      </c>
      <c r="G661" s="236">
        <f t="shared" si="379"/>
        <v>0.15</v>
      </c>
      <c r="H661" s="230">
        <f t="shared" si="380"/>
        <v>300000</v>
      </c>
      <c r="I661" s="236">
        <f t="shared" si="363"/>
        <v>0</v>
      </c>
      <c r="J661" s="234">
        <v>12</v>
      </c>
      <c r="K661" s="234">
        <f t="shared" si="364"/>
        <v>2037</v>
      </c>
      <c r="L661" s="230">
        <f>IF(J661=1,'Model Inputs'!$B$25*(13-'Model Inputs'!$B$23)/12,'Model Inputs'!$B$25)</f>
        <v>300000</v>
      </c>
      <c r="M661" s="230">
        <f>IF(J661=1,'Model Inputs'!$B$27*(13-'Model Inputs'!$B$23)/12,IF(J661=2,'Model Inputs'!$B$27,IF(J661&lt;=MAX(3,'Model Inputs'!$B$30+1),'Model Inputs'!$B$27*(1+'Model Inputs'!$B$28)^(J661-3),'Model Inputs'!$B$27*(1+'Model Inputs'!$B$28)^(MAX(3,'Model Inputs'!$B$30+1)-3)*(1+'Model Inputs'!$B$29)^(J661-MAX(3,'Model Inputs'!$B$30+1)))))</f>
        <v>5086854.15450761</v>
      </c>
      <c r="N661" s="236">
        <f>IF(J661&lt;=2,0,'Model Inputs'!$B$32*SIN(2*PI()*(J661-3+'Model Inputs'!$B$34)/MAX(1,'Model Inputs'!$B$33)))</f>
        <v>-8.8174569538609421E-17</v>
      </c>
      <c r="O661" s="230">
        <f t="shared" si="365"/>
        <v>5086854.1545076091</v>
      </c>
      <c r="P661" s="230">
        <f t="shared" si="385"/>
        <v>3559201.5104371794</v>
      </c>
      <c r="Q661" s="230">
        <f>L661+P661+IF(J661=1,'Model Inputs'!$B$26,0)</f>
        <v>3859201.5104371794</v>
      </c>
      <c r="R661" s="230">
        <f t="shared" si="366"/>
        <v>11577604.531311538</v>
      </c>
      <c r="S661" s="230">
        <f t="shared" si="367"/>
        <v>1800000</v>
      </c>
      <c r="T661" s="230">
        <f t="shared" si="368"/>
        <v>1800000</v>
      </c>
      <c r="U661" s="230">
        <f>MIN(T661,'Tax Assumptions'!$B$19)</f>
        <v>24500</v>
      </c>
      <c r="V661" s="230">
        <f>MAX(T661-U661-'Tax Assumptions'!$B$8,0)</f>
        <v>1759400</v>
      </c>
      <c r="W661" s="230">
        <f>MAX(T661-U661-'Tax Assumptions'!$B$9,0)</f>
        <v>1767500</v>
      </c>
      <c r="X661" s="230">
        <f>IF(V661=0,0,LOOKUP(V661,'Tax Assumptions'!$F$9:$F$15,'Tax Assumptions'!$I$9:$I$15)+(V661-LOOKUP(V661,'Tax Assumptions'!$F$9:$F$15,'Tax Assumptions'!$F$9:$F$15))*LOOKUP(V661,'Tax Assumptions'!$F$9:$F$15,'Tax Assumptions'!$H$9:$H$15))+MIN(MAX(T661,0),'Tax Assumptions'!$B$11)*'Tax Assumptions'!$B$10+MAX(T661,0)*'Tax Assumptions'!$B$12+MAX(MAX(T661,0)-'Tax Assumptions'!$B$14,0)*'Tax Assumptions'!$B$13+MIN(T661*'Tax Assumptions'!$B$15,'Tax Assumptions'!$B$16)+MIN(T661*'Tax Assumptions'!$B$17,'Tax Assumptions'!$B$18)+IF(W661=0,0,LOOKUP(W661,'Tax Assumptions'!$K$9:$K$17,'Tax Assumptions'!$N$9:$N$17)+(W661-LOOKUP(W661,'Tax Assumptions'!$K$9:$K$17,'Tax Assumptions'!$K$9:$K$17))*LOOKUP(W661,'Tax Assumptions'!$K$9:$K$17,'Tax Assumptions'!$M$9:$M$17))+IF(W661=0,0,LOOKUP(W661,'Tax Assumptions'!$P$9:$P$12,'Tax Assumptions'!$S$9:$S$12)+(W661-LOOKUP(W661,'Tax Assumptions'!$P$9:$P$12,'Tax Assumptions'!$P$9:$P$12))*LOOKUP(W661,'Tax Assumptions'!$P$9:$P$12,'Tax Assumptions'!$R$9:$R$12))</f>
        <v>865478.63500000001</v>
      </c>
      <c r="Y661" s="230">
        <f t="shared" si="369"/>
        <v>910021.36499999999</v>
      </c>
      <c r="Z661" s="230">
        <f>IF(J661&lt;=10,INDEX('Savings Projection'!$BL$19:$BL$28,J661),LOOKUP(2,1/('Savings Projection'!$BL$19:$BL$28&lt;&gt;""),'Savings Projection'!$BL$19:$BL$28))*(1+'Model Inputs'!$B$35)^(J661-1)+IF(J661&lt;=10,INDEX('Savings Projection'!$BM$19:$BM$28,J661),LOOKUP(2,1/('Savings Projection'!$BM$19:$BM$28&lt;&gt;""),'Savings Projection'!$BM$19:$BM$28))*(1+'Model Inputs'!$B$36)^(J661-1)</f>
        <v>179950.4031941779</v>
      </c>
      <c r="AA661" s="230">
        <f t="shared" si="370"/>
        <v>730070.96180582209</v>
      </c>
      <c r="AB661" s="230">
        <f>MIN(MAX(AA661,0),'Tax Assumptions'!$B$20)</f>
        <v>7500</v>
      </c>
      <c r="AC661" s="230">
        <f t="shared" si="371"/>
        <v>722570.96180582209</v>
      </c>
      <c r="AD661" s="230">
        <f>MAX(AD660*(1+'Model Inputs'!$B$13)+AC661,0)</f>
        <v>10934418.686841382</v>
      </c>
      <c r="AE661" s="230">
        <f>MAX(AE660*(1+'Model Inputs'!$B$13)+U661+AB661,0)</f>
        <v>539838.11831229366</v>
      </c>
      <c r="AF661" s="230">
        <f t="shared" si="372"/>
        <v>11474256.805153675</v>
      </c>
      <c r="AG661" s="226" t="str">
        <f t="shared" si="381"/>
        <v/>
      </c>
      <c r="AH661" s="226" t="str">
        <f t="shared" si="382"/>
        <v/>
      </c>
      <c r="AI661" s="226" t="str">
        <f t="shared" si="383"/>
        <v/>
      </c>
      <c r="AJ661" s="226" t="str">
        <f t="shared" si="384"/>
        <v/>
      </c>
    </row>
    <row r="662" spans="1:36" ht="18" customHeight="1" x14ac:dyDescent="0.2">
      <c r="A662" s="226" t="str">
        <f t="shared" si="373"/>
        <v>5Y -&gt; PM Y8 Starter</v>
      </c>
      <c r="B662" s="226">
        <f t="shared" si="374"/>
        <v>5</v>
      </c>
      <c r="C662" s="235">
        <f t="shared" si="375"/>
        <v>3</v>
      </c>
      <c r="D662" s="226">
        <f t="shared" si="376"/>
        <v>8</v>
      </c>
      <c r="E662" s="226" t="str">
        <f t="shared" si="377"/>
        <v>Starter</v>
      </c>
      <c r="F662" s="230">
        <f t="shared" si="378"/>
        <v>10000000</v>
      </c>
      <c r="G662" s="236">
        <f t="shared" si="379"/>
        <v>0.15</v>
      </c>
      <c r="H662" s="230">
        <f t="shared" si="380"/>
        <v>300000</v>
      </c>
      <c r="I662" s="236">
        <f t="shared" si="363"/>
        <v>0</v>
      </c>
      <c r="J662" s="234">
        <v>13</v>
      </c>
      <c r="K662" s="234">
        <f t="shared" si="364"/>
        <v>2038</v>
      </c>
      <c r="L662" s="230">
        <f>IF(J662=1,'Model Inputs'!$B$25*(13-'Model Inputs'!$B$23)/12,'Model Inputs'!$B$25)</f>
        <v>300000</v>
      </c>
      <c r="M662" s="230">
        <f>IF(J662=1,'Model Inputs'!$B$27*(13-'Model Inputs'!$B$23)/12,IF(J662=2,'Model Inputs'!$B$27,IF(J662&lt;=MAX(3,'Model Inputs'!$B$30+1),'Model Inputs'!$B$27*(1+'Model Inputs'!$B$28)^(J662-3),'Model Inputs'!$B$27*(1+'Model Inputs'!$B$28)^(MAX(3,'Model Inputs'!$B$30+1)-3)*(1+'Model Inputs'!$B$29)^(J662-MAX(3,'Model Inputs'!$B$30+1)))))</f>
        <v>6464768.1603602255</v>
      </c>
      <c r="N662" s="236">
        <f>IF(J662&lt;=2,0,'Model Inputs'!$B$32*SIN(2*PI()*(J662-3+'Model Inputs'!$B$34)/MAX(1,'Model Inputs'!$B$33)))</f>
        <v>0.10392304845413261</v>
      </c>
      <c r="O662" s="230">
        <f t="shared" si="365"/>
        <v>7136606.5751340752</v>
      </c>
      <c r="P662" s="230">
        <f t="shared" si="385"/>
        <v>4711807.0917368019</v>
      </c>
      <c r="Q662" s="230">
        <f>L662+P662+IF(J662=1,'Model Inputs'!$B$26,0)</f>
        <v>5011807.0917368019</v>
      </c>
      <c r="R662" s="230">
        <f t="shared" si="366"/>
        <v>15035421.275210407</v>
      </c>
      <c r="S662" s="230">
        <f t="shared" si="367"/>
        <v>1800000</v>
      </c>
      <c r="T662" s="230">
        <f t="shared" si="368"/>
        <v>1800000</v>
      </c>
      <c r="U662" s="230">
        <f>MIN(T662,'Tax Assumptions'!$B$19)</f>
        <v>24500</v>
      </c>
      <c r="V662" s="230">
        <f>MAX(T662-U662-'Tax Assumptions'!$B$8,0)</f>
        <v>1759400</v>
      </c>
      <c r="W662" s="230">
        <f>MAX(T662-U662-'Tax Assumptions'!$B$9,0)</f>
        <v>1767500</v>
      </c>
      <c r="X662" s="230">
        <f>IF(V662=0,0,LOOKUP(V662,'Tax Assumptions'!$F$9:$F$15,'Tax Assumptions'!$I$9:$I$15)+(V662-LOOKUP(V662,'Tax Assumptions'!$F$9:$F$15,'Tax Assumptions'!$F$9:$F$15))*LOOKUP(V662,'Tax Assumptions'!$F$9:$F$15,'Tax Assumptions'!$H$9:$H$15))+MIN(MAX(T662,0),'Tax Assumptions'!$B$11)*'Tax Assumptions'!$B$10+MAX(T662,0)*'Tax Assumptions'!$B$12+MAX(MAX(T662,0)-'Tax Assumptions'!$B$14,0)*'Tax Assumptions'!$B$13+MIN(T662*'Tax Assumptions'!$B$15,'Tax Assumptions'!$B$16)+MIN(T662*'Tax Assumptions'!$B$17,'Tax Assumptions'!$B$18)+IF(W662=0,0,LOOKUP(W662,'Tax Assumptions'!$K$9:$K$17,'Tax Assumptions'!$N$9:$N$17)+(W662-LOOKUP(W662,'Tax Assumptions'!$K$9:$K$17,'Tax Assumptions'!$K$9:$K$17))*LOOKUP(W662,'Tax Assumptions'!$K$9:$K$17,'Tax Assumptions'!$M$9:$M$17))+IF(W662=0,0,LOOKUP(W662,'Tax Assumptions'!$P$9:$P$12,'Tax Assumptions'!$S$9:$S$12)+(W662-LOOKUP(W662,'Tax Assumptions'!$P$9:$P$12,'Tax Assumptions'!$P$9:$P$12))*LOOKUP(W662,'Tax Assumptions'!$P$9:$P$12,'Tax Assumptions'!$R$9:$R$12))</f>
        <v>865478.63500000001</v>
      </c>
      <c r="Y662" s="230">
        <f t="shared" si="369"/>
        <v>910021.36499999999</v>
      </c>
      <c r="Z662" s="230">
        <f>IF(J662&lt;=10,INDEX('Savings Projection'!$BL$19:$BL$28,J662),LOOKUP(2,1/('Savings Projection'!$BL$19:$BL$28&lt;&gt;""),'Savings Projection'!$BL$19:$BL$28))*(1+'Model Inputs'!$B$35)^(J662-1)+IF(J662&lt;=10,INDEX('Savings Projection'!$BM$19:$BM$28,J662),LOOKUP(2,1/('Savings Projection'!$BM$19:$BM$28&lt;&gt;""),'Savings Projection'!$BM$19:$BM$28))*(1+'Model Inputs'!$B$36)^(J662-1)</f>
        <v>185348.91529000323</v>
      </c>
      <c r="AA662" s="230">
        <f t="shared" si="370"/>
        <v>724672.44970999681</v>
      </c>
      <c r="AB662" s="230">
        <f>MIN(MAX(AA662,0),'Tax Assumptions'!$B$20)</f>
        <v>7500</v>
      </c>
      <c r="AC662" s="230">
        <f t="shared" si="371"/>
        <v>717172.44970999681</v>
      </c>
      <c r="AD662" s="230">
        <f>MAX(AD661*(1+'Model Inputs'!$B$13)+AC662,0)</f>
        <v>12307656.257761862</v>
      </c>
      <c r="AE662" s="230">
        <f>MAX(AE661*(1+'Model Inputs'!$B$13)+U662+AB662,0)</f>
        <v>604228.40541103133</v>
      </c>
      <c r="AF662" s="230">
        <f t="shared" si="372"/>
        <v>12911884.663172893</v>
      </c>
      <c r="AG662" s="226" t="str">
        <f t="shared" si="381"/>
        <v/>
      </c>
      <c r="AH662" s="226" t="str">
        <f t="shared" si="382"/>
        <v/>
      </c>
      <c r="AI662" s="226" t="str">
        <f t="shared" si="383"/>
        <v/>
      </c>
      <c r="AJ662" s="226" t="str">
        <f t="shared" si="384"/>
        <v/>
      </c>
    </row>
    <row r="663" spans="1:36" ht="18" customHeight="1" x14ac:dyDescent="0.2">
      <c r="A663" s="226" t="str">
        <f t="shared" si="373"/>
        <v>5Y -&gt; PM Y8 Starter</v>
      </c>
      <c r="B663" s="226">
        <f t="shared" si="374"/>
        <v>5</v>
      </c>
      <c r="C663" s="235">
        <f t="shared" si="375"/>
        <v>3</v>
      </c>
      <c r="D663" s="226">
        <f t="shared" si="376"/>
        <v>8</v>
      </c>
      <c r="E663" s="226" t="str">
        <f t="shared" si="377"/>
        <v>Starter</v>
      </c>
      <c r="F663" s="230">
        <f t="shared" si="378"/>
        <v>10000000</v>
      </c>
      <c r="G663" s="236">
        <f t="shared" si="379"/>
        <v>0.15</v>
      </c>
      <c r="H663" s="230">
        <f t="shared" si="380"/>
        <v>300000</v>
      </c>
      <c r="I663" s="236">
        <f t="shared" si="363"/>
        <v>0</v>
      </c>
      <c r="J663" s="234">
        <v>14</v>
      </c>
      <c r="K663" s="234">
        <f t="shared" si="364"/>
        <v>2039</v>
      </c>
      <c r="L663" s="230">
        <f>IF(J663=1,'Model Inputs'!$B$25*(13-'Model Inputs'!$B$23)/12,'Model Inputs'!$B$25)</f>
        <v>300000</v>
      </c>
      <c r="M663" s="230">
        <f>IF(J663=1,'Model Inputs'!$B$27*(13-'Model Inputs'!$B$23)/12,IF(J663=2,'Model Inputs'!$B$27,IF(J663&lt;=MAX(3,'Model Inputs'!$B$30+1),'Model Inputs'!$B$27*(1+'Model Inputs'!$B$28)^(J663-3),'Model Inputs'!$B$27*(1+'Model Inputs'!$B$28)^(MAX(3,'Model Inputs'!$B$30+1)-3)*(1+'Model Inputs'!$B$29)^(J663-MAX(3,'Model Inputs'!$B$30+1)))))</f>
        <v>8215927.9778393377</v>
      </c>
      <c r="N663" s="236">
        <f>IF(J663&lt;=2,0,'Model Inputs'!$B$32*SIN(2*PI()*(J663-3+'Model Inputs'!$B$34)/MAX(1,'Model Inputs'!$B$33)))</f>
        <v>-0.10392304845413251</v>
      </c>
      <c r="O663" s="230">
        <f t="shared" si="365"/>
        <v>7362103.6965026772</v>
      </c>
      <c r="P663" s="230">
        <f t="shared" si="385"/>
        <v>6624168.4699774589</v>
      </c>
      <c r="Q663" s="230">
        <f>L663+P663+IF(J663=1,'Model Inputs'!$B$26,0)</f>
        <v>6924168.4699774589</v>
      </c>
      <c r="R663" s="230">
        <f t="shared" si="366"/>
        <v>20772505.409932375</v>
      </c>
      <c r="S663" s="230">
        <f t="shared" si="367"/>
        <v>1800000</v>
      </c>
      <c r="T663" s="230">
        <f t="shared" si="368"/>
        <v>1800000</v>
      </c>
      <c r="U663" s="230">
        <f>MIN(T663,'Tax Assumptions'!$B$19)</f>
        <v>24500</v>
      </c>
      <c r="V663" s="230">
        <f>MAX(T663-U663-'Tax Assumptions'!$B$8,0)</f>
        <v>1759400</v>
      </c>
      <c r="W663" s="230">
        <f>MAX(T663-U663-'Tax Assumptions'!$B$9,0)</f>
        <v>1767500</v>
      </c>
      <c r="X663" s="230">
        <f>IF(V663=0,0,LOOKUP(V663,'Tax Assumptions'!$F$9:$F$15,'Tax Assumptions'!$I$9:$I$15)+(V663-LOOKUP(V663,'Tax Assumptions'!$F$9:$F$15,'Tax Assumptions'!$F$9:$F$15))*LOOKUP(V663,'Tax Assumptions'!$F$9:$F$15,'Tax Assumptions'!$H$9:$H$15))+MIN(MAX(T663,0),'Tax Assumptions'!$B$11)*'Tax Assumptions'!$B$10+MAX(T663,0)*'Tax Assumptions'!$B$12+MAX(MAX(T663,0)-'Tax Assumptions'!$B$14,0)*'Tax Assumptions'!$B$13+MIN(T663*'Tax Assumptions'!$B$15,'Tax Assumptions'!$B$16)+MIN(T663*'Tax Assumptions'!$B$17,'Tax Assumptions'!$B$18)+IF(W663=0,0,LOOKUP(W663,'Tax Assumptions'!$K$9:$K$17,'Tax Assumptions'!$N$9:$N$17)+(W663-LOOKUP(W663,'Tax Assumptions'!$K$9:$K$17,'Tax Assumptions'!$K$9:$K$17))*LOOKUP(W663,'Tax Assumptions'!$K$9:$K$17,'Tax Assumptions'!$M$9:$M$17))+IF(W663=0,0,LOOKUP(W663,'Tax Assumptions'!$P$9:$P$12,'Tax Assumptions'!$S$9:$S$12)+(W663-LOOKUP(W663,'Tax Assumptions'!$P$9:$P$12,'Tax Assumptions'!$P$9:$P$12))*LOOKUP(W663,'Tax Assumptions'!$P$9:$P$12,'Tax Assumptions'!$R$9:$R$12))</f>
        <v>865478.63500000001</v>
      </c>
      <c r="Y663" s="230">
        <f t="shared" si="369"/>
        <v>910021.36499999999</v>
      </c>
      <c r="Z663" s="230">
        <f>IF(J663&lt;=10,INDEX('Savings Projection'!$BL$19:$BL$28,J663),LOOKUP(2,1/('Savings Projection'!$BL$19:$BL$28&lt;&gt;""),'Savings Projection'!$BL$19:$BL$28))*(1+'Model Inputs'!$B$35)^(J663-1)+IF(J663&lt;=10,INDEX('Savings Projection'!$BM$19:$BM$28,J663),LOOKUP(2,1/('Savings Projection'!$BM$19:$BM$28&lt;&gt;""),'Savings Projection'!$BM$19:$BM$28))*(1+'Model Inputs'!$B$36)^(J663-1)</f>
        <v>190909.3827487033</v>
      </c>
      <c r="AA663" s="230">
        <f t="shared" si="370"/>
        <v>719111.98225129675</v>
      </c>
      <c r="AB663" s="230">
        <f>MIN(MAX(AA663,0),'Tax Assumptions'!$B$20)</f>
        <v>7500</v>
      </c>
      <c r="AC663" s="230">
        <f t="shared" si="371"/>
        <v>711611.98225129675</v>
      </c>
      <c r="AD663" s="230">
        <f>MAX(AD662*(1+'Model Inputs'!$B$13)+AC663,0)</f>
        <v>13757727.61547887</v>
      </c>
      <c r="AE663" s="230">
        <f>MAX(AE662*(1+'Model Inputs'!$B$13)+U663+AB663,0)</f>
        <v>672482.1097356932</v>
      </c>
      <c r="AF663" s="230">
        <f t="shared" si="372"/>
        <v>14430209.725214563</v>
      </c>
      <c r="AG663" s="226">
        <f t="shared" si="381"/>
        <v>14</v>
      </c>
      <c r="AH663" s="226" t="str">
        <f t="shared" si="382"/>
        <v/>
      </c>
      <c r="AI663" s="226" t="str">
        <f t="shared" si="383"/>
        <v/>
      </c>
      <c r="AJ663" s="226" t="str">
        <f t="shared" si="384"/>
        <v/>
      </c>
    </row>
    <row r="664" spans="1:36" ht="18" customHeight="1" x14ac:dyDescent="0.2">
      <c r="A664" s="226" t="str">
        <f t="shared" si="373"/>
        <v>5Y -&gt; PM Y8 Starter</v>
      </c>
      <c r="B664" s="226">
        <f t="shared" si="374"/>
        <v>5</v>
      </c>
      <c r="C664" s="235">
        <f t="shared" si="375"/>
        <v>3</v>
      </c>
      <c r="D664" s="226">
        <f t="shared" si="376"/>
        <v>8</v>
      </c>
      <c r="E664" s="226" t="str">
        <f t="shared" si="377"/>
        <v>Starter</v>
      </c>
      <c r="F664" s="230">
        <f t="shared" si="378"/>
        <v>10000000</v>
      </c>
      <c r="G664" s="236">
        <f t="shared" si="379"/>
        <v>0.15</v>
      </c>
      <c r="H664" s="230">
        <f t="shared" si="380"/>
        <v>300000</v>
      </c>
      <c r="I664" s="236">
        <f t="shared" si="363"/>
        <v>0</v>
      </c>
      <c r="J664" s="234">
        <v>15</v>
      </c>
      <c r="K664" s="234">
        <f t="shared" si="364"/>
        <v>2040</v>
      </c>
      <c r="L664" s="230">
        <f>IF(J664=1,'Model Inputs'!$B$25*(13-'Model Inputs'!$B$23)/12,'Model Inputs'!$B$25)</f>
        <v>300000</v>
      </c>
      <c r="M664" s="230">
        <f>IF(J664=1,'Model Inputs'!$B$27*(13-'Model Inputs'!$B$23)/12,IF(J664=2,'Model Inputs'!$B$27,IF(J664&lt;=MAX(3,'Model Inputs'!$B$30+1),'Model Inputs'!$B$27*(1+'Model Inputs'!$B$28)^(J664-3),'Model Inputs'!$B$27*(1+'Model Inputs'!$B$28)^(MAX(3,'Model Inputs'!$B$30+1)-3)*(1+'Model Inputs'!$B$29)^(J664-MAX(3,'Model Inputs'!$B$30+1)))))</f>
        <v>10441437.475041937</v>
      </c>
      <c r="N664" s="236">
        <f>IF(J664&lt;=2,0,'Model Inputs'!$B$32*SIN(2*PI()*(J664-3+'Model Inputs'!$B$34)/MAX(1,'Model Inputs'!$B$33)))</f>
        <v>-1.1756609271814589E-16</v>
      </c>
      <c r="O664" s="230">
        <f t="shared" si="365"/>
        <v>10441437.475041935</v>
      </c>
      <c r="P664" s="230">
        <f t="shared" si="385"/>
        <v>7305729.4161605267</v>
      </c>
      <c r="Q664" s="230">
        <f>L664+P664+IF(J664=1,'Model Inputs'!$B$26,0)</f>
        <v>7605729.4161605267</v>
      </c>
      <c r="R664" s="230">
        <f t="shared" si="366"/>
        <v>22817188.248481579</v>
      </c>
      <c r="S664" s="230">
        <f t="shared" si="367"/>
        <v>1800000</v>
      </c>
      <c r="T664" s="230">
        <f t="shared" si="368"/>
        <v>1800000</v>
      </c>
      <c r="U664" s="230">
        <f>MIN(T664,'Tax Assumptions'!$B$19)</f>
        <v>24500</v>
      </c>
      <c r="V664" s="230">
        <f>MAX(T664-U664-'Tax Assumptions'!$B$8,0)</f>
        <v>1759400</v>
      </c>
      <c r="W664" s="230">
        <f>MAX(T664-U664-'Tax Assumptions'!$B$9,0)</f>
        <v>1767500</v>
      </c>
      <c r="X664" s="230">
        <f>IF(V664=0,0,LOOKUP(V664,'Tax Assumptions'!$F$9:$F$15,'Tax Assumptions'!$I$9:$I$15)+(V664-LOOKUP(V664,'Tax Assumptions'!$F$9:$F$15,'Tax Assumptions'!$F$9:$F$15))*LOOKUP(V664,'Tax Assumptions'!$F$9:$F$15,'Tax Assumptions'!$H$9:$H$15))+MIN(MAX(T664,0),'Tax Assumptions'!$B$11)*'Tax Assumptions'!$B$10+MAX(T664,0)*'Tax Assumptions'!$B$12+MAX(MAX(T664,0)-'Tax Assumptions'!$B$14,0)*'Tax Assumptions'!$B$13+MIN(T664*'Tax Assumptions'!$B$15,'Tax Assumptions'!$B$16)+MIN(T664*'Tax Assumptions'!$B$17,'Tax Assumptions'!$B$18)+IF(W664=0,0,LOOKUP(W664,'Tax Assumptions'!$K$9:$K$17,'Tax Assumptions'!$N$9:$N$17)+(W664-LOOKUP(W664,'Tax Assumptions'!$K$9:$K$17,'Tax Assumptions'!$K$9:$K$17))*LOOKUP(W664,'Tax Assumptions'!$K$9:$K$17,'Tax Assumptions'!$M$9:$M$17))+IF(W664=0,0,LOOKUP(W664,'Tax Assumptions'!$P$9:$P$12,'Tax Assumptions'!$S$9:$S$12)+(W664-LOOKUP(W664,'Tax Assumptions'!$P$9:$P$12,'Tax Assumptions'!$P$9:$P$12))*LOOKUP(W664,'Tax Assumptions'!$P$9:$P$12,'Tax Assumptions'!$R$9:$R$12))</f>
        <v>865478.63500000001</v>
      </c>
      <c r="Y664" s="230">
        <f t="shared" si="369"/>
        <v>910021.36499999999</v>
      </c>
      <c r="Z664" s="230">
        <f>IF(J664&lt;=10,INDEX('Savings Projection'!$BL$19:$BL$28,J664),LOOKUP(2,1/('Savings Projection'!$BL$19:$BL$28&lt;&gt;""),'Savings Projection'!$BL$19:$BL$28))*(1+'Model Inputs'!$B$35)^(J664-1)+IF(J664&lt;=10,INDEX('Savings Projection'!$BM$19:$BM$28,J664),LOOKUP(2,1/('Savings Projection'!$BM$19:$BM$28&lt;&gt;""),'Savings Projection'!$BM$19:$BM$28))*(1+'Model Inputs'!$B$36)^(J664-1)</f>
        <v>196636.66423116444</v>
      </c>
      <c r="AA664" s="230">
        <f t="shared" si="370"/>
        <v>713384.70076883561</v>
      </c>
      <c r="AB664" s="230">
        <f>MIN(MAX(AA664,0),'Tax Assumptions'!$B$20)</f>
        <v>7500</v>
      </c>
      <c r="AC664" s="230">
        <f t="shared" si="371"/>
        <v>705884.70076883561</v>
      </c>
      <c r="AD664" s="230">
        <f>MAX(AD663*(1+'Model Inputs'!$B$13)+AC664,0)</f>
        <v>15289075.973176438</v>
      </c>
      <c r="AE664" s="230">
        <f>MAX(AE663*(1+'Model Inputs'!$B$13)+U664+AB664,0)</f>
        <v>744831.03631983488</v>
      </c>
      <c r="AF664" s="230">
        <f t="shared" si="372"/>
        <v>16033907.009496273</v>
      </c>
      <c r="AG664" s="226" t="str">
        <f t="shared" si="381"/>
        <v/>
      </c>
      <c r="AH664" s="226" t="str">
        <f t="shared" si="382"/>
        <v/>
      </c>
      <c r="AI664" s="226" t="str">
        <f t="shared" si="383"/>
        <v/>
      </c>
      <c r="AJ664" s="226" t="str">
        <f t="shared" si="384"/>
        <v/>
      </c>
    </row>
    <row r="665" spans="1:36" ht="18" customHeight="1" x14ac:dyDescent="0.2">
      <c r="A665" s="226" t="str">
        <f t="shared" si="373"/>
        <v>5Y -&gt; PM Y8 Starter</v>
      </c>
      <c r="B665" s="226">
        <f t="shared" si="374"/>
        <v>5</v>
      </c>
      <c r="C665" s="235">
        <f t="shared" si="375"/>
        <v>3</v>
      </c>
      <c r="D665" s="226">
        <f t="shared" si="376"/>
        <v>8</v>
      </c>
      <c r="E665" s="226" t="str">
        <f t="shared" si="377"/>
        <v>Starter</v>
      </c>
      <c r="F665" s="230">
        <f t="shared" si="378"/>
        <v>10000000</v>
      </c>
      <c r="G665" s="236">
        <f t="shared" si="379"/>
        <v>0.15</v>
      </c>
      <c r="H665" s="230">
        <f t="shared" si="380"/>
        <v>300000</v>
      </c>
      <c r="I665" s="236">
        <f t="shared" si="363"/>
        <v>0</v>
      </c>
      <c r="J665" s="234">
        <v>16</v>
      </c>
      <c r="K665" s="234">
        <f t="shared" si="364"/>
        <v>2041</v>
      </c>
      <c r="L665" s="230">
        <f>IF(J665=1,'Model Inputs'!$B$25*(13-'Model Inputs'!$B$23)/12,'Model Inputs'!$B$25)</f>
        <v>300000</v>
      </c>
      <c r="M665" s="230">
        <f>IF(J665=1,'Model Inputs'!$B$27*(13-'Model Inputs'!$B$23)/12,IF(J665=2,'Model Inputs'!$B$27,IF(J665&lt;=MAX(3,'Model Inputs'!$B$30+1),'Model Inputs'!$B$27*(1+'Model Inputs'!$B$28)^(J665-3),'Model Inputs'!$B$27*(1+'Model Inputs'!$B$28)^(MAX(3,'Model Inputs'!$B$30+1)-3)*(1+'Model Inputs'!$B$29)^(J665-MAX(3,'Model Inputs'!$B$30+1)))))</f>
        <v>13269787.276528884</v>
      </c>
      <c r="N665" s="236">
        <f>IF(J665&lt;=2,0,'Model Inputs'!$B$32*SIN(2*PI()*(J665-3+'Model Inputs'!$B$34)/MAX(1,'Model Inputs'!$B$33)))</f>
        <v>0.10392304845413262</v>
      </c>
      <c r="O665" s="230">
        <f t="shared" si="365"/>
        <v>14648824.022643628</v>
      </c>
      <c r="P665" s="230">
        <f t="shared" si="385"/>
        <v>9671604.0304071214</v>
      </c>
      <c r="Q665" s="230">
        <f>L665+P665+IF(J665=1,'Model Inputs'!$B$26,0)</f>
        <v>9971604.0304071214</v>
      </c>
      <c r="R665" s="230">
        <f t="shared" si="366"/>
        <v>29914812.091221362</v>
      </c>
      <c r="S665" s="230">
        <f t="shared" si="367"/>
        <v>1800000</v>
      </c>
      <c r="T665" s="230">
        <f t="shared" si="368"/>
        <v>1800000</v>
      </c>
      <c r="U665" s="230">
        <f>MIN(T665,'Tax Assumptions'!$B$19)</f>
        <v>24500</v>
      </c>
      <c r="V665" s="230">
        <f>MAX(T665-U665-'Tax Assumptions'!$B$8,0)</f>
        <v>1759400</v>
      </c>
      <c r="W665" s="230">
        <f>MAX(T665-U665-'Tax Assumptions'!$B$9,0)</f>
        <v>1767500</v>
      </c>
      <c r="X665" s="230">
        <f>IF(V665=0,0,LOOKUP(V665,'Tax Assumptions'!$F$9:$F$15,'Tax Assumptions'!$I$9:$I$15)+(V665-LOOKUP(V665,'Tax Assumptions'!$F$9:$F$15,'Tax Assumptions'!$F$9:$F$15))*LOOKUP(V665,'Tax Assumptions'!$F$9:$F$15,'Tax Assumptions'!$H$9:$H$15))+MIN(MAX(T665,0),'Tax Assumptions'!$B$11)*'Tax Assumptions'!$B$10+MAX(T665,0)*'Tax Assumptions'!$B$12+MAX(MAX(T665,0)-'Tax Assumptions'!$B$14,0)*'Tax Assumptions'!$B$13+MIN(T665*'Tax Assumptions'!$B$15,'Tax Assumptions'!$B$16)+MIN(T665*'Tax Assumptions'!$B$17,'Tax Assumptions'!$B$18)+IF(W665=0,0,LOOKUP(W665,'Tax Assumptions'!$K$9:$K$17,'Tax Assumptions'!$N$9:$N$17)+(W665-LOOKUP(W665,'Tax Assumptions'!$K$9:$K$17,'Tax Assumptions'!$K$9:$K$17))*LOOKUP(W665,'Tax Assumptions'!$K$9:$K$17,'Tax Assumptions'!$M$9:$M$17))+IF(W665=0,0,LOOKUP(W665,'Tax Assumptions'!$P$9:$P$12,'Tax Assumptions'!$S$9:$S$12)+(W665-LOOKUP(W665,'Tax Assumptions'!$P$9:$P$12,'Tax Assumptions'!$P$9:$P$12))*LOOKUP(W665,'Tax Assumptions'!$P$9:$P$12,'Tax Assumptions'!$R$9:$R$12))</f>
        <v>865478.63500000001</v>
      </c>
      <c r="Y665" s="230">
        <f t="shared" si="369"/>
        <v>910021.36499999999</v>
      </c>
      <c r="Z665" s="230">
        <f>IF(J665&lt;=10,INDEX('Savings Projection'!$BL$19:$BL$28,J665),LOOKUP(2,1/('Savings Projection'!$BL$19:$BL$28&lt;&gt;""),'Savings Projection'!$BL$19:$BL$28))*(1+'Model Inputs'!$B$35)^(J665-1)+IF(J665&lt;=10,INDEX('Savings Projection'!$BM$19:$BM$28,J665),LOOKUP(2,1/('Savings Projection'!$BM$19:$BM$28&lt;&gt;""),'Savings Projection'!$BM$19:$BM$28))*(1+'Model Inputs'!$B$36)^(J665-1)</f>
        <v>202535.76415809937</v>
      </c>
      <c r="AA665" s="230">
        <f t="shared" si="370"/>
        <v>707485.60084190057</v>
      </c>
      <c r="AB665" s="230">
        <f>MIN(MAX(AA665,0),'Tax Assumptions'!$B$20)</f>
        <v>7500</v>
      </c>
      <c r="AC665" s="230">
        <f t="shared" si="371"/>
        <v>699985.60084190057</v>
      </c>
      <c r="AD665" s="230">
        <f>MAX(AD664*(1+'Model Inputs'!$B$13)+AC665,0)</f>
        <v>16906406.132408928</v>
      </c>
      <c r="AE665" s="230">
        <f>MAX(AE664*(1+'Model Inputs'!$B$13)+U665+AB665,0)</f>
        <v>821520.89849902503</v>
      </c>
      <c r="AF665" s="230">
        <f t="shared" si="372"/>
        <v>17727927.030907951</v>
      </c>
      <c r="AG665" s="226" t="str">
        <f t="shared" si="381"/>
        <v/>
      </c>
      <c r="AH665" s="226">
        <f t="shared" si="382"/>
        <v>16</v>
      </c>
      <c r="AI665" s="226">
        <f t="shared" si="383"/>
        <v>16</v>
      </c>
      <c r="AJ665" s="226" t="str">
        <f t="shared" si="384"/>
        <v/>
      </c>
    </row>
    <row r="666" spans="1:36" ht="18" customHeight="1" x14ac:dyDescent="0.2">
      <c r="A666" s="226" t="str">
        <f t="shared" si="373"/>
        <v>5Y -&gt; PM Y8 Starter</v>
      </c>
      <c r="B666" s="226">
        <f t="shared" si="374"/>
        <v>5</v>
      </c>
      <c r="C666" s="235">
        <f t="shared" si="375"/>
        <v>3</v>
      </c>
      <c r="D666" s="226">
        <f t="shared" si="376"/>
        <v>8</v>
      </c>
      <c r="E666" s="226" t="str">
        <f t="shared" si="377"/>
        <v>Starter</v>
      </c>
      <c r="F666" s="230">
        <f t="shared" si="378"/>
        <v>10000000</v>
      </c>
      <c r="G666" s="236">
        <f t="shared" si="379"/>
        <v>0.15</v>
      </c>
      <c r="H666" s="230">
        <f t="shared" si="380"/>
        <v>300000</v>
      </c>
      <c r="I666" s="236">
        <f t="shared" si="363"/>
        <v>0</v>
      </c>
      <c r="J666" s="234">
        <v>17</v>
      </c>
      <c r="K666" s="234">
        <f t="shared" si="364"/>
        <v>2042</v>
      </c>
      <c r="L666" s="230">
        <f>IF(J666=1,'Model Inputs'!$B$25*(13-'Model Inputs'!$B$23)/12,'Model Inputs'!$B$25)</f>
        <v>300000</v>
      </c>
      <c r="M666" s="230">
        <f>IF(J666=1,'Model Inputs'!$B$27*(13-'Model Inputs'!$B$23)/12,IF(J666=2,'Model Inputs'!$B$27,IF(J666&lt;=MAX(3,'Model Inputs'!$B$30+1),'Model Inputs'!$B$27*(1+'Model Inputs'!$B$28)^(J666-3),'Model Inputs'!$B$27*(1+'Model Inputs'!$B$28)^(MAX(3,'Model Inputs'!$B$30+1)-3)*(1+'Model Inputs'!$B$29)^(J666-MAX(3,'Model Inputs'!$B$30+1)))))</f>
        <v>16864273.217670217</v>
      </c>
      <c r="N666" s="236">
        <f>IF(J666&lt;=2,0,'Model Inputs'!$B$32*SIN(2*PI()*(J666-3+'Model Inputs'!$B$34)/MAX(1,'Model Inputs'!$B$33)))</f>
        <v>-0.1039230484541325</v>
      </c>
      <c r="O666" s="230">
        <f t="shared" si="365"/>
        <v>15111686.534926547</v>
      </c>
      <c r="P666" s="230">
        <f t="shared" si="385"/>
        <v>13596977.385743205</v>
      </c>
      <c r="Q666" s="230">
        <f>L666+P666+IF(J666=1,'Model Inputs'!$B$26,0)</f>
        <v>13896977.385743205</v>
      </c>
      <c r="R666" s="230">
        <f t="shared" si="366"/>
        <v>41690932.157229617</v>
      </c>
      <c r="S666" s="230">
        <f t="shared" si="367"/>
        <v>1800000</v>
      </c>
      <c r="T666" s="230">
        <f t="shared" si="368"/>
        <v>1800000</v>
      </c>
      <c r="U666" s="230">
        <f>MIN(T666,'Tax Assumptions'!$B$19)</f>
        <v>24500</v>
      </c>
      <c r="V666" s="230">
        <f>MAX(T666-U666-'Tax Assumptions'!$B$8,0)</f>
        <v>1759400</v>
      </c>
      <c r="W666" s="230">
        <f>MAX(T666-U666-'Tax Assumptions'!$B$9,0)</f>
        <v>1767500</v>
      </c>
      <c r="X666" s="230">
        <f>IF(V666=0,0,LOOKUP(V666,'Tax Assumptions'!$F$9:$F$15,'Tax Assumptions'!$I$9:$I$15)+(V666-LOOKUP(V666,'Tax Assumptions'!$F$9:$F$15,'Tax Assumptions'!$F$9:$F$15))*LOOKUP(V666,'Tax Assumptions'!$F$9:$F$15,'Tax Assumptions'!$H$9:$H$15))+MIN(MAX(T666,0),'Tax Assumptions'!$B$11)*'Tax Assumptions'!$B$10+MAX(T666,0)*'Tax Assumptions'!$B$12+MAX(MAX(T666,0)-'Tax Assumptions'!$B$14,0)*'Tax Assumptions'!$B$13+MIN(T666*'Tax Assumptions'!$B$15,'Tax Assumptions'!$B$16)+MIN(T666*'Tax Assumptions'!$B$17,'Tax Assumptions'!$B$18)+IF(W666=0,0,LOOKUP(W666,'Tax Assumptions'!$K$9:$K$17,'Tax Assumptions'!$N$9:$N$17)+(W666-LOOKUP(W666,'Tax Assumptions'!$K$9:$K$17,'Tax Assumptions'!$K$9:$K$17))*LOOKUP(W666,'Tax Assumptions'!$K$9:$K$17,'Tax Assumptions'!$M$9:$M$17))+IF(W666=0,0,LOOKUP(W666,'Tax Assumptions'!$P$9:$P$12,'Tax Assumptions'!$S$9:$S$12)+(W666-LOOKUP(W666,'Tax Assumptions'!$P$9:$P$12,'Tax Assumptions'!$P$9:$P$12))*LOOKUP(W666,'Tax Assumptions'!$P$9:$P$12,'Tax Assumptions'!$R$9:$R$12))</f>
        <v>865478.63500000001</v>
      </c>
      <c r="Y666" s="230">
        <f t="shared" si="369"/>
        <v>910021.36499999999</v>
      </c>
      <c r="Z666" s="230">
        <f>IF(J666&lt;=10,INDEX('Savings Projection'!$BL$19:$BL$28,J666),LOOKUP(2,1/('Savings Projection'!$BL$19:$BL$28&lt;&gt;""),'Savings Projection'!$BL$19:$BL$28))*(1+'Model Inputs'!$B$35)^(J666-1)+IF(J666&lt;=10,INDEX('Savings Projection'!$BM$19:$BM$28,J666),LOOKUP(2,1/('Savings Projection'!$BM$19:$BM$28&lt;&gt;""),'Savings Projection'!$BM$19:$BM$28))*(1+'Model Inputs'!$B$36)^(J666-1)</f>
        <v>208611.83708284231</v>
      </c>
      <c r="AA666" s="230">
        <f t="shared" si="370"/>
        <v>701409.52791715763</v>
      </c>
      <c r="AB666" s="230">
        <f>MIN(MAX(AA666,0),'Tax Assumptions'!$B$20)</f>
        <v>7500</v>
      </c>
      <c r="AC666" s="230">
        <f t="shared" si="371"/>
        <v>693909.52791715763</v>
      </c>
      <c r="AD666" s="230">
        <f>MAX(AD665*(1+'Model Inputs'!$B$13)+AC666,0)</f>
        <v>18614700.028270621</v>
      </c>
      <c r="AE666" s="230">
        <f>MAX(AE665*(1+'Model Inputs'!$B$13)+U666+AB666,0)</f>
        <v>902812.15240896656</v>
      </c>
      <c r="AF666" s="230">
        <f t="shared" si="372"/>
        <v>19517512.180679586</v>
      </c>
      <c r="AG666" s="226" t="str">
        <f t="shared" si="381"/>
        <v/>
      </c>
      <c r="AH666" s="226" t="str">
        <f t="shared" si="382"/>
        <v/>
      </c>
      <c r="AI666" s="226" t="str">
        <f t="shared" si="383"/>
        <v/>
      </c>
      <c r="AJ666" s="226" t="str">
        <f t="shared" si="384"/>
        <v/>
      </c>
    </row>
    <row r="667" spans="1:36" ht="18" customHeight="1" x14ac:dyDescent="0.2">
      <c r="A667" s="226" t="str">
        <f t="shared" si="373"/>
        <v>5Y -&gt; PM Y8 Starter</v>
      </c>
      <c r="B667" s="226">
        <f t="shared" si="374"/>
        <v>5</v>
      </c>
      <c r="C667" s="235">
        <f t="shared" si="375"/>
        <v>3</v>
      </c>
      <c r="D667" s="226">
        <f t="shared" si="376"/>
        <v>8</v>
      </c>
      <c r="E667" s="226" t="str">
        <f t="shared" si="377"/>
        <v>Starter</v>
      </c>
      <c r="F667" s="230">
        <f t="shared" si="378"/>
        <v>10000000</v>
      </c>
      <c r="G667" s="236">
        <f t="shared" si="379"/>
        <v>0.15</v>
      </c>
      <c r="H667" s="230">
        <f t="shared" si="380"/>
        <v>300000</v>
      </c>
      <c r="I667" s="236">
        <f t="shared" si="363"/>
        <v>0</v>
      </c>
      <c r="J667" s="234">
        <v>18</v>
      </c>
      <c r="K667" s="234">
        <f t="shared" si="364"/>
        <v>2043</v>
      </c>
      <c r="L667" s="230">
        <f>IF(J667=1,'Model Inputs'!$B$25*(13-'Model Inputs'!$B$23)/12,'Model Inputs'!$B$25)</f>
        <v>300000</v>
      </c>
      <c r="M667" s="230">
        <f>IF(J667=1,'Model Inputs'!$B$27*(13-'Model Inputs'!$B$23)/12,IF(J667=2,'Model Inputs'!$B$27,IF(J667&lt;=MAX(3,'Model Inputs'!$B$30+1),'Model Inputs'!$B$27*(1+'Model Inputs'!$B$28)^(J667-3),'Model Inputs'!$B$27*(1+'Model Inputs'!$B$28)^(MAX(3,'Model Inputs'!$B$30+1)-3)*(1+'Model Inputs'!$B$29)^(J667-MAX(3,'Model Inputs'!$B$30+1)))))</f>
        <v>21432424.290875554</v>
      </c>
      <c r="N667" s="236">
        <f>IF(J667&lt;=2,0,'Model Inputs'!$B$32*SIN(2*PI()*(J667-3+'Model Inputs'!$B$34)/MAX(1,'Model Inputs'!$B$33)))</f>
        <v>-5.7328325735374245E-16</v>
      </c>
      <c r="O667" s="230">
        <f t="shared" si="365"/>
        <v>21432424.290875543</v>
      </c>
      <c r="P667" s="230">
        <f t="shared" si="385"/>
        <v>14995970.906855816</v>
      </c>
      <c r="Q667" s="230">
        <f>L667+P667+IF(J667=1,'Model Inputs'!$B$26,0)</f>
        <v>15295970.906855816</v>
      </c>
      <c r="R667" s="230">
        <f t="shared" si="366"/>
        <v>45887912.72056745</v>
      </c>
      <c r="S667" s="230">
        <f t="shared" si="367"/>
        <v>1800000</v>
      </c>
      <c r="T667" s="230">
        <f t="shared" si="368"/>
        <v>1800000</v>
      </c>
      <c r="U667" s="230">
        <f>MIN(T667,'Tax Assumptions'!$B$19)</f>
        <v>24500</v>
      </c>
      <c r="V667" s="230">
        <f>MAX(T667-U667-'Tax Assumptions'!$B$8,0)</f>
        <v>1759400</v>
      </c>
      <c r="W667" s="230">
        <f>MAX(T667-U667-'Tax Assumptions'!$B$9,0)</f>
        <v>1767500</v>
      </c>
      <c r="X667" s="230">
        <f>IF(V667=0,0,LOOKUP(V667,'Tax Assumptions'!$F$9:$F$15,'Tax Assumptions'!$I$9:$I$15)+(V667-LOOKUP(V667,'Tax Assumptions'!$F$9:$F$15,'Tax Assumptions'!$F$9:$F$15))*LOOKUP(V667,'Tax Assumptions'!$F$9:$F$15,'Tax Assumptions'!$H$9:$H$15))+MIN(MAX(T667,0),'Tax Assumptions'!$B$11)*'Tax Assumptions'!$B$10+MAX(T667,0)*'Tax Assumptions'!$B$12+MAX(MAX(T667,0)-'Tax Assumptions'!$B$14,0)*'Tax Assumptions'!$B$13+MIN(T667*'Tax Assumptions'!$B$15,'Tax Assumptions'!$B$16)+MIN(T667*'Tax Assumptions'!$B$17,'Tax Assumptions'!$B$18)+IF(W667=0,0,LOOKUP(W667,'Tax Assumptions'!$K$9:$K$17,'Tax Assumptions'!$N$9:$N$17)+(W667-LOOKUP(W667,'Tax Assumptions'!$K$9:$K$17,'Tax Assumptions'!$K$9:$K$17))*LOOKUP(W667,'Tax Assumptions'!$K$9:$K$17,'Tax Assumptions'!$M$9:$M$17))+IF(W667=0,0,LOOKUP(W667,'Tax Assumptions'!$P$9:$P$12,'Tax Assumptions'!$S$9:$S$12)+(W667-LOOKUP(W667,'Tax Assumptions'!$P$9:$P$12,'Tax Assumptions'!$P$9:$P$12))*LOOKUP(W667,'Tax Assumptions'!$P$9:$P$12,'Tax Assumptions'!$R$9:$R$12))</f>
        <v>865478.63500000001</v>
      </c>
      <c r="Y667" s="230">
        <f t="shared" si="369"/>
        <v>910021.36499999999</v>
      </c>
      <c r="Z667" s="230">
        <f>IF(J667&lt;=10,INDEX('Savings Projection'!$BL$19:$BL$28,J667),LOOKUP(2,1/('Savings Projection'!$BL$19:$BL$28&lt;&gt;""),'Savings Projection'!$BL$19:$BL$28))*(1+'Model Inputs'!$B$35)^(J667-1)+IF(J667&lt;=10,INDEX('Savings Projection'!$BM$19:$BM$28,J667),LOOKUP(2,1/('Savings Projection'!$BM$19:$BM$28&lt;&gt;""),'Savings Projection'!$BM$19:$BM$28))*(1+'Model Inputs'!$B$36)^(J667-1)</f>
        <v>214870.1921953276</v>
      </c>
      <c r="AA667" s="230">
        <f t="shared" si="370"/>
        <v>695151.17280467239</v>
      </c>
      <c r="AB667" s="230">
        <f>MIN(MAX(AA667,0),'Tax Assumptions'!$B$20)</f>
        <v>7500</v>
      </c>
      <c r="AC667" s="230">
        <f t="shared" si="371"/>
        <v>687651.17280467239</v>
      </c>
      <c r="AD667" s="230">
        <f>MAX(AD666*(1+'Model Inputs'!$B$13)+AC667,0)</f>
        <v>20419233.20277153</v>
      </c>
      <c r="AE667" s="230">
        <f>MAX(AE666*(1+'Model Inputs'!$B$13)+U667+AB667,0)</f>
        <v>988980.88155350462</v>
      </c>
      <c r="AF667" s="230">
        <f t="shared" si="372"/>
        <v>21408214.084325034</v>
      </c>
      <c r="AG667" s="226" t="str">
        <f t="shared" si="381"/>
        <v/>
      </c>
      <c r="AH667" s="226" t="str">
        <f t="shared" si="382"/>
        <v/>
      </c>
      <c r="AI667" s="226" t="str">
        <f t="shared" si="383"/>
        <v/>
      </c>
      <c r="AJ667" s="226">
        <f t="shared" si="384"/>
        <v>18</v>
      </c>
    </row>
    <row r="668" spans="1:36" ht="18" customHeight="1" x14ac:dyDescent="0.2">
      <c r="A668" s="226" t="str">
        <f t="shared" si="373"/>
        <v>5Y -&gt; PM Y8 Starter</v>
      </c>
      <c r="B668" s="226">
        <f t="shared" si="374"/>
        <v>5</v>
      </c>
      <c r="C668" s="235">
        <f t="shared" si="375"/>
        <v>3</v>
      </c>
      <c r="D668" s="226">
        <f t="shared" si="376"/>
        <v>8</v>
      </c>
      <c r="E668" s="226" t="str">
        <f t="shared" si="377"/>
        <v>Starter</v>
      </c>
      <c r="F668" s="230">
        <f t="shared" si="378"/>
        <v>10000000</v>
      </c>
      <c r="G668" s="236">
        <f t="shared" si="379"/>
        <v>0.15</v>
      </c>
      <c r="H668" s="230">
        <f t="shared" si="380"/>
        <v>300000</v>
      </c>
      <c r="I668" s="236">
        <f t="shared" si="363"/>
        <v>0</v>
      </c>
      <c r="J668" s="234">
        <v>19</v>
      </c>
      <c r="K668" s="234">
        <f t="shared" si="364"/>
        <v>2044</v>
      </c>
      <c r="L668" s="230">
        <f>IF(J668=1,'Model Inputs'!$B$25*(13-'Model Inputs'!$B$23)/12,'Model Inputs'!$B$25)</f>
        <v>300000</v>
      </c>
      <c r="M668" s="230">
        <f>IF(J668=1,'Model Inputs'!$B$27*(13-'Model Inputs'!$B$23)/12,IF(J668=2,'Model Inputs'!$B$27,IF(J668&lt;=MAX(3,'Model Inputs'!$B$30+1),'Model Inputs'!$B$27*(1+'Model Inputs'!$B$28)^(J668-3),'Model Inputs'!$B$27*(1+'Model Inputs'!$B$28)^(MAX(3,'Model Inputs'!$B$30+1)-3)*(1+'Model Inputs'!$B$29)^(J668-MAX(3,'Model Inputs'!$B$30+1)))))</f>
        <v>27237984.409717187</v>
      </c>
      <c r="N668" s="236">
        <f>IF(J668&lt;=2,0,'Model Inputs'!$B$32*SIN(2*PI()*(J668-3+'Model Inputs'!$B$34)/MAX(1,'Model Inputs'!$B$33)))</f>
        <v>0.10392304845413286</v>
      </c>
      <c r="O668" s="230">
        <f t="shared" si="365"/>
        <v>30068638.783321142</v>
      </c>
      <c r="P668" s="230">
        <f t="shared" si="385"/>
        <v>19852239.851888295</v>
      </c>
      <c r="Q668" s="230">
        <f>L668+P668+IF(J668=1,'Model Inputs'!$B$26,0)</f>
        <v>20152239.851888295</v>
      </c>
      <c r="R668" s="230">
        <f t="shared" si="366"/>
        <v>60456719.555664882</v>
      </c>
      <c r="S668" s="230">
        <f t="shared" si="367"/>
        <v>1800000</v>
      </c>
      <c r="T668" s="230">
        <f t="shared" si="368"/>
        <v>1800000</v>
      </c>
      <c r="U668" s="230">
        <f>MIN(T668,'Tax Assumptions'!$B$19)</f>
        <v>24500</v>
      </c>
      <c r="V668" s="230">
        <f>MAX(T668-U668-'Tax Assumptions'!$B$8,0)</f>
        <v>1759400</v>
      </c>
      <c r="W668" s="230">
        <f>MAX(T668-U668-'Tax Assumptions'!$B$9,0)</f>
        <v>1767500</v>
      </c>
      <c r="X668" s="230">
        <f>IF(V668=0,0,LOOKUP(V668,'Tax Assumptions'!$F$9:$F$15,'Tax Assumptions'!$I$9:$I$15)+(V668-LOOKUP(V668,'Tax Assumptions'!$F$9:$F$15,'Tax Assumptions'!$F$9:$F$15))*LOOKUP(V668,'Tax Assumptions'!$F$9:$F$15,'Tax Assumptions'!$H$9:$H$15))+MIN(MAX(T668,0),'Tax Assumptions'!$B$11)*'Tax Assumptions'!$B$10+MAX(T668,0)*'Tax Assumptions'!$B$12+MAX(MAX(T668,0)-'Tax Assumptions'!$B$14,0)*'Tax Assumptions'!$B$13+MIN(T668*'Tax Assumptions'!$B$15,'Tax Assumptions'!$B$16)+MIN(T668*'Tax Assumptions'!$B$17,'Tax Assumptions'!$B$18)+IF(W668=0,0,LOOKUP(W668,'Tax Assumptions'!$K$9:$K$17,'Tax Assumptions'!$N$9:$N$17)+(W668-LOOKUP(W668,'Tax Assumptions'!$K$9:$K$17,'Tax Assumptions'!$K$9:$K$17))*LOOKUP(W668,'Tax Assumptions'!$K$9:$K$17,'Tax Assumptions'!$M$9:$M$17))+IF(W668=0,0,LOOKUP(W668,'Tax Assumptions'!$P$9:$P$12,'Tax Assumptions'!$S$9:$S$12)+(W668-LOOKUP(W668,'Tax Assumptions'!$P$9:$P$12,'Tax Assumptions'!$P$9:$P$12))*LOOKUP(W668,'Tax Assumptions'!$P$9:$P$12,'Tax Assumptions'!$R$9:$R$12))</f>
        <v>865478.63500000001</v>
      </c>
      <c r="Y668" s="230">
        <f t="shared" si="369"/>
        <v>910021.36499999999</v>
      </c>
      <c r="Z668" s="230">
        <f>IF(J668&lt;=10,INDEX('Savings Projection'!$BL$19:$BL$28,J668),LOOKUP(2,1/('Savings Projection'!$BL$19:$BL$28&lt;&gt;""),'Savings Projection'!$BL$19:$BL$28))*(1+'Model Inputs'!$B$35)^(J668-1)+IF(J668&lt;=10,INDEX('Savings Projection'!$BM$19:$BM$28,J668),LOOKUP(2,1/('Savings Projection'!$BM$19:$BM$28&lt;&gt;""),'Savings Projection'!$BM$19:$BM$28))*(1+'Model Inputs'!$B$36)^(J668-1)</f>
        <v>221316.29796118743</v>
      </c>
      <c r="AA668" s="230">
        <f t="shared" si="370"/>
        <v>688705.06703881256</v>
      </c>
      <c r="AB668" s="230">
        <f>MIN(MAX(AA668,0),'Tax Assumptions'!$B$20)</f>
        <v>7500</v>
      </c>
      <c r="AC668" s="230">
        <f t="shared" si="371"/>
        <v>681205.06703881256</v>
      </c>
      <c r="AD668" s="230">
        <f>MAX(AD667*(1+'Model Inputs'!$B$13)+AC668,0)</f>
        <v>22325592.261976633</v>
      </c>
      <c r="AE668" s="230">
        <f>MAX(AE667*(1+'Model Inputs'!$B$13)+U668+AB668,0)</f>
        <v>1080319.7344467151</v>
      </c>
      <c r="AF668" s="230">
        <f t="shared" si="372"/>
        <v>23405911.996423349</v>
      </c>
      <c r="AG668" s="226" t="str">
        <f t="shared" si="381"/>
        <v/>
      </c>
      <c r="AH668" s="226" t="str">
        <f t="shared" si="382"/>
        <v/>
      </c>
      <c r="AI668" s="226" t="str">
        <f t="shared" si="383"/>
        <v/>
      </c>
      <c r="AJ668" s="226" t="str">
        <f t="shared" si="384"/>
        <v/>
      </c>
    </row>
    <row r="669" spans="1:36" ht="18" customHeight="1" x14ac:dyDescent="0.2">
      <c r="A669" s="226" t="str">
        <f t="shared" si="373"/>
        <v>5Y -&gt; PM Y8 Starter</v>
      </c>
      <c r="B669" s="226">
        <f t="shared" si="374"/>
        <v>5</v>
      </c>
      <c r="C669" s="235">
        <f t="shared" si="375"/>
        <v>3</v>
      </c>
      <c r="D669" s="226">
        <f t="shared" si="376"/>
        <v>8</v>
      </c>
      <c r="E669" s="226" t="str">
        <f t="shared" si="377"/>
        <v>Starter</v>
      </c>
      <c r="F669" s="230">
        <f t="shared" si="378"/>
        <v>10000000</v>
      </c>
      <c r="G669" s="236">
        <f t="shared" si="379"/>
        <v>0.15</v>
      </c>
      <c r="H669" s="230">
        <f t="shared" si="380"/>
        <v>300000</v>
      </c>
      <c r="I669" s="236">
        <f t="shared" si="363"/>
        <v>0</v>
      </c>
      <c r="J669" s="234">
        <v>20</v>
      </c>
      <c r="K669" s="234">
        <f t="shared" si="364"/>
        <v>2045</v>
      </c>
      <c r="L669" s="230">
        <f>IF(J669=1,'Model Inputs'!$B$25*(13-'Model Inputs'!$B$23)/12,'Model Inputs'!$B$25)</f>
        <v>300000</v>
      </c>
      <c r="M669" s="230">
        <f>IF(J669=1,'Model Inputs'!$B$27*(13-'Model Inputs'!$B$23)/12,IF(J669=2,'Model Inputs'!$B$27,IF(J669&lt;=MAX(3,'Model Inputs'!$B$30+1),'Model Inputs'!$B$27*(1+'Model Inputs'!$B$28)^(J669-3),'Model Inputs'!$B$27*(1+'Model Inputs'!$B$28)^(MAX(3,'Model Inputs'!$B$30+1)-3)*(1+'Model Inputs'!$B$29)^(J669-MAX(3,'Model Inputs'!$B$30+1)))))</f>
        <v>34616139.762586243</v>
      </c>
      <c r="N669" s="236">
        <f>IF(J669&lt;=2,0,'Model Inputs'!$B$32*SIN(2*PI()*(J669-3+'Model Inputs'!$B$34)/MAX(1,'Model Inputs'!$B$33)))</f>
        <v>-0.10392304845413269</v>
      </c>
      <c r="O669" s="230">
        <f t="shared" si="365"/>
        <v>31018724.992743965</v>
      </c>
      <c r="P669" s="230">
        <f t="shared" si="385"/>
        <v>27909585.160209741</v>
      </c>
      <c r="Q669" s="230">
        <f>L669+P669+IF(J669=1,'Model Inputs'!$B$26,0)</f>
        <v>28209585.160209741</v>
      </c>
      <c r="R669" s="230">
        <f t="shared" si="366"/>
        <v>84628755.480629221</v>
      </c>
      <c r="S669" s="230">
        <f t="shared" si="367"/>
        <v>1800000</v>
      </c>
      <c r="T669" s="230">
        <f t="shared" si="368"/>
        <v>1800000</v>
      </c>
      <c r="U669" s="230">
        <f>MIN(T669,'Tax Assumptions'!$B$19)</f>
        <v>24500</v>
      </c>
      <c r="V669" s="230">
        <f>MAX(T669-U669-'Tax Assumptions'!$B$8,0)</f>
        <v>1759400</v>
      </c>
      <c r="W669" s="230">
        <f>MAX(T669-U669-'Tax Assumptions'!$B$9,0)</f>
        <v>1767500</v>
      </c>
      <c r="X669" s="230">
        <f>IF(V669=0,0,LOOKUP(V669,'Tax Assumptions'!$F$9:$F$15,'Tax Assumptions'!$I$9:$I$15)+(V669-LOOKUP(V669,'Tax Assumptions'!$F$9:$F$15,'Tax Assumptions'!$F$9:$F$15))*LOOKUP(V669,'Tax Assumptions'!$F$9:$F$15,'Tax Assumptions'!$H$9:$H$15))+MIN(MAX(T669,0),'Tax Assumptions'!$B$11)*'Tax Assumptions'!$B$10+MAX(T669,0)*'Tax Assumptions'!$B$12+MAX(MAX(T669,0)-'Tax Assumptions'!$B$14,0)*'Tax Assumptions'!$B$13+MIN(T669*'Tax Assumptions'!$B$15,'Tax Assumptions'!$B$16)+MIN(T669*'Tax Assumptions'!$B$17,'Tax Assumptions'!$B$18)+IF(W669=0,0,LOOKUP(W669,'Tax Assumptions'!$K$9:$K$17,'Tax Assumptions'!$N$9:$N$17)+(W669-LOOKUP(W669,'Tax Assumptions'!$K$9:$K$17,'Tax Assumptions'!$K$9:$K$17))*LOOKUP(W669,'Tax Assumptions'!$K$9:$K$17,'Tax Assumptions'!$M$9:$M$17))+IF(W669=0,0,LOOKUP(W669,'Tax Assumptions'!$P$9:$P$12,'Tax Assumptions'!$S$9:$S$12)+(W669-LOOKUP(W669,'Tax Assumptions'!$P$9:$P$12,'Tax Assumptions'!$P$9:$P$12))*LOOKUP(W669,'Tax Assumptions'!$P$9:$P$12,'Tax Assumptions'!$R$9:$R$12))</f>
        <v>865478.63500000001</v>
      </c>
      <c r="Y669" s="230">
        <f t="shared" si="369"/>
        <v>910021.36499999999</v>
      </c>
      <c r="Z669" s="230">
        <f>IF(J669&lt;=10,INDEX('Savings Projection'!$BL$19:$BL$28,J669),LOOKUP(2,1/('Savings Projection'!$BL$19:$BL$28&lt;&gt;""),'Savings Projection'!$BL$19:$BL$28))*(1+'Model Inputs'!$B$35)^(J669-1)+IF(J669&lt;=10,INDEX('Savings Projection'!$BM$19:$BM$28,J669),LOOKUP(2,1/('Savings Projection'!$BM$19:$BM$28&lt;&gt;""),'Savings Projection'!$BM$19:$BM$28))*(1+'Model Inputs'!$B$36)^(J669-1)</f>
        <v>227955.78690002306</v>
      </c>
      <c r="AA669" s="230">
        <f t="shared" si="370"/>
        <v>682065.57809997699</v>
      </c>
      <c r="AB669" s="230">
        <f>MIN(MAX(AA669,0),'Tax Assumptions'!$B$20)</f>
        <v>7500</v>
      </c>
      <c r="AC669" s="230">
        <f t="shared" si="371"/>
        <v>674565.57809997699</v>
      </c>
      <c r="AD669" s="230">
        <f>MAX(AD668*(1+'Model Inputs'!$B$13)+AC669,0)</f>
        <v>24339693.375795208</v>
      </c>
      <c r="AE669" s="230">
        <f>MAX(AE668*(1+'Model Inputs'!$B$13)+U669+AB669,0)</f>
        <v>1177138.9185135181</v>
      </c>
      <c r="AF669" s="230">
        <f t="shared" si="372"/>
        <v>25516832.294308726</v>
      </c>
      <c r="AG669" s="226" t="str">
        <f t="shared" si="381"/>
        <v/>
      </c>
      <c r="AH669" s="226" t="str">
        <f t="shared" si="382"/>
        <v/>
      </c>
      <c r="AI669" s="226" t="str">
        <f t="shared" si="383"/>
        <v/>
      </c>
      <c r="AJ669" s="226" t="str">
        <f t="shared" si="384"/>
        <v/>
      </c>
    </row>
    <row r="670" spans="1:36" ht="18" customHeight="1" x14ac:dyDescent="0.2">
      <c r="A670" s="226" t="str">
        <f t="shared" si="373"/>
        <v>5Y -&gt; PM Y8 Starter</v>
      </c>
      <c r="B670" s="226">
        <f t="shared" si="374"/>
        <v>5</v>
      </c>
      <c r="C670" s="235">
        <f t="shared" si="375"/>
        <v>3</v>
      </c>
      <c r="D670" s="226">
        <f t="shared" si="376"/>
        <v>8</v>
      </c>
      <c r="E670" s="226" t="str">
        <f t="shared" si="377"/>
        <v>Starter</v>
      </c>
      <c r="F670" s="230">
        <f t="shared" si="378"/>
        <v>10000000</v>
      </c>
      <c r="G670" s="236">
        <f t="shared" si="379"/>
        <v>0.15</v>
      </c>
      <c r="H670" s="230">
        <f t="shared" si="380"/>
        <v>300000</v>
      </c>
      <c r="I670" s="236">
        <f t="shared" si="363"/>
        <v>0</v>
      </c>
      <c r="J670" s="234">
        <v>21</v>
      </c>
      <c r="K670" s="234">
        <f t="shared" si="364"/>
        <v>2046</v>
      </c>
      <c r="L670" s="230">
        <f>IF(J670=1,'Model Inputs'!$B$25*(13-'Model Inputs'!$B$23)/12,'Model Inputs'!$B$25)</f>
        <v>300000</v>
      </c>
      <c r="M670" s="230">
        <f>IF(J670=1,'Model Inputs'!$B$27*(13-'Model Inputs'!$B$23)/12,IF(J670=2,'Model Inputs'!$B$27,IF(J670&lt;=MAX(3,'Model Inputs'!$B$30+1),'Model Inputs'!$B$27*(1+'Model Inputs'!$B$28)^(J670-3),'Model Inputs'!$B$27*(1+'Model Inputs'!$B$28)^(MAX(3,'Model Inputs'!$B$30+1)-3)*(1+'Model Inputs'!$B$29)^(J670-MAX(3,'Model Inputs'!$B$30+1)))))</f>
        <v>43992870.912849829</v>
      </c>
      <c r="N670" s="236">
        <f>IF(J670&lt;=2,0,'Model Inputs'!$B$32*SIN(2*PI()*(J670-3+'Model Inputs'!$B$34)/MAX(1,'Model Inputs'!$B$33)))</f>
        <v>-1.7634913907721884E-16</v>
      </c>
      <c r="O670" s="230">
        <f t="shared" si="365"/>
        <v>43992870.912849821</v>
      </c>
      <c r="P670" s="230">
        <f t="shared" si="385"/>
        <v>30781203.440388259</v>
      </c>
      <c r="Q670" s="230">
        <f>L670+P670+IF(J670=1,'Model Inputs'!$B$26,0)</f>
        <v>31081203.440388259</v>
      </c>
      <c r="R670" s="230">
        <f t="shared" si="366"/>
        <v>93243610.321164772</v>
      </c>
      <c r="S670" s="230">
        <f t="shared" si="367"/>
        <v>1800000</v>
      </c>
      <c r="T670" s="230">
        <f t="shared" si="368"/>
        <v>1800000</v>
      </c>
      <c r="U670" s="230">
        <f>MIN(T670,'Tax Assumptions'!$B$19)</f>
        <v>24500</v>
      </c>
      <c r="V670" s="230">
        <f>MAX(T670-U670-'Tax Assumptions'!$B$8,0)</f>
        <v>1759400</v>
      </c>
      <c r="W670" s="230">
        <f>MAX(T670-U670-'Tax Assumptions'!$B$9,0)</f>
        <v>1767500</v>
      </c>
      <c r="X670" s="230">
        <f>IF(V670=0,0,LOOKUP(V670,'Tax Assumptions'!$F$9:$F$15,'Tax Assumptions'!$I$9:$I$15)+(V670-LOOKUP(V670,'Tax Assumptions'!$F$9:$F$15,'Tax Assumptions'!$F$9:$F$15))*LOOKUP(V670,'Tax Assumptions'!$F$9:$F$15,'Tax Assumptions'!$H$9:$H$15))+MIN(MAX(T670,0),'Tax Assumptions'!$B$11)*'Tax Assumptions'!$B$10+MAX(T670,0)*'Tax Assumptions'!$B$12+MAX(MAX(T670,0)-'Tax Assumptions'!$B$14,0)*'Tax Assumptions'!$B$13+MIN(T670*'Tax Assumptions'!$B$15,'Tax Assumptions'!$B$16)+MIN(T670*'Tax Assumptions'!$B$17,'Tax Assumptions'!$B$18)+IF(W670=0,0,LOOKUP(W670,'Tax Assumptions'!$K$9:$K$17,'Tax Assumptions'!$N$9:$N$17)+(W670-LOOKUP(W670,'Tax Assumptions'!$K$9:$K$17,'Tax Assumptions'!$K$9:$K$17))*LOOKUP(W670,'Tax Assumptions'!$K$9:$K$17,'Tax Assumptions'!$M$9:$M$17))+IF(W670=0,0,LOOKUP(W670,'Tax Assumptions'!$P$9:$P$12,'Tax Assumptions'!$S$9:$S$12)+(W670-LOOKUP(W670,'Tax Assumptions'!$P$9:$P$12,'Tax Assumptions'!$P$9:$P$12))*LOOKUP(W670,'Tax Assumptions'!$P$9:$P$12,'Tax Assumptions'!$R$9:$R$12))</f>
        <v>865478.63500000001</v>
      </c>
      <c r="Y670" s="230">
        <f t="shared" si="369"/>
        <v>910021.36499999999</v>
      </c>
      <c r="Z670" s="230">
        <f>IF(J670&lt;=10,INDEX('Savings Projection'!$BL$19:$BL$28,J670),LOOKUP(2,1/('Savings Projection'!$BL$19:$BL$28&lt;&gt;""),'Savings Projection'!$BL$19:$BL$28))*(1+'Model Inputs'!$B$35)^(J670-1)+IF(J670&lt;=10,INDEX('Savings Projection'!$BM$19:$BM$28,J670),LOOKUP(2,1/('Savings Projection'!$BM$19:$BM$28&lt;&gt;""),'Savings Projection'!$BM$19:$BM$28))*(1+'Model Inputs'!$B$36)^(J670-1)</f>
        <v>234794.46050702373</v>
      </c>
      <c r="AA670" s="230">
        <f t="shared" si="370"/>
        <v>675226.90449297626</v>
      </c>
      <c r="AB670" s="230">
        <f>MIN(MAX(AA670,0),'Tax Assumptions'!$B$20)</f>
        <v>7500</v>
      </c>
      <c r="AC670" s="230">
        <f t="shared" si="371"/>
        <v>667726.90449297626</v>
      </c>
      <c r="AD670" s="230">
        <f>MAX(AD669*(1+'Model Inputs'!$B$13)+AC670,0)</f>
        <v>26467801.882835899</v>
      </c>
      <c r="AE670" s="230">
        <f>MAX(AE669*(1+'Model Inputs'!$B$13)+U670+AB670,0)</f>
        <v>1279767.2536243291</v>
      </c>
      <c r="AF670" s="230">
        <f t="shared" si="372"/>
        <v>27747569.136460226</v>
      </c>
      <c r="AG670" s="226" t="str">
        <f t="shared" si="381"/>
        <v/>
      </c>
      <c r="AH670" s="226" t="str">
        <f t="shared" si="382"/>
        <v/>
      </c>
      <c r="AI670" s="226" t="str">
        <f t="shared" si="383"/>
        <v/>
      </c>
      <c r="AJ670" s="226" t="str">
        <f t="shared" si="384"/>
        <v/>
      </c>
    </row>
    <row r="671" spans="1:36" ht="18" customHeight="1" x14ac:dyDescent="0.2">
      <c r="A671" s="226" t="str">
        <f t="shared" si="373"/>
        <v>5Y -&gt; PM Y8 Starter</v>
      </c>
      <c r="B671" s="226">
        <f t="shared" si="374"/>
        <v>5</v>
      </c>
      <c r="C671" s="235">
        <f t="shared" si="375"/>
        <v>3</v>
      </c>
      <c r="D671" s="226">
        <f t="shared" si="376"/>
        <v>8</v>
      </c>
      <c r="E671" s="226" t="str">
        <f t="shared" si="377"/>
        <v>Starter</v>
      </c>
      <c r="F671" s="230">
        <f t="shared" si="378"/>
        <v>10000000</v>
      </c>
      <c r="G671" s="236">
        <f t="shared" si="379"/>
        <v>0.15</v>
      </c>
      <c r="H671" s="230">
        <f t="shared" si="380"/>
        <v>300000</v>
      </c>
      <c r="I671" s="236">
        <f t="shared" si="363"/>
        <v>0</v>
      </c>
      <c r="J671" s="234">
        <v>22</v>
      </c>
      <c r="K671" s="234">
        <f t="shared" si="364"/>
        <v>2047</v>
      </c>
      <c r="L671" s="230">
        <f>IF(J671=1,'Model Inputs'!$B$25*(13-'Model Inputs'!$B$23)/12,'Model Inputs'!$B$25)</f>
        <v>300000</v>
      </c>
      <c r="M671" s="230">
        <f>IF(J671=1,'Model Inputs'!$B$27*(13-'Model Inputs'!$B$23)/12,IF(J671=2,'Model Inputs'!$B$27,IF(J671&lt;=MAX(3,'Model Inputs'!$B$30+1),'Model Inputs'!$B$27*(1+'Model Inputs'!$B$28)^(J671-3),'Model Inputs'!$B$27*(1+'Model Inputs'!$B$28)^(MAX(3,'Model Inputs'!$B$30+1)-3)*(1+'Model Inputs'!$B$29)^(J671-MAX(3,'Model Inputs'!$B$30+1)))))</f>
        <v>55909546.9462616</v>
      </c>
      <c r="N671" s="236">
        <f>IF(J671&lt;=2,0,'Model Inputs'!$B$32*SIN(2*PI()*(J671-3+'Model Inputs'!$B$34)/MAX(1,'Model Inputs'!$B$33)))</f>
        <v>0.10392304845413287</v>
      </c>
      <c r="O671" s="230">
        <f t="shared" si="365"/>
        <v>61719837.502606563</v>
      </c>
      <c r="P671" s="230">
        <f t="shared" si="385"/>
        <v>40749334.43282336</v>
      </c>
      <c r="Q671" s="230">
        <f>L671+P671+IF(J671=1,'Model Inputs'!$B$26,0)</f>
        <v>41049334.43282336</v>
      </c>
      <c r="R671" s="230">
        <f t="shared" si="366"/>
        <v>123148003.29847008</v>
      </c>
      <c r="S671" s="230">
        <f t="shared" si="367"/>
        <v>1800000</v>
      </c>
      <c r="T671" s="230">
        <f t="shared" si="368"/>
        <v>1800000</v>
      </c>
      <c r="U671" s="230">
        <f>MIN(T671,'Tax Assumptions'!$B$19)</f>
        <v>24500</v>
      </c>
      <c r="V671" s="230">
        <f>MAX(T671-U671-'Tax Assumptions'!$B$8,0)</f>
        <v>1759400</v>
      </c>
      <c r="W671" s="230">
        <f>MAX(T671-U671-'Tax Assumptions'!$B$9,0)</f>
        <v>1767500</v>
      </c>
      <c r="X671" s="230">
        <f>IF(V671=0,0,LOOKUP(V671,'Tax Assumptions'!$F$9:$F$15,'Tax Assumptions'!$I$9:$I$15)+(V671-LOOKUP(V671,'Tax Assumptions'!$F$9:$F$15,'Tax Assumptions'!$F$9:$F$15))*LOOKUP(V671,'Tax Assumptions'!$F$9:$F$15,'Tax Assumptions'!$H$9:$H$15))+MIN(MAX(T671,0),'Tax Assumptions'!$B$11)*'Tax Assumptions'!$B$10+MAX(T671,0)*'Tax Assumptions'!$B$12+MAX(MAX(T671,0)-'Tax Assumptions'!$B$14,0)*'Tax Assumptions'!$B$13+MIN(T671*'Tax Assumptions'!$B$15,'Tax Assumptions'!$B$16)+MIN(T671*'Tax Assumptions'!$B$17,'Tax Assumptions'!$B$18)+IF(W671=0,0,LOOKUP(W671,'Tax Assumptions'!$K$9:$K$17,'Tax Assumptions'!$N$9:$N$17)+(W671-LOOKUP(W671,'Tax Assumptions'!$K$9:$K$17,'Tax Assumptions'!$K$9:$K$17))*LOOKUP(W671,'Tax Assumptions'!$K$9:$K$17,'Tax Assumptions'!$M$9:$M$17))+IF(W671=0,0,LOOKUP(W671,'Tax Assumptions'!$P$9:$P$12,'Tax Assumptions'!$S$9:$S$12)+(W671-LOOKUP(W671,'Tax Assumptions'!$P$9:$P$12,'Tax Assumptions'!$P$9:$P$12))*LOOKUP(W671,'Tax Assumptions'!$P$9:$P$12,'Tax Assumptions'!$R$9:$R$12))</f>
        <v>865478.63500000001</v>
      </c>
      <c r="Y671" s="230">
        <f t="shared" si="369"/>
        <v>910021.36499999999</v>
      </c>
      <c r="Z671" s="230">
        <f>IF(J671&lt;=10,INDEX('Savings Projection'!$BL$19:$BL$28,J671),LOOKUP(2,1/('Savings Projection'!$BL$19:$BL$28&lt;&gt;""),'Savings Projection'!$BL$19:$BL$28))*(1+'Model Inputs'!$B$35)^(J671-1)+IF(J671&lt;=10,INDEX('Savings Projection'!$BM$19:$BM$28,J671),LOOKUP(2,1/('Savings Projection'!$BM$19:$BM$28&lt;&gt;""),'Savings Projection'!$BM$19:$BM$28))*(1+'Model Inputs'!$B$36)^(J671-1)</f>
        <v>241838.2943222344</v>
      </c>
      <c r="AA671" s="230">
        <f t="shared" si="370"/>
        <v>668183.07067776565</v>
      </c>
      <c r="AB671" s="230">
        <f>MIN(MAX(AA671,0),'Tax Assumptions'!$B$20)</f>
        <v>7500</v>
      </c>
      <c r="AC671" s="230">
        <f t="shared" si="371"/>
        <v>660683.07067776565</v>
      </c>
      <c r="AD671" s="230">
        <f>MAX(AD670*(1+'Model Inputs'!$B$13)+AC671,0)</f>
        <v>28716553.066483818</v>
      </c>
      <c r="AE671" s="230">
        <f>MAX(AE670*(1+'Model Inputs'!$B$13)+U671+AB671,0)</f>
        <v>1388553.2888417889</v>
      </c>
      <c r="AF671" s="230">
        <f t="shared" si="372"/>
        <v>30105106.355325606</v>
      </c>
      <c r="AG671" s="226" t="str">
        <f t="shared" si="381"/>
        <v/>
      </c>
      <c r="AH671" s="226" t="str">
        <f t="shared" si="382"/>
        <v/>
      </c>
      <c r="AI671" s="226" t="str">
        <f t="shared" si="383"/>
        <v/>
      </c>
      <c r="AJ671" s="226" t="str">
        <f t="shared" si="384"/>
        <v/>
      </c>
    </row>
    <row r="672" spans="1:36" ht="18" customHeight="1" x14ac:dyDescent="0.2">
      <c r="A672" s="226" t="str">
        <f t="shared" si="373"/>
        <v>5Y -&gt; PM Y8 Starter</v>
      </c>
      <c r="B672" s="226">
        <f t="shared" si="374"/>
        <v>5</v>
      </c>
      <c r="C672" s="235">
        <f t="shared" si="375"/>
        <v>3</v>
      </c>
      <c r="D672" s="226">
        <f t="shared" si="376"/>
        <v>8</v>
      </c>
      <c r="E672" s="226" t="str">
        <f t="shared" si="377"/>
        <v>Starter</v>
      </c>
      <c r="F672" s="230">
        <f t="shared" si="378"/>
        <v>10000000</v>
      </c>
      <c r="G672" s="236">
        <f t="shared" si="379"/>
        <v>0.15</v>
      </c>
      <c r="H672" s="230">
        <f t="shared" si="380"/>
        <v>300000</v>
      </c>
      <c r="I672" s="236">
        <f t="shared" si="363"/>
        <v>0</v>
      </c>
      <c r="J672" s="234">
        <v>23</v>
      </c>
      <c r="K672" s="234">
        <f t="shared" si="364"/>
        <v>2048</v>
      </c>
      <c r="L672" s="230">
        <f>IF(J672=1,'Model Inputs'!$B$25*(13-'Model Inputs'!$B$23)/12,'Model Inputs'!$B$25)</f>
        <v>300000</v>
      </c>
      <c r="M672" s="230">
        <f>IF(J672=1,'Model Inputs'!$B$27*(13-'Model Inputs'!$B$23)/12,IF(J672=2,'Model Inputs'!$B$27,IF(J672&lt;=MAX(3,'Model Inputs'!$B$30+1),'Model Inputs'!$B$27*(1+'Model Inputs'!$B$28)^(J672-3),'Model Inputs'!$B$27*(1+'Model Inputs'!$B$28)^(MAX(3,'Model Inputs'!$B$30+1)-3)*(1+'Model Inputs'!$B$29)^(J672-MAX(3,'Model Inputs'!$B$30+1)))))</f>
        <v>71054181.617940187</v>
      </c>
      <c r="N672" s="236">
        <f>IF(J672&lt;=2,0,'Model Inputs'!$B$32*SIN(2*PI()*(J672-3+'Model Inputs'!$B$34)/MAX(1,'Model Inputs'!$B$33)))</f>
        <v>-0.10392304845413268</v>
      </c>
      <c r="O672" s="230">
        <f t="shared" si="365"/>
        <v>63670014.458790243</v>
      </c>
      <c r="P672" s="230">
        <f t="shared" si="385"/>
        <v>57288095.855167374</v>
      </c>
      <c r="Q672" s="230">
        <f>L672+P672+IF(J672=1,'Model Inputs'!$B$26,0)</f>
        <v>57588095.855167374</v>
      </c>
      <c r="R672" s="230">
        <f t="shared" si="366"/>
        <v>172764287.56550211</v>
      </c>
      <c r="S672" s="230">
        <f t="shared" si="367"/>
        <v>1800000</v>
      </c>
      <c r="T672" s="230">
        <f t="shared" si="368"/>
        <v>1800000</v>
      </c>
      <c r="U672" s="230">
        <f>MIN(T672,'Tax Assumptions'!$B$19)</f>
        <v>24500</v>
      </c>
      <c r="V672" s="230">
        <f>MAX(T672-U672-'Tax Assumptions'!$B$8,0)</f>
        <v>1759400</v>
      </c>
      <c r="W672" s="230">
        <f>MAX(T672-U672-'Tax Assumptions'!$B$9,0)</f>
        <v>1767500</v>
      </c>
      <c r="X672" s="230">
        <f>IF(V672=0,0,LOOKUP(V672,'Tax Assumptions'!$F$9:$F$15,'Tax Assumptions'!$I$9:$I$15)+(V672-LOOKUP(V672,'Tax Assumptions'!$F$9:$F$15,'Tax Assumptions'!$F$9:$F$15))*LOOKUP(V672,'Tax Assumptions'!$F$9:$F$15,'Tax Assumptions'!$H$9:$H$15))+MIN(MAX(T672,0),'Tax Assumptions'!$B$11)*'Tax Assumptions'!$B$10+MAX(T672,0)*'Tax Assumptions'!$B$12+MAX(MAX(T672,0)-'Tax Assumptions'!$B$14,0)*'Tax Assumptions'!$B$13+MIN(T672*'Tax Assumptions'!$B$15,'Tax Assumptions'!$B$16)+MIN(T672*'Tax Assumptions'!$B$17,'Tax Assumptions'!$B$18)+IF(W672=0,0,LOOKUP(W672,'Tax Assumptions'!$K$9:$K$17,'Tax Assumptions'!$N$9:$N$17)+(W672-LOOKUP(W672,'Tax Assumptions'!$K$9:$K$17,'Tax Assumptions'!$K$9:$K$17))*LOOKUP(W672,'Tax Assumptions'!$K$9:$K$17,'Tax Assumptions'!$M$9:$M$17))+IF(W672=0,0,LOOKUP(W672,'Tax Assumptions'!$P$9:$P$12,'Tax Assumptions'!$S$9:$S$12)+(W672-LOOKUP(W672,'Tax Assumptions'!$P$9:$P$12,'Tax Assumptions'!$P$9:$P$12))*LOOKUP(W672,'Tax Assumptions'!$P$9:$P$12,'Tax Assumptions'!$R$9:$R$12))</f>
        <v>865478.63500000001</v>
      </c>
      <c r="Y672" s="230">
        <f t="shared" si="369"/>
        <v>910021.36499999999</v>
      </c>
      <c r="Z672" s="230">
        <f>IF(J672&lt;=10,INDEX('Savings Projection'!$BL$19:$BL$28,J672),LOOKUP(2,1/('Savings Projection'!$BL$19:$BL$28&lt;&gt;""),'Savings Projection'!$BL$19:$BL$28))*(1+'Model Inputs'!$B$35)^(J672-1)+IF(J672&lt;=10,INDEX('Savings Projection'!$BM$19:$BM$28,J672),LOOKUP(2,1/('Savings Projection'!$BM$19:$BM$28&lt;&gt;""),'Savings Projection'!$BM$19:$BM$28))*(1+'Model Inputs'!$B$36)^(J672-1)</f>
        <v>249093.44315190148</v>
      </c>
      <c r="AA672" s="230">
        <f t="shared" si="370"/>
        <v>660927.92184809851</v>
      </c>
      <c r="AB672" s="230">
        <f>MIN(MAX(AA672,0),'Tax Assumptions'!$B$20)</f>
        <v>7500</v>
      </c>
      <c r="AC672" s="230">
        <f t="shared" si="371"/>
        <v>653427.92184809851</v>
      </c>
      <c r="AD672" s="230">
        <f>MAX(AD671*(1+'Model Inputs'!$B$13)+AC672,0)</f>
        <v>31092974.172320947</v>
      </c>
      <c r="AE672" s="230">
        <f>MAX(AE671*(1+'Model Inputs'!$B$13)+U672+AB672,0)</f>
        <v>1503866.4861722963</v>
      </c>
      <c r="AF672" s="230">
        <f t="shared" si="372"/>
        <v>32596840.658493243</v>
      </c>
      <c r="AG672" s="226" t="str">
        <f t="shared" si="381"/>
        <v/>
      </c>
      <c r="AH672" s="226" t="str">
        <f t="shared" si="382"/>
        <v/>
      </c>
      <c r="AI672" s="226" t="str">
        <f t="shared" si="383"/>
        <v/>
      </c>
      <c r="AJ672" s="226" t="str">
        <f t="shared" si="384"/>
        <v/>
      </c>
    </row>
    <row r="673" spans="1:36" ht="18" customHeight="1" x14ac:dyDescent="0.2">
      <c r="A673" s="226" t="str">
        <f t="shared" si="373"/>
        <v>5Y -&gt; PM Y8 Starter</v>
      </c>
      <c r="B673" s="226">
        <f t="shared" si="374"/>
        <v>5</v>
      </c>
      <c r="C673" s="235">
        <f t="shared" si="375"/>
        <v>3</v>
      </c>
      <c r="D673" s="226">
        <f t="shared" si="376"/>
        <v>8</v>
      </c>
      <c r="E673" s="226" t="str">
        <f t="shared" si="377"/>
        <v>Starter</v>
      </c>
      <c r="F673" s="230">
        <f t="shared" si="378"/>
        <v>10000000</v>
      </c>
      <c r="G673" s="236">
        <f t="shared" si="379"/>
        <v>0.15</v>
      </c>
      <c r="H673" s="230">
        <f t="shared" si="380"/>
        <v>300000</v>
      </c>
      <c r="I673" s="236">
        <f t="shared" si="363"/>
        <v>0</v>
      </c>
      <c r="J673" s="234">
        <v>24</v>
      </c>
      <c r="K673" s="234">
        <f t="shared" si="364"/>
        <v>2049</v>
      </c>
      <c r="L673" s="230">
        <f>IF(J673=1,'Model Inputs'!$B$25*(13-'Model Inputs'!$B$23)/12,'Model Inputs'!$B$25)</f>
        <v>300000</v>
      </c>
      <c r="M673" s="230">
        <f>IF(J673=1,'Model Inputs'!$B$27*(13-'Model Inputs'!$B$23)/12,IF(J673=2,'Model Inputs'!$B$27,IF(J673&lt;=MAX(3,'Model Inputs'!$B$30+1),'Model Inputs'!$B$27*(1+'Model Inputs'!$B$28)^(J673-3),'Model Inputs'!$B$27*(1+'Model Inputs'!$B$28)^(MAX(3,'Model Inputs'!$B$30+1)-3)*(1+'Model Inputs'!$B$29)^(J673-MAX(3,'Model Inputs'!$B$30+1)))))</f>
        <v>90301156.084270701</v>
      </c>
      <c r="N673" s="236">
        <f>IF(J673&lt;=2,0,'Model Inputs'!$B$32*SIN(2*PI()*(J673-3+'Model Inputs'!$B$34)/MAX(1,'Model Inputs'!$B$33)))</f>
        <v>-2.0574066225675533E-16</v>
      </c>
      <c r="O673" s="230">
        <f t="shared" si="365"/>
        <v>90301156.084270686</v>
      </c>
      <c r="P673" s="230">
        <f t="shared" si="385"/>
        <v>63182470.219744325</v>
      </c>
      <c r="Q673" s="230">
        <f>L673+P673+IF(J673=1,'Model Inputs'!$B$26,0)</f>
        <v>63482470.219744325</v>
      </c>
      <c r="R673" s="230">
        <f t="shared" si="366"/>
        <v>190447410.65923297</v>
      </c>
      <c r="S673" s="230">
        <f t="shared" si="367"/>
        <v>1800000</v>
      </c>
      <c r="T673" s="230">
        <f t="shared" si="368"/>
        <v>1800000</v>
      </c>
      <c r="U673" s="230">
        <f>MIN(T673,'Tax Assumptions'!$B$19)</f>
        <v>24500</v>
      </c>
      <c r="V673" s="230">
        <f>MAX(T673-U673-'Tax Assumptions'!$B$8,0)</f>
        <v>1759400</v>
      </c>
      <c r="W673" s="230">
        <f>MAX(T673-U673-'Tax Assumptions'!$B$9,0)</f>
        <v>1767500</v>
      </c>
      <c r="X673" s="230">
        <f>IF(V673=0,0,LOOKUP(V673,'Tax Assumptions'!$F$9:$F$15,'Tax Assumptions'!$I$9:$I$15)+(V673-LOOKUP(V673,'Tax Assumptions'!$F$9:$F$15,'Tax Assumptions'!$F$9:$F$15))*LOOKUP(V673,'Tax Assumptions'!$F$9:$F$15,'Tax Assumptions'!$H$9:$H$15))+MIN(MAX(T673,0),'Tax Assumptions'!$B$11)*'Tax Assumptions'!$B$10+MAX(T673,0)*'Tax Assumptions'!$B$12+MAX(MAX(T673,0)-'Tax Assumptions'!$B$14,0)*'Tax Assumptions'!$B$13+MIN(T673*'Tax Assumptions'!$B$15,'Tax Assumptions'!$B$16)+MIN(T673*'Tax Assumptions'!$B$17,'Tax Assumptions'!$B$18)+IF(W673=0,0,LOOKUP(W673,'Tax Assumptions'!$K$9:$K$17,'Tax Assumptions'!$N$9:$N$17)+(W673-LOOKUP(W673,'Tax Assumptions'!$K$9:$K$17,'Tax Assumptions'!$K$9:$K$17))*LOOKUP(W673,'Tax Assumptions'!$K$9:$K$17,'Tax Assumptions'!$M$9:$M$17))+IF(W673=0,0,LOOKUP(W673,'Tax Assumptions'!$P$9:$P$12,'Tax Assumptions'!$S$9:$S$12)+(W673-LOOKUP(W673,'Tax Assumptions'!$P$9:$P$12,'Tax Assumptions'!$P$9:$P$12))*LOOKUP(W673,'Tax Assumptions'!$P$9:$P$12,'Tax Assumptions'!$R$9:$R$12))</f>
        <v>865478.63500000001</v>
      </c>
      <c r="Y673" s="230">
        <f t="shared" si="369"/>
        <v>910021.36499999999</v>
      </c>
      <c r="Z673" s="230">
        <f>IF(J673&lt;=10,INDEX('Savings Projection'!$BL$19:$BL$28,J673),LOOKUP(2,1/('Savings Projection'!$BL$19:$BL$28&lt;&gt;""),'Savings Projection'!$BL$19:$BL$28))*(1+'Model Inputs'!$B$35)^(J673-1)+IF(J673&lt;=10,INDEX('Savings Projection'!$BM$19:$BM$28,J673),LOOKUP(2,1/('Savings Projection'!$BM$19:$BM$28&lt;&gt;""),'Savings Projection'!$BM$19:$BM$28))*(1+'Model Inputs'!$B$36)^(J673-1)</f>
        <v>256566.24644645851</v>
      </c>
      <c r="AA673" s="230">
        <f t="shared" si="370"/>
        <v>653455.11855354148</v>
      </c>
      <c r="AB673" s="230">
        <f>MIN(MAX(AA673,0),'Tax Assumptions'!$B$20)</f>
        <v>7500</v>
      </c>
      <c r="AC673" s="230">
        <f t="shared" si="371"/>
        <v>645955.11855354148</v>
      </c>
      <c r="AD673" s="230">
        <f>MAX(AD672*(1+'Model Inputs'!$B$13)+AC673,0)</f>
        <v>33604507.741213746</v>
      </c>
      <c r="AE673" s="230">
        <f>MAX(AE672*(1+'Model Inputs'!$B$13)+U673+AB673,0)</f>
        <v>1626098.4753426341</v>
      </c>
      <c r="AF673" s="230">
        <f t="shared" si="372"/>
        <v>35230606.216556378</v>
      </c>
      <c r="AG673" s="226" t="str">
        <f t="shared" si="381"/>
        <v/>
      </c>
      <c r="AH673" s="226" t="str">
        <f t="shared" si="382"/>
        <v/>
      </c>
      <c r="AI673" s="226" t="str">
        <f t="shared" si="383"/>
        <v/>
      </c>
      <c r="AJ673" s="226" t="str">
        <f t="shared" si="384"/>
        <v/>
      </c>
    </row>
    <row r="674" spans="1:36" ht="18" customHeight="1" x14ac:dyDescent="0.2">
      <c r="A674" s="226" t="str">
        <f t="shared" si="373"/>
        <v>5Y -&gt; PM Y8 Starter</v>
      </c>
      <c r="B674" s="226">
        <f t="shared" si="374"/>
        <v>5</v>
      </c>
      <c r="C674" s="235">
        <f t="shared" si="375"/>
        <v>3</v>
      </c>
      <c r="D674" s="226">
        <f t="shared" si="376"/>
        <v>8</v>
      </c>
      <c r="E674" s="226" t="str">
        <f t="shared" si="377"/>
        <v>Starter</v>
      </c>
      <c r="F674" s="230">
        <f t="shared" si="378"/>
        <v>10000000</v>
      </c>
      <c r="G674" s="236">
        <f t="shared" si="379"/>
        <v>0.15</v>
      </c>
      <c r="H674" s="230">
        <f t="shared" si="380"/>
        <v>300000</v>
      </c>
      <c r="I674" s="236">
        <f t="shared" si="363"/>
        <v>0</v>
      </c>
      <c r="J674" s="234">
        <v>25</v>
      </c>
      <c r="K674" s="234">
        <f t="shared" si="364"/>
        <v>2050</v>
      </c>
      <c r="L674" s="230">
        <f>IF(J674=1,'Model Inputs'!$B$25*(13-'Model Inputs'!$B$23)/12,'Model Inputs'!$B$25)</f>
        <v>300000</v>
      </c>
      <c r="M674" s="230">
        <f>IF(J674=1,'Model Inputs'!$B$27*(13-'Model Inputs'!$B$23)/12,IF(J674=2,'Model Inputs'!$B$27,IF(J674&lt;=MAX(3,'Model Inputs'!$B$30+1),'Model Inputs'!$B$27*(1+'Model Inputs'!$B$28)^(J674-3),'Model Inputs'!$B$27*(1+'Model Inputs'!$B$28)^(MAX(3,'Model Inputs'!$B$30+1)-3)*(1+'Model Inputs'!$B$29)^(J674-MAX(3,'Model Inputs'!$B$30+1)))))</f>
        <v>114761701.62653697</v>
      </c>
      <c r="N674" s="236">
        <f>IF(J674&lt;=2,0,'Model Inputs'!$B$32*SIN(2*PI()*(J674-3+'Model Inputs'!$B$34)/MAX(1,'Model Inputs'!$B$33)))</f>
        <v>0.10392304845413287</v>
      </c>
      <c r="O674" s="230">
        <f t="shared" si="365"/>
        <v>126688087.50535031</v>
      </c>
      <c r="P674" s="230">
        <f t="shared" si="385"/>
        <v>83643370.677900568</v>
      </c>
      <c r="Q674" s="230">
        <f>L674+P674+IF(J674=1,'Model Inputs'!$B$26,0)</f>
        <v>83943370.677900568</v>
      </c>
      <c r="R674" s="230">
        <f t="shared" si="366"/>
        <v>251830112.03370172</v>
      </c>
      <c r="S674" s="230">
        <f t="shared" si="367"/>
        <v>1800000</v>
      </c>
      <c r="T674" s="230">
        <f t="shared" si="368"/>
        <v>1800000</v>
      </c>
      <c r="U674" s="230">
        <f>MIN(T674,'Tax Assumptions'!$B$19)</f>
        <v>24500</v>
      </c>
      <c r="V674" s="230">
        <f>MAX(T674-U674-'Tax Assumptions'!$B$8,0)</f>
        <v>1759400</v>
      </c>
      <c r="W674" s="230">
        <f>MAX(T674-U674-'Tax Assumptions'!$B$9,0)</f>
        <v>1767500</v>
      </c>
      <c r="X674" s="230">
        <f>IF(V674=0,0,LOOKUP(V674,'Tax Assumptions'!$F$9:$F$15,'Tax Assumptions'!$I$9:$I$15)+(V674-LOOKUP(V674,'Tax Assumptions'!$F$9:$F$15,'Tax Assumptions'!$F$9:$F$15))*LOOKUP(V674,'Tax Assumptions'!$F$9:$F$15,'Tax Assumptions'!$H$9:$H$15))+MIN(MAX(T674,0),'Tax Assumptions'!$B$11)*'Tax Assumptions'!$B$10+MAX(T674,0)*'Tax Assumptions'!$B$12+MAX(MAX(T674,0)-'Tax Assumptions'!$B$14,0)*'Tax Assumptions'!$B$13+MIN(T674*'Tax Assumptions'!$B$15,'Tax Assumptions'!$B$16)+MIN(T674*'Tax Assumptions'!$B$17,'Tax Assumptions'!$B$18)+IF(W674=0,0,LOOKUP(W674,'Tax Assumptions'!$K$9:$K$17,'Tax Assumptions'!$N$9:$N$17)+(W674-LOOKUP(W674,'Tax Assumptions'!$K$9:$K$17,'Tax Assumptions'!$K$9:$K$17))*LOOKUP(W674,'Tax Assumptions'!$K$9:$K$17,'Tax Assumptions'!$M$9:$M$17))+IF(W674=0,0,LOOKUP(W674,'Tax Assumptions'!$P$9:$P$12,'Tax Assumptions'!$S$9:$S$12)+(W674-LOOKUP(W674,'Tax Assumptions'!$P$9:$P$12,'Tax Assumptions'!$P$9:$P$12))*LOOKUP(W674,'Tax Assumptions'!$P$9:$P$12,'Tax Assumptions'!$R$9:$R$12))</f>
        <v>865478.63500000001</v>
      </c>
      <c r="Y674" s="230">
        <f t="shared" si="369"/>
        <v>910021.36499999999</v>
      </c>
      <c r="Z674" s="230">
        <f>IF(J674&lt;=10,INDEX('Savings Projection'!$BL$19:$BL$28,J674),LOOKUP(2,1/('Savings Projection'!$BL$19:$BL$28&lt;&gt;""),'Savings Projection'!$BL$19:$BL$28))*(1+'Model Inputs'!$B$35)^(J674-1)+IF(J674&lt;=10,INDEX('Savings Projection'!$BM$19:$BM$28,J674),LOOKUP(2,1/('Savings Projection'!$BM$19:$BM$28&lt;&gt;""),'Savings Projection'!$BM$19:$BM$28))*(1+'Model Inputs'!$B$36)^(J674-1)</f>
        <v>264263.23383985227</v>
      </c>
      <c r="AA674" s="230">
        <f t="shared" si="370"/>
        <v>645758.13116014772</v>
      </c>
      <c r="AB674" s="230">
        <f>MIN(MAX(AA674,0),'Tax Assumptions'!$B$20)</f>
        <v>7500</v>
      </c>
      <c r="AC674" s="230">
        <f t="shared" si="371"/>
        <v>638258.13116014772</v>
      </c>
      <c r="AD674" s="230">
        <f>MAX(AD673*(1+'Model Inputs'!$B$13)+AC674,0)</f>
        <v>36259036.336846724</v>
      </c>
      <c r="AE674" s="230">
        <f>MAX(AE673*(1+'Model Inputs'!$B$13)+U674+AB674,0)</f>
        <v>1755664.3838631923</v>
      </c>
      <c r="AF674" s="230">
        <f t="shared" si="372"/>
        <v>38014700.72070992</v>
      </c>
      <c r="AG674" s="226" t="str">
        <f t="shared" si="381"/>
        <v/>
      </c>
      <c r="AH674" s="226" t="str">
        <f t="shared" si="382"/>
        <v/>
      </c>
      <c r="AI674" s="226" t="str">
        <f t="shared" si="383"/>
        <v/>
      </c>
      <c r="AJ674" s="226" t="str">
        <f t="shared" si="384"/>
        <v/>
      </c>
    </row>
    <row r="675" spans="1:36" ht="18" customHeight="1" x14ac:dyDescent="0.2">
      <c r="A675" s="226" t="str">
        <f t="shared" si="373"/>
        <v>5Y -&gt; PM Y8 Starter</v>
      </c>
      <c r="B675" s="226">
        <f t="shared" si="374"/>
        <v>5</v>
      </c>
      <c r="C675" s="235">
        <f t="shared" si="375"/>
        <v>3</v>
      </c>
      <c r="D675" s="226">
        <f t="shared" si="376"/>
        <v>8</v>
      </c>
      <c r="E675" s="226" t="str">
        <f t="shared" si="377"/>
        <v>Starter</v>
      </c>
      <c r="F675" s="230">
        <f t="shared" si="378"/>
        <v>10000000</v>
      </c>
      <c r="G675" s="236">
        <f t="shared" si="379"/>
        <v>0.15</v>
      </c>
      <c r="H675" s="230">
        <f t="shared" si="380"/>
        <v>300000</v>
      </c>
      <c r="I675" s="236">
        <f t="shared" si="363"/>
        <v>0</v>
      </c>
      <c r="J675" s="234">
        <v>26</v>
      </c>
      <c r="K675" s="234">
        <f t="shared" si="364"/>
        <v>2051</v>
      </c>
      <c r="L675" s="230">
        <f>IF(J675=1,'Model Inputs'!$B$25*(13-'Model Inputs'!$B$23)/12,'Model Inputs'!$B$25)</f>
        <v>300000</v>
      </c>
      <c r="M675" s="230">
        <f>IF(J675=1,'Model Inputs'!$B$27*(13-'Model Inputs'!$B$23)/12,IF(J675=2,'Model Inputs'!$B$27,IF(J675&lt;=MAX(3,'Model Inputs'!$B$30+1),'Model Inputs'!$B$27*(1+'Model Inputs'!$B$28)^(J675-3),'Model Inputs'!$B$27*(1+'Model Inputs'!$B$28)^(MAX(3,'Model Inputs'!$B$30+1)-3)*(1+'Model Inputs'!$B$29)^(J675-MAX(3,'Model Inputs'!$B$30+1)))))</f>
        <v>145848057.00524563</v>
      </c>
      <c r="N675" s="236">
        <f>IF(J675&lt;=2,0,'Model Inputs'!$B$32*SIN(2*PI()*(J675-3+'Model Inputs'!$B$34)/MAX(1,'Model Inputs'!$B$33)))</f>
        <v>-0.10392304845413224</v>
      </c>
      <c r="O675" s="230">
        <f t="shared" si="365"/>
        <v>130691082.31014845</v>
      </c>
      <c r="P675" s="230">
        <f t="shared" si="385"/>
        <v>117591354.65008041</v>
      </c>
      <c r="Q675" s="230">
        <f>L675+P675+IF(J675=1,'Model Inputs'!$B$26,0)</f>
        <v>117891354.65008041</v>
      </c>
      <c r="R675" s="230">
        <f t="shared" si="366"/>
        <v>353674063.95024121</v>
      </c>
      <c r="S675" s="230">
        <f t="shared" si="367"/>
        <v>1800000</v>
      </c>
      <c r="T675" s="230">
        <f t="shared" si="368"/>
        <v>1800000</v>
      </c>
      <c r="U675" s="230">
        <f>MIN(T675,'Tax Assumptions'!$B$19)</f>
        <v>24500</v>
      </c>
      <c r="V675" s="230">
        <f>MAX(T675-U675-'Tax Assumptions'!$B$8,0)</f>
        <v>1759400</v>
      </c>
      <c r="W675" s="230">
        <f>MAX(T675-U675-'Tax Assumptions'!$B$9,0)</f>
        <v>1767500</v>
      </c>
      <c r="X675" s="230">
        <f>IF(V675=0,0,LOOKUP(V675,'Tax Assumptions'!$F$9:$F$15,'Tax Assumptions'!$I$9:$I$15)+(V675-LOOKUP(V675,'Tax Assumptions'!$F$9:$F$15,'Tax Assumptions'!$F$9:$F$15))*LOOKUP(V675,'Tax Assumptions'!$F$9:$F$15,'Tax Assumptions'!$H$9:$H$15))+MIN(MAX(T675,0),'Tax Assumptions'!$B$11)*'Tax Assumptions'!$B$10+MAX(T675,0)*'Tax Assumptions'!$B$12+MAX(MAX(T675,0)-'Tax Assumptions'!$B$14,0)*'Tax Assumptions'!$B$13+MIN(T675*'Tax Assumptions'!$B$15,'Tax Assumptions'!$B$16)+MIN(T675*'Tax Assumptions'!$B$17,'Tax Assumptions'!$B$18)+IF(W675=0,0,LOOKUP(W675,'Tax Assumptions'!$K$9:$K$17,'Tax Assumptions'!$N$9:$N$17)+(W675-LOOKUP(W675,'Tax Assumptions'!$K$9:$K$17,'Tax Assumptions'!$K$9:$K$17))*LOOKUP(W675,'Tax Assumptions'!$K$9:$K$17,'Tax Assumptions'!$M$9:$M$17))+IF(W675=0,0,LOOKUP(W675,'Tax Assumptions'!$P$9:$P$12,'Tax Assumptions'!$S$9:$S$12)+(W675-LOOKUP(W675,'Tax Assumptions'!$P$9:$P$12,'Tax Assumptions'!$P$9:$P$12))*LOOKUP(W675,'Tax Assumptions'!$P$9:$P$12,'Tax Assumptions'!$R$9:$R$12))</f>
        <v>865478.63500000001</v>
      </c>
      <c r="Y675" s="230">
        <f t="shared" si="369"/>
        <v>910021.36499999999</v>
      </c>
      <c r="Z675" s="230">
        <f>IF(J675&lt;=10,INDEX('Savings Projection'!$BL$19:$BL$28,J675),LOOKUP(2,1/('Savings Projection'!$BL$19:$BL$28&lt;&gt;""),'Savings Projection'!$BL$19:$BL$28))*(1+'Model Inputs'!$B$35)^(J675-1)+IF(J675&lt;=10,INDEX('Savings Projection'!$BM$19:$BM$28,J675),LOOKUP(2,1/('Savings Projection'!$BM$19:$BM$28&lt;&gt;""),'Savings Projection'!$BM$19:$BM$28))*(1+'Model Inputs'!$B$36)^(J675-1)</f>
        <v>272191.13085504784</v>
      </c>
      <c r="AA675" s="230">
        <f t="shared" si="370"/>
        <v>637830.23414495215</v>
      </c>
      <c r="AB675" s="230">
        <f>MIN(MAX(AA675,0),'Tax Assumptions'!$B$20)</f>
        <v>7500</v>
      </c>
      <c r="AC675" s="230">
        <f t="shared" si="371"/>
        <v>630330.23414495215</v>
      </c>
      <c r="AD675" s="230">
        <f>MAX(AD674*(1+'Model Inputs'!$B$13)+AC675,0)</f>
        <v>39064908.751202479</v>
      </c>
      <c r="AE675" s="230">
        <f>MAX(AE674*(1+'Model Inputs'!$B$13)+U675+AB675,0)</f>
        <v>1893004.2468949838</v>
      </c>
      <c r="AF675" s="230">
        <f t="shared" si="372"/>
        <v>40957912.998097464</v>
      </c>
      <c r="AG675" s="226" t="str">
        <f t="shared" si="381"/>
        <v/>
      </c>
      <c r="AH675" s="226" t="str">
        <f t="shared" si="382"/>
        <v/>
      </c>
      <c r="AI675" s="226" t="str">
        <f t="shared" si="383"/>
        <v/>
      </c>
      <c r="AJ675" s="226" t="str">
        <f t="shared" si="384"/>
        <v/>
      </c>
    </row>
    <row r="676" spans="1:36" ht="18" customHeight="1" x14ac:dyDescent="0.2">
      <c r="A676" s="226" t="str">
        <f t="shared" si="373"/>
        <v>5Y -&gt; PM Y8 Starter</v>
      </c>
      <c r="B676" s="226">
        <f t="shared" si="374"/>
        <v>5</v>
      </c>
      <c r="C676" s="235">
        <f t="shared" si="375"/>
        <v>3</v>
      </c>
      <c r="D676" s="226">
        <f t="shared" si="376"/>
        <v>8</v>
      </c>
      <c r="E676" s="226" t="str">
        <f t="shared" si="377"/>
        <v>Starter</v>
      </c>
      <c r="F676" s="230">
        <f t="shared" si="378"/>
        <v>10000000</v>
      </c>
      <c r="G676" s="236">
        <f t="shared" si="379"/>
        <v>0.15</v>
      </c>
      <c r="H676" s="230">
        <f t="shared" si="380"/>
        <v>300000</v>
      </c>
      <c r="I676" s="236">
        <f t="shared" si="363"/>
        <v>0</v>
      </c>
      <c r="J676" s="234">
        <v>27</v>
      </c>
      <c r="K676" s="234">
        <f t="shared" si="364"/>
        <v>2052</v>
      </c>
      <c r="L676" s="230">
        <f>IF(J676=1,'Model Inputs'!$B$25*(13-'Model Inputs'!$B$23)/12,'Model Inputs'!$B$25)</f>
        <v>300000</v>
      </c>
      <c r="M676" s="230">
        <f>IF(J676=1,'Model Inputs'!$B$27*(13-'Model Inputs'!$B$23)/12,IF(J676=2,'Model Inputs'!$B$27,IF(J676&lt;=MAX(3,'Model Inputs'!$B$30+1),'Model Inputs'!$B$27*(1+'Model Inputs'!$B$28)^(J676-3),'Model Inputs'!$B$27*(1+'Model Inputs'!$B$28)^(MAX(3,'Model Inputs'!$B$30+1)-3)*(1+'Model Inputs'!$B$29)^(J676-MAX(3,'Model Inputs'!$B$30+1)))))</f>
        <v>185355004.59402937</v>
      </c>
      <c r="N676" s="236">
        <f>IF(J676&lt;=2,0,'Model Inputs'!$B$32*SIN(2*PI()*(J676-3+'Model Inputs'!$B$34)/MAX(1,'Model Inputs'!$B$33)))</f>
        <v>-2.3513218543629179E-16</v>
      </c>
      <c r="O676" s="230">
        <f t="shared" si="365"/>
        <v>185355004.59402934</v>
      </c>
      <c r="P676" s="230">
        <f t="shared" si="385"/>
        <v>129690333.6089489</v>
      </c>
      <c r="Q676" s="230">
        <f>L676+P676+IF(J676=1,'Model Inputs'!$B$26,0)</f>
        <v>129990333.6089489</v>
      </c>
      <c r="R676" s="230">
        <f t="shared" si="366"/>
        <v>389971000.82684672</v>
      </c>
      <c r="S676" s="230">
        <f t="shared" si="367"/>
        <v>1800000</v>
      </c>
      <c r="T676" s="230">
        <f t="shared" si="368"/>
        <v>1800000</v>
      </c>
      <c r="U676" s="230">
        <f>MIN(T676,'Tax Assumptions'!$B$19)</f>
        <v>24500</v>
      </c>
      <c r="V676" s="230">
        <f>MAX(T676-U676-'Tax Assumptions'!$B$8,0)</f>
        <v>1759400</v>
      </c>
      <c r="W676" s="230">
        <f>MAX(T676-U676-'Tax Assumptions'!$B$9,0)</f>
        <v>1767500</v>
      </c>
      <c r="X676" s="230">
        <f>IF(V676=0,0,LOOKUP(V676,'Tax Assumptions'!$F$9:$F$15,'Tax Assumptions'!$I$9:$I$15)+(V676-LOOKUP(V676,'Tax Assumptions'!$F$9:$F$15,'Tax Assumptions'!$F$9:$F$15))*LOOKUP(V676,'Tax Assumptions'!$F$9:$F$15,'Tax Assumptions'!$H$9:$H$15))+MIN(MAX(T676,0),'Tax Assumptions'!$B$11)*'Tax Assumptions'!$B$10+MAX(T676,0)*'Tax Assumptions'!$B$12+MAX(MAX(T676,0)-'Tax Assumptions'!$B$14,0)*'Tax Assumptions'!$B$13+MIN(T676*'Tax Assumptions'!$B$15,'Tax Assumptions'!$B$16)+MIN(T676*'Tax Assumptions'!$B$17,'Tax Assumptions'!$B$18)+IF(W676=0,0,LOOKUP(W676,'Tax Assumptions'!$K$9:$K$17,'Tax Assumptions'!$N$9:$N$17)+(W676-LOOKUP(W676,'Tax Assumptions'!$K$9:$K$17,'Tax Assumptions'!$K$9:$K$17))*LOOKUP(W676,'Tax Assumptions'!$K$9:$K$17,'Tax Assumptions'!$M$9:$M$17))+IF(W676=0,0,LOOKUP(W676,'Tax Assumptions'!$P$9:$P$12,'Tax Assumptions'!$S$9:$S$12)+(W676-LOOKUP(W676,'Tax Assumptions'!$P$9:$P$12,'Tax Assumptions'!$P$9:$P$12))*LOOKUP(W676,'Tax Assumptions'!$P$9:$P$12,'Tax Assumptions'!$R$9:$R$12))</f>
        <v>865478.63500000001</v>
      </c>
      <c r="Y676" s="230">
        <f t="shared" si="369"/>
        <v>910021.36499999999</v>
      </c>
      <c r="Z676" s="230">
        <f>IF(J676&lt;=10,INDEX('Savings Projection'!$BL$19:$BL$28,J676),LOOKUP(2,1/('Savings Projection'!$BL$19:$BL$28&lt;&gt;""),'Savings Projection'!$BL$19:$BL$28))*(1+'Model Inputs'!$B$35)^(J676-1)+IF(J676&lt;=10,INDEX('Savings Projection'!$BM$19:$BM$28,J676),LOOKUP(2,1/('Savings Projection'!$BM$19:$BM$28&lt;&gt;""),'Savings Projection'!$BM$19:$BM$28))*(1+'Model Inputs'!$B$36)^(J676-1)</f>
        <v>280356.86478069925</v>
      </c>
      <c r="AA676" s="230">
        <f t="shared" si="370"/>
        <v>629664.50021930074</v>
      </c>
      <c r="AB676" s="230">
        <f>MIN(MAX(AA676,0),'Tax Assumptions'!$B$20)</f>
        <v>7500</v>
      </c>
      <c r="AC676" s="230">
        <f t="shared" si="371"/>
        <v>622164.50021930074</v>
      </c>
      <c r="AD676" s="230">
        <f>MAX(AD675*(1+'Model Inputs'!$B$13)+AC676,0)</f>
        <v>42030967.776493929</v>
      </c>
      <c r="AE676" s="230">
        <f>MAX(AE675*(1+'Model Inputs'!$B$13)+U676+AB676,0)</f>
        <v>2038584.5017086829</v>
      </c>
      <c r="AF676" s="230">
        <f t="shared" si="372"/>
        <v>44069552.278202616</v>
      </c>
      <c r="AG676" s="226" t="str">
        <f t="shared" si="381"/>
        <v/>
      </c>
      <c r="AH676" s="226" t="str">
        <f t="shared" si="382"/>
        <v/>
      </c>
      <c r="AI676" s="226" t="str">
        <f t="shared" si="383"/>
        <v/>
      </c>
      <c r="AJ676" s="226" t="str">
        <f t="shared" si="384"/>
        <v/>
      </c>
    </row>
    <row r="677" spans="1:36" ht="18" customHeight="1" x14ac:dyDescent="0.2">
      <c r="A677" s="226" t="str">
        <f t="shared" si="373"/>
        <v>5Y -&gt; PM Y8 Starter</v>
      </c>
      <c r="B677" s="226">
        <f t="shared" si="374"/>
        <v>5</v>
      </c>
      <c r="C677" s="235">
        <f t="shared" si="375"/>
        <v>3</v>
      </c>
      <c r="D677" s="226">
        <f t="shared" si="376"/>
        <v>8</v>
      </c>
      <c r="E677" s="226" t="str">
        <f t="shared" si="377"/>
        <v>Starter</v>
      </c>
      <c r="F677" s="230">
        <f t="shared" si="378"/>
        <v>10000000</v>
      </c>
      <c r="G677" s="236">
        <f t="shared" si="379"/>
        <v>0.15</v>
      </c>
      <c r="H677" s="230">
        <f t="shared" si="380"/>
        <v>300000</v>
      </c>
      <c r="I677" s="236">
        <f t="shared" si="363"/>
        <v>0</v>
      </c>
      <c r="J677" s="234">
        <v>28</v>
      </c>
      <c r="K677" s="234">
        <f t="shared" si="364"/>
        <v>2053</v>
      </c>
      <c r="L677" s="230">
        <f>IF(J677=1,'Model Inputs'!$B$25*(13-'Model Inputs'!$B$23)/12,'Model Inputs'!$B$25)</f>
        <v>300000</v>
      </c>
      <c r="M677" s="230">
        <f>IF(J677=1,'Model Inputs'!$B$27*(13-'Model Inputs'!$B$23)/12,IF(J677=2,'Model Inputs'!$B$27,IF(J677&lt;=MAX(3,'Model Inputs'!$B$30+1),'Model Inputs'!$B$27*(1+'Model Inputs'!$B$28)^(J677-3),'Model Inputs'!$B$27*(1+'Model Inputs'!$B$28)^(MAX(3,'Model Inputs'!$B$30+1)-3)*(1+'Model Inputs'!$B$29)^(J677-MAX(3,'Model Inputs'!$B$30+1)))))</f>
        <v>235563492.81236541</v>
      </c>
      <c r="N677" s="236">
        <f>IF(J677&lt;=2,0,'Model Inputs'!$B$32*SIN(2*PI()*(J677-3+'Model Inputs'!$B$34)/MAX(1,'Model Inputs'!$B$33)))</f>
        <v>0.10392304845413247</v>
      </c>
      <c r="O677" s="230">
        <f t="shared" si="365"/>
        <v>260043969.08992955</v>
      </c>
      <c r="P677" s="230">
        <f t="shared" si="385"/>
        <v>171689024.02305913</v>
      </c>
      <c r="Q677" s="230">
        <f>L677+P677+IF(J677=1,'Model Inputs'!$B$26,0)</f>
        <v>171989024.02305913</v>
      </c>
      <c r="R677" s="230">
        <f t="shared" si="366"/>
        <v>515967072.06917739</v>
      </c>
      <c r="S677" s="230">
        <f t="shared" si="367"/>
        <v>1800000</v>
      </c>
      <c r="T677" s="230">
        <f t="shared" si="368"/>
        <v>1800000</v>
      </c>
      <c r="U677" s="230">
        <f>MIN(T677,'Tax Assumptions'!$B$19)</f>
        <v>24500</v>
      </c>
      <c r="V677" s="230">
        <f>MAX(T677-U677-'Tax Assumptions'!$B$8,0)</f>
        <v>1759400</v>
      </c>
      <c r="W677" s="230">
        <f>MAX(T677-U677-'Tax Assumptions'!$B$9,0)</f>
        <v>1767500</v>
      </c>
      <c r="X677" s="230">
        <f>IF(V677=0,0,LOOKUP(V677,'Tax Assumptions'!$F$9:$F$15,'Tax Assumptions'!$I$9:$I$15)+(V677-LOOKUP(V677,'Tax Assumptions'!$F$9:$F$15,'Tax Assumptions'!$F$9:$F$15))*LOOKUP(V677,'Tax Assumptions'!$F$9:$F$15,'Tax Assumptions'!$H$9:$H$15))+MIN(MAX(T677,0),'Tax Assumptions'!$B$11)*'Tax Assumptions'!$B$10+MAX(T677,0)*'Tax Assumptions'!$B$12+MAX(MAX(T677,0)-'Tax Assumptions'!$B$14,0)*'Tax Assumptions'!$B$13+MIN(T677*'Tax Assumptions'!$B$15,'Tax Assumptions'!$B$16)+MIN(T677*'Tax Assumptions'!$B$17,'Tax Assumptions'!$B$18)+IF(W677=0,0,LOOKUP(W677,'Tax Assumptions'!$K$9:$K$17,'Tax Assumptions'!$N$9:$N$17)+(W677-LOOKUP(W677,'Tax Assumptions'!$K$9:$K$17,'Tax Assumptions'!$K$9:$K$17))*LOOKUP(W677,'Tax Assumptions'!$K$9:$K$17,'Tax Assumptions'!$M$9:$M$17))+IF(W677=0,0,LOOKUP(W677,'Tax Assumptions'!$P$9:$P$12,'Tax Assumptions'!$S$9:$S$12)+(W677-LOOKUP(W677,'Tax Assumptions'!$P$9:$P$12,'Tax Assumptions'!$P$9:$P$12))*LOOKUP(W677,'Tax Assumptions'!$P$9:$P$12,'Tax Assumptions'!$R$9:$R$12))</f>
        <v>865478.63500000001</v>
      </c>
      <c r="Y677" s="230">
        <f t="shared" si="369"/>
        <v>910021.36499999999</v>
      </c>
      <c r="Z677" s="230">
        <f>IF(J677&lt;=10,INDEX('Savings Projection'!$BL$19:$BL$28,J677),LOOKUP(2,1/('Savings Projection'!$BL$19:$BL$28&lt;&gt;""),'Savings Projection'!$BL$19:$BL$28))*(1+'Model Inputs'!$B$35)^(J677-1)+IF(J677&lt;=10,INDEX('Savings Projection'!$BM$19:$BM$28,J677),LOOKUP(2,1/('Savings Projection'!$BM$19:$BM$28&lt;&gt;""),'Savings Projection'!$BM$19:$BM$28))*(1+'Model Inputs'!$B$36)^(J677-1)</f>
        <v>288767.57072412025</v>
      </c>
      <c r="AA677" s="230">
        <f t="shared" si="370"/>
        <v>621253.79427587974</v>
      </c>
      <c r="AB677" s="230">
        <f>MIN(MAX(AA677,0),'Tax Assumptions'!$B$20)</f>
        <v>7500</v>
      </c>
      <c r="AC677" s="230">
        <f t="shared" si="371"/>
        <v>613753.79427587974</v>
      </c>
      <c r="AD677" s="230">
        <f>MAX(AD676*(1+'Model Inputs'!$B$13)+AC677,0)</f>
        <v>45166579.637359448</v>
      </c>
      <c r="AE677" s="230">
        <f>MAX(AE676*(1+'Model Inputs'!$B$13)+U677+AB677,0)</f>
        <v>2192899.5718112038</v>
      </c>
      <c r="AF677" s="230">
        <f t="shared" si="372"/>
        <v>47359479.209170654</v>
      </c>
      <c r="AG677" s="226" t="str">
        <f t="shared" si="381"/>
        <v/>
      </c>
      <c r="AH677" s="226" t="str">
        <f t="shared" si="382"/>
        <v/>
      </c>
      <c r="AI677" s="226" t="str">
        <f t="shared" si="383"/>
        <v/>
      </c>
      <c r="AJ677" s="226" t="str">
        <f t="shared" si="384"/>
        <v/>
      </c>
    </row>
    <row r="678" spans="1:36" ht="18" customHeight="1" x14ac:dyDescent="0.2">
      <c r="A678" s="226" t="str">
        <f t="shared" si="373"/>
        <v>5Y -&gt; PM Y8 Starter</v>
      </c>
      <c r="B678" s="226">
        <f t="shared" si="374"/>
        <v>5</v>
      </c>
      <c r="C678" s="235">
        <f t="shared" si="375"/>
        <v>3</v>
      </c>
      <c r="D678" s="226">
        <f t="shared" si="376"/>
        <v>8</v>
      </c>
      <c r="E678" s="226" t="str">
        <f t="shared" si="377"/>
        <v>Starter</v>
      </c>
      <c r="F678" s="230">
        <f t="shared" si="378"/>
        <v>10000000</v>
      </c>
      <c r="G678" s="236">
        <f t="shared" si="379"/>
        <v>0.15</v>
      </c>
      <c r="H678" s="230">
        <f t="shared" si="380"/>
        <v>300000</v>
      </c>
      <c r="I678" s="236">
        <f t="shared" si="363"/>
        <v>0</v>
      </c>
      <c r="J678" s="234">
        <v>29</v>
      </c>
      <c r="K678" s="234">
        <f t="shared" si="364"/>
        <v>2054</v>
      </c>
      <c r="L678" s="230">
        <f>IF(J678=1,'Model Inputs'!$B$25*(13-'Model Inputs'!$B$23)/12,'Model Inputs'!$B$25)</f>
        <v>300000</v>
      </c>
      <c r="M678" s="230">
        <f>IF(J678=1,'Model Inputs'!$B$27*(13-'Model Inputs'!$B$23)/12,IF(J678=2,'Model Inputs'!$B$27,IF(J678&lt;=MAX(3,'Model Inputs'!$B$30+1),'Model Inputs'!$B$27*(1+'Model Inputs'!$B$28)^(J678-3),'Model Inputs'!$B$27*(1+'Model Inputs'!$B$28)^(MAX(3,'Model Inputs'!$B$30+1)-3)*(1+'Model Inputs'!$B$29)^(J678-MAX(3,'Model Inputs'!$B$30+1)))))</f>
        <v>299372327.53708321</v>
      </c>
      <c r="N678" s="236">
        <f>IF(J678&lt;=2,0,'Model Inputs'!$B$32*SIN(2*PI()*(J678-3+'Model Inputs'!$B$34)/MAX(1,'Model Inputs'!$B$33)))</f>
        <v>-0.10392304845413265</v>
      </c>
      <c r="O678" s="230">
        <f t="shared" si="365"/>
        <v>268260642.63662043</v>
      </c>
      <c r="P678" s="230">
        <f t="shared" si="385"/>
        <v>241371727.96595448</v>
      </c>
      <c r="Q678" s="230">
        <f>L678+P678+IF(J678=1,'Model Inputs'!$B$26,0)</f>
        <v>241671727.96595448</v>
      </c>
      <c r="R678" s="230">
        <f t="shared" si="366"/>
        <v>725015183.89786339</v>
      </c>
      <c r="S678" s="230">
        <f t="shared" si="367"/>
        <v>1800000</v>
      </c>
      <c r="T678" s="230">
        <f t="shared" si="368"/>
        <v>1800000</v>
      </c>
      <c r="U678" s="230">
        <f>MIN(T678,'Tax Assumptions'!$B$19)</f>
        <v>24500</v>
      </c>
      <c r="V678" s="230">
        <f>MAX(T678-U678-'Tax Assumptions'!$B$8,0)</f>
        <v>1759400</v>
      </c>
      <c r="W678" s="230">
        <f>MAX(T678-U678-'Tax Assumptions'!$B$9,0)</f>
        <v>1767500</v>
      </c>
      <c r="X678" s="230">
        <f>IF(V678=0,0,LOOKUP(V678,'Tax Assumptions'!$F$9:$F$15,'Tax Assumptions'!$I$9:$I$15)+(V678-LOOKUP(V678,'Tax Assumptions'!$F$9:$F$15,'Tax Assumptions'!$F$9:$F$15))*LOOKUP(V678,'Tax Assumptions'!$F$9:$F$15,'Tax Assumptions'!$H$9:$H$15))+MIN(MAX(T678,0),'Tax Assumptions'!$B$11)*'Tax Assumptions'!$B$10+MAX(T678,0)*'Tax Assumptions'!$B$12+MAX(MAX(T678,0)-'Tax Assumptions'!$B$14,0)*'Tax Assumptions'!$B$13+MIN(T678*'Tax Assumptions'!$B$15,'Tax Assumptions'!$B$16)+MIN(T678*'Tax Assumptions'!$B$17,'Tax Assumptions'!$B$18)+IF(W678=0,0,LOOKUP(W678,'Tax Assumptions'!$K$9:$K$17,'Tax Assumptions'!$N$9:$N$17)+(W678-LOOKUP(W678,'Tax Assumptions'!$K$9:$K$17,'Tax Assumptions'!$K$9:$K$17))*LOOKUP(W678,'Tax Assumptions'!$K$9:$K$17,'Tax Assumptions'!$M$9:$M$17))+IF(W678=0,0,LOOKUP(W678,'Tax Assumptions'!$P$9:$P$12,'Tax Assumptions'!$S$9:$S$12)+(W678-LOOKUP(W678,'Tax Assumptions'!$P$9:$P$12,'Tax Assumptions'!$P$9:$P$12))*LOOKUP(W678,'Tax Assumptions'!$P$9:$P$12,'Tax Assumptions'!$R$9:$R$12))</f>
        <v>865478.63500000001</v>
      </c>
      <c r="Y678" s="230">
        <f t="shared" si="369"/>
        <v>910021.36499999999</v>
      </c>
      <c r="Z678" s="230">
        <f>IF(J678&lt;=10,INDEX('Savings Projection'!$BL$19:$BL$28,J678),LOOKUP(2,1/('Savings Projection'!$BL$19:$BL$28&lt;&gt;""),'Savings Projection'!$BL$19:$BL$28))*(1+'Model Inputs'!$B$35)^(J678-1)+IF(J678&lt;=10,INDEX('Savings Projection'!$BM$19:$BM$28,J678),LOOKUP(2,1/('Savings Projection'!$BM$19:$BM$28&lt;&gt;""),'Savings Projection'!$BM$19:$BM$28))*(1+'Model Inputs'!$B$36)^(J678-1)</f>
        <v>297430.59784584382</v>
      </c>
      <c r="AA678" s="230">
        <f t="shared" si="370"/>
        <v>612590.76715415623</v>
      </c>
      <c r="AB678" s="230">
        <f>MIN(MAX(AA678,0),'Tax Assumptions'!$B$20)</f>
        <v>7500</v>
      </c>
      <c r="AC678" s="230">
        <f t="shared" si="371"/>
        <v>605090.76715415623</v>
      </c>
      <c r="AD678" s="230">
        <f>MAX(AD677*(1+'Model Inputs'!$B$13)+AC678,0)</f>
        <v>48481665.182755172</v>
      </c>
      <c r="AE678" s="230">
        <f>MAX(AE677*(1+'Model Inputs'!$B$13)+U678+AB678,0)</f>
        <v>2356473.5461198762</v>
      </c>
      <c r="AF678" s="230">
        <f t="shared" si="372"/>
        <v>50838138.728875048</v>
      </c>
      <c r="AG678" s="226" t="str">
        <f t="shared" si="381"/>
        <v/>
      </c>
      <c r="AH678" s="226" t="str">
        <f t="shared" si="382"/>
        <v/>
      </c>
      <c r="AI678" s="226" t="str">
        <f t="shared" si="383"/>
        <v/>
      </c>
      <c r="AJ678" s="226" t="str">
        <f t="shared" si="384"/>
        <v/>
      </c>
    </row>
    <row r="679" spans="1:36" ht="18" customHeight="1" x14ac:dyDescent="0.2">
      <c r="A679" s="226" t="str">
        <f t="shared" si="373"/>
        <v>5Y -&gt; PM Y8 Starter</v>
      </c>
      <c r="B679" s="226">
        <f t="shared" si="374"/>
        <v>5</v>
      </c>
      <c r="C679" s="235">
        <f t="shared" si="375"/>
        <v>3</v>
      </c>
      <c r="D679" s="226">
        <f t="shared" si="376"/>
        <v>8</v>
      </c>
      <c r="E679" s="226" t="str">
        <f t="shared" si="377"/>
        <v>Starter</v>
      </c>
      <c r="F679" s="230">
        <f t="shared" si="378"/>
        <v>10000000</v>
      </c>
      <c r="G679" s="236">
        <f t="shared" si="379"/>
        <v>0.15</v>
      </c>
      <c r="H679" s="230">
        <f t="shared" si="380"/>
        <v>300000</v>
      </c>
      <c r="I679" s="236">
        <f t="shared" si="363"/>
        <v>0</v>
      </c>
      <c r="J679" s="234">
        <v>30</v>
      </c>
      <c r="K679" s="234">
        <f t="shared" si="364"/>
        <v>2055</v>
      </c>
      <c r="L679" s="230">
        <f>IF(J679=1,'Model Inputs'!$B$25*(13-'Model Inputs'!$B$23)/12,'Model Inputs'!$B$25)</f>
        <v>300000</v>
      </c>
      <c r="M679" s="230">
        <f>IF(J679=1,'Model Inputs'!$B$27*(13-'Model Inputs'!$B$23)/12,IF(J679=2,'Model Inputs'!$B$27,IF(J679&lt;=MAX(3,'Model Inputs'!$B$30+1),'Model Inputs'!$B$27*(1+'Model Inputs'!$B$28)^(J679-3),'Model Inputs'!$B$27*(1+'Model Inputs'!$B$28)^(MAX(3,'Model Inputs'!$B$30+1)-3)*(1+'Model Inputs'!$B$29)^(J679-MAX(3,'Model Inputs'!$B$30+1)))))</f>
        <v>380465535.74563926</v>
      </c>
      <c r="N679" s="236">
        <f>IF(J679&lt;=2,0,'Model Inputs'!$B$32*SIN(2*PI()*(J679-3+'Model Inputs'!$B$34)/MAX(1,'Model Inputs'!$B$33)))</f>
        <v>-2.645237086158283E-16</v>
      </c>
      <c r="O679" s="230">
        <f t="shared" si="365"/>
        <v>380465535.7456392</v>
      </c>
      <c r="P679" s="230">
        <f t="shared" si="385"/>
        <v>266206474.24994773</v>
      </c>
      <c r="Q679" s="230">
        <f>L679+P679+IF(J679=1,'Model Inputs'!$B$26,0)</f>
        <v>266506474.24994773</v>
      </c>
      <c r="R679" s="230">
        <f t="shared" si="366"/>
        <v>799519422.74984312</v>
      </c>
      <c r="S679" s="230">
        <f t="shared" si="367"/>
        <v>1800000</v>
      </c>
      <c r="T679" s="230">
        <f t="shared" si="368"/>
        <v>1800000</v>
      </c>
      <c r="U679" s="230">
        <f>MIN(T679,'Tax Assumptions'!$B$19)</f>
        <v>24500</v>
      </c>
      <c r="V679" s="230">
        <f>MAX(T679-U679-'Tax Assumptions'!$B$8,0)</f>
        <v>1759400</v>
      </c>
      <c r="W679" s="230">
        <f>MAX(T679-U679-'Tax Assumptions'!$B$9,0)</f>
        <v>1767500</v>
      </c>
      <c r="X679" s="230">
        <f>IF(V679=0,0,LOOKUP(V679,'Tax Assumptions'!$F$9:$F$15,'Tax Assumptions'!$I$9:$I$15)+(V679-LOOKUP(V679,'Tax Assumptions'!$F$9:$F$15,'Tax Assumptions'!$F$9:$F$15))*LOOKUP(V679,'Tax Assumptions'!$F$9:$F$15,'Tax Assumptions'!$H$9:$H$15))+MIN(MAX(T679,0),'Tax Assumptions'!$B$11)*'Tax Assumptions'!$B$10+MAX(T679,0)*'Tax Assumptions'!$B$12+MAX(MAX(T679,0)-'Tax Assumptions'!$B$14,0)*'Tax Assumptions'!$B$13+MIN(T679*'Tax Assumptions'!$B$15,'Tax Assumptions'!$B$16)+MIN(T679*'Tax Assumptions'!$B$17,'Tax Assumptions'!$B$18)+IF(W679=0,0,LOOKUP(W679,'Tax Assumptions'!$K$9:$K$17,'Tax Assumptions'!$N$9:$N$17)+(W679-LOOKUP(W679,'Tax Assumptions'!$K$9:$K$17,'Tax Assumptions'!$K$9:$K$17))*LOOKUP(W679,'Tax Assumptions'!$K$9:$K$17,'Tax Assumptions'!$M$9:$M$17))+IF(W679=0,0,LOOKUP(W679,'Tax Assumptions'!$P$9:$P$12,'Tax Assumptions'!$S$9:$S$12)+(W679-LOOKUP(W679,'Tax Assumptions'!$P$9:$P$12,'Tax Assumptions'!$P$9:$P$12))*LOOKUP(W679,'Tax Assumptions'!$P$9:$P$12,'Tax Assumptions'!$R$9:$R$12))</f>
        <v>865478.63500000001</v>
      </c>
      <c r="Y679" s="230">
        <f t="shared" si="369"/>
        <v>910021.36499999999</v>
      </c>
      <c r="Z679" s="230">
        <f>IF(J679&lt;=10,INDEX('Savings Projection'!$BL$19:$BL$28,J679),LOOKUP(2,1/('Savings Projection'!$BL$19:$BL$28&lt;&gt;""),'Savings Projection'!$BL$19:$BL$28))*(1+'Model Inputs'!$B$35)^(J679-1)+IF(J679&lt;=10,INDEX('Savings Projection'!$BM$19:$BM$28,J679),LOOKUP(2,1/('Savings Projection'!$BM$19:$BM$28&lt;&gt;""),'Savings Projection'!$BM$19:$BM$28))*(1+'Model Inputs'!$B$36)^(J679-1)</f>
        <v>306353.51578121912</v>
      </c>
      <c r="AA679" s="230">
        <f t="shared" si="370"/>
        <v>603667.84921878087</v>
      </c>
      <c r="AB679" s="230">
        <f>MIN(MAX(AA679,0),'Tax Assumptions'!$B$20)</f>
        <v>7500</v>
      </c>
      <c r="AC679" s="230">
        <f t="shared" si="371"/>
        <v>596167.84921878087</v>
      </c>
      <c r="AD679" s="230">
        <f>MAX(AD678*(1+'Model Inputs'!$B$13)+AC679,0)</f>
        <v>51986732.942939267</v>
      </c>
      <c r="AE679" s="230">
        <f>MAX(AE678*(1+'Model Inputs'!$B$13)+U679+AB679,0)</f>
        <v>2529861.958887069</v>
      </c>
      <c r="AF679" s="230">
        <f t="shared" si="372"/>
        <v>54516594.901826337</v>
      </c>
      <c r="AG679" s="226" t="str">
        <f t="shared" si="381"/>
        <v/>
      </c>
      <c r="AH679" s="226" t="str">
        <f t="shared" si="382"/>
        <v/>
      </c>
      <c r="AI679" s="226" t="str">
        <f t="shared" si="383"/>
        <v/>
      </c>
      <c r="AJ679" s="226" t="str">
        <f t="shared" si="384"/>
        <v/>
      </c>
    </row>
    <row r="680" spans="1:36" ht="18" customHeight="1" x14ac:dyDescent="0.2">
      <c r="A680" s="226" t="str">
        <f t="shared" ref="A680:A709" si="386">$A$43</f>
        <v>5Y -&gt; PM Y8 Base</v>
      </c>
      <c r="B680" s="226">
        <f t="shared" ref="B680:B709" si="387">$B$43</f>
        <v>5</v>
      </c>
      <c r="C680" s="235">
        <f t="shared" ref="C680:C709" si="388">$C$43</f>
        <v>3</v>
      </c>
      <c r="D680" s="226">
        <f t="shared" ref="D680:D709" si="389">$D$43</f>
        <v>8</v>
      </c>
      <c r="E680" s="226" t="str">
        <f t="shared" ref="E680:E709" si="390">$E$43</f>
        <v>Base</v>
      </c>
      <c r="F680" s="230">
        <f t="shared" ref="F680:F709" si="391">$F$43</f>
        <v>25000000</v>
      </c>
      <c r="G680" s="236">
        <f t="shared" ref="G680:G709" si="392">$G$43</f>
        <v>0.15</v>
      </c>
      <c r="H680" s="230">
        <f t="shared" ref="H680:H709" si="393">$H$43</f>
        <v>300000</v>
      </c>
      <c r="I680" s="236">
        <f t="shared" si="363"/>
        <v>0</v>
      </c>
      <c r="J680" s="234">
        <v>1</v>
      </c>
      <c r="K680" s="234">
        <f t="shared" si="364"/>
        <v>2026</v>
      </c>
      <c r="L680" s="230">
        <f>IF(J680=1,'Model Inputs'!$B$25*(13-'Model Inputs'!$B$23)/12,'Model Inputs'!$B$25)</f>
        <v>100000</v>
      </c>
      <c r="M680" s="230">
        <f>IF(J680=1,'Model Inputs'!$B$27*(13-'Model Inputs'!$B$23)/12,IF(J680=2,'Model Inputs'!$B$27,IF(J680&lt;=MAX(3,'Model Inputs'!$B$30+1),'Model Inputs'!$B$27*(1+'Model Inputs'!$B$28)^(J680-3),'Model Inputs'!$B$27*(1+'Model Inputs'!$B$28)^(MAX(3,'Model Inputs'!$B$30+1)-3)*(1+'Model Inputs'!$B$29)^(J680-MAX(3,'Model Inputs'!$B$30+1)))))</f>
        <v>150000</v>
      </c>
      <c r="N680" s="236">
        <f>IF(J680&lt;=2,0,'Model Inputs'!$B$32*SIN(2*PI()*(J680-3+'Model Inputs'!$B$34)/MAX(1,'Model Inputs'!$B$33)))</f>
        <v>0</v>
      </c>
      <c r="O680" s="230">
        <f t="shared" si="365"/>
        <v>150000</v>
      </c>
      <c r="P680" s="230">
        <f>0</f>
        <v>0</v>
      </c>
      <c r="Q680" s="230">
        <f>L680+P680+IF(J680=1,'Model Inputs'!$B$26,0)</f>
        <v>550000</v>
      </c>
      <c r="R680" s="230">
        <f t="shared" si="366"/>
        <v>550000</v>
      </c>
      <c r="S680" s="230">
        <f t="shared" si="367"/>
        <v>4050000</v>
      </c>
      <c r="T680" s="230">
        <f t="shared" si="368"/>
        <v>550000</v>
      </c>
      <c r="U680" s="230">
        <f>MIN(T680,'Tax Assumptions'!$B$19)</f>
        <v>24500</v>
      </c>
      <c r="V680" s="230">
        <f>MAX(T680-U680-'Tax Assumptions'!$B$8,0)</f>
        <v>509400</v>
      </c>
      <c r="W680" s="230">
        <f>MAX(T680-U680-'Tax Assumptions'!$B$9,0)</f>
        <v>517500</v>
      </c>
      <c r="X680" s="230">
        <f>IF(V680=0,0,LOOKUP(V680,'Tax Assumptions'!$F$9:$F$15,'Tax Assumptions'!$I$9:$I$15)+(V680-LOOKUP(V680,'Tax Assumptions'!$F$9:$F$15,'Tax Assumptions'!$F$9:$F$15))*LOOKUP(V680,'Tax Assumptions'!$F$9:$F$15,'Tax Assumptions'!$H$9:$H$15))+MIN(MAX(T680,0),'Tax Assumptions'!$B$11)*'Tax Assumptions'!$B$10+MAX(T680,0)*'Tax Assumptions'!$B$12+MAX(MAX(T680,0)-'Tax Assumptions'!$B$14,0)*'Tax Assumptions'!$B$13+MIN(T680*'Tax Assumptions'!$B$15,'Tax Assumptions'!$B$16)+MIN(T680*'Tax Assumptions'!$B$17,'Tax Assumptions'!$B$18)+IF(W680=0,0,LOOKUP(W680,'Tax Assumptions'!$K$9:$K$17,'Tax Assumptions'!$N$9:$N$17)+(W680-LOOKUP(W680,'Tax Assumptions'!$K$9:$K$17,'Tax Assumptions'!$K$9:$K$17))*LOOKUP(W680,'Tax Assumptions'!$K$9:$K$17,'Tax Assumptions'!$M$9:$M$17))+IF(W680=0,0,LOOKUP(W680,'Tax Assumptions'!$P$9:$P$12,'Tax Assumptions'!$S$9:$S$12)+(W680-LOOKUP(W680,'Tax Assumptions'!$P$9:$P$12,'Tax Assumptions'!$P$9:$P$12))*LOOKUP(W680,'Tax Assumptions'!$P$9:$P$12,'Tax Assumptions'!$R$9:$R$12))</f>
        <v>222834.53000000003</v>
      </c>
      <c r="Y680" s="230">
        <f t="shared" si="369"/>
        <v>302665.46999999997</v>
      </c>
      <c r="Z680" s="230">
        <f>IF(J680&lt;=10,INDEX('Savings Projection'!$BL$19:$BL$28,J680),LOOKUP(2,1/('Savings Projection'!$BL$19:$BL$28&lt;&gt;""),'Savings Projection'!$BL$19:$BL$28))*(1+'Model Inputs'!$B$35)^(J680-1)+IF(J680&lt;=10,INDEX('Savings Projection'!$BM$19:$BM$28,J680),LOOKUP(2,1/('Savings Projection'!$BM$19:$BM$28&lt;&gt;""),'Savings Projection'!$BM$19:$BM$28))*(1+'Model Inputs'!$B$36)^(J680-1)</f>
        <v>118000</v>
      </c>
      <c r="AA680" s="230">
        <f t="shared" si="370"/>
        <v>184665.46999999997</v>
      </c>
      <c r="AB680" s="230">
        <f>MIN(MAX(AA680,0),'Tax Assumptions'!$B$20)</f>
        <v>7500</v>
      </c>
      <c r="AC680" s="230">
        <f t="shared" si="371"/>
        <v>177165.46999999997</v>
      </c>
      <c r="AD680" s="230">
        <f>MAX('Model Inputs'!$B$7*(1+'Model Inputs'!$B$13)+AC680,0)</f>
        <v>336165.47</v>
      </c>
      <c r="AE680" s="230">
        <f>MAX(('Model Inputs'!$B$8+'Model Inputs'!$B$9+'Model Inputs'!$B$10)*(1+'Model Inputs'!$B$13)+U680+AB680,0)</f>
        <v>32000</v>
      </c>
      <c r="AF680" s="230">
        <f t="shared" si="372"/>
        <v>368165.47</v>
      </c>
      <c r="AG680" s="226" t="str">
        <f>IF(AND(AF680&gt;=$F$14,0&lt;$F$14),J680,"")</f>
        <v/>
      </c>
      <c r="AH680" s="226" t="str">
        <f>IF(AND(AF680&gt;=$F$15,0&lt;$F$15),J680,"")</f>
        <v/>
      </c>
      <c r="AI680" s="226" t="str">
        <f>IF(AND(AF680&gt;=$F$16,0&lt;$F$16),J680,"")</f>
        <v/>
      </c>
      <c r="AJ680" s="226" t="str">
        <f>IF(AND(AF680&gt;=$F$17,0&lt;$F$17),J680,"")</f>
        <v/>
      </c>
    </row>
    <row r="681" spans="1:36" ht="18" customHeight="1" x14ac:dyDescent="0.2">
      <c r="A681" s="226" t="str">
        <f t="shared" si="386"/>
        <v>5Y -&gt; PM Y8 Base</v>
      </c>
      <c r="B681" s="226">
        <f t="shared" si="387"/>
        <v>5</v>
      </c>
      <c r="C681" s="235">
        <f t="shared" si="388"/>
        <v>3</v>
      </c>
      <c r="D681" s="226">
        <f t="shared" si="389"/>
        <v>8</v>
      </c>
      <c r="E681" s="226" t="str">
        <f t="shared" si="390"/>
        <v>Base</v>
      </c>
      <c r="F681" s="230">
        <f t="shared" si="391"/>
        <v>25000000</v>
      </c>
      <c r="G681" s="236">
        <f t="shared" si="392"/>
        <v>0.15</v>
      </c>
      <c r="H681" s="230">
        <f t="shared" si="393"/>
        <v>300000</v>
      </c>
      <c r="I681" s="236">
        <f t="shared" si="363"/>
        <v>0</v>
      </c>
      <c r="J681" s="234">
        <v>2</v>
      </c>
      <c r="K681" s="234">
        <f t="shared" si="364"/>
        <v>2027</v>
      </c>
      <c r="L681" s="230">
        <f>IF(J681=1,'Model Inputs'!$B$25*(13-'Model Inputs'!$B$23)/12,'Model Inputs'!$B$25)</f>
        <v>300000</v>
      </c>
      <c r="M681" s="230">
        <f>IF(J681=1,'Model Inputs'!$B$27*(13-'Model Inputs'!$B$23)/12,IF(J681=2,'Model Inputs'!$B$27,IF(J681&lt;=MAX(3,'Model Inputs'!$B$30+1),'Model Inputs'!$B$27*(1+'Model Inputs'!$B$28)^(J681-3),'Model Inputs'!$B$27*(1+'Model Inputs'!$B$28)^(MAX(3,'Model Inputs'!$B$30+1)-3)*(1+'Model Inputs'!$B$29)^(J681-MAX(3,'Model Inputs'!$B$30+1)))))</f>
        <v>450000</v>
      </c>
      <c r="N681" s="236">
        <f>IF(J681&lt;=2,0,'Model Inputs'!$B$32*SIN(2*PI()*(J681-3+'Model Inputs'!$B$34)/MAX(1,'Model Inputs'!$B$33)))</f>
        <v>0</v>
      </c>
      <c r="O681" s="230">
        <f t="shared" si="365"/>
        <v>450000</v>
      </c>
      <c r="P681" s="230">
        <f>0.75*O680</f>
        <v>112500</v>
      </c>
      <c r="Q681" s="230">
        <f>L681+P681+IF(J681=1,'Model Inputs'!$B$26,0)</f>
        <v>412500</v>
      </c>
      <c r="R681" s="230">
        <f t="shared" si="366"/>
        <v>412500</v>
      </c>
      <c r="S681" s="230">
        <f t="shared" si="367"/>
        <v>4050000</v>
      </c>
      <c r="T681" s="230">
        <f t="shared" si="368"/>
        <v>412500</v>
      </c>
      <c r="U681" s="230">
        <f>MIN(T681,'Tax Assumptions'!$B$19)</f>
        <v>24500</v>
      </c>
      <c r="V681" s="230">
        <f>MAX(T681-U681-'Tax Assumptions'!$B$8,0)</f>
        <v>371900</v>
      </c>
      <c r="W681" s="230">
        <f>MAX(T681-U681-'Tax Assumptions'!$B$9,0)</f>
        <v>380000</v>
      </c>
      <c r="X681" s="230">
        <f>IF(V681=0,0,LOOKUP(V681,'Tax Assumptions'!$F$9:$F$15,'Tax Assumptions'!$I$9:$I$15)+(V681-LOOKUP(V681,'Tax Assumptions'!$F$9:$F$15,'Tax Assumptions'!$F$9:$F$15))*LOOKUP(V681,'Tax Assumptions'!$F$9:$F$15,'Tax Assumptions'!$H$9:$H$15))+MIN(MAX(T681,0),'Tax Assumptions'!$B$11)*'Tax Assumptions'!$B$10+MAX(T681,0)*'Tax Assumptions'!$B$12+MAX(MAX(T681,0)-'Tax Assumptions'!$B$14,0)*'Tax Assumptions'!$B$13+MIN(T681*'Tax Assumptions'!$B$15,'Tax Assumptions'!$B$16)+MIN(T681*'Tax Assumptions'!$B$17,'Tax Assumptions'!$B$18)+IF(W681=0,0,LOOKUP(W681,'Tax Assumptions'!$K$9:$K$17,'Tax Assumptions'!$N$9:$N$17)+(W681-LOOKUP(W681,'Tax Assumptions'!$K$9:$K$17,'Tax Assumptions'!$K$9:$K$17))*LOOKUP(W681,'Tax Assumptions'!$K$9:$K$17,'Tax Assumptions'!$M$9:$M$17))+IF(W681=0,0,LOOKUP(W681,'Tax Assumptions'!$P$9:$P$12,'Tax Assumptions'!$S$9:$S$12)+(W681-LOOKUP(W681,'Tax Assumptions'!$P$9:$P$12,'Tax Assumptions'!$P$9:$P$12))*LOOKUP(W681,'Tax Assumptions'!$P$9:$P$12,'Tax Assumptions'!$R$9:$R$12))</f>
        <v>156730.03</v>
      </c>
      <c r="Y681" s="230">
        <f t="shared" si="369"/>
        <v>231269.97</v>
      </c>
      <c r="Z681" s="230">
        <f>IF(J681&lt;=10,INDEX('Savings Projection'!$BL$19:$BL$28,J681),LOOKUP(2,1/('Savings Projection'!$BL$19:$BL$28&lt;&gt;""),'Savings Projection'!$BL$19:$BL$28))*(1+'Model Inputs'!$B$35)^(J681-1)+IF(J681&lt;=10,INDEX('Savings Projection'!$BM$19:$BM$28,J681),LOOKUP(2,1/('Savings Projection'!$BM$19:$BM$28&lt;&gt;""),'Savings Projection'!$BM$19:$BM$28))*(1+'Model Inputs'!$B$36)^(J681-1)</f>
        <v>121540</v>
      </c>
      <c r="AA681" s="230">
        <f t="shared" si="370"/>
        <v>109729.97</v>
      </c>
      <c r="AB681" s="230">
        <f>MIN(MAX(AA681,0),'Tax Assumptions'!$B$20)</f>
        <v>7500</v>
      </c>
      <c r="AC681" s="230">
        <f t="shared" si="371"/>
        <v>102229.97</v>
      </c>
      <c r="AD681" s="230">
        <f>MAX(AD680*(1+'Model Inputs'!$B$13)+AC681,0)</f>
        <v>458565.36820000003</v>
      </c>
      <c r="AE681" s="230">
        <f>MAX(AE680*(1+'Model Inputs'!$B$13)+U681+AB681,0)</f>
        <v>65920</v>
      </c>
      <c r="AF681" s="230">
        <f t="shared" si="372"/>
        <v>524485.36820000003</v>
      </c>
      <c r="AG681" s="226" t="str">
        <f t="shared" ref="AG681:AG709" si="394">IF(AND(AF681&gt;=$F$14,AF680&lt;$F$14),J681,"")</f>
        <v/>
      </c>
      <c r="AH681" s="226" t="str">
        <f t="shared" ref="AH681:AH709" si="395">IF(AND(AF681&gt;=$F$15,AF680&lt;$F$15),J681,"")</f>
        <v/>
      </c>
      <c r="AI681" s="226" t="str">
        <f t="shared" ref="AI681:AI709" si="396">IF(AND(AF681&gt;=$F$16,AF680&lt;$F$16),J681,"")</f>
        <v/>
      </c>
      <c r="AJ681" s="226" t="str">
        <f t="shared" ref="AJ681:AJ709" si="397">IF(AND(AF681&gt;=$F$17,AF680&lt;$F$17),J681,"")</f>
        <v/>
      </c>
    </row>
    <row r="682" spans="1:36" ht="18" customHeight="1" x14ac:dyDescent="0.2">
      <c r="A682" s="226" t="str">
        <f t="shared" si="386"/>
        <v>5Y -&gt; PM Y8 Base</v>
      </c>
      <c r="B682" s="226">
        <f t="shared" si="387"/>
        <v>5</v>
      </c>
      <c r="C682" s="235">
        <f t="shared" si="388"/>
        <v>3</v>
      </c>
      <c r="D682" s="226">
        <f t="shared" si="389"/>
        <v>8</v>
      </c>
      <c r="E682" s="226" t="str">
        <f t="shared" si="390"/>
        <v>Base</v>
      </c>
      <c r="F682" s="230">
        <f t="shared" si="391"/>
        <v>25000000</v>
      </c>
      <c r="G682" s="236">
        <f t="shared" si="392"/>
        <v>0.15</v>
      </c>
      <c r="H682" s="230">
        <f t="shared" si="393"/>
        <v>300000</v>
      </c>
      <c r="I682" s="236">
        <f t="shared" si="363"/>
        <v>0</v>
      </c>
      <c r="J682" s="234">
        <v>3</v>
      </c>
      <c r="K682" s="234">
        <f t="shared" si="364"/>
        <v>2028</v>
      </c>
      <c r="L682" s="230">
        <f>IF(J682=1,'Model Inputs'!$B$25*(13-'Model Inputs'!$B$23)/12,'Model Inputs'!$B$25)</f>
        <v>300000</v>
      </c>
      <c r="M682" s="230">
        <f>IF(J682=1,'Model Inputs'!$B$27*(13-'Model Inputs'!$B$23)/12,IF(J682=2,'Model Inputs'!$B$27,IF(J682&lt;=MAX(3,'Model Inputs'!$B$30+1),'Model Inputs'!$B$27*(1+'Model Inputs'!$B$28)^(J682-3),'Model Inputs'!$B$27*(1+'Model Inputs'!$B$28)^(MAX(3,'Model Inputs'!$B$30+1)-3)*(1+'Model Inputs'!$B$29)^(J682-MAX(3,'Model Inputs'!$B$30+1)))))</f>
        <v>450000</v>
      </c>
      <c r="N682" s="236">
        <f>IF(J682&lt;=2,0,'Model Inputs'!$B$32*SIN(2*PI()*(J682-3+'Model Inputs'!$B$34)/MAX(1,'Model Inputs'!$B$33)))</f>
        <v>0</v>
      </c>
      <c r="O682" s="230">
        <f t="shared" si="365"/>
        <v>450000</v>
      </c>
      <c r="P682" s="230">
        <f t="shared" ref="P682:P709" si="398">0.75*O681+0.25*O680</f>
        <v>375000</v>
      </c>
      <c r="Q682" s="230">
        <f>L682+P682+IF(J682=1,'Model Inputs'!$B$26,0)</f>
        <v>675000</v>
      </c>
      <c r="R682" s="230">
        <f t="shared" si="366"/>
        <v>675000</v>
      </c>
      <c r="S682" s="230">
        <f t="shared" si="367"/>
        <v>4050000</v>
      </c>
      <c r="T682" s="230">
        <f t="shared" si="368"/>
        <v>675000</v>
      </c>
      <c r="U682" s="230">
        <f>MIN(T682,'Tax Assumptions'!$B$19)</f>
        <v>24500</v>
      </c>
      <c r="V682" s="230">
        <f>MAX(T682-U682-'Tax Assumptions'!$B$8,0)</f>
        <v>634400</v>
      </c>
      <c r="W682" s="230">
        <f>MAX(T682-U682-'Tax Assumptions'!$B$9,0)</f>
        <v>642500</v>
      </c>
      <c r="X682" s="230">
        <f>IF(V682=0,0,LOOKUP(V682,'Tax Assumptions'!$F$9:$F$15,'Tax Assumptions'!$I$9:$I$15)+(V682-LOOKUP(V682,'Tax Assumptions'!$F$9:$F$15,'Tax Assumptions'!$F$9:$F$15))*LOOKUP(V682,'Tax Assumptions'!$F$9:$F$15,'Tax Assumptions'!$H$9:$H$15))+MIN(MAX(T682,0),'Tax Assumptions'!$B$11)*'Tax Assumptions'!$B$10+MAX(T682,0)*'Tax Assumptions'!$B$12+MAX(MAX(T682,0)-'Tax Assumptions'!$B$14,0)*'Tax Assumptions'!$B$13+MIN(T682*'Tax Assumptions'!$B$15,'Tax Assumptions'!$B$16)+MIN(T682*'Tax Assumptions'!$B$17,'Tax Assumptions'!$B$18)+IF(W682=0,0,LOOKUP(W682,'Tax Assumptions'!$K$9:$K$17,'Tax Assumptions'!$N$9:$N$17)+(W682-LOOKUP(W682,'Tax Assumptions'!$K$9:$K$17,'Tax Assumptions'!$K$9:$K$17))*LOOKUP(W682,'Tax Assumptions'!$K$9:$K$17,'Tax Assumptions'!$M$9:$M$17))+IF(W682=0,0,LOOKUP(W682,'Tax Assumptions'!$P$9:$P$12,'Tax Assumptions'!$S$9:$S$12)+(W682-LOOKUP(W682,'Tax Assumptions'!$P$9:$P$12,'Tax Assumptions'!$P$9:$P$12))*LOOKUP(W682,'Tax Assumptions'!$P$9:$P$12,'Tax Assumptions'!$R$9:$R$12))</f>
        <v>282929.53000000003</v>
      </c>
      <c r="Y682" s="230">
        <f t="shared" si="369"/>
        <v>367570.47</v>
      </c>
      <c r="Z682" s="230">
        <f>IF(J682&lt;=10,INDEX('Savings Projection'!$BL$19:$BL$28,J682),LOOKUP(2,1/('Savings Projection'!$BL$19:$BL$28&lt;&gt;""),'Savings Projection'!$BL$19:$BL$28))*(1+'Model Inputs'!$B$35)^(J682-1)+IF(J682&lt;=10,INDEX('Savings Projection'!$BM$19:$BM$28,J682),LOOKUP(2,1/('Savings Projection'!$BM$19:$BM$28&lt;&gt;""),'Savings Projection'!$BM$19:$BM$28))*(1+'Model Inputs'!$B$36)^(J682-1)</f>
        <v>135795.20000000001</v>
      </c>
      <c r="AA682" s="230">
        <f t="shared" si="370"/>
        <v>231775.26999999996</v>
      </c>
      <c r="AB682" s="230">
        <f>MIN(MAX(AA682,0),'Tax Assumptions'!$B$20)</f>
        <v>7500</v>
      </c>
      <c r="AC682" s="230">
        <f t="shared" si="371"/>
        <v>224275.26999999996</v>
      </c>
      <c r="AD682" s="230">
        <f>MAX(AD681*(1+'Model Inputs'!$B$13)+AC682,0)</f>
        <v>710354.56029199995</v>
      </c>
      <c r="AE682" s="230">
        <f>MAX(AE681*(1+'Model Inputs'!$B$13)+U682+AB682,0)</f>
        <v>101875.2</v>
      </c>
      <c r="AF682" s="230">
        <f t="shared" si="372"/>
        <v>812229.7602919999</v>
      </c>
      <c r="AG682" s="226" t="str">
        <f t="shared" si="394"/>
        <v/>
      </c>
      <c r="AH682" s="226" t="str">
        <f t="shared" si="395"/>
        <v/>
      </c>
      <c r="AI682" s="226" t="str">
        <f t="shared" si="396"/>
        <v/>
      </c>
      <c r="AJ682" s="226" t="str">
        <f t="shared" si="397"/>
        <v/>
      </c>
    </row>
    <row r="683" spans="1:36" ht="18" customHeight="1" x14ac:dyDescent="0.2">
      <c r="A683" s="226" t="str">
        <f t="shared" si="386"/>
        <v>5Y -&gt; PM Y8 Base</v>
      </c>
      <c r="B683" s="226">
        <f t="shared" si="387"/>
        <v>5</v>
      </c>
      <c r="C683" s="235">
        <f t="shared" si="388"/>
        <v>3</v>
      </c>
      <c r="D683" s="226">
        <f t="shared" si="389"/>
        <v>8</v>
      </c>
      <c r="E683" s="226" t="str">
        <f t="shared" si="390"/>
        <v>Base</v>
      </c>
      <c r="F683" s="230">
        <f t="shared" si="391"/>
        <v>25000000</v>
      </c>
      <c r="G683" s="236">
        <f t="shared" si="392"/>
        <v>0.15</v>
      </c>
      <c r="H683" s="230">
        <f t="shared" si="393"/>
        <v>300000</v>
      </c>
      <c r="I683" s="236">
        <f t="shared" si="363"/>
        <v>0</v>
      </c>
      <c r="J683" s="234">
        <v>4</v>
      </c>
      <c r="K683" s="234">
        <f t="shared" si="364"/>
        <v>2029</v>
      </c>
      <c r="L683" s="230">
        <f>IF(J683=1,'Model Inputs'!$B$25*(13-'Model Inputs'!$B$23)/12,'Model Inputs'!$B$25)</f>
        <v>300000</v>
      </c>
      <c r="M683" s="230">
        <f>IF(J683=1,'Model Inputs'!$B$27*(13-'Model Inputs'!$B$23)/12,IF(J683=2,'Model Inputs'!$B$27,IF(J683&lt;=MAX(3,'Model Inputs'!$B$30+1),'Model Inputs'!$B$27*(1+'Model Inputs'!$B$28)^(J683-3),'Model Inputs'!$B$27*(1+'Model Inputs'!$B$28)^(MAX(3,'Model Inputs'!$B$30+1)-3)*(1+'Model Inputs'!$B$29)^(J683-MAX(3,'Model Inputs'!$B$30+1)))))</f>
        <v>653834.84153110103</v>
      </c>
      <c r="N683" s="236">
        <f>IF(J683&lt;=2,0,'Model Inputs'!$B$32*SIN(2*PI()*(J683-3+'Model Inputs'!$B$34)/MAX(1,'Model Inputs'!$B$33)))</f>
        <v>0.10392304845413264</v>
      </c>
      <c r="O683" s="230">
        <f t="shared" si="365"/>
        <v>721783.35144853778</v>
      </c>
      <c r="P683" s="230">
        <f t="shared" si="398"/>
        <v>450000</v>
      </c>
      <c r="Q683" s="230">
        <f>L683+P683+IF(J683=1,'Model Inputs'!$B$26,0)</f>
        <v>750000</v>
      </c>
      <c r="R683" s="230">
        <f t="shared" si="366"/>
        <v>750000</v>
      </c>
      <c r="S683" s="230">
        <f t="shared" si="367"/>
        <v>4050000</v>
      </c>
      <c r="T683" s="230">
        <f t="shared" si="368"/>
        <v>750000</v>
      </c>
      <c r="U683" s="230">
        <f>MIN(T683,'Tax Assumptions'!$B$19)</f>
        <v>24500</v>
      </c>
      <c r="V683" s="230">
        <f>MAX(T683-U683-'Tax Assumptions'!$B$8,0)</f>
        <v>709400</v>
      </c>
      <c r="W683" s="230">
        <f>MAX(T683-U683-'Tax Assumptions'!$B$9,0)</f>
        <v>717500</v>
      </c>
      <c r="X683" s="230">
        <f>IF(V683=0,0,LOOKUP(V683,'Tax Assumptions'!$F$9:$F$15,'Tax Assumptions'!$I$9:$I$15)+(V683-LOOKUP(V683,'Tax Assumptions'!$F$9:$F$15,'Tax Assumptions'!$F$9:$F$15))*LOOKUP(V683,'Tax Assumptions'!$F$9:$F$15,'Tax Assumptions'!$H$9:$H$15))+MIN(MAX(T683,0),'Tax Assumptions'!$B$11)*'Tax Assumptions'!$B$10+MAX(T683,0)*'Tax Assumptions'!$B$12+MAX(MAX(T683,0)-'Tax Assumptions'!$B$14,0)*'Tax Assumptions'!$B$13+MIN(T683*'Tax Assumptions'!$B$15,'Tax Assumptions'!$B$16)+MIN(T683*'Tax Assumptions'!$B$17,'Tax Assumptions'!$B$18)+IF(W683=0,0,LOOKUP(W683,'Tax Assumptions'!$K$9:$K$17,'Tax Assumptions'!$N$9:$N$17)+(W683-LOOKUP(W683,'Tax Assumptions'!$K$9:$K$17,'Tax Assumptions'!$K$9:$K$17))*LOOKUP(W683,'Tax Assumptions'!$K$9:$K$17,'Tax Assumptions'!$M$9:$M$17))+IF(W683=0,0,LOOKUP(W683,'Tax Assumptions'!$P$9:$P$12,'Tax Assumptions'!$S$9:$S$12)+(W683-LOOKUP(W683,'Tax Assumptions'!$P$9:$P$12,'Tax Assumptions'!$P$9:$P$12))*LOOKUP(W683,'Tax Assumptions'!$P$9:$P$12,'Tax Assumptions'!$R$9:$R$12))</f>
        <v>320362.53000000003</v>
      </c>
      <c r="Y683" s="230">
        <f t="shared" si="369"/>
        <v>405137.47</v>
      </c>
      <c r="Z683" s="230">
        <f>IF(J683&lt;=10,INDEX('Savings Projection'!$BL$19:$BL$28,J683),LOOKUP(2,1/('Savings Projection'!$BL$19:$BL$28&lt;&gt;""),'Savings Projection'!$BL$19:$BL$28))*(1+'Model Inputs'!$B$35)^(J683-1)+IF(J683&lt;=10,INDEX('Savings Projection'!$BM$19:$BM$28,J683),LOOKUP(2,1/('Savings Projection'!$BM$19:$BM$28&lt;&gt;""),'Savings Projection'!$BM$19:$BM$28))*(1+'Model Inputs'!$B$36)^(J683-1)</f>
        <v>139869.05600000001</v>
      </c>
      <c r="AA683" s="230">
        <f t="shared" si="370"/>
        <v>265268.41399999999</v>
      </c>
      <c r="AB683" s="230">
        <f>MIN(MAX(AA683,0),'Tax Assumptions'!$B$20)</f>
        <v>7500</v>
      </c>
      <c r="AC683" s="230">
        <f t="shared" si="371"/>
        <v>257768.41399999999</v>
      </c>
      <c r="AD683" s="230">
        <f>MAX(AD682*(1+'Model Inputs'!$B$13)+AC683,0)</f>
        <v>1010744.2479095199</v>
      </c>
      <c r="AE683" s="230">
        <f>MAX(AE682*(1+'Model Inputs'!$B$13)+U683+AB683,0)</f>
        <v>139987.712</v>
      </c>
      <c r="AF683" s="230">
        <f t="shared" si="372"/>
        <v>1150731.9599095199</v>
      </c>
      <c r="AG683" s="226" t="str">
        <f t="shared" si="394"/>
        <v/>
      </c>
      <c r="AH683" s="226" t="str">
        <f t="shared" si="395"/>
        <v/>
      </c>
      <c r="AI683" s="226" t="str">
        <f t="shared" si="396"/>
        <v/>
      </c>
      <c r="AJ683" s="226" t="str">
        <f t="shared" si="397"/>
        <v/>
      </c>
    </row>
    <row r="684" spans="1:36" ht="18" customHeight="1" x14ac:dyDescent="0.2">
      <c r="A684" s="226" t="str">
        <f t="shared" si="386"/>
        <v>5Y -&gt; PM Y8 Base</v>
      </c>
      <c r="B684" s="226">
        <f t="shared" si="387"/>
        <v>5</v>
      </c>
      <c r="C684" s="235">
        <f t="shared" si="388"/>
        <v>3</v>
      </c>
      <c r="D684" s="226">
        <f t="shared" si="389"/>
        <v>8</v>
      </c>
      <c r="E684" s="226" t="str">
        <f t="shared" si="390"/>
        <v>Base</v>
      </c>
      <c r="F684" s="230">
        <f t="shared" si="391"/>
        <v>25000000</v>
      </c>
      <c r="G684" s="236">
        <f t="shared" si="392"/>
        <v>0.15</v>
      </c>
      <c r="H684" s="230">
        <f t="shared" si="393"/>
        <v>300000</v>
      </c>
      <c r="I684" s="236">
        <f t="shared" si="363"/>
        <v>0</v>
      </c>
      <c r="J684" s="234">
        <v>5</v>
      </c>
      <c r="K684" s="234">
        <f t="shared" si="364"/>
        <v>2030</v>
      </c>
      <c r="L684" s="230">
        <f>IF(J684=1,'Model Inputs'!$B$25*(13-'Model Inputs'!$B$23)/12,'Model Inputs'!$B$25)</f>
        <v>300000</v>
      </c>
      <c r="M684" s="230">
        <f>IF(J684=1,'Model Inputs'!$B$27*(13-'Model Inputs'!$B$23)/12,IF(J684=2,'Model Inputs'!$B$27,IF(J684&lt;=MAX(3,'Model Inputs'!$B$30+1),'Model Inputs'!$B$27*(1+'Model Inputs'!$B$28)^(J684-3),'Model Inputs'!$B$27*(1+'Model Inputs'!$B$28)^(MAX(3,'Model Inputs'!$B$30+1)-3)*(1+'Model Inputs'!$B$29)^(J684-MAX(3,'Model Inputs'!$B$30+1)))))</f>
        <v>950000</v>
      </c>
      <c r="N684" s="236">
        <f>IF(J684&lt;=2,0,'Model Inputs'!$B$32*SIN(2*PI()*(J684-3+'Model Inputs'!$B$34)/MAX(1,'Model Inputs'!$B$33)))</f>
        <v>-0.1039230484541326</v>
      </c>
      <c r="O684" s="230">
        <f t="shared" si="365"/>
        <v>851273.10396857408</v>
      </c>
      <c r="P684" s="230">
        <f t="shared" si="398"/>
        <v>653837.51358640334</v>
      </c>
      <c r="Q684" s="230">
        <f>L684+P684+IF(J684=1,'Model Inputs'!$B$26,0)</f>
        <v>953837.51358640334</v>
      </c>
      <c r="R684" s="230">
        <f t="shared" si="366"/>
        <v>953837.51358640334</v>
      </c>
      <c r="S684" s="230">
        <f t="shared" si="367"/>
        <v>4050000</v>
      </c>
      <c r="T684" s="230">
        <f t="shared" si="368"/>
        <v>953837.51358640334</v>
      </c>
      <c r="U684" s="230">
        <f>MIN(T684,'Tax Assumptions'!$B$19)</f>
        <v>24500</v>
      </c>
      <c r="V684" s="230">
        <f>MAX(T684-U684-'Tax Assumptions'!$B$8,0)</f>
        <v>913237.51358640334</v>
      </c>
      <c r="W684" s="230">
        <f>MAX(T684-U684-'Tax Assumptions'!$B$9,0)</f>
        <v>921337.51358640334</v>
      </c>
      <c r="X684" s="230">
        <f>IF(V684=0,0,LOOKUP(V684,'Tax Assumptions'!$F$9:$F$15,'Tax Assumptions'!$I$9:$I$15)+(V684-LOOKUP(V684,'Tax Assumptions'!$F$9:$F$15,'Tax Assumptions'!$F$9:$F$15))*LOOKUP(V684,'Tax Assumptions'!$F$9:$F$15,'Tax Assumptions'!$H$9:$H$15))+MIN(MAX(T684,0),'Tax Assumptions'!$B$11)*'Tax Assumptions'!$B$10+MAX(T684,0)*'Tax Assumptions'!$B$12+MAX(MAX(T684,0)-'Tax Assumptions'!$B$14,0)*'Tax Assumptions'!$B$13+MIN(T684*'Tax Assumptions'!$B$15,'Tax Assumptions'!$B$16)+MIN(T684*'Tax Assumptions'!$B$17,'Tax Assumptions'!$B$18)+IF(W684=0,0,LOOKUP(W684,'Tax Assumptions'!$K$9:$K$17,'Tax Assumptions'!$N$9:$N$17)+(W684-LOOKUP(W684,'Tax Assumptions'!$K$9:$K$17,'Tax Assumptions'!$K$9:$K$17))*LOOKUP(W684,'Tax Assumptions'!$K$9:$K$17,'Tax Assumptions'!$M$9:$M$17))+IF(W684=0,0,LOOKUP(W684,'Tax Assumptions'!$P$9:$P$12,'Tax Assumptions'!$S$9:$S$12)+(W684-LOOKUP(W684,'Tax Assumptions'!$P$9:$P$12,'Tax Assumptions'!$P$9:$P$12))*LOOKUP(W684,'Tax Assumptions'!$P$9:$P$12,'Tax Assumptions'!$R$9:$R$12))</f>
        <v>422436.20330352732</v>
      </c>
      <c r="Y684" s="230">
        <f t="shared" si="369"/>
        <v>506901.31028287602</v>
      </c>
      <c r="Z684" s="230">
        <f>IF(J684&lt;=10,INDEX('Savings Projection'!$BL$19:$BL$28,J684),LOOKUP(2,1/('Savings Projection'!$BL$19:$BL$28&lt;&gt;""),'Savings Projection'!$BL$19:$BL$28))*(1+'Model Inputs'!$B$35)^(J684-1)+IF(J684&lt;=10,INDEX('Savings Projection'!$BM$19:$BM$28,J684),LOOKUP(2,1/('Savings Projection'!$BM$19:$BM$28&lt;&gt;""),'Savings Projection'!$BM$19:$BM$28))*(1+'Model Inputs'!$B$36)^(J684-1)</f>
        <v>144065.12767999998</v>
      </c>
      <c r="AA684" s="230">
        <f t="shared" si="370"/>
        <v>362836.18260287604</v>
      </c>
      <c r="AB684" s="230">
        <f>MIN(MAX(AA684,0),'Tax Assumptions'!$B$20)</f>
        <v>7500</v>
      </c>
      <c r="AC684" s="230">
        <f t="shared" si="371"/>
        <v>355336.18260287604</v>
      </c>
      <c r="AD684" s="230">
        <f>MAX(AD683*(1+'Model Inputs'!$B$13)+AC684,0)</f>
        <v>1426725.0853869673</v>
      </c>
      <c r="AE684" s="230">
        <f>MAX(AE683*(1+'Model Inputs'!$B$13)+U684+AB684,0)</f>
        <v>180386.97472</v>
      </c>
      <c r="AF684" s="230">
        <f t="shared" si="372"/>
        <v>1607112.0601069673</v>
      </c>
      <c r="AG684" s="226" t="str">
        <f t="shared" si="394"/>
        <v/>
      </c>
      <c r="AH684" s="226" t="str">
        <f t="shared" si="395"/>
        <v/>
      </c>
      <c r="AI684" s="226" t="str">
        <f t="shared" si="396"/>
        <v/>
      </c>
      <c r="AJ684" s="226" t="str">
        <f t="shared" si="397"/>
        <v/>
      </c>
    </row>
    <row r="685" spans="1:36" ht="18" customHeight="1" x14ac:dyDescent="0.2">
      <c r="A685" s="226" t="str">
        <f t="shared" si="386"/>
        <v>5Y -&gt; PM Y8 Base</v>
      </c>
      <c r="B685" s="226">
        <f t="shared" si="387"/>
        <v>5</v>
      </c>
      <c r="C685" s="235">
        <f t="shared" si="388"/>
        <v>3</v>
      </c>
      <c r="D685" s="226">
        <f t="shared" si="389"/>
        <v>8</v>
      </c>
      <c r="E685" s="226" t="str">
        <f t="shared" si="390"/>
        <v>Base</v>
      </c>
      <c r="F685" s="230">
        <f t="shared" si="391"/>
        <v>25000000</v>
      </c>
      <c r="G685" s="236">
        <f t="shared" si="392"/>
        <v>0.15</v>
      </c>
      <c r="H685" s="230">
        <f t="shared" si="393"/>
        <v>300000</v>
      </c>
      <c r="I685" s="236">
        <f t="shared" si="363"/>
        <v>0</v>
      </c>
      <c r="J685" s="234">
        <v>6</v>
      </c>
      <c r="K685" s="234">
        <f t="shared" si="364"/>
        <v>2031</v>
      </c>
      <c r="L685" s="230">
        <f>IF(J685=1,'Model Inputs'!$B$25*(13-'Model Inputs'!$B$23)/12,'Model Inputs'!$B$25)</f>
        <v>300000</v>
      </c>
      <c r="M685" s="230">
        <f>IF(J685=1,'Model Inputs'!$B$27*(13-'Model Inputs'!$B$23)/12,IF(J685=2,'Model Inputs'!$B$27,IF(J685&lt;=MAX(3,'Model Inputs'!$B$30+1),'Model Inputs'!$B$27*(1+'Model Inputs'!$B$28)^(J685-3),'Model Inputs'!$B$27*(1+'Model Inputs'!$B$28)^(MAX(3,'Model Inputs'!$B$30+1)-3)*(1+'Model Inputs'!$B$29)^(J685-MAX(3,'Model Inputs'!$B$30+1)))))</f>
        <v>1207333.5632986501</v>
      </c>
      <c r="N685" s="236">
        <f>IF(J685&lt;=2,0,'Model Inputs'!$B$32*SIN(2*PI()*(J685-3+'Model Inputs'!$B$34)/MAX(1,'Model Inputs'!$B$33)))</f>
        <v>-2.9391523179536474E-17</v>
      </c>
      <c r="O685" s="230">
        <f t="shared" si="365"/>
        <v>1207333.5632986501</v>
      </c>
      <c r="P685" s="230">
        <f t="shared" si="398"/>
        <v>818900.66583856498</v>
      </c>
      <c r="Q685" s="230">
        <f>L685+P685+IF(J685=1,'Model Inputs'!$B$26,0)</f>
        <v>1118900.665838565</v>
      </c>
      <c r="R685" s="230">
        <f t="shared" si="366"/>
        <v>3356701.9975156952</v>
      </c>
      <c r="S685" s="230">
        <f t="shared" si="367"/>
        <v>4050000</v>
      </c>
      <c r="T685" s="230">
        <f t="shared" si="368"/>
        <v>3356701.9975156952</v>
      </c>
      <c r="U685" s="230">
        <f>MIN(T685,'Tax Assumptions'!$B$19)</f>
        <v>24500</v>
      </c>
      <c r="V685" s="230">
        <f>MAX(T685-U685-'Tax Assumptions'!$B$8,0)</f>
        <v>3316101.9975156952</v>
      </c>
      <c r="W685" s="230">
        <f>MAX(T685-U685-'Tax Assumptions'!$B$9,0)</f>
        <v>3324201.9975156952</v>
      </c>
      <c r="X685" s="230">
        <f>IF(V685=0,0,LOOKUP(V685,'Tax Assumptions'!$F$9:$F$15,'Tax Assumptions'!$I$9:$I$15)+(V685-LOOKUP(V685,'Tax Assumptions'!$F$9:$F$15,'Tax Assumptions'!$F$9:$F$15))*LOOKUP(V685,'Tax Assumptions'!$F$9:$F$15,'Tax Assumptions'!$H$9:$H$15))+MIN(MAX(T685,0),'Tax Assumptions'!$B$11)*'Tax Assumptions'!$B$10+MAX(T685,0)*'Tax Assumptions'!$B$12+MAX(MAX(T685,0)-'Tax Assumptions'!$B$14,0)*'Tax Assumptions'!$B$13+MIN(T685*'Tax Assumptions'!$B$15,'Tax Assumptions'!$B$16)+MIN(T685*'Tax Assumptions'!$B$17,'Tax Assumptions'!$B$18)+IF(W685=0,0,LOOKUP(W685,'Tax Assumptions'!$K$9:$K$17,'Tax Assumptions'!$N$9:$N$17)+(W685-LOOKUP(W685,'Tax Assumptions'!$K$9:$K$17,'Tax Assumptions'!$K$9:$K$17))*LOOKUP(W685,'Tax Assumptions'!$K$9:$K$17,'Tax Assumptions'!$M$9:$M$17))+IF(W685=0,0,LOOKUP(W685,'Tax Assumptions'!$P$9:$P$12,'Tax Assumptions'!$S$9:$S$12)+(W685-LOOKUP(W685,'Tax Assumptions'!$P$9:$P$12,'Tax Assumptions'!$P$9:$P$12))*LOOKUP(W685,'Tax Assumptions'!$P$9:$P$12,'Tax Assumptions'!$R$9:$R$12))</f>
        <v>1688600.3832063989</v>
      </c>
      <c r="Y685" s="230">
        <f t="shared" si="369"/>
        <v>1643601.6143092962</v>
      </c>
      <c r="Z685" s="230">
        <f>IF(J685&lt;=10,INDEX('Savings Projection'!$BL$19:$BL$28,J685),LOOKUP(2,1/('Savings Projection'!$BL$19:$BL$28&lt;&gt;""),'Savings Projection'!$BL$19:$BL$28))*(1+'Model Inputs'!$B$35)^(J685-1)+IF(J685&lt;=10,INDEX('Savings Projection'!$BM$19:$BM$28,J685),LOOKUP(2,1/('Savings Projection'!$BM$19:$BM$28&lt;&gt;""),'Savings Projection'!$BM$19:$BM$28))*(1+'Model Inputs'!$B$36)^(J685-1)</f>
        <v>150705.62965899997</v>
      </c>
      <c r="AA685" s="230">
        <f t="shared" si="370"/>
        <v>1492895.9846502962</v>
      </c>
      <c r="AB685" s="230">
        <f>MIN(MAX(AA685,0),'Tax Assumptions'!$B$20)</f>
        <v>7500</v>
      </c>
      <c r="AC685" s="230">
        <f t="shared" si="371"/>
        <v>1485395.9846502962</v>
      </c>
      <c r="AD685" s="230">
        <f>MAX(AD684*(1+'Model Inputs'!$B$13)+AC685,0)</f>
        <v>2997724.5751604815</v>
      </c>
      <c r="AE685" s="230">
        <f>MAX(AE684*(1+'Model Inputs'!$B$13)+U685+AB685,0)</f>
        <v>223210.1932032</v>
      </c>
      <c r="AF685" s="230">
        <f t="shared" si="372"/>
        <v>3220934.7683636816</v>
      </c>
      <c r="AG685" s="226" t="str">
        <f t="shared" si="394"/>
        <v/>
      </c>
      <c r="AH685" s="226" t="str">
        <f t="shared" si="395"/>
        <v/>
      </c>
      <c r="AI685" s="226" t="str">
        <f t="shared" si="396"/>
        <v/>
      </c>
      <c r="AJ685" s="226" t="str">
        <f t="shared" si="397"/>
        <v/>
      </c>
    </row>
    <row r="686" spans="1:36" ht="18" customHeight="1" x14ac:dyDescent="0.2">
      <c r="A686" s="226" t="str">
        <f t="shared" si="386"/>
        <v>5Y -&gt; PM Y8 Base</v>
      </c>
      <c r="B686" s="226">
        <f t="shared" si="387"/>
        <v>5</v>
      </c>
      <c r="C686" s="235">
        <f t="shared" si="388"/>
        <v>3</v>
      </c>
      <c r="D686" s="226">
        <f t="shared" si="389"/>
        <v>8</v>
      </c>
      <c r="E686" s="226" t="str">
        <f t="shared" si="390"/>
        <v>Base</v>
      </c>
      <c r="F686" s="230">
        <f t="shared" si="391"/>
        <v>25000000</v>
      </c>
      <c r="G686" s="236">
        <f t="shared" si="392"/>
        <v>0.15</v>
      </c>
      <c r="H686" s="230">
        <f t="shared" si="393"/>
        <v>300000</v>
      </c>
      <c r="I686" s="236">
        <f t="shared" si="363"/>
        <v>0</v>
      </c>
      <c r="J686" s="234">
        <v>7</v>
      </c>
      <c r="K686" s="234">
        <f t="shared" si="364"/>
        <v>2032</v>
      </c>
      <c r="L686" s="230">
        <f>IF(J686=1,'Model Inputs'!$B$25*(13-'Model Inputs'!$B$23)/12,'Model Inputs'!$B$25)</f>
        <v>300000</v>
      </c>
      <c r="M686" s="230">
        <f>IF(J686=1,'Model Inputs'!$B$27*(13-'Model Inputs'!$B$23)/12,IF(J686=2,'Model Inputs'!$B$27,IF(J686&lt;=MAX(3,'Model Inputs'!$B$30+1),'Model Inputs'!$B$27*(1+'Model Inputs'!$B$28)^(J686-3),'Model Inputs'!$B$27*(1+'Model Inputs'!$B$28)^(MAX(3,'Model Inputs'!$B$30+1)-3)*(1+'Model Inputs'!$B$29)^(J686-MAX(3,'Model Inputs'!$B$30+1)))))</f>
        <v>1534372.9821762268</v>
      </c>
      <c r="N686" s="236">
        <f>IF(J686&lt;=2,0,'Model Inputs'!$B$32*SIN(2*PI()*(J686-3+'Model Inputs'!$B$34)/MAX(1,'Model Inputs'!$B$33)))</f>
        <v>0.10392304845413269</v>
      </c>
      <c r="O686" s="230">
        <f t="shared" si="365"/>
        <v>1693829.6999496389</v>
      </c>
      <c r="P686" s="230">
        <f t="shared" si="398"/>
        <v>1118318.448466131</v>
      </c>
      <c r="Q686" s="230">
        <f>L686+P686+IF(J686=1,'Model Inputs'!$B$26,0)</f>
        <v>1418318.448466131</v>
      </c>
      <c r="R686" s="230">
        <f t="shared" si="366"/>
        <v>4254955.3453983925</v>
      </c>
      <c r="S686" s="230">
        <f t="shared" si="367"/>
        <v>4050000</v>
      </c>
      <c r="T686" s="230">
        <f t="shared" si="368"/>
        <v>4254955.3453983925</v>
      </c>
      <c r="U686" s="230">
        <f>MIN(T686,'Tax Assumptions'!$B$19)</f>
        <v>24500</v>
      </c>
      <c r="V686" s="230">
        <f>MAX(T686-U686-'Tax Assumptions'!$B$8,0)</f>
        <v>4214355.3453983925</v>
      </c>
      <c r="W686" s="230">
        <f>MAX(T686-U686-'Tax Assumptions'!$B$9,0)</f>
        <v>4222455.3453983925</v>
      </c>
      <c r="X686" s="230">
        <f>IF(V686=0,0,LOOKUP(V686,'Tax Assumptions'!$F$9:$F$15,'Tax Assumptions'!$I$9:$I$15)+(V686-LOOKUP(V686,'Tax Assumptions'!$F$9:$F$15,'Tax Assumptions'!$F$9:$F$15))*LOOKUP(V686,'Tax Assumptions'!$F$9:$F$15,'Tax Assumptions'!$H$9:$H$15))+MIN(MAX(T686,0),'Tax Assumptions'!$B$11)*'Tax Assumptions'!$B$10+MAX(T686,0)*'Tax Assumptions'!$B$12+MAX(MAX(T686,0)-'Tax Assumptions'!$B$14,0)*'Tax Assumptions'!$B$13+MIN(T686*'Tax Assumptions'!$B$15,'Tax Assumptions'!$B$16)+MIN(T686*'Tax Assumptions'!$B$17,'Tax Assumptions'!$B$18)+IF(W686=0,0,LOOKUP(W686,'Tax Assumptions'!$K$9:$K$17,'Tax Assumptions'!$N$9:$N$17)+(W686-LOOKUP(W686,'Tax Assumptions'!$K$9:$K$17,'Tax Assumptions'!$K$9:$K$17))*LOOKUP(W686,'Tax Assumptions'!$K$9:$K$17,'Tax Assumptions'!$M$9:$M$17))+IF(W686=0,0,LOOKUP(W686,'Tax Assumptions'!$P$9:$P$12,'Tax Assumptions'!$S$9:$S$12)+(W686-LOOKUP(W686,'Tax Assumptions'!$P$9:$P$12,'Tax Assumptions'!$P$9:$P$12))*LOOKUP(W686,'Tax Assumptions'!$P$9:$P$12,'Tax Assumptions'!$R$9:$R$12))</f>
        <v>2163560.8234328539</v>
      </c>
      <c r="Y686" s="230">
        <f t="shared" si="369"/>
        <v>2066894.5219655386</v>
      </c>
      <c r="Z686" s="230">
        <f>IF(J686&lt;=10,INDEX('Savings Projection'!$BL$19:$BL$28,J686),LOOKUP(2,1/('Savings Projection'!$BL$19:$BL$28&lt;&gt;""),'Savings Projection'!$BL$19:$BL$28))*(1+'Model Inputs'!$B$35)^(J686-1)+IF(J686&lt;=10,INDEX('Savings Projection'!$BM$19:$BM$28,J686),LOOKUP(2,1/('Savings Projection'!$BM$19:$BM$28&lt;&gt;""),'Savings Projection'!$BM$19:$BM$28))*(1+'Model Inputs'!$B$36)^(J686-1)</f>
        <v>155226.79854876999</v>
      </c>
      <c r="AA686" s="230">
        <f t="shared" si="370"/>
        <v>1911667.7234167687</v>
      </c>
      <c r="AB686" s="230">
        <f>MIN(MAX(AA686,0),'Tax Assumptions'!$B$20)</f>
        <v>7500</v>
      </c>
      <c r="AC686" s="230">
        <f t="shared" si="371"/>
        <v>1904167.7234167687</v>
      </c>
      <c r="AD686" s="230">
        <f>MAX(AD685*(1+'Model Inputs'!$B$13)+AC686,0)</f>
        <v>5081755.7730868794</v>
      </c>
      <c r="AE686" s="230">
        <f>MAX(AE685*(1+'Model Inputs'!$B$13)+U686+AB686,0)</f>
        <v>268602.80479539197</v>
      </c>
      <c r="AF686" s="230">
        <f t="shared" si="372"/>
        <v>5350358.5778822713</v>
      </c>
      <c r="AG686" s="226" t="str">
        <f t="shared" si="394"/>
        <v/>
      </c>
      <c r="AH686" s="226" t="str">
        <f t="shared" si="395"/>
        <v/>
      </c>
      <c r="AI686" s="226" t="str">
        <f t="shared" si="396"/>
        <v/>
      </c>
      <c r="AJ686" s="226" t="str">
        <f t="shared" si="397"/>
        <v/>
      </c>
    </row>
    <row r="687" spans="1:36" ht="18" customHeight="1" x14ac:dyDescent="0.2">
      <c r="A687" s="226" t="str">
        <f t="shared" si="386"/>
        <v>5Y -&gt; PM Y8 Base</v>
      </c>
      <c r="B687" s="226">
        <f t="shared" si="387"/>
        <v>5</v>
      </c>
      <c r="C687" s="235">
        <f t="shared" si="388"/>
        <v>3</v>
      </c>
      <c r="D687" s="226">
        <f t="shared" si="389"/>
        <v>8</v>
      </c>
      <c r="E687" s="226" t="str">
        <f t="shared" si="390"/>
        <v>Base</v>
      </c>
      <c r="F687" s="230">
        <f t="shared" si="391"/>
        <v>25000000</v>
      </c>
      <c r="G687" s="236">
        <f t="shared" si="392"/>
        <v>0.15</v>
      </c>
      <c r="H687" s="230">
        <f t="shared" si="393"/>
        <v>300000</v>
      </c>
      <c r="I687" s="236">
        <f t="shared" si="363"/>
        <v>0</v>
      </c>
      <c r="J687" s="234">
        <v>8</v>
      </c>
      <c r="K687" s="234">
        <f t="shared" si="364"/>
        <v>2033</v>
      </c>
      <c r="L687" s="230">
        <f>IF(J687=1,'Model Inputs'!$B$25*(13-'Model Inputs'!$B$23)/12,'Model Inputs'!$B$25)</f>
        <v>300000</v>
      </c>
      <c r="M687" s="230">
        <f>IF(J687=1,'Model Inputs'!$B$27*(13-'Model Inputs'!$B$23)/12,IF(J687=2,'Model Inputs'!$B$27,IF(J687&lt;=MAX(3,'Model Inputs'!$B$30+1),'Model Inputs'!$B$27*(1+'Model Inputs'!$B$28)^(J687-3),'Model Inputs'!$B$27*(1+'Model Inputs'!$B$28)^(MAX(3,'Model Inputs'!$B$30+1)-3)*(1+'Model Inputs'!$B$29)^(J687-MAX(3,'Model Inputs'!$B$30+1)))))</f>
        <v>1950000.0000000002</v>
      </c>
      <c r="N687" s="236">
        <f>IF(J687&lt;=2,0,'Model Inputs'!$B$32*SIN(2*PI()*(J687-3+'Model Inputs'!$B$34)/MAX(1,'Model Inputs'!$B$33)))</f>
        <v>-0.10392304845413264</v>
      </c>
      <c r="O687" s="230">
        <f t="shared" si="365"/>
        <v>1747350.0555144416</v>
      </c>
      <c r="P687" s="230">
        <f t="shared" si="398"/>
        <v>1572205.6657868917</v>
      </c>
      <c r="Q687" s="230">
        <f>L687+P687+IF(J687=1,'Model Inputs'!$B$26,0)</f>
        <v>1872205.6657868917</v>
      </c>
      <c r="R687" s="230">
        <f t="shared" si="366"/>
        <v>5616616.9973606747</v>
      </c>
      <c r="S687" s="230">
        <f t="shared" si="367"/>
        <v>4050000</v>
      </c>
      <c r="T687" s="230">
        <f t="shared" si="368"/>
        <v>4050000</v>
      </c>
      <c r="U687" s="230">
        <f>MIN(T687,'Tax Assumptions'!$B$19)</f>
        <v>24500</v>
      </c>
      <c r="V687" s="230">
        <f>MAX(T687-U687-'Tax Assumptions'!$B$8,0)</f>
        <v>4009400</v>
      </c>
      <c r="W687" s="230">
        <f>MAX(T687-U687-'Tax Assumptions'!$B$9,0)</f>
        <v>4017500</v>
      </c>
      <c r="X687" s="230">
        <f>IF(V687=0,0,LOOKUP(V687,'Tax Assumptions'!$F$9:$F$15,'Tax Assumptions'!$I$9:$I$15)+(V687-LOOKUP(V687,'Tax Assumptions'!$F$9:$F$15,'Tax Assumptions'!$F$9:$F$15))*LOOKUP(V687,'Tax Assumptions'!$F$9:$F$15,'Tax Assumptions'!$H$9:$H$15))+MIN(MAX(T687,0),'Tax Assumptions'!$B$11)*'Tax Assumptions'!$B$10+MAX(T687,0)*'Tax Assumptions'!$B$12+MAX(MAX(T687,0)-'Tax Assumptions'!$B$14,0)*'Tax Assumptions'!$B$13+MIN(T687*'Tax Assumptions'!$B$15,'Tax Assumptions'!$B$16)+MIN(T687*'Tax Assumptions'!$B$17,'Tax Assumptions'!$B$18)+IF(W687=0,0,LOOKUP(W687,'Tax Assumptions'!$K$9:$K$17,'Tax Assumptions'!$N$9:$N$17)+(W687-LOOKUP(W687,'Tax Assumptions'!$K$9:$K$17,'Tax Assumptions'!$K$9:$K$17))*LOOKUP(W687,'Tax Assumptions'!$K$9:$K$17,'Tax Assumptions'!$M$9:$M$17))+IF(W687=0,0,LOOKUP(W687,'Tax Assumptions'!$P$9:$P$12,'Tax Assumptions'!$S$9:$S$12)+(W687-LOOKUP(W687,'Tax Assumptions'!$P$9:$P$12,'Tax Assumptions'!$P$9:$P$12))*LOOKUP(W687,'Tax Assumptions'!$P$9:$P$12,'Tax Assumptions'!$R$9:$R$12))</f>
        <v>2055188.6349999998</v>
      </c>
      <c r="Y687" s="230">
        <f t="shared" si="369"/>
        <v>1970311.3650000002</v>
      </c>
      <c r="Z687" s="230">
        <f>IF(J687&lt;=10,INDEX('Savings Projection'!$BL$19:$BL$28,J687),LOOKUP(2,1/('Savings Projection'!$BL$19:$BL$28&lt;&gt;""),'Savings Projection'!$BL$19:$BL$28))*(1+'Model Inputs'!$B$35)^(J687-1)+IF(J687&lt;=10,INDEX('Savings Projection'!$BM$19:$BM$28,J687),LOOKUP(2,1/('Savings Projection'!$BM$19:$BM$28&lt;&gt;""),'Savings Projection'!$BM$19:$BM$28))*(1+'Model Inputs'!$B$36)^(J687-1)</f>
        <v>159883.60250523311</v>
      </c>
      <c r="AA687" s="230">
        <f t="shared" si="370"/>
        <v>1810427.7624947671</v>
      </c>
      <c r="AB687" s="230">
        <f>MIN(MAX(AA687,0),'Tax Assumptions'!$B$20)</f>
        <v>7500</v>
      </c>
      <c r="AC687" s="230">
        <f t="shared" si="371"/>
        <v>1802927.7624947671</v>
      </c>
      <c r="AD687" s="230">
        <f>MAX(AD686*(1+'Model Inputs'!$B$13)+AC687,0)</f>
        <v>7189588.8819668591</v>
      </c>
      <c r="AE687" s="230">
        <f>MAX(AE686*(1+'Model Inputs'!$B$13)+U687+AB687,0)</f>
        <v>316718.97308311553</v>
      </c>
      <c r="AF687" s="230">
        <f t="shared" si="372"/>
        <v>7506307.8550499743</v>
      </c>
      <c r="AG687" s="226" t="str">
        <f t="shared" si="394"/>
        <v/>
      </c>
      <c r="AH687" s="226" t="str">
        <f t="shared" si="395"/>
        <v/>
      </c>
      <c r="AI687" s="226" t="str">
        <f t="shared" si="396"/>
        <v/>
      </c>
      <c r="AJ687" s="226" t="str">
        <f t="shared" si="397"/>
        <v/>
      </c>
    </row>
    <row r="688" spans="1:36" ht="18" customHeight="1" x14ac:dyDescent="0.2">
      <c r="A688" s="226" t="str">
        <f t="shared" si="386"/>
        <v>5Y -&gt; PM Y8 Base</v>
      </c>
      <c r="B688" s="226">
        <f t="shared" si="387"/>
        <v>5</v>
      </c>
      <c r="C688" s="235">
        <f t="shared" si="388"/>
        <v>3</v>
      </c>
      <c r="D688" s="226">
        <f t="shared" si="389"/>
        <v>8</v>
      </c>
      <c r="E688" s="226" t="str">
        <f t="shared" si="390"/>
        <v>Base</v>
      </c>
      <c r="F688" s="230">
        <f t="shared" si="391"/>
        <v>25000000</v>
      </c>
      <c r="G688" s="236">
        <f t="shared" si="392"/>
        <v>0.15</v>
      </c>
      <c r="H688" s="230">
        <f t="shared" si="393"/>
        <v>300000</v>
      </c>
      <c r="I688" s="236">
        <f t="shared" si="363"/>
        <v>0</v>
      </c>
      <c r="J688" s="234">
        <v>9</v>
      </c>
      <c r="K688" s="234">
        <f t="shared" si="364"/>
        <v>2034</v>
      </c>
      <c r="L688" s="230">
        <f>IF(J688=1,'Model Inputs'!$B$25*(13-'Model Inputs'!$B$23)/12,'Model Inputs'!$B$25)</f>
        <v>300000</v>
      </c>
      <c r="M688" s="230">
        <f>IF(J688=1,'Model Inputs'!$B$27*(13-'Model Inputs'!$B$23)/12,IF(J688=2,'Model Inputs'!$B$27,IF(J688&lt;=MAX(3,'Model Inputs'!$B$30+1),'Model Inputs'!$B$27*(1+'Model Inputs'!$B$28)^(J688-3),'Model Inputs'!$B$27*(1+'Model Inputs'!$B$28)^(MAX(3,'Model Inputs'!$B$30+1)-3)*(1+'Model Inputs'!$B$29)^(J688-MAX(3,'Model Inputs'!$B$30+1)))))</f>
        <v>2478210.9983498608</v>
      </c>
      <c r="N688" s="236">
        <f>IF(J688&lt;=2,0,'Model Inputs'!$B$32*SIN(2*PI()*(J688-3+'Model Inputs'!$B$34)/MAX(1,'Model Inputs'!$B$33)))</f>
        <v>-5.8783046359072947E-17</v>
      </c>
      <c r="O688" s="230">
        <f t="shared" si="365"/>
        <v>2478210.9983498603</v>
      </c>
      <c r="P688" s="230">
        <f t="shared" si="398"/>
        <v>1733969.9666232408</v>
      </c>
      <c r="Q688" s="230">
        <f>L688+P688+IF(J688=1,'Model Inputs'!$B$26,0)</f>
        <v>2033969.9666232408</v>
      </c>
      <c r="R688" s="230">
        <f t="shared" si="366"/>
        <v>6101909.8998697223</v>
      </c>
      <c r="S688" s="230">
        <f t="shared" si="367"/>
        <v>4050000</v>
      </c>
      <c r="T688" s="230">
        <f t="shared" si="368"/>
        <v>4050000</v>
      </c>
      <c r="U688" s="230">
        <f>MIN(T688,'Tax Assumptions'!$B$19)</f>
        <v>24500</v>
      </c>
      <c r="V688" s="230">
        <f>MAX(T688-U688-'Tax Assumptions'!$B$8,0)</f>
        <v>4009400</v>
      </c>
      <c r="W688" s="230">
        <f>MAX(T688-U688-'Tax Assumptions'!$B$9,0)</f>
        <v>4017500</v>
      </c>
      <c r="X688" s="230">
        <f>IF(V688=0,0,LOOKUP(V688,'Tax Assumptions'!$F$9:$F$15,'Tax Assumptions'!$I$9:$I$15)+(V688-LOOKUP(V688,'Tax Assumptions'!$F$9:$F$15,'Tax Assumptions'!$F$9:$F$15))*LOOKUP(V688,'Tax Assumptions'!$F$9:$F$15,'Tax Assumptions'!$H$9:$H$15))+MIN(MAX(T688,0),'Tax Assumptions'!$B$11)*'Tax Assumptions'!$B$10+MAX(T688,0)*'Tax Assumptions'!$B$12+MAX(MAX(T688,0)-'Tax Assumptions'!$B$14,0)*'Tax Assumptions'!$B$13+MIN(T688*'Tax Assumptions'!$B$15,'Tax Assumptions'!$B$16)+MIN(T688*'Tax Assumptions'!$B$17,'Tax Assumptions'!$B$18)+IF(W688=0,0,LOOKUP(W688,'Tax Assumptions'!$K$9:$K$17,'Tax Assumptions'!$N$9:$N$17)+(W688-LOOKUP(W688,'Tax Assumptions'!$K$9:$K$17,'Tax Assumptions'!$K$9:$K$17))*LOOKUP(W688,'Tax Assumptions'!$K$9:$K$17,'Tax Assumptions'!$M$9:$M$17))+IF(W688=0,0,LOOKUP(W688,'Tax Assumptions'!$P$9:$P$12,'Tax Assumptions'!$S$9:$S$12)+(W688-LOOKUP(W688,'Tax Assumptions'!$P$9:$P$12,'Tax Assumptions'!$P$9:$P$12))*LOOKUP(W688,'Tax Assumptions'!$P$9:$P$12,'Tax Assumptions'!$R$9:$R$12))</f>
        <v>2055188.6349999998</v>
      </c>
      <c r="Y688" s="230">
        <f t="shared" si="369"/>
        <v>1970311.3650000002</v>
      </c>
      <c r="Z688" s="230">
        <f>IF(J688&lt;=10,INDEX('Savings Projection'!$BL$19:$BL$28,J688),LOOKUP(2,1/('Savings Projection'!$BL$19:$BL$28&lt;&gt;""),'Savings Projection'!$BL$19:$BL$28))*(1+'Model Inputs'!$B$35)^(J688-1)+IF(J688&lt;=10,INDEX('Savings Projection'!$BM$19:$BM$28,J688),LOOKUP(2,1/('Savings Projection'!$BM$19:$BM$28&lt;&gt;""),'Savings Projection'!$BM$19:$BM$28))*(1+'Model Inputs'!$B$36)^(J688-1)</f>
        <v>164680.11058039009</v>
      </c>
      <c r="AA688" s="230">
        <f t="shared" si="370"/>
        <v>1805631.2544196101</v>
      </c>
      <c r="AB688" s="230">
        <f>MIN(MAX(AA688,0),'Tax Assumptions'!$B$20)</f>
        <v>7500</v>
      </c>
      <c r="AC688" s="230">
        <f t="shared" si="371"/>
        <v>1798131.2544196101</v>
      </c>
      <c r="AD688" s="230">
        <f>MAX(AD687*(1+'Model Inputs'!$B$13)+AC688,0)</f>
        <v>9419095.4693044815</v>
      </c>
      <c r="AE688" s="230">
        <f>MAX(AE687*(1+'Model Inputs'!$B$13)+U688+AB688,0)</f>
        <v>367722.11146810249</v>
      </c>
      <c r="AF688" s="230">
        <f t="shared" si="372"/>
        <v>9786817.5807725843</v>
      </c>
      <c r="AG688" s="226" t="str">
        <f t="shared" si="394"/>
        <v/>
      </c>
      <c r="AH688" s="226" t="str">
        <f t="shared" si="395"/>
        <v/>
      </c>
      <c r="AI688" s="226" t="str">
        <f t="shared" si="396"/>
        <v/>
      </c>
      <c r="AJ688" s="226" t="str">
        <f t="shared" si="397"/>
        <v/>
      </c>
    </row>
    <row r="689" spans="1:36" ht="18" customHeight="1" x14ac:dyDescent="0.2">
      <c r="A689" s="226" t="str">
        <f t="shared" si="386"/>
        <v>5Y -&gt; PM Y8 Base</v>
      </c>
      <c r="B689" s="226">
        <f t="shared" si="387"/>
        <v>5</v>
      </c>
      <c r="C689" s="235">
        <f t="shared" si="388"/>
        <v>3</v>
      </c>
      <c r="D689" s="226">
        <f t="shared" si="389"/>
        <v>8</v>
      </c>
      <c r="E689" s="226" t="str">
        <f t="shared" si="390"/>
        <v>Base</v>
      </c>
      <c r="F689" s="230">
        <f t="shared" si="391"/>
        <v>25000000</v>
      </c>
      <c r="G689" s="236">
        <f t="shared" si="392"/>
        <v>0.15</v>
      </c>
      <c r="H689" s="230">
        <f t="shared" si="393"/>
        <v>300000</v>
      </c>
      <c r="I689" s="236">
        <f t="shared" si="363"/>
        <v>0</v>
      </c>
      <c r="J689" s="234">
        <v>10</v>
      </c>
      <c r="K689" s="234">
        <f t="shared" si="364"/>
        <v>2035</v>
      </c>
      <c r="L689" s="230">
        <f>IF(J689=1,'Model Inputs'!$B$25*(13-'Model Inputs'!$B$23)/12,'Model Inputs'!$B$25)</f>
        <v>300000</v>
      </c>
      <c r="M689" s="230">
        <f>IF(J689=1,'Model Inputs'!$B$27*(13-'Model Inputs'!$B$23)/12,IF(J689=2,'Model Inputs'!$B$27,IF(J689&lt;=MAX(3,'Model Inputs'!$B$30+1),'Model Inputs'!$B$27*(1+'Model Inputs'!$B$28)^(J689-3),'Model Inputs'!$B$27*(1+'Model Inputs'!$B$28)^(MAX(3,'Model Inputs'!$B$30+1)-3)*(1+'Model Inputs'!$B$29)^(J689-MAX(3,'Model Inputs'!$B$30+1)))))</f>
        <v>3149502.4370985711</v>
      </c>
      <c r="N689" s="236">
        <f>IF(J689&lt;=2,0,'Model Inputs'!$B$32*SIN(2*PI()*(J689-3+'Model Inputs'!$B$34)/MAX(1,'Model Inputs'!$B$33)))</f>
        <v>0.10392304845413271</v>
      </c>
      <c r="O689" s="230">
        <f t="shared" si="365"/>
        <v>3476808.331475575</v>
      </c>
      <c r="P689" s="230">
        <f t="shared" si="398"/>
        <v>2295495.7626410057</v>
      </c>
      <c r="Q689" s="230">
        <f>L689+P689+IF(J689=1,'Model Inputs'!$B$26,0)</f>
        <v>2595495.7626410057</v>
      </c>
      <c r="R689" s="230">
        <f t="shared" si="366"/>
        <v>7786487.2879230175</v>
      </c>
      <c r="S689" s="230">
        <f t="shared" si="367"/>
        <v>4050000</v>
      </c>
      <c r="T689" s="230">
        <f t="shared" si="368"/>
        <v>4050000</v>
      </c>
      <c r="U689" s="230">
        <f>MIN(T689,'Tax Assumptions'!$B$19)</f>
        <v>24500</v>
      </c>
      <c r="V689" s="230">
        <f>MAX(T689-U689-'Tax Assumptions'!$B$8,0)</f>
        <v>4009400</v>
      </c>
      <c r="W689" s="230">
        <f>MAX(T689-U689-'Tax Assumptions'!$B$9,0)</f>
        <v>4017500</v>
      </c>
      <c r="X689" s="230">
        <f>IF(V689=0,0,LOOKUP(V689,'Tax Assumptions'!$F$9:$F$15,'Tax Assumptions'!$I$9:$I$15)+(V689-LOOKUP(V689,'Tax Assumptions'!$F$9:$F$15,'Tax Assumptions'!$F$9:$F$15))*LOOKUP(V689,'Tax Assumptions'!$F$9:$F$15,'Tax Assumptions'!$H$9:$H$15))+MIN(MAX(T689,0),'Tax Assumptions'!$B$11)*'Tax Assumptions'!$B$10+MAX(T689,0)*'Tax Assumptions'!$B$12+MAX(MAX(T689,0)-'Tax Assumptions'!$B$14,0)*'Tax Assumptions'!$B$13+MIN(T689*'Tax Assumptions'!$B$15,'Tax Assumptions'!$B$16)+MIN(T689*'Tax Assumptions'!$B$17,'Tax Assumptions'!$B$18)+IF(W689=0,0,LOOKUP(W689,'Tax Assumptions'!$K$9:$K$17,'Tax Assumptions'!$N$9:$N$17)+(W689-LOOKUP(W689,'Tax Assumptions'!$K$9:$K$17,'Tax Assumptions'!$K$9:$K$17))*LOOKUP(W689,'Tax Assumptions'!$K$9:$K$17,'Tax Assumptions'!$M$9:$M$17))+IF(W689=0,0,LOOKUP(W689,'Tax Assumptions'!$P$9:$P$12,'Tax Assumptions'!$S$9:$S$12)+(W689-LOOKUP(W689,'Tax Assumptions'!$P$9:$P$12,'Tax Assumptions'!$P$9:$P$12))*LOOKUP(W689,'Tax Assumptions'!$P$9:$P$12,'Tax Assumptions'!$R$9:$R$12))</f>
        <v>2055188.6349999998</v>
      </c>
      <c r="Y689" s="230">
        <f t="shared" si="369"/>
        <v>1970311.3650000002</v>
      </c>
      <c r="Z689" s="230">
        <f>IF(J689&lt;=10,INDEX('Savings Projection'!$BL$19:$BL$28,J689),LOOKUP(2,1/('Savings Projection'!$BL$19:$BL$28&lt;&gt;""),'Savings Projection'!$BL$19:$BL$28))*(1+'Model Inputs'!$B$35)^(J689-1)+IF(J689&lt;=10,INDEX('Savings Projection'!$BM$19:$BM$28,J689),LOOKUP(2,1/('Savings Projection'!$BM$19:$BM$28&lt;&gt;""),'Savings Projection'!$BM$19:$BM$28))*(1+'Model Inputs'!$B$36)^(J689-1)</f>
        <v>169620.51389780178</v>
      </c>
      <c r="AA689" s="230">
        <f t="shared" si="370"/>
        <v>1800690.8511021985</v>
      </c>
      <c r="AB689" s="230">
        <f>MIN(MAX(AA689,0),'Tax Assumptions'!$B$20)</f>
        <v>7500</v>
      </c>
      <c r="AC689" s="230">
        <f t="shared" si="371"/>
        <v>1793190.8511021985</v>
      </c>
      <c r="AD689" s="230">
        <f>MAX(AD688*(1+'Model Inputs'!$B$13)+AC689,0)</f>
        <v>11777432.048564948</v>
      </c>
      <c r="AE689" s="230">
        <f>MAX(AE688*(1+'Model Inputs'!$B$13)+U689+AB689,0)</f>
        <v>421785.43815618864</v>
      </c>
      <c r="AF689" s="230">
        <f t="shared" si="372"/>
        <v>12199217.486721138</v>
      </c>
      <c r="AG689" s="226" t="str">
        <f t="shared" si="394"/>
        <v/>
      </c>
      <c r="AH689" s="226" t="str">
        <f t="shared" si="395"/>
        <v/>
      </c>
      <c r="AI689" s="226" t="str">
        <f t="shared" si="396"/>
        <v/>
      </c>
      <c r="AJ689" s="226" t="str">
        <f t="shared" si="397"/>
        <v/>
      </c>
    </row>
    <row r="690" spans="1:36" ht="18" customHeight="1" x14ac:dyDescent="0.2">
      <c r="A690" s="226" t="str">
        <f t="shared" si="386"/>
        <v>5Y -&gt; PM Y8 Base</v>
      </c>
      <c r="B690" s="226">
        <f t="shared" si="387"/>
        <v>5</v>
      </c>
      <c r="C690" s="235">
        <f t="shared" si="388"/>
        <v>3</v>
      </c>
      <c r="D690" s="226">
        <f t="shared" si="389"/>
        <v>8</v>
      </c>
      <c r="E690" s="226" t="str">
        <f t="shared" si="390"/>
        <v>Base</v>
      </c>
      <c r="F690" s="230">
        <f t="shared" si="391"/>
        <v>25000000</v>
      </c>
      <c r="G690" s="236">
        <f t="shared" si="392"/>
        <v>0.15</v>
      </c>
      <c r="H690" s="230">
        <f t="shared" si="393"/>
        <v>300000</v>
      </c>
      <c r="I690" s="236">
        <f t="shared" ref="I690:I753" si="399">$J$17</f>
        <v>0</v>
      </c>
      <c r="J690" s="234">
        <v>11</v>
      </c>
      <c r="K690" s="234">
        <f t="shared" ref="K690:K753" si="400">2025+J690</f>
        <v>2036</v>
      </c>
      <c r="L690" s="230">
        <f>IF(J690=1,'Model Inputs'!$B$25*(13-'Model Inputs'!$B$23)/12,'Model Inputs'!$B$25)</f>
        <v>300000</v>
      </c>
      <c r="M690" s="230">
        <f>IF(J690=1,'Model Inputs'!$B$27*(13-'Model Inputs'!$B$23)/12,IF(J690=2,'Model Inputs'!$B$27,IF(J690&lt;=MAX(3,'Model Inputs'!$B$30+1),'Model Inputs'!$B$27*(1+'Model Inputs'!$B$28)^(J690-3),'Model Inputs'!$B$27*(1+'Model Inputs'!$B$28)^(MAX(3,'Model Inputs'!$B$30+1)-3)*(1+'Model Inputs'!$B$29)^(J690-MAX(3,'Model Inputs'!$B$30+1)))))</f>
        <v>4002631.578947369</v>
      </c>
      <c r="N690" s="236">
        <f>IF(J690&lt;=2,0,'Model Inputs'!$B$32*SIN(2*PI()*(J690-3+'Model Inputs'!$B$34)/MAX(1,'Model Inputs'!$B$33)))</f>
        <v>-0.10392304845413253</v>
      </c>
      <c r="O690" s="230">
        <f t="shared" ref="O690:O753" si="401">M690*(1+N690)</f>
        <v>3586665.9034243808</v>
      </c>
      <c r="P690" s="230">
        <f t="shared" si="398"/>
        <v>3227158.9981941464</v>
      </c>
      <c r="Q690" s="230">
        <f>L690+P690+IF(J690=1,'Model Inputs'!$B$26,0)</f>
        <v>3527158.9981941464</v>
      </c>
      <c r="R690" s="230">
        <f t="shared" ref="R690:R753" si="402">IF(J690&lt;=B690,Q690,Q690*C690)</f>
        <v>10581476.994582439</v>
      </c>
      <c r="S690" s="230">
        <f t="shared" ref="S690:S753" si="403">H690+F690*G690*(1+I690)^MAX(0,J690-D690)</f>
        <v>4050000</v>
      </c>
      <c r="T690" s="230">
        <f t="shared" ref="T690:T753" si="404">IF(J690&gt;=D690,S690,R690)</f>
        <v>4050000</v>
      </c>
      <c r="U690" s="230">
        <f>MIN(T690,'Tax Assumptions'!$B$19)</f>
        <v>24500</v>
      </c>
      <c r="V690" s="230">
        <f>MAX(T690-U690-'Tax Assumptions'!$B$8,0)</f>
        <v>4009400</v>
      </c>
      <c r="W690" s="230">
        <f>MAX(T690-U690-'Tax Assumptions'!$B$9,0)</f>
        <v>4017500</v>
      </c>
      <c r="X690" s="230">
        <f>IF(V690=0,0,LOOKUP(V690,'Tax Assumptions'!$F$9:$F$15,'Tax Assumptions'!$I$9:$I$15)+(V690-LOOKUP(V690,'Tax Assumptions'!$F$9:$F$15,'Tax Assumptions'!$F$9:$F$15))*LOOKUP(V690,'Tax Assumptions'!$F$9:$F$15,'Tax Assumptions'!$H$9:$H$15))+MIN(MAX(T690,0),'Tax Assumptions'!$B$11)*'Tax Assumptions'!$B$10+MAX(T690,0)*'Tax Assumptions'!$B$12+MAX(MAX(T690,0)-'Tax Assumptions'!$B$14,0)*'Tax Assumptions'!$B$13+MIN(T690*'Tax Assumptions'!$B$15,'Tax Assumptions'!$B$16)+MIN(T690*'Tax Assumptions'!$B$17,'Tax Assumptions'!$B$18)+IF(W690=0,0,LOOKUP(W690,'Tax Assumptions'!$K$9:$K$17,'Tax Assumptions'!$N$9:$N$17)+(W690-LOOKUP(W690,'Tax Assumptions'!$K$9:$K$17,'Tax Assumptions'!$K$9:$K$17))*LOOKUP(W690,'Tax Assumptions'!$K$9:$K$17,'Tax Assumptions'!$M$9:$M$17))+IF(W690=0,0,LOOKUP(W690,'Tax Assumptions'!$P$9:$P$12,'Tax Assumptions'!$S$9:$S$12)+(W690-LOOKUP(W690,'Tax Assumptions'!$P$9:$P$12,'Tax Assumptions'!$P$9:$P$12))*LOOKUP(W690,'Tax Assumptions'!$P$9:$P$12,'Tax Assumptions'!$R$9:$R$12))</f>
        <v>2055188.6349999998</v>
      </c>
      <c r="Y690" s="230">
        <f t="shared" ref="Y690:Y753" si="405">T690-U690-X690</f>
        <v>1970311.3650000002</v>
      </c>
      <c r="Z690" s="230">
        <f>IF(J690&lt;=10,INDEX('Savings Projection'!$BL$19:$BL$28,J690),LOOKUP(2,1/('Savings Projection'!$BL$19:$BL$28&lt;&gt;""),'Savings Projection'!$BL$19:$BL$28))*(1+'Model Inputs'!$B$35)^(J690-1)+IF(J690&lt;=10,INDEX('Savings Projection'!$BM$19:$BM$28,J690),LOOKUP(2,1/('Savings Projection'!$BM$19:$BM$28&lt;&gt;""),'Savings Projection'!$BM$19:$BM$28))*(1+'Model Inputs'!$B$36)^(J690-1)</f>
        <v>174709.12931473582</v>
      </c>
      <c r="AA690" s="230">
        <f t="shared" ref="AA690:AA753" si="406">Y690-Z690</f>
        <v>1795602.2356852645</v>
      </c>
      <c r="AB690" s="230">
        <f>MIN(MAX(AA690,0),'Tax Assumptions'!$B$20)</f>
        <v>7500</v>
      </c>
      <c r="AC690" s="230">
        <f t="shared" ref="AC690:AC753" si="407">AA690-AB690</f>
        <v>1788102.2356852645</v>
      </c>
      <c r="AD690" s="230">
        <f>MAX(AD689*(1+'Model Inputs'!$B$13)+AC690,0)</f>
        <v>14272180.207164111</v>
      </c>
      <c r="AE690" s="230">
        <f>MAX(AE689*(1+'Model Inputs'!$B$13)+U690+AB690,0)</f>
        <v>479092.56444555998</v>
      </c>
      <c r="AF690" s="230">
        <f t="shared" ref="AF690:AF753" si="408">AD690+AE690</f>
        <v>14751272.771609671</v>
      </c>
      <c r="AG690" s="226">
        <f t="shared" si="394"/>
        <v>11</v>
      </c>
      <c r="AH690" s="226" t="str">
        <f t="shared" si="395"/>
        <v/>
      </c>
      <c r="AI690" s="226" t="str">
        <f t="shared" si="396"/>
        <v/>
      </c>
      <c r="AJ690" s="226" t="str">
        <f t="shared" si="397"/>
        <v/>
      </c>
    </row>
    <row r="691" spans="1:36" ht="18" customHeight="1" x14ac:dyDescent="0.2">
      <c r="A691" s="226" t="str">
        <f t="shared" si="386"/>
        <v>5Y -&gt; PM Y8 Base</v>
      </c>
      <c r="B691" s="226">
        <f t="shared" si="387"/>
        <v>5</v>
      </c>
      <c r="C691" s="235">
        <f t="shared" si="388"/>
        <v>3</v>
      </c>
      <c r="D691" s="226">
        <f t="shared" si="389"/>
        <v>8</v>
      </c>
      <c r="E691" s="226" t="str">
        <f t="shared" si="390"/>
        <v>Base</v>
      </c>
      <c r="F691" s="230">
        <f t="shared" si="391"/>
        <v>25000000</v>
      </c>
      <c r="G691" s="236">
        <f t="shared" si="392"/>
        <v>0.15</v>
      </c>
      <c r="H691" s="230">
        <f t="shared" si="393"/>
        <v>300000</v>
      </c>
      <c r="I691" s="236">
        <f t="shared" si="399"/>
        <v>0</v>
      </c>
      <c r="J691" s="234">
        <v>12</v>
      </c>
      <c r="K691" s="234">
        <f t="shared" si="400"/>
        <v>2037</v>
      </c>
      <c r="L691" s="230">
        <f>IF(J691=1,'Model Inputs'!$B$25*(13-'Model Inputs'!$B$23)/12,'Model Inputs'!$B$25)</f>
        <v>300000</v>
      </c>
      <c r="M691" s="230">
        <f>IF(J691=1,'Model Inputs'!$B$27*(13-'Model Inputs'!$B$23)/12,IF(J691=2,'Model Inputs'!$B$27,IF(J691&lt;=MAX(3,'Model Inputs'!$B$30+1),'Model Inputs'!$B$27*(1+'Model Inputs'!$B$28)^(J691-3),'Model Inputs'!$B$27*(1+'Model Inputs'!$B$28)^(MAX(3,'Model Inputs'!$B$30+1)-3)*(1+'Model Inputs'!$B$29)^(J691-MAX(3,'Model Inputs'!$B$30+1)))))</f>
        <v>5086854.15450761</v>
      </c>
      <c r="N691" s="236">
        <f>IF(J691&lt;=2,0,'Model Inputs'!$B$32*SIN(2*PI()*(J691-3+'Model Inputs'!$B$34)/MAX(1,'Model Inputs'!$B$33)))</f>
        <v>-8.8174569538609421E-17</v>
      </c>
      <c r="O691" s="230">
        <f t="shared" si="401"/>
        <v>5086854.1545076091</v>
      </c>
      <c r="P691" s="230">
        <f t="shared" si="398"/>
        <v>3559201.5104371794</v>
      </c>
      <c r="Q691" s="230">
        <f>L691+P691+IF(J691=1,'Model Inputs'!$B$26,0)</f>
        <v>3859201.5104371794</v>
      </c>
      <c r="R691" s="230">
        <f t="shared" si="402"/>
        <v>11577604.531311538</v>
      </c>
      <c r="S691" s="230">
        <f t="shared" si="403"/>
        <v>4050000</v>
      </c>
      <c r="T691" s="230">
        <f t="shared" si="404"/>
        <v>4050000</v>
      </c>
      <c r="U691" s="230">
        <f>MIN(T691,'Tax Assumptions'!$B$19)</f>
        <v>24500</v>
      </c>
      <c r="V691" s="230">
        <f>MAX(T691-U691-'Tax Assumptions'!$B$8,0)</f>
        <v>4009400</v>
      </c>
      <c r="W691" s="230">
        <f>MAX(T691-U691-'Tax Assumptions'!$B$9,0)</f>
        <v>4017500</v>
      </c>
      <c r="X691" s="230">
        <f>IF(V691=0,0,LOOKUP(V691,'Tax Assumptions'!$F$9:$F$15,'Tax Assumptions'!$I$9:$I$15)+(V691-LOOKUP(V691,'Tax Assumptions'!$F$9:$F$15,'Tax Assumptions'!$F$9:$F$15))*LOOKUP(V691,'Tax Assumptions'!$F$9:$F$15,'Tax Assumptions'!$H$9:$H$15))+MIN(MAX(T691,0),'Tax Assumptions'!$B$11)*'Tax Assumptions'!$B$10+MAX(T691,0)*'Tax Assumptions'!$B$12+MAX(MAX(T691,0)-'Tax Assumptions'!$B$14,0)*'Tax Assumptions'!$B$13+MIN(T691*'Tax Assumptions'!$B$15,'Tax Assumptions'!$B$16)+MIN(T691*'Tax Assumptions'!$B$17,'Tax Assumptions'!$B$18)+IF(W691=0,0,LOOKUP(W691,'Tax Assumptions'!$K$9:$K$17,'Tax Assumptions'!$N$9:$N$17)+(W691-LOOKUP(W691,'Tax Assumptions'!$K$9:$K$17,'Tax Assumptions'!$K$9:$K$17))*LOOKUP(W691,'Tax Assumptions'!$K$9:$K$17,'Tax Assumptions'!$M$9:$M$17))+IF(W691=0,0,LOOKUP(W691,'Tax Assumptions'!$P$9:$P$12,'Tax Assumptions'!$S$9:$S$12)+(W691-LOOKUP(W691,'Tax Assumptions'!$P$9:$P$12,'Tax Assumptions'!$P$9:$P$12))*LOOKUP(W691,'Tax Assumptions'!$P$9:$P$12,'Tax Assumptions'!$R$9:$R$12))</f>
        <v>2055188.6349999998</v>
      </c>
      <c r="Y691" s="230">
        <f t="shared" si="405"/>
        <v>1970311.3650000002</v>
      </c>
      <c r="Z691" s="230">
        <f>IF(J691&lt;=10,INDEX('Savings Projection'!$BL$19:$BL$28,J691),LOOKUP(2,1/('Savings Projection'!$BL$19:$BL$28&lt;&gt;""),'Savings Projection'!$BL$19:$BL$28))*(1+'Model Inputs'!$B$35)^(J691-1)+IF(J691&lt;=10,INDEX('Savings Projection'!$BM$19:$BM$28,J691),LOOKUP(2,1/('Savings Projection'!$BM$19:$BM$28&lt;&gt;""),'Savings Projection'!$BM$19:$BM$28))*(1+'Model Inputs'!$B$36)^(J691-1)</f>
        <v>179950.4031941779</v>
      </c>
      <c r="AA691" s="230">
        <f t="shared" si="406"/>
        <v>1790360.9618058223</v>
      </c>
      <c r="AB691" s="230">
        <f>MIN(MAX(AA691,0),'Tax Assumptions'!$B$20)</f>
        <v>7500</v>
      </c>
      <c r="AC691" s="230">
        <f t="shared" si="407"/>
        <v>1782860.9618058223</v>
      </c>
      <c r="AD691" s="230">
        <f>MAX(AD690*(1+'Model Inputs'!$B$13)+AC691,0)</f>
        <v>16911371.981399782</v>
      </c>
      <c r="AE691" s="230">
        <f>MAX(AE690*(1+'Model Inputs'!$B$13)+U691+AB691,0)</f>
        <v>539838.11831229366</v>
      </c>
      <c r="AF691" s="230">
        <f t="shared" si="408"/>
        <v>17451210.099712074</v>
      </c>
      <c r="AG691" s="226" t="str">
        <f t="shared" si="394"/>
        <v/>
      </c>
      <c r="AH691" s="226">
        <f t="shared" si="395"/>
        <v>12</v>
      </c>
      <c r="AI691" s="226">
        <f t="shared" si="396"/>
        <v>12</v>
      </c>
      <c r="AJ691" s="226" t="str">
        <f t="shared" si="397"/>
        <v/>
      </c>
    </row>
    <row r="692" spans="1:36" ht="18" customHeight="1" x14ac:dyDescent="0.2">
      <c r="A692" s="226" t="str">
        <f t="shared" si="386"/>
        <v>5Y -&gt; PM Y8 Base</v>
      </c>
      <c r="B692" s="226">
        <f t="shared" si="387"/>
        <v>5</v>
      </c>
      <c r="C692" s="235">
        <f t="shared" si="388"/>
        <v>3</v>
      </c>
      <c r="D692" s="226">
        <f t="shared" si="389"/>
        <v>8</v>
      </c>
      <c r="E692" s="226" t="str">
        <f t="shared" si="390"/>
        <v>Base</v>
      </c>
      <c r="F692" s="230">
        <f t="shared" si="391"/>
        <v>25000000</v>
      </c>
      <c r="G692" s="236">
        <f t="shared" si="392"/>
        <v>0.15</v>
      </c>
      <c r="H692" s="230">
        <f t="shared" si="393"/>
        <v>300000</v>
      </c>
      <c r="I692" s="236">
        <f t="shared" si="399"/>
        <v>0</v>
      </c>
      <c r="J692" s="234">
        <v>13</v>
      </c>
      <c r="K692" s="234">
        <f t="shared" si="400"/>
        <v>2038</v>
      </c>
      <c r="L692" s="230">
        <f>IF(J692=1,'Model Inputs'!$B$25*(13-'Model Inputs'!$B$23)/12,'Model Inputs'!$B$25)</f>
        <v>300000</v>
      </c>
      <c r="M692" s="230">
        <f>IF(J692=1,'Model Inputs'!$B$27*(13-'Model Inputs'!$B$23)/12,IF(J692=2,'Model Inputs'!$B$27,IF(J692&lt;=MAX(3,'Model Inputs'!$B$30+1),'Model Inputs'!$B$27*(1+'Model Inputs'!$B$28)^(J692-3),'Model Inputs'!$B$27*(1+'Model Inputs'!$B$28)^(MAX(3,'Model Inputs'!$B$30+1)-3)*(1+'Model Inputs'!$B$29)^(J692-MAX(3,'Model Inputs'!$B$30+1)))))</f>
        <v>6464768.1603602255</v>
      </c>
      <c r="N692" s="236">
        <f>IF(J692&lt;=2,0,'Model Inputs'!$B$32*SIN(2*PI()*(J692-3+'Model Inputs'!$B$34)/MAX(1,'Model Inputs'!$B$33)))</f>
        <v>0.10392304845413261</v>
      </c>
      <c r="O692" s="230">
        <f t="shared" si="401"/>
        <v>7136606.5751340752</v>
      </c>
      <c r="P692" s="230">
        <f t="shared" si="398"/>
        <v>4711807.0917368019</v>
      </c>
      <c r="Q692" s="230">
        <f>L692+P692+IF(J692=1,'Model Inputs'!$B$26,0)</f>
        <v>5011807.0917368019</v>
      </c>
      <c r="R692" s="230">
        <f t="shared" si="402"/>
        <v>15035421.275210407</v>
      </c>
      <c r="S692" s="230">
        <f t="shared" si="403"/>
        <v>4050000</v>
      </c>
      <c r="T692" s="230">
        <f t="shared" si="404"/>
        <v>4050000</v>
      </c>
      <c r="U692" s="230">
        <f>MIN(T692,'Tax Assumptions'!$B$19)</f>
        <v>24500</v>
      </c>
      <c r="V692" s="230">
        <f>MAX(T692-U692-'Tax Assumptions'!$B$8,0)</f>
        <v>4009400</v>
      </c>
      <c r="W692" s="230">
        <f>MAX(T692-U692-'Tax Assumptions'!$B$9,0)</f>
        <v>4017500</v>
      </c>
      <c r="X692" s="230">
        <f>IF(V692=0,0,LOOKUP(V692,'Tax Assumptions'!$F$9:$F$15,'Tax Assumptions'!$I$9:$I$15)+(V692-LOOKUP(V692,'Tax Assumptions'!$F$9:$F$15,'Tax Assumptions'!$F$9:$F$15))*LOOKUP(V692,'Tax Assumptions'!$F$9:$F$15,'Tax Assumptions'!$H$9:$H$15))+MIN(MAX(T692,0),'Tax Assumptions'!$B$11)*'Tax Assumptions'!$B$10+MAX(T692,0)*'Tax Assumptions'!$B$12+MAX(MAX(T692,0)-'Tax Assumptions'!$B$14,0)*'Tax Assumptions'!$B$13+MIN(T692*'Tax Assumptions'!$B$15,'Tax Assumptions'!$B$16)+MIN(T692*'Tax Assumptions'!$B$17,'Tax Assumptions'!$B$18)+IF(W692=0,0,LOOKUP(W692,'Tax Assumptions'!$K$9:$K$17,'Tax Assumptions'!$N$9:$N$17)+(W692-LOOKUP(W692,'Tax Assumptions'!$K$9:$K$17,'Tax Assumptions'!$K$9:$K$17))*LOOKUP(W692,'Tax Assumptions'!$K$9:$K$17,'Tax Assumptions'!$M$9:$M$17))+IF(W692=0,0,LOOKUP(W692,'Tax Assumptions'!$P$9:$P$12,'Tax Assumptions'!$S$9:$S$12)+(W692-LOOKUP(W692,'Tax Assumptions'!$P$9:$P$12,'Tax Assumptions'!$P$9:$P$12))*LOOKUP(W692,'Tax Assumptions'!$P$9:$P$12,'Tax Assumptions'!$R$9:$R$12))</f>
        <v>2055188.6349999998</v>
      </c>
      <c r="Y692" s="230">
        <f t="shared" si="405"/>
        <v>1970311.3650000002</v>
      </c>
      <c r="Z692" s="230">
        <f>IF(J692&lt;=10,INDEX('Savings Projection'!$BL$19:$BL$28,J692),LOOKUP(2,1/('Savings Projection'!$BL$19:$BL$28&lt;&gt;""),'Savings Projection'!$BL$19:$BL$28))*(1+'Model Inputs'!$B$35)^(J692-1)+IF(J692&lt;=10,INDEX('Savings Projection'!$BM$19:$BM$28,J692),LOOKUP(2,1/('Savings Projection'!$BM$19:$BM$28&lt;&gt;""),'Savings Projection'!$BM$19:$BM$28))*(1+'Model Inputs'!$B$36)^(J692-1)</f>
        <v>185348.91529000323</v>
      </c>
      <c r="AA692" s="230">
        <f t="shared" si="406"/>
        <v>1784962.449709997</v>
      </c>
      <c r="AB692" s="230">
        <f>MIN(MAX(AA692,0),'Tax Assumptions'!$B$20)</f>
        <v>7500</v>
      </c>
      <c r="AC692" s="230">
        <f t="shared" si="407"/>
        <v>1777462.449709997</v>
      </c>
      <c r="AD692" s="230">
        <f>MAX(AD691*(1+'Model Inputs'!$B$13)+AC692,0)</f>
        <v>19703516.749993768</v>
      </c>
      <c r="AE692" s="230">
        <f>MAX(AE691*(1+'Model Inputs'!$B$13)+U692+AB692,0)</f>
        <v>604228.40541103133</v>
      </c>
      <c r="AF692" s="230">
        <f t="shared" si="408"/>
        <v>20307745.155404799</v>
      </c>
      <c r="AG692" s="226" t="str">
        <f t="shared" si="394"/>
        <v/>
      </c>
      <c r="AH692" s="226" t="str">
        <f t="shared" si="395"/>
        <v/>
      </c>
      <c r="AI692" s="226" t="str">
        <f t="shared" si="396"/>
        <v/>
      </c>
      <c r="AJ692" s="226" t="str">
        <f t="shared" si="397"/>
        <v/>
      </c>
    </row>
    <row r="693" spans="1:36" ht="18" customHeight="1" x14ac:dyDescent="0.2">
      <c r="A693" s="226" t="str">
        <f t="shared" si="386"/>
        <v>5Y -&gt; PM Y8 Base</v>
      </c>
      <c r="B693" s="226">
        <f t="shared" si="387"/>
        <v>5</v>
      </c>
      <c r="C693" s="235">
        <f t="shared" si="388"/>
        <v>3</v>
      </c>
      <c r="D693" s="226">
        <f t="shared" si="389"/>
        <v>8</v>
      </c>
      <c r="E693" s="226" t="str">
        <f t="shared" si="390"/>
        <v>Base</v>
      </c>
      <c r="F693" s="230">
        <f t="shared" si="391"/>
        <v>25000000</v>
      </c>
      <c r="G693" s="236">
        <f t="shared" si="392"/>
        <v>0.15</v>
      </c>
      <c r="H693" s="230">
        <f t="shared" si="393"/>
        <v>300000</v>
      </c>
      <c r="I693" s="236">
        <f t="shared" si="399"/>
        <v>0</v>
      </c>
      <c r="J693" s="234">
        <v>14</v>
      </c>
      <c r="K693" s="234">
        <f t="shared" si="400"/>
        <v>2039</v>
      </c>
      <c r="L693" s="230">
        <f>IF(J693=1,'Model Inputs'!$B$25*(13-'Model Inputs'!$B$23)/12,'Model Inputs'!$B$25)</f>
        <v>300000</v>
      </c>
      <c r="M693" s="230">
        <f>IF(J693=1,'Model Inputs'!$B$27*(13-'Model Inputs'!$B$23)/12,IF(J693=2,'Model Inputs'!$B$27,IF(J693&lt;=MAX(3,'Model Inputs'!$B$30+1),'Model Inputs'!$B$27*(1+'Model Inputs'!$B$28)^(J693-3),'Model Inputs'!$B$27*(1+'Model Inputs'!$B$28)^(MAX(3,'Model Inputs'!$B$30+1)-3)*(1+'Model Inputs'!$B$29)^(J693-MAX(3,'Model Inputs'!$B$30+1)))))</f>
        <v>8215927.9778393377</v>
      </c>
      <c r="N693" s="236">
        <f>IF(J693&lt;=2,0,'Model Inputs'!$B$32*SIN(2*PI()*(J693-3+'Model Inputs'!$B$34)/MAX(1,'Model Inputs'!$B$33)))</f>
        <v>-0.10392304845413251</v>
      </c>
      <c r="O693" s="230">
        <f t="shared" si="401"/>
        <v>7362103.6965026772</v>
      </c>
      <c r="P693" s="230">
        <f t="shared" si="398"/>
        <v>6624168.4699774589</v>
      </c>
      <c r="Q693" s="230">
        <f>L693+P693+IF(J693=1,'Model Inputs'!$B$26,0)</f>
        <v>6924168.4699774589</v>
      </c>
      <c r="R693" s="230">
        <f t="shared" si="402"/>
        <v>20772505.409932375</v>
      </c>
      <c r="S693" s="230">
        <f t="shared" si="403"/>
        <v>4050000</v>
      </c>
      <c r="T693" s="230">
        <f t="shared" si="404"/>
        <v>4050000</v>
      </c>
      <c r="U693" s="230">
        <f>MIN(T693,'Tax Assumptions'!$B$19)</f>
        <v>24500</v>
      </c>
      <c r="V693" s="230">
        <f>MAX(T693-U693-'Tax Assumptions'!$B$8,0)</f>
        <v>4009400</v>
      </c>
      <c r="W693" s="230">
        <f>MAX(T693-U693-'Tax Assumptions'!$B$9,0)</f>
        <v>4017500</v>
      </c>
      <c r="X693" s="230">
        <f>IF(V693=0,0,LOOKUP(V693,'Tax Assumptions'!$F$9:$F$15,'Tax Assumptions'!$I$9:$I$15)+(V693-LOOKUP(V693,'Tax Assumptions'!$F$9:$F$15,'Tax Assumptions'!$F$9:$F$15))*LOOKUP(V693,'Tax Assumptions'!$F$9:$F$15,'Tax Assumptions'!$H$9:$H$15))+MIN(MAX(T693,0),'Tax Assumptions'!$B$11)*'Tax Assumptions'!$B$10+MAX(T693,0)*'Tax Assumptions'!$B$12+MAX(MAX(T693,0)-'Tax Assumptions'!$B$14,0)*'Tax Assumptions'!$B$13+MIN(T693*'Tax Assumptions'!$B$15,'Tax Assumptions'!$B$16)+MIN(T693*'Tax Assumptions'!$B$17,'Tax Assumptions'!$B$18)+IF(W693=0,0,LOOKUP(W693,'Tax Assumptions'!$K$9:$K$17,'Tax Assumptions'!$N$9:$N$17)+(W693-LOOKUP(W693,'Tax Assumptions'!$K$9:$K$17,'Tax Assumptions'!$K$9:$K$17))*LOOKUP(W693,'Tax Assumptions'!$K$9:$K$17,'Tax Assumptions'!$M$9:$M$17))+IF(W693=0,0,LOOKUP(W693,'Tax Assumptions'!$P$9:$P$12,'Tax Assumptions'!$S$9:$S$12)+(W693-LOOKUP(W693,'Tax Assumptions'!$P$9:$P$12,'Tax Assumptions'!$P$9:$P$12))*LOOKUP(W693,'Tax Assumptions'!$P$9:$P$12,'Tax Assumptions'!$R$9:$R$12))</f>
        <v>2055188.6349999998</v>
      </c>
      <c r="Y693" s="230">
        <f t="shared" si="405"/>
        <v>1970311.3650000002</v>
      </c>
      <c r="Z693" s="230">
        <f>IF(J693&lt;=10,INDEX('Savings Projection'!$BL$19:$BL$28,J693),LOOKUP(2,1/('Savings Projection'!$BL$19:$BL$28&lt;&gt;""),'Savings Projection'!$BL$19:$BL$28))*(1+'Model Inputs'!$B$35)^(J693-1)+IF(J693&lt;=10,INDEX('Savings Projection'!$BM$19:$BM$28,J693),LOOKUP(2,1/('Savings Projection'!$BM$19:$BM$28&lt;&gt;""),'Savings Projection'!$BM$19:$BM$28))*(1+'Model Inputs'!$B$36)^(J693-1)</f>
        <v>190909.3827487033</v>
      </c>
      <c r="AA693" s="230">
        <f t="shared" si="406"/>
        <v>1779401.982251297</v>
      </c>
      <c r="AB693" s="230">
        <f>MIN(MAX(AA693,0),'Tax Assumptions'!$B$20)</f>
        <v>7500</v>
      </c>
      <c r="AC693" s="230">
        <f t="shared" si="407"/>
        <v>1771901.982251297</v>
      </c>
      <c r="AD693" s="230">
        <f>MAX(AD692*(1+'Model Inputs'!$B$13)+AC693,0)</f>
        <v>22657629.737244692</v>
      </c>
      <c r="AE693" s="230">
        <f>MAX(AE692*(1+'Model Inputs'!$B$13)+U693+AB693,0)</f>
        <v>672482.1097356932</v>
      </c>
      <c r="AF693" s="230">
        <f t="shared" si="408"/>
        <v>23330111.846980385</v>
      </c>
      <c r="AG693" s="226" t="str">
        <f t="shared" si="394"/>
        <v/>
      </c>
      <c r="AH693" s="226" t="str">
        <f t="shared" si="395"/>
        <v/>
      </c>
      <c r="AI693" s="226" t="str">
        <f t="shared" si="396"/>
        <v/>
      </c>
      <c r="AJ693" s="226">
        <f t="shared" si="397"/>
        <v>14</v>
      </c>
    </row>
    <row r="694" spans="1:36" ht="18" customHeight="1" x14ac:dyDescent="0.2">
      <c r="A694" s="226" t="str">
        <f t="shared" si="386"/>
        <v>5Y -&gt; PM Y8 Base</v>
      </c>
      <c r="B694" s="226">
        <f t="shared" si="387"/>
        <v>5</v>
      </c>
      <c r="C694" s="235">
        <f t="shared" si="388"/>
        <v>3</v>
      </c>
      <c r="D694" s="226">
        <f t="shared" si="389"/>
        <v>8</v>
      </c>
      <c r="E694" s="226" t="str">
        <f t="shared" si="390"/>
        <v>Base</v>
      </c>
      <c r="F694" s="230">
        <f t="shared" si="391"/>
        <v>25000000</v>
      </c>
      <c r="G694" s="236">
        <f t="shared" si="392"/>
        <v>0.15</v>
      </c>
      <c r="H694" s="230">
        <f t="shared" si="393"/>
        <v>300000</v>
      </c>
      <c r="I694" s="236">
        <f t="shared" si="399"/>
        <v>0</v>
      </c>
      <c r="J694" s="234">
        <v>15</v>
      </c>
      <c r="K694" s="234">
        <f t="shared" si="400"/>
        <v>2040</v>
      </c>
      <c r="L694" s="230">
        <f>IF(J694=1,'Model Inputs'!$B$25*(13-'Model Inputs'!$B$23)/12,'Model Inputs'!$B$25)</f>
        <v>300000</v>
      </c>
      <c r="M694" s="230">
        <f>IF(J694=1,'Model Inputs'!$B$27*(13-'Model Inputs'!$B$23)/12,IF(J694=2,'Model Inputs'!$B$27,IF(J694&lt;=MAX(3,'Model Inputs'!$B$30+1),'Model Inputs'!$B$27*(1+'Model Inputs'!$B$28)^(J694-3),'Model Inputs'!$B$27*(1+'Model Inputs'!$B$28)^(MAX(3,'Model Inputs'!$B$30+1)-3)*(1+'Model Inputs'!$B$29)^(J694-MAX(3,'Model Inputs'!$B$30+1)))))</f>
        <v>10441437.475041937</v>
      </c>
      <c r="N694" s="236">
        <f>IF(J694&lt;=2,0,'Model Inputs'!$B$32*SIN(2*PI()*(J694-3+'Model Inputs'!$B$34)/MAX(1,'Model Inputs'!$B$33)))</f>
        <v>-1.1756609271814589E-16</v>
      </c>
      <c r="O694" s="230">
        <f t="shared" si="401"/>
        <v>10441437.475041935</v>
      </c>
      <c r="P694" s="230">
        <f t="shared" si="398"/>
        <v>7305729.4161605267</v>
      </c>
      <c r="Q694" s="230">
        <f>L694+P694+IF(J694=1,'Model Inputs'!$B$26,0)</f>
        <v>7605729.4161605267</v>
      </c>
      <c r="R694" s="230">
        <f t="shared" si="402"/>
        <v>22817188.248481579</v>
      </c>
      <c r="S694" s="230">
        <f t="shared" si="403"/>
        <v>4050000</v>
      </c>
      <c r="T694" s="230">
        <f t="shared" si="404"/>
        <v>4050000</v>
      </c>
      <c r="U694" s="230">
        <f>MIN(T694,'Tax Assumptions'!$B$19)</f>
        <v>24500</v>
      </c>
      <c r="V694" s="230">
        <f>MAX(T694-U694-'Tax Assumptions'!$B$8,0)</f>
        <v>4009400</v>
      </c>
      <c r="W694" s="230">
        <f>MAX(T694-U694-'Tax Assumptions'!$B$9,0)</f>
        <v>4017500</v>
      </c>
      <c r="X694" s="230">
        <f>IF(V694=0,0,LOOKUP(V694,'Tax Assumptions'!$F$9:$F$15,'Tax Assumptions'!$I$9:$I$15)+(V694-LOOKUP(V694,'Tax Assumptions'!$F$9:$F$15,'Tax Assumptions'!$F$9:$F$15))*LOOKUP(V694,'Tax Assumptions'!$F$9:$F$15,'Tax Assumptions'!$H$9:$H$15))+MIN(MAX(T694,0),'Tax Assumptions'!$B$11)*'Tax Assumptions'!$B$10+MAX(T694,0)*'Tax Assumptions'!$B$12+MAX(MAX(T694,0)-'Tax Assumptions'!$B$14,0)*'Tax Assumptions'!$B$13+MIN(T694*'Tax Assumptions'!$B$15,'Tax Assumptions'!$B$16)+MIN(T694*'Tax Assumptions'!$B$17,'Tax Assumptions'!$B$18)+IF(W694=0,0,LOOKUP(W694,'Tax Assumptions'!$K$9:$K$17,'Tax Assumptions'!$N$9:$N$17)+(W694-LOOKUP(W694,'Tax Assumptions'!$K$9:$K$17,'Tax Assumptions'!$K$9:$K$17))*LOOKUP(W694,'Tax Assumptions'!$K$9:$K$17,'Tax Assumptions'!$M$9:$M$17))+IF(W694=0,0,LOOKUP(W694,'Tax Assumptions'!$P$9:$P$12,'Tax Assumptions'!$S$9:$S$12)+(W694-LOOKUP(W694,'Tax Assumptions'!$P$9:$P$12,'Tax Assumptions'!$P$9:$P$12))*LOOKUP(W694,'Tax Assumptions'!$P$9:$P$12,'Tax Assumptions'!$R$9:$R$12))</f>
        <v>2055188.6349999998</v>
      </c>
      <c r="Y694" s="230">
        <f t="shared" si="405"/>
        <v>1970311.3650000002</v>
      </c>
      <c r="Z694" s="230">
        <f>IF(J694&lt;=10,INDEX('Savings Projection'!$BL$19:$BL$28,J694),LOOKUP(2,1/('Savings Projection'!$BL$19:$BL$28&lt;&gt;""),'Savings Projection'!$BL$19:$BL$28))*(1+'Model Inputs'!$B$35)^(J694-1)+IF(J694&lt;=10,INDEX('Savings Projection'!$BM$19:$BM$28,J694),LOOKUP(2,1/('Savings Projection'!$BM$19:$BM$28&lt;&gt;""),'Savings Projection'!$BM$19:$BM$28))*(1+'Model Inputs'!$B$36)^(J694-1)</f>
        <v>196636.66423116444</v>
      </c>
      <c r="AA694" s="230">
        <f t="shared" si="406"/>
        <v>1773674.7007688358</v>
      </c>
      <c r="AB694" s="230">
        <f>MIN(MAX(AA694,0),'Tax Assumptions'!$B$20)</f>
        <v>7500</v>
      </c>
      <c r="AC694" s="230">
        <f t="shared" si="407"/>
        <v>1766174.7007688358</v>
      </c>
      <c r="AD694" s="230">
        <f>MAX(AD693*(1+'Model Inputs'!$B$13)+AC694,0)</f>
        <v>25783262.222248212</v>
      </c>
      <c r="AE694" s="230">
        <f>MAX(AE693*(1+'Model Inputs'!$B$13)+U694+AB694,0)</f>
        <v>744831.03631983488</v>
      </c>
      <c r="AF694" s="230">
        <f t="shared" si="408"/>
        <v>26528093.258568045</v>
      </c>
      <c r="AG694" s="226" t="str">
        <f t="shared" si="394"/>
        <v/>
      </c>
      <c r="AH694" s="226" t="str">
        <f t="shared" si="395"/>
        <v/>
      </c>
      <c r="AI694" s="226" t="str">
        <f t="shared" si="396"/>
        <v/>
      </c>
      <c r="AJ694" s="226" t="str">
        <f t="shared" si="397"/>
        <v/>
      </c>
    </row>
    <row r="695" spans="1:36" ht="18" customHeight="1" x14ac:dyDescent="0.2">
      <c r="A695" s="226" t="str">
        <f t="shared" si="386"/>
        <v>5Y -&gt; PM Y8 Base</v>
      </c>
      <c r="B695" s="226">
        <f t="shared" si="387"/>
        <v>5</v>
      </c>
      <c r="C695" s="235">
        <f t="shared" si="388"/>
        <v>3</v>
      </c>
      <c r="D695" s="226">
        <f t="shared" si="389"/>
        <v>8</v>
      </c>
      <c r="E695" s="226" t="str">
        <f t="shared" si="390"/>
        <v>Base</v>
      </c>
      <c r="F695" s="230">
        <f t="shared" si="391"/>
        <v>25000000</v>
      </c>
      <c r="G695" s="236">
        <f t="shared" si="392"/>
        <v>0.15</v>
      </c>
      <c r="H695" s="230">
        <f t="shared" si="393"/>
        <v>300000</v>
      </c>
      <c r="I695" s="236">
        <f t="shared" si="399"/>
        <v>0</v>
      </c>
      <c r="J695" s="234">
        <v>16</v>
      </c>
      <c r="K695" s="234">
        <f t="shared" si="400"/>
        <v>2041</v>
      </c>
      <c r="L695" s="230">
        <f>IF(J695=1,'Model Inputs'!$B$25*(13-'Model Inputs'!$B$23)/12,'Model Inputs'!$B$25)</f>
        <v>300000</v>
      </c>
      <c r="M695" s="230">
        <f>IF(J695=1,'Model Inputs'!$B$27*(13-'Model Inputs'!$B$23)/12,IF(J695=2,'Model Inputs'!$B$27,IF(J695&lt;=MAX(3,'Model Inputs'!$B$30+1),'Model Inputs'!$B$27*(1+'Model Inputs'!$B$28)^(J695-3),'Model Inputs'!$B$27*(1+'Model Inputs'!$B$28)^(MAX(3,'Model Inputs'!$B$30+1)-3)*(1+'Model Inputs'!$B$29)^(J695-MAX(3,'Model Inputs'!$B$30+1)))))</f>
        <v>13269787.276528884</v>
      </c>
      <c r="N695" s="236">
        <f>IF(J695&lt;=2,0,'Model Inputs'!$B$32*SIN(2*PI()*(J695-3+'Model Inputs'!$B$34)/MAX(1,'Model Inputs'!$B$33)))</f>
        <v>0.10392304845413262</v>
      </c>
      <c r="O695" s="230">
        <f t="shared" si="401"/>
        <v>14648824.022643628</v>
      </c>
      <c r="P695" s="230">
        <f t="shared" si="398"/>
        <v>9671604.0304071214</v>
      </c>
      <c r="Q695" s="230">
        <f>L695+P695+IF(J695=1,'Model Inputs'!$B$26,0)</f>
        <v>9971604.0304071214</v>
      </c>
      <c r="R695" s="230">
        <f t="shared" si="402"/>
        <v>29914812.091221362</v>
      </c>
      <c r="S695" s="230">
        <f t="shared" si="403"/>
        <v>4050000</v>
      </c>
      <c r="T695" s="230">
        <f t="shared" si="404"/>
        <v>4050000</v>
      </c>
      <c r="U695" s="230">
        <f>MIN(T695,'Tax Assumptions'!$B$19)</f>
        <v>24500</v>
      </c>
      <c r="V695" s="230">
        <f>MAX(T695-U695-'Tax Assumptions'!$B$8,0)</f>
        <v>4009400</v>
      </c>
      <c r="W695" s="230">
        <f>MAX(T695-U695-'Tax Assumptions'!$B$9,0)</f>
        <v>4017500</v>
      </c>
      <c r="X695" s="230">
        <f>IF(V695=0,0,LOOKUP(V695,'Tax Assumptions'!$F$9:$F$15,'Tax Assumptions'!$I$9:$I$15)+(V695-LOOKUP(V695,'Tax Assumptions'!$F$9:$F$15,'Tax Assumptions'!$F$9:$F$15))*LOOKUP(V695,'Tax Assumptions'!$F$9:$F$15,'Tax Assumptions'!$H$9:$H$15))+MIN(MAX(T695,0),'Tax Assumptions'!$B$11)*'Tax Assumptions'!$B$10+MAX(T695,0)*'Tax Assumptions'!$B$12+MAX(MAX(T695,0)-'Tax Assumptions'!$B$14,0)*'Tax Assumptions'!$B$13+MIN(T695*'Tax Assumptions'!$B$15,'Tax Assumptions'!$B$16)+MIN(T695*'Tax Assumptions'!$B$17,'Tax Assumptions'!$B$18)+IF(W695=0,0,LOOKUP(W695,'Tax Assumptions'!$K$9:$K$17,'Tax Assumptions'!$N$9:$N$17)+(W695-LOOKUP(W695,'Tax Assumptions'!$K$9:$K$17,'Tax Assumptions'!$K$9:$K$17))*LOOKUP(W695,'Tax Assumptions'!$K$9:$K$17,'Tax Assumptions'!$M$9:$M$17))+IF(W695=0,0,LOOKUP(W695,'Tax Assumptions'!$P$9:$P$12,'Tax Assumptions'!$S$9:$S$12)+(W695-LOOKUP(W695,'Tax Assumptions'!$P$9:$P$12,'Tax Assumptions'!$P$9:$P$12))*LOOKUP(W695,'Tax Assumptions'!$P$9:$P$12,'Tax Assumptions'!$R$9:$R$12))</f>
        <v>2055188.6349999998</v>
      </c>
      <c r="Y695" s="230">
        <f t="shared" si="405"/>
        <v>1970311.3650000002</v>
      </c>
      <c r="Z695" s="230">
        <f>IF(J695&lt;=10,INDEX('Savings Projection'!$BL$19:$BL$28,J695),LOOKUP(2,1/('Savings Projection'!$BL$19:$BL$28&lt;&gt;""),'Savings Projection'!$BL$19:$BL$28))*(1+'Model Inputs'!$B$35)^(J695-1)+IF(J695&lt;=10,INDEX('Savings Projection'!$BM$19:$BM$28,J695),LOOKUP(2,1/('Savings Projection'!$BM$19:$BM$28&lt;&gt;""),'Savings Projection'!$BM$19:$BM$28))*(1+'Model Inputs'!$B$36)^(J695-1)</f>
        <v>202535.76415809937</v>
      </c>
      <c r="AA695" s="230">
        <f t="shared" si="406"/>
        <v>1767775.6008419008</v>
      </c>
      <c r="AB695" s="230">
        <f>MIN(MAX(AA695,0),'Tax Assumptions'!$B$20)</f>
        <v>7500</v>
      </c>
      <c r="AC695" s="230">
        <f t="shared" si="407"/>
        <v>1760275.6008419008</v>
      </c>
      <c r="AD695" s="230">
        <f>MAX(AD694*(1+'Model Inputs'!$B$13)+AC695,0)</f>
        <v>29090533.556425009</v>
      </c>
      <c r="AE695" s="230">
        <f>MAX(AE694*(1+'Model Inputs'!$B$13)+U695+AB695,0)</f>
        <v>821520.89849902503</v>
      </c>
      <c r="AF695" s="230">
        <f t="shared" si="408"/>
        <v>29912054.454924032</v>
      </c>
      <c r="AG695" s="226" t="str">
        <f t="shared" si="394"/>
        <v/>
      </c>
      <c r="AH695" s="226" t="str">
        <f t="shared" si="395"/>
        <v/>
      </c>
      <c r="AI695" s="226" t="str">
        <f t="shared" si="396"/>
        <v/>
      </c>
      <c r="AJ695" s="226" t="str">
        <f t="shared" si="397"/>
        <v/>
      </c>
    </row>
    <row r="696" spans="1:36" ht="18" customHeight="1" x14ac:dyDescent="0.2">
      <c r="A696" s="226" t="str">
        <f t="shared" si="386"/>
        <v>5Y -&gt; PM Y8 Base</v>
      </c>
      <c r="B696" s="226">
        <f t="shared" si="387"/>
        <v>5</v>
      </c>
      <c r="C696" s="235">
        <f t="shared" si="388"/>
        <v>3</v>
      </c>
      <c r="D696" s="226">
        <f t="shared" si="389"/>
        <v>8</v>
      </c>
      <c r="E696" s="226" t="str">
        <f t="shared" si="390"/>
        <v>Base</v>
      </c>
      <c r="F696" s="230">
        <f t="shared" si="391"/>
        <v>25000000</v>
      </c>
      <c r="G696" s="236">
        <f t="shared" si="392"/>
        <v>0.15</v>
      </c>
      <c r="H696" s="230">
        <f t="shared" si="393"/>
        <v>300000</v>
      </c>
      <c r="I696" s="236">
        <f t="shared" si="399"/>
        <v>0</v>
      </c>
      <c r="J696" s="234">
        <v>17</v>
      </c>
      <c r="K696" s="234">
        <f t="shared" si="400"/>
        <v>2042</v>
      </c>
      <c r="L696" s="230">
        <f>IF(J696=1,'Model Inputs'!$B$25*(13-'Model Inputs'!$B$23)/12,'Model Inputs'!$B$25)</f>
        <v>300000</v>
      </c>
      <c r="M696" s="230">
        <f>IF(J696=1,'Model Inputs'!$B$27*(13-'Model Inputs'!$B$23)/12,IF(J696=2,'Model Inputs'!$B$27,IF(J696&lt;=MAX(3,'Model Inputs'!$B$30+1),'Model Inputs'!$B$27*(1+'Model Inputs'!$B$28)^(J696-3),'Model Inputs'!$B$27*(1+'Model Inputs'!$B$28)^(MAX(3,'Model Inputs'!$B$30+1)-3)*(1+'Model Inputs'!$B$29)^(J696-MAX(3,'Model Inputs'!$B$30+1)))))</f>
        <v>16864273.217670217</v>
      </c>
      <c r="N696" s="236">
        <f>IF(J696&lt;=2,0,'Model Inputs'!$B$32*SIN(2*PI()*(J696-3+'Model Inputs'!$B$34)/MAX(1,'Model Inputs'!$B$33)))</f>
        <v>-0.1039230484541325</v>
      </c>
      <c r="O696" s="230">
        <f t="shared" si="401"/>
        <v>15111686.534926547</v>
      </c>
      <c r="P696" s="230">
        <f t="shared" si="398"/>
        <v>13596977.385743205</v>
      </c>
      <c r="Q696" s="230">
        <f>L696+P696+IF(J696=1,'Model Inputs'!$B$26,0)</f>
        <v>13896977.385743205</v>
      </c>
      <c r="R696" s="230">
        <f t="shared" si="402"/>
        <v>41690932.157229617</v>
      </c>
      <c r="S696" s="230">
        <f t="shared" si="403"/>
        <v>4050000</v>
      </c>
      <c r="T696" s="230">
        <f t="shared" si="404"/>
        <v>4050000</v>
      </c>
      <c r="U696" s="230">
        <f>MIN(T696,'Tax Assumptions'!$B$19)</f>
        <v>24500</v>
      </c>
      <c r="V696" s="230">
        <f>MAX(T696-U696-'Tax Assumptions'!$B$8,0)</f>
        <v>4009400</v>
      </c>
      <c r="W696" s="230">
        <f>MAX(T696-U696-'Tax Assumptions'!$B$9,0)</f>
        <v>4017500</v>
      </c>
      <c r="X696" s="230">
        <f>IF(V696=0,0,LOOKUP(V696,'Tax Assumptions'!$F$9:$F$15,'Tax Assumptions'!$I$9:$I$15)+(V696-LOOKUP(V696,'Tax Assumptions'!$F$9:$F$15,'Tax Assumptions'!$F$9:$F$15))*LOOKUP(V696,'Tax Assumptions'!$F$9:$F$15,'Tax Assumptions'!$H$9:$H$15))+MIN(MAX(T696,0),'Tax Assumptions'!$B$11)*'Tax Assumptions'!$B$10+MAX(T696,0)*'Tax Assumptions'!$B$12+MAX(MAX(T696,0)-'Tax Assumptions'!$B$14,0)*'Tax Assumptions'!$B$13+MIN(T696*'Tax Assumptions'!$B$15,'Tax Assumptions'!$B$16)+MIN(T696*'Tax Assumptions'!$B$17,'Tax Assumptions'!$B$18)+IF(W696=0,0,LOOKUP(W696,'Tax Assumptions'!$K$9:$K$17,'Tax Assumptions'!$N$9:$N$17)+(W696-LOOKUP(W696,'Tax Assumptions'!$K$9:$K$17,'Tax Assumptions'!$K$9:$K$17))*LOOKUP(W696,'Tax Assumptions'!$K$9:$K$17,'Tax Assumptions'!$M$9:$M$17))+IF(W696=0,0,LOOKUP(W696,'Tax Assumptions'!$P$9:$P$12,'Tax Assumptions'!$S$9:$S$12)+(W696-LOOKUP(W696,'Tax Assumptions'!$P$9:$P$12,'Tax Assumptions'!$P$9:$P$12))*LOOKUP(W696,'Tax Assumptions'!$P$9:$P$12,'Tax Assumptions'!$R$9:$R$12))</f>
        <v>2055188.6349999998</v>
      </c>
      <c r="Y696" s="230">
        <f t="shared" si="405"/>
        <v>1970311.3650000002</v>
      </c>
      <c r="Z696" s="230">
        <f>IF(J696&lt;=10,INDEX('Savings Projection'!$BL$19:$BL$28,J696),LOOKUP(2,1/('Savings Projection'!$BL$19:$BL$28&lt;&gt;""),'Savings Projection'!$BL$19:$BL$28))*(1+'Model Inputs'!$B$35)^(J696-1)+IF(J696&lt;=10,INDEX('Savings Projection'!$BM$19:$BM$28,J696),LOOKUP(2,1/('Savings Projection'!$BM$19:$BM$28&lt;&gt;""),'Savings Projection'!$BM$19:$BM$28))*(1+'Model Inputs'!$B$36)^(J696-1)</f>
        <v>208611.83708284231</v>
      </c>
      <c r="AA696" s="230">
        <f t="shared" si="406"/>
        <v>1761699.5279171579</v>
      </c>
      <c r="AB696" s="230">
        <f>MIN(MAX(AA696,0),'Tax Assumptions'!$B$20)</f>
        <v>7500</v>
      </c>
      <c r="AC696" s="230">
        <f t="shared" si="407"/>
        <v>1754199.5279171579</v>
      </c>
      <c r="AD696" s="230">
        <f>MAX(AD695*(1+'Model Inputs'!$B$13)+AC696,0)</f>
        <v>32590165.097727668</v>
      </c>
      <c r="AE696" s="230">
        <f>MAX(AE695*(1+'Model Inputs'!$B$13)+U696+AB696,0)</f>
        <v>902812.15240896656</v>
      </c>
      <c r="AF696" s="230">
        <f t="shared" si="408"/>
        <v>33492977.250136632</v>
      </c>
      <c r="AG696" s="226" t="str">
        <f t="shared" si="394"/>
        <v/>
      </c>
      <c r="AH696" s="226" t="str">
        <f t="shared" si="395"/>
        <v/>
      </c>
      <c r="AI696" s="226" t="str">
        <f t="shared" si="396"/>
        <v/>
      </c>
      <c r="AJ696" s="226" t="str">
        <f t="shared" si="397"/>
        <v/>
      </c>
    </row>
    <row r="697" spans="1:36" ht="18" customHeight="1" x14ac:dyDescent="0.2">
      <c r="A697" s="226" t="str">
        <f t="shared" si="386"/>
        <v>5Y -&gt; PM Y8 Base</v>
      </c>
      <c r="B697" s="226">
        <f t="shared" si="387"/>
        <v>5</v>
      </c>
      <c r="C697" s="235">
        <f t="shared" si="388"/>
        <v>3</v>
      </c>
      <c r="D697" s="226">
        <f t="shared" si="389"/>
        <v>8</v>
      </c>
      <c r="E697" s="226" t="str">
        <f t="shared" si="390"/>
        <v>Base</v>
      </c>
      <c r="F697" s="230">
        <f t="shared" si="391"/>
        <v>25000000</v>
      </c>
      <c r="G697" s="236">
        <f t="shared" si="392"/>
        <v>0.15</v>
      </c>
      <c r="H697" s="230">
        <f t="shared" si="393"/>
        <v>300000</v>
      </c>
      <c r="I697" s="236">
        <f t="shared" si="399"/>
        <v>0</v>
      </c>
      <c r="J697" s="234">
        <v>18</v>
      </c>
      <c r="K697" s="234">
        <f t="shared" si="400"/>
        <v>2043</v>
      </c>
      <c r="L697" s="230">
        <f>IF(J697=1,'Model Inputs'!$B$25*(13-'Model Inputs'!$B$23)/12,'Model Inputs'!$B$25)</f>
        <v>300000</v>
      </c>
      <c r="M697" s="230">
        <f>IF(J697=1,'Model Inputs'!$B$27*(13-'Model Inputs'!$B$23)/12,IF(J697=2,'Model Inputs'!$B$27,IF(J697&lt;=MAX(3,'Model Inputs'!$B$30+1),'Model Inputs'!$B$27*(1+'Model Inputs'!$B$28)^(J697-3),'Model Inputs'!$B$27*(1+'Model Inputs'!$B$28)^(MAX(3,'Model Inputs'!$B$30+1)-3)*(1+'Model Inputs'!$B$29)^(J697-MAX(3,'Model Inputs'!$B$30+1)))))</f>
        <v>21432424.290875554</v>
      </c>
      <c r="N697" s="236">
        <f>IF(J697&lt;=2,0,'Model Inputs'!$B$32*SIN(2*PI()*(J697-3+'Model Inputs'!$B$34)/MAX(1,'Model Inputs'!$B$33)))</f>
        <v>-5.7328325735374245E-16</v>
      </c>
      <c r="O697" s="230">
        <f t="shared" si="401"/>
        <v>21432424.290875543</v>
      </c>
      <c r="P697" s="230">
        <f t="shared" si="398"/>
        <v>14995970.906855816</v>
      </c>
      <c r="Q697" s="230">
        <f>L697+P697+IF(J697=1,'Model Inputs'!$B$26,0)</f>
        <v>15295970.906855816</v>
      </c>
      <c r="R697" s="230">
        <f t="shared" si="402"/>
        <v>45887912.72056745</v>
      </c>
      <c r="S697" s="230">
        <f t="shared" si="403"/>
        <v>4050000</v>
      </c>
      <c r="T697" s="230">
        <f t="shared" si="404"/>
        <v>4050000</v>
      </c>
      <c r="U697" s="230">
        <f>MIN(T697,'Tax Assumptions'!$B$19)</f>
        <v>24500</v>
      </c>
      <c r="V697" s="230">
        <f>MAX(T697-U697-'Tax Assumptions'!$B$8,0)</f>
        <v>4009400</v>
      </c>
      <c r="W697" s="230">
        <f>MAX(T697-U697-'Tax Assumptions'!$B$9,0)</f>
        <v>4017500</v>
      </c>
      <c r="X697" s="230">
        <f>IF(V697=0,0,LOOKUP(V697,'Tax Assumptions'!$F$9:$F$15,'Tax Assumptions'!$I$9:$I$15)+(V697-LOOKUP(V697,'Tax Assumptions'!$F$9:$F$15,'Tax Assumptions'!$F$9:$F$15))*LOOKUP(V697,'Tax Assumptions'!$F$9:$F$15,'Tax Assumptions'!$H$9:$H$15))+MIN(MAX(T697,0),'Tax Assumptions'!$B$11)*'Tax Assumptions'!$B$10+MAX(T697,0)*'Tax Assumptions'!$B$12+MAX(MAX(T697,0)-'Tax Assumptions'!$B$14,0)*'Tax Assumptions'!$B$13+MIN(T697*'Tax Assumptions'!$B$15,'Tax Assumptions'!$B$16)+MIN(T697*'Tax Assumptions'!$B$17,'Tax Assumptions'!$B$18)+IF(W697=0,0,LOOKUP(W697,'Tax Assumptions'!$K$9:$K$17,'Tax Assumptions'!$N$9:$N$17)+(W697-LOOKUP(W697,'Tax Assumptions'!$K$9:$K$17,'Tax Assumptions'!$K$9:$K$17))*LOOKUP(W697,'Tax Assumptions'!$K$9:$K$17,'Tax Assumptions'!$M$9:$M$17))+IF(W697=0,0,LOOKUP(W697,'Tax Assumptions'!$P$9:$P$12,'Tax Assumptions'!$S$9:$S$12)+(W697-LOOKUP(W697,'Tax Assumptions'!$P$9:$P$12,'Tax Assumptions'!$P$9:$P$12))*LOOKUP(W697,'Tax Assumptions'!$P$9:$P$12,'Tax Assumptions'!$R$9:$R$12))</f>
        <v>2055188.6349999998</v>
      </c>
      <c r="Y697" s="230">
        <f t="shared" si="405"/>
        <v>1970311.3650000002</v>
      </c>
      <c r="Z697" s="230">
        <f>IF(J697&lt;=10,INDEX('Savings Projection'!$BL$19:$BL$28,J697),LOOKUP(2,1/('Savings Projection'!$BL$19:$BL$28&lt;&gt;""),'Savings Projection'!$BL$19:$BL$28))*(1+'Model Inputs'!$B$35)^(J697-1)+IF(J697&lt;=10,INDEX('Savings Projection'!$BM$19:$BM$28,J697),LOOKUP(2,1/('Savings Projection'!$BM$19:$BM$28&lt;&gt;""),'Savings Projection'!$BM$19:$BM$28))*(1+'Model Inputs'!$B$36)^(J697-1)</f>
        <v>214870.1921953276</v>
      </c>
      <c r="AA697" s="230">
        <f t="shared" si="406"/>
        <v>1755441.1728046727</v>
      </c>
      <c r="AB697" s="230">
        <f>MIN(MAX(AA697,0),'Tax Assumptions'!$B$20)</f>
        <v>7500</v>
      </c>
      <c r="AC697" s="230">
        <f t="shared" si="407"/>
        <v>1747941.1728046727</v>
      </c>
      <c r="AD697" s="230">
        <f>MAX(AD696*(1+'Model Inputs'!$B$13)+AC697,0)</f>
        <v>36293516.176396005</v>
      </c>
      <c r="AE697" s="230">
        <f>MAX(AE696*(1+'Model Inputs'!$B$13)+U697+AB697,0)</f>
        <v>988980.88155350462</v>
      </c>
      <c r="AF697" s="230">
        <f t="shared" si="408"/>
        <v>37282497.057949513</v>
      </c>
      <c r="AG697" s="226" t="str">
        <f t="shared" si="394"/>
        <v/>
      </c>
      <c r="AH697" s="226" t="str">
        <f t="shared" si="395"/>
        <v/>
      </c>
      <c r="AI697" s="226" t="str">
        <f t="shared" si="396"/>
        <v/>
      </c>
      <c r="AJ697" s="226" t="str">
        <f t="shared" si="397"/>
        <v/>
      </c>
    </row>
    <row r="698" spans="1:36" ht="18" customHeight="1" x14ac:dyDescent="0.2">
      <c r="A698" s="226" t="str">
        <f t="shared" si="386"/>
        <v>5Y -&gt; PM Y8 Base</v>
      </c>
      <c r="B698" s="226">
        <f t="shared" si="387"/>
        <v>5</v>
      </c>
      <c r="C698" s="235">
        <f t="shared" si="388"/>
        <v>3</v>
      </c>
      <c r="D698" s="226">
        <f t="shared" si="389"/>
        <v>8</v>
      </c>
      <c r="E698" s="226" t="str">
        <f t="shared" si="390"/>
        <v>Base</v>
      </c>
      <c r="F698" s="230">
        <f t="shared" si="391"/>
        <v>25000000</v>
      </c>
      <c r="G698" s="236">
        <f t="shared" si="392"/>
        <v>0.15</v>
      </c>
      <c r="H698" s="230">
        <f t="shared" si="393"/>
        <v>300000</v>
      </c>
      <c r="I698" s="236">
        <f t="shared" si="399"/>
        <v>0</v>
      </c>
      <c r="J698" s="234">
        <v>19</v>
      </c>
      <c r="K698" s="234">
        <f t="shared" si="400"/>
        <v>2044</v>
      </c>
      <c r="L698" s="230">
        <f>IF(J698=1,'Model Inputs'!$B$25*(13-'Model Inputs'!$B$23)/12,'Model Inputs'!$B$25)</f>
        <v>300000</v>
      </c>
      <c r="M698" s="230">
        <f>IF(J698=1,'Model Inputs'!$B$27*(13-'Model Inputs'!$B$23)/12,IF(J698=2,'Model Inputs'!$B$27,IF(J698&lt;=MAX(3,'Model Inputs'!$B$30+1),'Model Inputs'!$B$27*(1+'Model Inputs'!$B$28)^(J698-3),'Model Inputs'!$B$27*(1+'Model Inputs'!$B$28)^(MAX(3,'Model Inputs'!$B$30+1)-3)*(1+'Model Inputs'!$B$29)^(J698-MAX(3,'Model Inputs'!$B$30+1)))))</f>
        <v>27237984.409717187</v>
      </c>
      <c r="N698" s="236">
        <f>IF(J698&lt;=2,0,'Model Inputs'!$B$32*SIN(2*PI()*(J698-3+'Model Inputs'!$B$34)/MAX(1,'Model Inputs'!$B$33)))</f>
        <v>0.10392304845413286</v>
      </c>
      <c r="O698" s="230">
        <f t="shared" si="401"/>
        <v>30068638.783321142</v>
      </c>
      <c r="P698" s="230">
        <f t="shared" si="398"/>
        <v>19852239.851888295</v>
      </c>
      <c r="Q698" s="230">
        <f>L698+P698+IF(J698=1,'Model Inputs'!$B$26,0)</f>
        <v>20152239.851888295</v>
      </c>
      <c r="R698" s="230">
        <f t="shared" si="402"/>
        <v>60456719.555664882</v>
      </c>
      <c r="S698" s="230">
        <f t="shared" si="403"/>
        <v>4050000</v>
      </c>
      <c r="T698" s="230">
        <f t="shared" si="404"/>
        <v>4050000</v>
      </c>
      <c r="U698" s="230">
        <f>MIN(T698,'Tax Assumptions'!$B$19)</f>
        <v>24500</v>
      </c>
      <c r="V698" s="230">
        <f>MAX(T698-U698-'Tax Assumptions'!$B$8,0)</f>
        <v>4009400</v>
      </c>
      <c r="W698" s="230">
        <f>MAX(T698-U698-'Tax Assumptions'!$B$9,0)</f>
        <v>4017500</v>
      </c>
      <c r="X698" s="230">
        <f>IF(V698=0,0,LOOKUP(V698,'Tax Assumptions'!$F$9:$F$15,'Tax Assumptions'!$I$9:$I$15)+(V698-LOOKUP(V698,'Tax Assumptions'!$F$9:$F$15,'Tax Assumptions'!$F$9:$F$15))*LOOKUP(V698,'Tax Assumptions'!$F$9:$F$15,'Tax Assumptions'!$H$9:$H$15))+MIN(MAX(T698,0),'Tax Assumptions'!$B$11)*'Tax Assumptions'!$B$10+MAX(T698,0)*'Tax Assumptions'!$B$12+MAX(MAX(T698,0)-'Tax Assumptions'!$B$14,0)*'Tax Assumptions'!$B$13+MIN(T698*'Tax Assumptions'!$B$15,'Tax Assumptions'!$B$16)+MIN(T698*'Tax Assumptions'!$B$17,'Tax Assumptions'!$B$18)+IF(W698=0,0,LOOKUP(W698,'Tax Assumptions'!$K$9:$K$17,'Tax Assumptions'!$N$9:$N$17)+(W698-LOOKUP(W698,'Tax Assumptions'!$K$9:$K$17,'Tax Assumptions'!$K$9:$K$17))*LOOKUP(W698,'Tax Assumptions'!$K$9:$K$17,'Tax Assumptions'!$M$9:$M$17))+IF(W698=0,0,LOOKUP(W698,'Tax Assumptions'!$P$9:$P$12,'Tax Assumptions'!$S$9:$S$12)+(W698-LOOKUP(W698,'Tax Assumptions'!$P$9:$P$12,'Tax Assumptions'!$P$9:$P$12))*LOOKUP(W698,'Tax Assumptions'!$P$9:$P$12,'Tax Assumptions'!$R$9:$R$12))</f>
        <v>2055188.6349999998</v>
      </c>
      <c r="Y698" s="230">
        <f t="shared" si="405"/>
        <v>1970311.3650000002</v>
      </c>
      <c r="Z698" s="230">
        <f>IF(J698&lt;=10,INDEX('Savings Projection'!$BL$19:$BL$28,J698),LOOKUP(2,1/('Savings Projection'!$BL$19:$BL$28&lt;&gt;""),'Savings Projection'!$BL$19:$BL$28))*(1+'Model Inputs'!$B$35)^(J698-1)+IF(J698&lt;=10,INDEX('Savings Projection'!$BM$19:$BM$28,J698),LOOKUP(2,1/('Savings Projection'!$BM$19:$BM$28&lt;&gt;""),'Savings Projection'!$BM$19:$BM$28))*(1+'Model Inputs'!$B$36)^(J698-1)</f>
        <v>221316.29796118743</v>
      </c>
      <c r="AA698" s="230">
        <f t="shared" si="406"/>
        <v>1748995.0670388127</v>
      </c>
      <c r="AB698" s="230">
        <f>MIN(MAX(AA698,0),'Tax Assumptions'!$B$20)</f>
        <v>7500</v>
      </c>
      <c r="AC698" s="230">
        <f t="shared" si="407"/>
        <v>1741495.0670388127</v>
      </c>
      <c r="AD698" s="230">
        <f>MAX(AD697*(1+'Model Inputs'!$B$13)+AC698,0)</f>
        <v>40212622.214018576</v>
      </c>
      <c r="AE698" s="230">
        <f>MAX(AE697*(1+'Model Inputs'!$B$13)+U698+AB698,0)</f>
        <v>1080319.7344467151</v>
      </c>
      <c r="AF698" s="230">
        <f t="shared" si="408"/>
        <v>41292941.948465288</v>
      </c>
      <c r="AG698" s="226" t="str">
        <f t="shared" si="394"/>
        <v/>
      </c>
      <c r="AH698" s="226" t="str">
        <f t="shared" si="395"/>
        <v/>
      </c>
      <c r="AI698" s="226" t="str">
        <f t="shared" si="396"/>
        <v/>
      </c>
      <c r="AJ698" s="226" t="str">
        <f t="shared" si="397"/>
        <v/>
      </c>
    </row>
    <row r="699" spans="1:36" ht="18" customHeight="1" x14ac:dyDescent="0.2">
      <c r="A699" s="226" t="str">
        <f t="shared" si="386"/>
        <v>5Y -&gt; PM Y8 Base</v>
      </c>
      <c r="B699" s="226">
        <f t="shared" si="387"/>
        <v>5</v>
      </c>
      <c r="C699" s="235">
        <f t="shared" si="388"/>
        <v>3</v>
      </c>
      <c r="D699" s="226">
        <f t="shared" si="389"/>
        <v>8</v>
      </c>
      <c r="E699" s="226" t="str">
        <f t="shared" si="390"/>
        <v>Base</v>
      </c>
      <c r="F699" s="230">
        <f t="shared" si="391"/>
        <v>25000000</v>
      </c>
      <c r="G699" s="236">
        <f t="shared" si="392"/>
        <v>0.15</v>
      </c>
      <c r="H699" s="230">
        <f t="shared" si="393"/>
        <v>300000</v>
      </c>
      <c r="I699" s="236">
        <f t="shared" si="399"/>
        <v>0</v>
      </c>
      <c r="J699" s="234">
        <v>20</v>
      </c>
      <c r="K699" s="234">
        <f t="shared" si="400"/>
        <v>2045</v>
      </c>
      <c r="L699" s="230">
        <f>IF(J699=1,'Model Inputs'!$B$25*(13-'Model Inputs'!$B$23)/12,'Model Inputs'!$B$25)</f>
        <v>300000</v>
      </c>
      <c r="M699" s="230">
        <f>IF(J699=1,'Model Inputs'!$B$27*(13-'Model Inputs'!$B$23)/12,IF(J699=2,'Model Inputs'!$B$27,IF(J699&lt;=MAX(3,'Model Inputs'!$B$30+1),'Model Inputs'!$B$27*(1+'Model Inputs'!$B$28)^(J699-3),'Model Inputs'!$B$27*(1+'Model Inputs'!$B$28)^(MAX(3,'Model Inputs'!$B$30+1)-3)*(1+'Model Inputs'!$B$29)^(J699-MAX(3,'Model Inputs'!$B$30+1)))))</f>
        <v>34616139.762586243</v>
      </c>
      <c r="N699" s="236">
        <f>IF(J699&lt;=2,0,'Model Inputs'!$B$32*SIN(2*PI()*(J699-3+'Model Inputs'!$B$34)/MAX(1,'Model Inputs'!$B$33)))</f>
        <v>-0.10392304845413269</v>
      </c>
      <c r="O699" s="230">
        <f t="shared" si="401"/>
        <v>31018724.992743965</v>
      </c>
      <c r="P699" s="230">
        <f t="shared" si="398"/>
        <v>27909585.160209741</v>
      </c>
      <c r="Q699" s="230">
        <f>L699+P699+IF(J699=1,'Model Inputs'!$B$26,0)</f>
        <v>28209585.160209741</v>
      </c>
      <c r="R699" s="230">
        <f t="shared" si="402"/>
        <v>84628755.480629221</v>
      </c>
      <c r="S699" s="230">
        <f t="shared" si="403"/>
        <v>4050000</v>
      </c>
      <c r="T699" s="230">
        <f t="shared" si="404"/>
        <v>4050000</v>
      </c>
      <c r="U699" s="230">
        <f>MIN(T699,'Tax Assumptions'!$B$19)</f>
        <v>24500</v>
      </c>
      <c r="V699" s="230">
        <f>MAX(T699-U699-'Tax Assumptions'!$B$8,0)</f>
        <v>4009400</v>
      </c>
      <c r="W699" s="230">
        <f>MAX(T699-U699-'Tax Assumptions'!$B$9,0)</f>
        <v>4017500</v>
      </c>
      <c r="X699" s="230">
        <f>IF(V699=0,0,LOOKUP(V699,'Tax Assumptions'!$F$9:$F$15,'Tax Assumptions'!$I$9:$I$15)+(V699-LOOKUP(V699,'Tax Assumptions'!$F$9:$F$15,'Tax Assumptions'!$F$9:$F$15))*LOOKUP(V699,'Tax Assumptions'!$F$9:$F$15,'Tax Assumptions'!$H$9:$H$15))+MIN(MAX(T699,0),'Tax Assumptions'!$B$11)*'Tax Assumptions'!$B$10+MAX(T699,0)*'Tax Assumptions'!$B$12+MAX(MAX(T699,0)-'Tax Assumptions'!$B$14,0)*'Tax Assumptions'!$B$13+MIN(T699*'Tax Assumptions'!$B$15,'Tax Assumptions'!$B$16)+MIN(T699*'Tax Assumptions'!$B$17,'Tax Assumptions'!$B$18)+IF(W699=0,0,LOOKUP(W699,'Tax Assumptions'!$K$9:$K$17,'Tax Assumptions'!$N$9:$N$17)+(W699-LOOKUP(W699,'Tax Assumptions'!$K$9:$K$17,'Tax Assumptions'!$K$9:$K$17))*LOOKUP(W699,'Tax Assumptions'!$K$9:$K$17,'Tax Assumptions'!$M$9:$M$17))+IF(W699=0,0,LOOKUP(W699,'Tax Assumptions'!$P$9:$P$12,'Tax Assumptions'!$S$9:$S$12)+(W699-LOOKUP(W699,'Tax Assumptions'!$P$9:$P$12,'Tax Assumptions'!$P$9:$P$12))*LOOKUP(W699,'Tax Assumptions'!$P$9:$P$12,'Tax Assumptions'!$R$9:$R$12))</f>
        <v>2055188.6349999998</v>
      </c>
      <c r="Y699" s="230">
        <f t="shared" si="405"/>
        <v>1970311.3650000002</v>
      </c>
      <c r="Z699" s="230">
        <f>IF(J699&lt;=10,INDEX('Savings Projection'!$BL$19:$BL$28,J699),LOOKUP(2,1/('Savings Projection'!$BL$19:$BL$28&lt;&gt;""),'Savings Projection'!$BL$19:$BL$28))*(1+'Model Inputs'!$B$35)^(J699-1)+IF(J699&lt;=10,INDEX('Savings Projection'!$BM$19:$BM$28,J699),LOOKUP(2,1/('Savings Projection'!$BM$19:$BM$28&lt;&gt;""),'Savings Projection'!$BM$19:$BM$28))*(1+'Model Inputs'!$B$36)^(J699-1)</f>
        <v>227955.78690002306</v>
      </c>
      <c r="AA699" s="230">
        <f t="shared" si="406"/>
        <v>1742355.5780999772</v>
      </c>
      <c r="AB699" s="230">
        <f>MIN(MAX(AA699,0),'Tax Assumptions'!$B$20)</f>
        <v>7500</v>
      </c>
      <c r="AC699" s="230">
        <f t="shared" si="407"/>
        <v>1734855.5780999772</v>
      </c>
      <c r="AD699" s="230">
        <f>MAX(AD698*(1+'Model Inputs'!$B$13)+AC699,0)</f>
        <v>44360235.124959663</v>
      </c>
      <c r="AE699" s="230">
        <f>MAX(AE698*(1+'Model Inputs'!$B$13)+U699+AB699,0)</f>
        <v>1177138.9185135181</v>
      </c>
      <c r="AF699" s="230">
        <f t="shared" si="408"/>
        <v>45537374.043473184</v>
      </c>
      <c r="AG699" s="226" t="str">
        <f t="shared" si="394"/>
        <v/>
      </c>
      <c r="AH699" s="226" t="str">
        <f t="shared" si="395"/>
        <v/>
      </c>
      <c r="AI699" s="226" t="str">
        <f t="shared" si="396"/>
        <v/>
      </c>
      <c r="AJ699" s="226" t="str">
        <f t="shared" si="397"/>
        <v/>
      </c>
    </row>
    <row r="700" spans="1:36" ht="18" customHeight="1" x14ac:dyDescent="0.2">
      <c r="A700" s="226" t="str">
        <f t="shared" si="386"/>
        <v>5Y -&gt; PM Y8 Base</v>
      </c>
      <c r="B700" s="226">
        <f t="shared" si="387"/>
        <v>5</v>
      </c>
      <c r="C700" s="235">
        <f t="shared" si="388"/>
        <v>3</v>
      </c>
      <c r="D700" s="226">
        <f t="shared" si="389"/>
        <v>8</v>
      </c>
      <c r="E700" s="226" t="str">
        <f t="shared" si="390"/>
        <v>Base</v>
      </c>
      <c r="F700" s="230">
        <f t="shared" si="391"/>
        <v>25000000</v>
      </c>
      <c r="G700" s="236">
        <f t="shared" si="392"/>
        <v>0.15</v>
      </c>
      <c r="H700" s="230">
        <f t="shared" si="393"/>
        <v>300000</v>
      </c>
      <c r="I700" s="236">
        <f t="shared" si="399"/>
        <v>0</v>
      </c>
      <c r="J700" s="234">
        <v>21</v>
      </c>
      <c r="K700" s="234">
        <f t="shared" si="400"/>
        <v>2046</v>
      </c>
      <c r="L700" s="230">
        <f>IF(J700=1,'Model Inputs'!$B$25*(13-'Model Inputs'!$B$23)/12,'Model Inputs'!$B$25)</f>
        <v>300000</v>
      </c>
      <c r="M700" s="230">
        <f>IF(J700=1,'Model Inputs'!$B$27*(13-'Model Inputs'!$B$23)/12,IF(J700=2,'Model Inputs'!$B$27,IF(J700&lt;=MAX(3,'Model Inputs'!$B$30+1),'Model Inputs'!$B$27*(1+'Model Inputs'!$B$28)^(J700-3),'Model Inputs'!$B$27*(1+'Model Inputs'!$B$28)^(MAX(3,'Model Inputs'!$B$30+1)-3)*(1+'Model Inputs'!$B$29)^(J700-MAX(3,'Model Inputs'!$B$30+1)))))</f>
        <v>43992870.912849829</v>
      </c>
      <c r="N700" s="236">
        <f>IF(J700&lt;=2,0,'Model Inputs'!$B$32*SIN(2*PI()*(J700-3+'Model Inputs'!$B$34)/MAX(1,'Model Inputs'!$B$33)))</f>
        <v>-1.7634913907721884E-16</v>
      </c>
      <c r="O700" s="230">
        <f t="shared" si="401"/>
        <v>43992870.912849821</v>
      </c>
      <c r="P700" s="230">
        <f t="shared" si="398"/>
        <v>30781203.440388259</v>
      </c>
      <c r="Q700" s="230">
        <f>L700+P700+IF(J700=1,'Model Inputs'!$B$26,0)</f>
        <v>31081203.440388259</v>
      </c>
      <c r="R700" s="230">
        <f t="shared" si="402"/>
        <v>93243610.321164772</v>
      </c>
      <c r="S700" s="230">
        <f t="shared" si="403"/>
        <v>4050000</v>
      </c>
      <c r="T700" s="230">
        <f t="shared" si="404"/>
        <v>4050000</v>
      </c>
      <c r="U700" s="230">
        <f>MIN(T700,'Tax Assumptions'!$B$19)</f>
        <v>24500</v>
      </c>
      <c r="V700" s="230">
        <f>MAX(T700-U700-'Tax Assumptions'!$B$8,0)</f>
        <v>4009400</v>
      </c>
      <c r="W700" s="230">
        <f>MAX(T700-U700-'Tax Assumptions'!$B$9,0)</f>
        <v>4017500</v>
      </c>
      <c r="X700" s="230">
        <f>IF(V700=0,0,LOOKUP(V700,'Tax Assumptions'!$F$9:$F$15,'Tax Assumptions'!$I$9:$I$15)+(V700-LOOKUP(V700,'Tax Assumptions'!$F$9:$F$15,'Tax Assumptions'!$F$9:$F$15))*LOOKUP(V700,'Tax Assumptions'!$F$9:$F$15,'Tax Assumptions'!$H$9:$H$15))+MIN(MAX(T700,0),'Tax Assumptions'!$B$11)*'Tax Assumptions'!$B$10+MAX(T700,0)*'Tax Assumptions'!$B$12+MAX(MAX(T700,0)-'Tax Assumptions'!$B$14,0)*'Tax Assumptions'!$B$13+MIN(T700*'Tax Assumptions'!$B$15,'Tax Assumptions'!$B$16)+MIN(T700*'Tax Assumptions'!$B$17,'Tax Assumptions'!$B$18)+IF(W700=0,0,LOOKUP(W700,'Tax Assumptions'!$K$9:$K$17,'Tax Assumptions'!$N$9:$N$17)+(W700-LOOKUP(W700,'Tax Assumptions'!$K$9:$K$17,'Tax Assumptions'!$K$9:$K$17))*LOOKUP(W700,'Tax Assumptions'!$K$9:$K$17,'Tax Assumptions'!$M$9:$M$17))+IF(W700=0,0,LOOKUP(W700,'Tax Assumptions'!$P$9:$P$12,'Tax Assumptions'!$S$9:$S$12)+(W700-LOOKUP(W700,'Tax Assumptions'!$P$9:$P$12,'Tax Assumptions'!$P$9:$P$12))*LOOKUP(W700,'Tax Assumptions'!$P$9:$P$12,'Tax Assumptions'!$R$9:$R$12))</f>
        <v>2055188.6349999998</v>
      </c>
      <c r="Y700" s="230">
        <f t="shared" si="405"/>
        <v>1970311.3650000002</v>
      </c>
      <c r="Z700" s="230">
        <f>IF(J700&lt;=10,INDEX('Savings Projection'!$BL$19:$BL$28,J700),LOOKUP(2,1/('Savings Projection'!$BL$19:$BL$28&lt;&gt;""),'Savings Projection'!$BL$19:$BL$28))*(1+'Model Inputs'!$B$35)^(J700-1)+IF(J700&lt;=10,INDEX('Savings Projection'!$BM$19:$BM$28,J700),LOOKUP(2,1/('Savings Projection'!$BM$19:$BM$28&lt;&gt;""),'Savings Projection'!$BM$19:$BM$28))*(1+'Model Inputs'!$B$36)^(J700-1)</f>
        <v>234794.46050702373</v>
      </c>
      <c r="AA700" s="230">
        <f t="shared" si="406"/>
        <v>1735516.9044929766</v>
      </c>
      <c r="AB700" s="230">
        <f>MIN(MAX(AA700,0),'Tax Assumptions'!$B$20)</f>
        <v>7500</v>
      </c>
      <c r="AC700" s="230">
        <f t="shared" si="407"/>
        <v>1728016.9044929766</v>
      </c>
      <c r="AD700" s="230">
        <f>MAX(AD699*(1+'Model Inputs'!$B$13)+AC700,0)</f>
        <v>48749866.136950217</v>
      </c>
      <c r="AE700" s="230">
        <f>MAX(AE699*(1+'Model Inputs'!$B$13)+U700+AB700,0)</f>
        <v>1279767.2536243291</v>
      </c>
      <c r="AF700" s="230">
        <f t="shared" si="408"/>
        <v>50029633.390574545</v>
      </c>
      <c r="AG700" s="226" t="str">
        <f t="shared" si="394"/>
        <v/>
      </c>
      <c r="AH700" s="226" t="str">
        <f t="shared" si="395"/>
        <v/>
      </c>
      <c r="AI700" s="226" t="str">
        <f t="shared" si="396"/>
        <v/>
      </c>
      <c r="AJ700" s="226" t="str">
        <f t="shared" si="397"/>
        <v/>
      </c>
    </row>
    <row r="701" spans="1:36" ht="18" customHeight="1" x14ac:dyDescent="0.2">
      <c r="A701" s="226" t="str">
        <f t="shared" si="386"/>
        <v>5Y -&gt; PM Y8 Base</v>
      </c>
      <c r="B701" s="226">
        <f t="shared" si="387"/>
        <v>5</v>
      </c>
      <c r="C701" s="235">
        <f t="shared" si="388"/>
        <v>3</v>
      </c>
      <c r="D701" s="226">
        <f t="shared" si="389"/>
        <v>8</v>
      </c>
      <c r="E701" s="226" t="str">
        <f t="shared" si="390"/>
        <v>Base</v>
      </c>
      <c r="F701" s="230">
        <f t="shared" si="391"/>
        <v>25000000</v>
      </c>
      <c r="G701" s="236">
        <f t="shared" si="392"/>
        <v>0.15</v>
      </c>
      <c r="H701" s="230">
        <f t="shared" si="393"/>
        <v>300000</v>
      </c>
      <c r="I701" s="236">
        <f t="shared" si="399"/>
        <v>0</v>
      </c>
      <c r="J701" s="234">
        <v>22</v>
      </c>
      <c r="K701" s="234">
        <f t="shared" si="400"/>
        <v>2047</v>
      </c>
      <c r="L701" s="230">
        <f>IF(J701=1,'Model Inputs'!$B$25*(13-'Model Inputs'!$B$23)/12,'Model Inputs'!$B$25)</f>
        <v>300000</v>
      </c>
      <c r="M701" s="230">
        <f>IF(J701=1,'Model Inputs'!$B$27*(13-'Model Inputs'!$B$23)/12,IF(J701=2,'Model Inputs'!$B$27,IF(J701&lt;=MAX(3,'Model Inputs'!$B$30+1),'Model Inputs'!$B$27*(1+'Model Inputs'!$B$28)^(J701-3),'Model Inputs'!$B$27*(1+'Model Inputs'!$B$28)^(MAX(3,'Model Inputs'!$B$30+1)-3)*(1+'Model Inputs'!$B$29)^(J701-MAX(3,'Model Inputs'!$B$30+1)))))</f>
        <v>55909546.9462616</v>
      </c>
      <c r="N701" s="236">
        <f>IF(J701&lt;=2,0,'Model Inputs'!$B$32*SIN(2*PI()*(J701-3+'Model Inputs'!$B$34)/MAX(1,'Model Inputs'!$B$33)))</f>
        <v>0.10392304845413287</v>
      </c>
      <c r="O701" s="230">
        <f t="shared" si="401"/>
        <v>61719837.502606563</v>
      </c>
      <c r="P701" s="230">
        <f t="shared" si="398"/>
        <v>40749334.43282336</v>
      </c>
      <c r="Q701" s="230">
        <f>L701+P701+IF(J701=1,'Model Inputs'!$B$26,0)</f>
        <v>41049334.43282336</v>
      </c>
      <c r="R701" s="230">
        <f t="shared" si="402"/>
        <v>123148003.29847008</v>
      </c>
      <c r="S701" s="230">
        <f t="shared" si="403"/>
        <v>4050000</v>
      </c>
      <c r="T701" s="230">
        <f t="shared" si="404"/>
        <v>4050000</v>
      </c>
      <c r="U701" s="230">
        <f>MIN(T701,'Tax Assumptions'!$B$19)</f>
        <v>24500</v>
      </c>
      <c r="V701" s="230">
        <f>MAX(T701-U701-'Tax Assumptions'!$B$8,0)</f>
        <v>4009400</v>
      </c>
      <c r="W701" s="230">
        <f>MAX(T701-U701-'Tax Assumptions'!$B$9,0)</f>
        <v>4017500</v>
      </c>
      <c r="X701" s="230">
        <f>IF(V701=0,0,LOOKUP(V701,'Tax Assumptions'!$F$9:$F$15,'Tax Assumptions'!$I$9:$I$15)+(V701-LOOKUP(V701,'Tax Assumptions'!$F$9:$F$15,'Tax Assumptions'!$F$9:$F$15))*LOOKUP(V701,'Tax Assumptions'!$F$9:$F$15,'Tax Assumptions'!$H$9:$H$15))+MIN(MAX(T701,0),'Tax Assumptions'!$B$11)*'Tax Assumptions'!$B$10+MAX(T701,0)*'Tax Assumptions'!$B$12+MAX(MAX(T701,0)-'Tax Assumptions'!$B$14,0)*'Tax Assumptions'!$B$13+MIN(T701*'Tax Assumptions'!$B$15,'Tax Assumptions'!$B$16)+MIN(T701*'Tax Assumptions'!$B$17,'Tax Assumptions'!$B$18)+IF(W701=0,0,LOOKUP(W701,'Tax Assumptions'!$K$9:$K$17,'Tax Assumptions'!$N$9:$N$17)+(W701-LOOKUP(W701,'Tax Assumptions'!$K$9:$K$17,'Tax Assumptions'!$K$9:$K$17))*LOOKUP(W701,'Tax Assumptions'!$K$9:$K$17,'Tax Assumptions'!$M$9:$M$17))+IF(W701=0,0,LOOKUP(W701,'Tax Assumptions'!$P$9:$P$12,'Tax Assumptions'!$S$9:$S$12)+(W701-LOOKUP(W701,'Tax Assumptions'!$P$9:$P$12,'Tax Assumptions'!$P$9:$P$12))*LOOKUP(W701,'Tax Assumptions'!$P$9:$P$12,'Tax Assumptions'!$R$9:$R$12))</f>
        <v>2055188.6349999998</v>
      </c>
      <c r="Y701" s="230">
        <f t="shared" si="405"/>
        <v>1970311.3650000002</v>
      </c>
      <c r="Z701" s="230">
        <f>IF(J701&lt;=10,INDEX('Savings Projection'!$BL$19:$BL$28,J701),LOOKUP(2,1/('Savings Projection'!$BL$19:$BL$28&lt;&gt;""),'Savings Projection'!$BL$19:$BL$28))*(1+'Model Inputs'!$B$35)^(J701-1)+IF(J701&lt;=10,INDEX('Savings Projection'!$BM$19:$BM$28,J701),LOOKUP(2,1/('Savings Projection'!$BM$19:$BM$28&lt;&gt;""),'Savings Projection'!$BM$19:$BM$28))*(1+'Model Inputs'!$B$36)^(J701-1)</f>
        <v>241838.2943222344</v>
      </c>
      <c r="AA701" s="230">
        <f t="shared" si="406"/>
        <v>1728473.0706777659</v>
      </c>
      <c r="AB701" s="230">
        <f>MIN(MAX(AA701,0),'Tax Assumptions'!$B$20)</f>
        <v>7500</v>
      </c>
      <c r="AC701" s="230">
        <f t="shared" si="407"/>
        <v>1720973.0706777659</v>
      </c>
      <c r="AD701" s="230">
        <f>MAX(AD700*(1+'Model Inputs'!$B$13)+AC701,0)</f>
        <v>53395831.175844997</v>
      </c>
      <c r="AE701" s="230">
        <f>MAX(AE700*(1+'Model Inputs'!$B$13)+U701+AB701,0)</f>
        <v>1388553.2888417889</v>
      </c>
      <c r="AF701" s="230">
        <f t="shared" si="408"/>
        <v>54784384.464686789</v>
      </c>
      <c r="AG701" s="226" t="str">
        <f t="shared" si="394"/>
        <v/>
      </c>
      <c r="AH701" s="226" t="str">
        <f t="shared" si="395"/>
        <v/>
      </c>
      <c r="AI701" s="226" t="str">
        <f t="shared" si="396"/>
        <v/>
      </c>
      <c r="AJ701" s="226" t="str">
        <f t="shared" si="397"/>
        <v/>
      </c>
    </row>
    <row r="702" spans="1:36" ht="18" customHeight="1" x14ac:dyDescent="0.2">
      <c r="A702" s="226" t="str">
        <f t="shared" si="386"/>
        <v>5Y -&gt; PM Y8 Base</v>
      </c>
      <c r="B702" s="226">
        <f t="shared" si="387"/>
        <v>5</v>
      </c>
      <c r="C702" s="235">
        <f t="shared" si="388"/>
        <v>3</v>
      </c>
      <c r="D702" s="226">
        <f t="shared" si="389"/>
        <v>8</v>
      </c>
      <c r="E702" s="226" t="str">
        <f t="shared" si="390"/>
        <v>Base</v>
      </c>
      <c r="F702" s="230">
        <f t="shared" si="391"/>
        <v>25000000</v>
      </c>
      <c r="G702" s="236">
        <f t="shared" si="392"/>
        <v>0.15</v>
      </c>
      <c r="H702" s="230">
        <f t="shared" si="393"/>
        <v>300000</v>
      </c>
      <c r="I702" s="236">
        <f t="shared" si="399"/>
        <v>0</v>
      </c>
      <c r="J702" s="234">
        <v>23</v>
      </c>
      <c r="K702" s="234">
        <f t="shared" si="400"/>
        <v>2048</v>
      </c>
      <c r="L702" s="230">
        <f>IF(J702=1,'Model Inputs'!$B$25*(13-'Model Inputs'!$B$23)/12,'Model Inputs'!$B$25)</f>
        <v>300000</v>
      </c>
      <c r="M702" s="230">
        <f>IF(J702=1,'Model Inputs'!$B$27*(13-'Model Inputs'!$B$23)/12,IF(J702=2,'Model Inputs'!$B$27,IF(J702&lt;=MAX(3,'Model Inputs'!$B$30+1),'Model Inputs'!$B$27*(1+'Model Inputs'!$B$28)^(J702-3),'Model Inputs'!$B$27*(1+'Model Inputs'!$B$28)^(MAX(3,'Model Inputs'!$B$30+1)-3)*(1+'Model Inputs'!$B$29)^(J702-MAX(3,'Model Inputs'!$B$30+1)))))</f>
        <v>71054181.617940187</v>
      </c>
      <c r="N702" s="236">
        <f>IF(J702&lt;=2,0,'Model Inputs'!$B$32*SIN(2*PI()*(J702-3+'Model Inputs'!$B$34)/MAX(1,'Model Inputs'!$B$33)))</f>
        <v>-0.10392304845413268</v>
      </c>
      <c r="O702" s="230">
        <f t="shared" si="401"/>
        <v>63670014.458790243</v>
      </c>
      <c r="P702" s="230">
        <f t="shared" si="398"/>
        <v>57288095.855167374</v>
      </c>
      <c r="Q702" s="230">
        <f>L702+P702+IF(J702=1,'Model Inputs'!$B$26,0)</f>
        <v>57588095.855167374</v>
      </c>
      <c r="R702" s="230">
        <f t="shared" si="402"/>
        <v>172764287.56550211</v>
      </c>
      <c r="S702" s="230">
        <f t="shared" si="403"/>
        <v>4050000</v>
      </c>
      <c r="T702" s="230">
        <f t="shared" si="404"/>
        <v>4050000</v>
      </c>
      <c r="U702" s="230">
        <f>MIN(T702,'Tax Assumptions'!$B$19)</f>
        <v>24500</v>
      </c>
      <c r="V702" s="230">
        <f>MAX(T702-U702-'Tax Assumptions'!$B$8,0)</f>
        <v>4009400</v>
      </c>
      <c r="W702" s="230">
        <f>MAX(T702-U702-'Tax Assumptions'!$B$9,0)</f>
        <v>4017500</v>
      </c>
      <c r="X702" s="230">
        <f>IF(V702=0,0,LOOKUP(V702,'Tax Assumptions'!$F$9:$F$15,'Tax Assumptions'!$I$9:$I$15)+(V702-LOOKUP(V702,'Tax Assumptions'!$F$9:$F$15,'Tax Assumptions'!$F$9:$F$15))*LOOKUP(V702,'Tax Assumptions'!$F$9:$F$15,'Tax Assumptions'!$H$9:$H$15))+MIN(MAX(T702,0),'Tax Assumptions'!$B$11)*'Tax Assumptions'!$B$10+MAX(T702,0)*'Tax Assumptions'!$B$12+MAX(MAX(T702,0)-'Tax Assumptions'!$B$14,0)*'Tax Assumptions'!$B$13+MIN(T702*'Tax Assumptions'!$B$15,'Tax Assumptions'!$B$16)+MIN(T702*'Tax Assumptions'!$B$17,'Tax Assumptions'!$B$18)+IF(W702=0,0,LOOKUP(W702,'Tax Assumptions'!$K$9:$K$17,'Tax Assumptions'!$N$9:$N$17)+(W702-LOOKUP(W702,'Tax Assumptions'!$K$9:$K$17,'Tax Assumptions'!$K$9:$K$17))*LOOKUP(W702,'Tax Assumptions'!$K$9:$K$17,'Tax Assumptions'!$M$9:$M$17))+IF(W702=0,0,LOOKUP(W702,'Tax Assumptions'!$P$9:$P$12,'Tax Assumptions'!$S$9:$S$12)+(W702-LOOKUP(W702,'Tax Assumptions'!$P$9:$P$12,'Tax Assumptions'!$P$9:$P$12))*LOOKUP(W702,'Tax Assumptions'!$P$9:$P$12,'Tax Assumptions'!$R$9:$R$12))</f>
        <v>2055188.6349999998</v>
      </c>
      <c r="Y702" s="230">
        <f t="shared" si="405"/>
        <v>1970311.3650000002</v>
      </c>
      <c r="Z702" s="230">
        <f>IF(J702&lt;=10,INDEX('Savings Projection'!$BL$19:$BL$28,J702),LOOKUP(2,1/('Savings Projection'!$BL$19:$BL$28&lt;&gt;""),'Savings Projection'!$BL$19:$BL$28))*(1+'Model Inputs'!$B$35)^(J702-1)+IF(J702&lt;=10,INDEX('Savings Projection'!$BM$19:$BM$28,J702),LOOKUP(2,1/('Savings Projection'!$BM$19:$BM$28&lt;&gt;""),'Savings Projection'!$BM$19:$BM$28))*(1+'Model Inputs'!$B$36)^(J702-1)</f>
        <v>249093.44315190148</v>
      </c>
      <c r="AA702" s="230">
        <f t="shared" si="406"/>
        <v>1721217.9218480987</v>
      </c>
      <c r="AB702" s="230">
        <f>MIN(MAX(AA702,0),'Tax Assumptions'!$B$20)</f>
        <v>7500</v>
      </c>
      <c r="AC702" s="230">
        <f t="shared" si="407"/>
        <v>1713717.9218480987</v>
      </c>
      <c r="AD702" s="230">
        <f>MAX(AD701*(1+'Model Inputs'!$B$13)+AC702,0)</f>
        <v>58313298.968243793</v>
      </c>
      <c r="AE702" s="230">
        <f>MAX(AE701*(1+'Model Inputs'!$B$13)+U702+AB702,0)</f>
        <v>1503866.4861722963</v>
      </c>
      <c r="AF702" s="230">
        <f t="shared" si="408"/>
        <v>59817165.454416089</v>
      </c>
      <c r="AG702" s="226" t="str">
        <f t="shared" si="394"/>
        <v/>
      </c>
      <c r="AH702" s="226" t="str">
        <f t="shared" si="395"/>
        <v/>
      </c>
      <c r="AI702" s="226" t="str">
        <f t="shared" si="396"/>
        <v/>
      </c>
      <c r="AJ702" s="226" t="str">
        <f t="shared" si="397"/>
        <v/>
      </c>
    </row>
    <row r="703" spans="1:36" ht="18" customHeight="1" x14ac:dyDescent="0.2">
      <c r="A703" s="226" t="str">
        <f t="shared" si="386"/>
        <v>5Y -&gt; PM Y8 Base</v>
      </c>
      <c r="B703" s="226">
        <f t="shared" si="387"/>
        <v>5</v>
      </c>
      <c r="C703" s="235">
        <f t="shared" si="388"/>
        <v>3</v>
      </c>
      <c r="D703" s="226">
        <f t="shared" si="389"/>
        <v>8</v>
      </c>
      <c r="E703" s="226" t="str">
        <f t="shared" si="390"/>
        <v>Base</v>
      </c>
      <c r="F703" s="230">
        <f t="shared" si="391"/>
        <v>25000000</v>
      </c>
      <c r="G703" s="236">
        <f t="shared" si="392"/>
        <v>0.15</v>
      </c>
      <c r="H703" s="230">
        <f t="shared" si="393"/>
        <v>300000</v>
      </c>
      <c r="I703" s="236">
        <f t="shared" si="399"/>
        <v>0</v>
      </c>
      <c r="J703" s="234">
        <v>24</v>
      </c>
      <c r="K703" s="234">
        <f t="shared" si="400"/>
        <v>2049</v>
      </c>
      <c r="L703" s="230">
        <f>IF(J703=1,'Model Inputs'!$B$25*(13-'Model Inputs'!$B$23)/12,'Model Inputs'!$B$25)</f>
        <v>300000</v>
      </c>
      <c r="M703" s="230">
        <f>IF(J703=1,'Model Inputs'!$B$27*(13-'Model Inputs'!$B$23)/12,IF(J703=2,'Model Inputs'!$B$27,IF(J703&lt;=MAX(3,'Model Inputs'!$B$30+1),'Model Inputs'!$B$27*(1+'Model Inputs'!$B$28)^(J703-3),'Model Inputs'!$B$27*(1+'Model Inputs'!$B$28)^(MAX(3,'Model Inputs'!$B$30+1)-3)*(1+'Model Inputs'!$B$29)^(J703-MAX(3,'Model Inputs'!$B$30+1)))))</f>
        <v>90301156.084270701</v>
      </c>
      <c r="N703" s="236">
        <f>IF(J703&lt;=2,0,'Model Inputs'!$B$32*SIN(2*PI()*(J703-3+'Model Inputs'!$B$34)/MAX(1,'Model Inputs'!$B$33)))</f>
        <v>-2.0574066225675533E-16</v>
      </c>
      <c r="O703" s="230">
        <f t="shared" si="401"/>
        <v>90301156.084270686</v>
      </c>
      <c r="P703" s="230">
        <f t="shared" si="398"/>
        <v>63182470.219744325</v>
      </c>
      <c r="Q703" s="230">
        <f>L703+P703+IF(J703=1,'Model Inputs'!$B$26,0)</f>
        <v>63482470.219744325</v>
      </c>
      <c r="R703" s="230">
        <f t="shared" si="402"/>
        <v>190447410.65923297</v>
      </c>
      <c r="S703" s="230">
        <f t="shared" si="403"/>
        <v>4050000</v>
      </c>
      <c r="T703" s="230">
        <f t="shared" si="404"/>
        <v>4050000</v>
      </c>
      <c r="U703" s="230">
        <f>MIN(T703,'Tax Assumptions'!$B$19)</f>
        <v>24500</v>
      </c>
      <c r="V703" s="230">
        <f>MAX(T703-U703-'Tax Assumptions'!$B$8,0)</f>
        <v>4009400</v>
      </c>
      <c r="W703" s="230">
        <f>MAX(T703-U703-'Tax Assumptions'!$B$9,0)</f>
        <v>4017500</v>
      </c>
      <c r="X703" s="230">
        <f>IF(V703=0,0,LOOKUP(V703,'Tax Assumptions'!$F$9:$F$15,'Tax Assumptions'!$I$9:$I$15)+(V703-LOOKUP(V703,'Tax Assumptions'!$F$9:$F$15,'Tax Assumptions'!$F$9:$F$15))*LOOKUP(V703,'Tax Assumptions'!$F$9:$F$15,'Tax Assumptions'!$H$9:$H$15))+MIN(MAX(T703,0),'Tax Assumptions'!$B$11)*'Tax Assumptions'!$B$10+MAX(T703,0)*'Tax Assumptions'!$B$12+MAX(MAX(T703,0)-'Tax Assumptions'!$B$14,0)*'Tax Assumptions'!$B$13+MIN(T703*'Tax Assumptions'!$B$15,'Tax Assumptions'!$B$16)+MIN(T703*'Tax Assumptions'!$B$17,'Tax Assumptions'!$B$18)+IF(W703=0,0,LOOKUP(W703,'Tax Assumptions'!$K$9:$K$17,'Tax Assumptions'!$N$9:$N$17)+(W703-LOOKUP(W703,'Tax Assumptions'!$K$9:$K$17,'Tax Assumptions'!$K$9:$K$17))*LOOKUP(W703,'Tax Assumptions'!$K$9:$K$17,'Tax Assumptions'!$M$9:$M$17))+IF(W703=0,0,LOOKUP(W703,'Tax Assumptions'!$P$9:$P$12,'Tax Assumptions'!$S$9:$S$12)+(W703-LOOKUP(W703,'Tax Assumptions'!$P$9:$P$12,'Tax Assumptions'!$P$9:$P$12))*LOOKUP(W703,'Tax Assumptions'!$P$9:$P$12,'Tax Assumptions'!$R$9:$R$12))</f>
        <v>2055188.6349999998</v>
      </c>
      <c r="Y703" s="230">
        <f t="shared" si="405"/>
        <v>1970311.3650000002</v>
      </c>
      <c r="Z703" s="230">
        <f>IF(J703&lt;=10,INDEX('Savings Projection'!$BL$19:$BL$28,J703),LOOKUP(2,1/('Savings Projection'!$BL$19:$BL$28&lt;&gt;""),'Savings Projection'!$BL$19:$BL$28))*(1+'Model Inputs'!$B$35)^(J703-1)+IF(J703&lt;=10,INDEX('Savings Projection'!$BM$19:$BM$28,J703),LOOKUP(2,1/('Savings Projection'!$BM$19:$BM$28&lt;&gt;""),'Savings Projection'!$BM$19:$BM$28))*(1+'Model Inputs'!$B$36)^(J703-1)</f>
        <v>256566.24644645851</v>
      </c>
      <c r="AA703" s="230">
        <f t="shared" si="406"/>
        <v>1713745.1185535416</v>
      </c>
      <c r="AB703" s="230">
        <f>MIN(MAX(AA703,0),'Tax Assumptions'!$B$20)</f>
        <v>7500</v>
      </c>
      <c r="AC703" s="230">
        <f t="shared" si="407"/>
        <v>1706245.1185535416</v>
      </c>
      <c r="AD703" s="230">
        <f>MAX(AD702*(1+'Model Inputs'!$B$13)+AC703,0)</f>
        <v>63518342.024891965</v>
      </c>
      <c r="AE703" s="230">
        <f>MAX(AE702*(1+'Model Inputs'!$B$13)+U703+AB703,0)</f>
        <v>1626098.4753426341</v>
      </c>
      <c r="AF703" s="230">
        <f t="shared" si="408"/>
        <v>65144440.500234596</v>
      </c>
      <c r="AG703" s="226" t="str">
        <f t="shared" si="394"/>
        <v/>
      </c>
      <c r="AH703" s="226" t="str">
        <f t="shared" si="395"/>
        <v/>
      </c>
      <c r="AI703" s="226" t="str">
        <f t="shared" si="396"/>
        <v/>
      </c>
      <c r="AJ703" s="226" t="str">
        <f t="shared" si="397"/>
        <v/>
      </c>
    </row>
    <row r="704" spans="1:36" ht="18" customHeight="1" x14ac:dyDescent="0.2">
      <c r="A704" s="226" t="str">
        <f t="shared" si="386"/>
        <v>5Y -&gt; PM Y8 Base</v>
      </c>
      <c r="B704" s="226">
        <f t="shared" si="387"/>
        <v>5</v>
      </c>
      <c r="C704" s="235">
        <f t="shared" si="388"/>
        <v>3</v>
      </c>
      <c r="D704" s="226">
        <f t="shared" si="389"/>
        <v>8</v>
      </c>
      <c r="E704" s="226" t="str">
        <f t="shared" si="390"/>
        <v>Base</v>
      </c>
      <c r="F704" s="230">
        <f t="shared" si="391"/>
        <v>25000000</v>
      </c>
      <c r="G704" s="236">
        <f t="shared" si="392"/>
        <v>0.15</v>
      </c>
      <c r="H704" s="230">
        <f t="shared" si="393"/>
        <v>300000</v>
      </c>
      <c r="I704" s="236">
        <f t="shared" si="399"/>
        <v>0</v>
      </c>
      <c r="J704" s="234">
        <v>25</v>
      </c>
      <c r="K704" s="234">
        <f t="shared" si="400"/>
        <v>2050</v>
      </c>
      <c r="L704" s="230">
        <f>IF(J704=1,'Model Inputs'!$B$25*(13-'Model Inputs'!$B$23)/12,'Model Inputs'!$B$25)</f>
        <v>300000</v>
      </c>
      <c r="M704" s="230">
        <f>IF(J704=1,'Model Inputs'!$B$27*(13-'Model Inputs'!$B$23)/12,IF(J704=2,'Model Inputs'!$B$27,IF(J704&lt;=MAX(3,'Model Inputs'!$B$30+1),'Model Inputs'!$B$27*(1+'Model Inputs'!$B$28)^(J704-3),'Model Inputs'!$B$27*(1+'Model Inputs'!$B$28)^(MAX(3,'Model Inputs'!$B$30+1)-3)*(1+'Model Inputs'!$B$29)^(J704-MAX(3,'Model Inputs'!$B$30+1)))))</f>
        <v>114761701.62653697</v>
      </c>
      <c r="N704" s="236">
        <f>IF(J704&lt;=2,0,'Model Inputs'!$B$32*SIN(2*PI()*(J704-3+'Model Inputs'!$B$34)/MAX(1,'Model Inputs'!$B$33)))</f>
        <v>0.10392304845413287</v>
      </c>
      <c r="O704" s="230">
        <f t="shared" si="401"/>
        <v>126688087.50535031</v>
      </c>
      <c r="P704" s="230">
        <f t="shared" si="398"/>
        <v>83643370.677900568</v>
      </c>
      <c r="Q704" s="230">
        <f>L704+P704+IF(J704=1,'Model Inputs'!$B$26,0)</f>
        <v>83943370.677900568</v>
      </c>
      <c r="R704" s="230">
        <f t="shared" si="402"/>
        <v>251830112.03370172</v>
      </c>
      <c r="S704" s="230">
        <f t="shared" si="403"/>
        <v>4050000</v>
      </c>
      <c r="T704" s="230">
        <f t="shared" si="404"/>
        <v>4050000</v>
      </c>
      <c r="U704" s="230">
        <f>MIN(T704,'Tax Assumptions'!$B$19)</f>
        <v>24500</v>
      </c>
      <c r="V704" s="230">
        <f>MAX(T704-U704-'Tax Assumptions'!$B$8,0)</f>
        <v>4009400</v>
      </c>
      <c r="W704" s="230">
        <f>MAX(T704-U704-'Tax Assumptions'!$B$9,0)</f>
        <v>4017500</v>
      </c>
      <c r="X704" s="230">
        <f>IF(V704=0,0,LOOKUP(V704,'Tax Assumptions'!$F$9:$F$15,'Tax Assumptions'!$I$9:$I$15)+(V704-LOOKUP(V704,'Tax Assumptions'!$F$9:$F$15,'Tax Assumptions'!$F$9:$F$15))*LOOKUP(V704,'Tax Assumptions'!$F$9:$F$15,'Tax Assumptions'!$H$9:$H$15))+MIN(MAX(T704,0),'Tax Assumptions'!$B$11)*'Tax Assumptions'!$B$10+MAX(T704,0)*'Tax Assumptions'!$B$12+MAX(MAX(T704,0)-'Tax Assumptions'!$B$14,0)*'Tax Assumptions'!$B$13+MIN(T704*'Tax Assumptions'!$B$15,'Tax Assumptions'!$B$16)+MIN(T704*'Tax Assumptions'!$B$17,'Tax Assumptions'!$B$18)+IF(W704=0,0,LOOKUP(W704,'Tax Assumptions'!$K$9:$K$17,'Tax Assumptions'!$N$9:$N$17)+(W704-LOOKUP(W704,'Tax Assumptions'!$K$9:$K$17,'Tax Assumptions'!$K$9:$K$17))*LOOKUP(W704,'Tax Assumptions'!$K$9:$K$17,'Tax Assumptions'!$M$9:$M$17))+IF(W704=0,0,LOOKUP(W704,'Tax Assumptions'!$P$9:$P$12,'Tax Assumptions'!$S$9:$S$12)+(W704-LOOKUP(W704,'Tax Assumptions'!$P$9:$P$12,'Tax Assumptions'!$P$9:$P$12))*LOOKUP(W704,'Tax Assumptions'!$P$9:$P$12,'Tax Assumptions'!$R$9:$R$12))</f>
        <v>2055188.6349999998</v>
      </c>
      <c r="Y704" s="230">
        <f t="shared" si="405"/>
        <v>1970311.3650000002</v>
      </c>
      <c r="Z704" s="230">
        <f>IF(J704&lt;=10,INDEX('Savings Projection'!$BL$19:$BL$28,J704),LOOKUP(2,1/('Savings Projection'!$BL$19:$BL$28&lt;&gt;""),'Savings Projection'!$BL$19:$BL$28))*(1+'Model Inputs'!$B$35)^(J704-1)+IF(J704&lt;=10,INDEX('Savings Projection'!$BM$19:$BM$28,J704),LOOKUP(2,1/('Savings Projection'!$BM$19:$BM$28&lt;&gt;""),'Savings Projection'!$BM$19:$BM$28))*(1+'Model Inputs'!$B$36)^(J704-1)</f>
        <v>264263.23383985227</v>
      </c>
      <c r="AA704" s="230">
        <f t="shared" si="406"/>
        <v>1706048.131160148</v>
      </c>
      <c r="AB704" s="230">
        <f>MIN(MAX(AA704,0),'Tax Assumptions'!$B$20)</f>
        <v>7500</v>
      </c>
      <c r="AC704" s="230">
        <f t="shared" si="407"/>
        <v>1698548.131160148</v>
      </c>
      <c r="AD704" s="230">
        <f>MAX(AD703*(1+'Model Inputs'!$B$13)+AC704,0)</f>
        <v>69027990.677545637</v>
      </c>
      <c r="AE704" s="230">
        <f>MAX(AE703*(1+'Model Inputs'!$B$13)+U704+AB704,0)</f>
        <v>1755664.3838631923</v>
      </c>
      <c r="AF704" s="230">
        <f t="shared" si="408"/>
        <v>70783655.061408833</v>
      </c>
      <c r="AG704" s="226" t="str">
        <f t="shared" si="394"/>
        <v/>
      </c>
      <c r="AH704" s="226" t="str">
        <f t="shared" si="395"/>
        <v/>
      </c>
      <c r="AI704" s="226" t="str">
        <f t="shared" si="396"/>
        <v/>
      </c>
      <c r="AJ704" s="226" t="str">
        <f t="shared" si="397"/>
        <v/>
      </c>
    </row>
    <row r="705" spans="1:36" ht="18" customHeight="1" x14ac:dyDescent="0.2">
      <c r="A705" s="226" t="str">
        <f t="shared" si="386"/>
        <v>5Y -&gt; PM Y8 Base</v>
      </c>
      <c r="B705" s="226">
        <f t="shared" si="387"/>
        <v>5</v>
      </c>
      <c r="C705" s="235">
        <f t="shared" si="388"/>
        <v>3</v>
      </c>
      <c r="D705" s="226">
        <f t="shared" si="389"/>
        <v>8</v>
      </c>
      <c r="E705" s="226" t="str">
        <f t="shared" si="390"/>
        <v>Base</v>
      </c>
      <c r="F705" s="230">
        <f t="shared" si="391"/>
        <v>25000000</v>
      </c>
      <c r="G705" s="236">
        <f t="shared" si="392"/>
        <v>0.15</v>
      </c>
      <c r="H705" s="230">
        <f t="shared" si="393"/>
        <v>300000</v>
      </c>
      <c r="I705" s="236">
        <f t="shared" si="399"/>
        <v>0</v>
      </c>
      <c r="J705" s="234">
        <v>26</v>
      </c>
      <c r="K705" s="234">
        <f t="shared" si="400"/>
        <v>2051</v>
      </c>
      <c r="L705" s="230">
        <f>IF(J705=1,'Model Inputs'!$B$25*(13-'Model Inputs'!$B$23)/12,'Model Inputs'!$B$25)</f>
        <v>300000</v>
      </c>
      <c r="M705" s="230">
        <f>IF(J705=1,'Model Inputs'!$B$27*(13-'Model Inputs'!$B$23)/12,IF(J705=2,'Model Inputs'!$B$27,IF(J705&lt;=MAX(3,'Model Inputs'!$B$30+1),'Model Inputs'!$B$27*(1+'Model Inputs'!$B$28)^(J705-3),'Model Inputs'!$B$27*(1+'Model Inputs'!$B$28)^(MAX(3,'Model Inputs'!$B$30+1)-3)*(1+'Model Inputs'!$B$29)^(J705-MAX(3,'Model Inputs'!$B$30+1)))))</f>
        <v>145848057.00524563</v>
      </c>
      <c r="N705" s="236">
        <f>IF(J705&lt;=2,0,'Model Inputs'!$B$32*SIN(2*PI()*(J705-3+'Model Inputs'!$B$34)/MAX(1,'Model Inputs'!$B$33)))</f>
        <v>-0.10392304845413224</v>
      </c>
      <c r="O705" s="230">
        <f t="shared" si="401"/>
        <v>130691082.31014845</v>
      </c>
      <c r="P705" s="230">
        <f t="shared" si="398"/>
        <v>117591354.65008041</v>
      </c>
      <c r="Q705" s="230">
        <f>L705+P705+IF(J705=1,'Model Inputs'!$B$26,0)</f>
        <v>117891354.65008041</v>
      </c>
      <c r="R705" s="230">
        <f t="shared" si="402"/>
        <v>353674063.95024121</v>
      </c>
      <c r="S705" s="230">
        <f t="shared" si="403"/>
        <v>4050000</v>
      </c>
      <c r="T705" s="230">
        <f t="shared" si="404"/>
        <v>4050000</v>
      </c>
      <c r="U705" s="230">
        <f>MIN(T705,'Tax Assumptions'!$B$19)</f>
        <v>24500</v>
      </c>
      <c r="V705" s="230">
        <f>MAX(T705-U705-'Tax Assumptions'!$B$8,0)</f>
        <v>4009400</v>
      </c>
      <c r="W705" s="230">
        <f>MAX(T705-U705-'Tax Assumptions'!$B$9,0)</f>
        <v>4017500</v>
      </c>
      <c r="X705" s="230">
        <f>IF(V705=0,0,LOOKUP(V705,'Tax Assumptions'!$F$9:$F$15,'Tax Assumptions'!$I$9:$I$15)+(V705-LOOKUP(V705,'Tax Assumptions'!$F$9:$F$15,'Tax Assumptions'!$F$9:$F$15))*LOOKUP(V705,'Tax Assumptions'!$F$9:$F$15,'Tax Assumptions'!$H$9:$H$15))+MIN(MAX(T705,0),'Tax Assumptions'!$B$11)*'Tax Assumptions'!$B$10+MAX(T705,0)*'Tax Assumptions'!$B$12+MAX(MAX(T705,0)-'Tax Assumptions'!$B$14,0)*'Tax Assumptions'!$B$13+MIN(T705*'Tax Assumptions'!$B$15,'Tax Assumptions'!$B$16)+MIN(T705*'Tax Assumptions'!$B$17,'Tax Assumptions'!$B$18)+IF(W705=0,0,LOOKUP(W705,'Tax Assumptions'!$K$9:$K$17,'Tax Assumptions'!$N$9:$N$17)+(W705-LOOKUP(W705,'Tax Assumptions'!$K$9:$K$17,'Tax Assumptions'!$K$9:$K$17))*LOOKUP(W705,'Tax Assumptions'!$K$9:$K$17,'Tax Assumptions'!$M$9:$M$17))+IF(W705=0,0,LOOKUP(W705,'Tax Assumptions'!$P$9:$P$12,'Tax Assumptions'!$S$9:$S$12)+(W705-LOOKUP(W705,'Tax Assumptions'!$P$9:$P$12,'Tax Assumptions'!$P$9:$P$12))*LOOKUP(W705,'Tax Assumptions'!$P$9:$P$12,'Tax Assumptions'!$R$9:$R$12))</f>
        <v>2055188.6349999998</v>
      </c>
      <c r="Y705" s="230">
        <f t="shared" si="405"/>
        <v>1970311.3650000002</v>
      </c>
      <c r="Z705" s="230">
        <f>IF(J705&lt;=10,INDEX('Savings Projection'!$BL$19:$BL$28,J705),LOOKUP(2,1/('Savings Projection'!$BL$19:$BL$28&lt;&gt;""),'Savings Projection'!$BL$19:$BL$28))*(1+'Model Inputs'!$B$35)^(J705-1)+IF(J705&lt;=10,INDEX('Savings Projection'!$BM$19:$BM$28,J705),LOOKUP(2,1/('Savings Projection'!$BM$19:$BM$28&lt;&gt;""),'Savings Projection'!$BM$19:$BM$28))*(1+'Model Inputs'!$B$36)^(J705-1)</f>
        <v>272191.13085504784</v>
      </c>
      <c r="AA705" s="230">
        <f t="shared" si="406"/>
        <v>1698120.2341449524</v>
      </c>
      <c r="AB705" s="230">
        <f>MIN(MAX(AA705,0),'Tax Assumptions'!$B$20)</f>
        <v>7500</v>
      </c>
      <c r="AC705" s="230">
        <f t="shared" si="407"/>
        <v>1690620.2341449524</v>
      </c>
      <c r="AD705" s="230">
        <f>MAX(AD704*(1+'Model Inputs'!$B$13)+AC705,0)</f>
        <v>74860290.352343336</v>
      </c>
      <c r="AE705" s="230">
        <f>MAX(AE704*(1+'Model Inputs'!$B$13)+U705+AB705,0)</f>
        <v>1893004.2468949838</v>
      </c>
      <c r="AF705" s="230">
        <f t="shared" si="408"/>
        <v>76753294.599238321</v>
      </c>
      <c r="AG705" s="226" t="str">
        <f t="shared" si="394"/>
        <v/>
      </c>
      <c r="AH705" s="226" t="str">
        <f t="shared" si="395"/>
        <v/>
      </c>
      <c r="AI705" s="226" t="str">
        <f t="shared" si="396"/>
        <v/>
      </c>
      <c r="AJ705" s="226" t="str">
        <f t="shared" si="397"/>
        <v/>
      </c>
    </row>
    <row r="706" spans="1:36" ht="18" customHeight="1" x14ac:dyDescent="0.2">
      <c r="A706" s="226" t="str">
        <f t="shared" si="386"/>
        <v>5Y -&gt; PM Y8 Base</v>
      </c>
      <c r="B706" s="226">
        <f t="shared" si="387"/>
        <v>5</v>
      </c>
      <c r="C706" s="235">
        <f t="shared" si="388"/>
        <v>3</v>
      </c>
      <c r="D706" s="226">
        <f t="shared" si="389"/>
        <v>8</v>
      </c>
      <c r="E706" s="226" t="str">
        <f t="shared" si="390"/>
        <v>Base</v>
      </c>
      <c r="F706" s="230">
        <f t="shared" si="391"/>
        <v>25000000</v>
      </c>
      <c r="G706" s="236">
        <f t="shared" si="392"/>
        <v>0.15</v>
      </c>
      <c r="H706" s="230">
        <f t="shared" si="393"/>
        <v>300000</v>
      </c>
      <c r="I706" s="236">
        <f t="shared" si="399"/>
        <v>0</v>
      </c>
      <c r="J706" s="234">
        <v>27</v>
      </c>
      <c r="K706" s="234">
        <f t="shared" si="400"/>
        <v>2052</v>
      </c>
      <c r="L706" s="230">
        <f>IF(J706=1,'Model Inputs'!$B$25*(13-'Model Inputs'!$B$23)/12,'Model Inputs'!$B$25)</f>
        <v>300000</v>
      </c>
      <c r="M706" s="230">
        <f>IF(J706=1,'Model Inputs'!$B$27*(13-'Model Inputs'!$B$23)/12,IF(J706=2,'Model Inputs'!$B$27,IF(J706&lt;=MAX(3,'Model Inputs'!$B$30+1),'Model Inputs'!$B$27*(1+'Model Inputs'!$B$28)^(J706-3),'Model Inputs'!$B$27*(1+'Model Inputs'!$B$28)^(MAX(3,'Model Inputs'!$B$30+1)-3)*(1+'Model Inputs'!$B$29)^(J706-MAX(3,'Model Inputs'!$B$30+1)))))</f>
        <v>185355004.59402937</v>
      </c>
      <c r="N706" s="236">
        <f>IF(J706&lt;=2,0,'Model Inputs'!$B$32*SIN(2*PI()*(J706-3+'Model Inputs'!$B$34)/MAX(1,'Model Inputs'!$B$33)))</f>
        <v>-2.3513218543629179E-16</v>
      </c>
      <c r="O706" s="230">
        <f t="shared" si="401"/>
        <v>185355004.59402934</v>
      </c>
      <c r="P706" s="230">
        <f t="shared" si="398"/>
        <v>129690333.6089489</v>
      </c>
      <c r="Q706" s="230">
        <f>L706+P706+IF(J706=1,'Model Inputs'!$B$26,0)</f>
        <v>129990333.6089489</v>
      </c>
      <c r="R706" s="230">
        <f t="shared" si="402"/>
        <v>389971000.82684672</v>
      </c>
      <c r="S706" s="230">
        <f t="shared" si="403"/>
        <v>4050000</v>
      </c>
      <c r="T706" s="230">
        <f t="shared" si="404"/>
        <v>4050000</v>
      </c>
      <c r="U706" s="230">
        <f>MIN(T706,'Tax Assumptions'!$B$19)</f>
        <v>24500</v>
      </c>
      <c r="V706" s="230">
        <f>MAX(T706-U706-'Tax Assumptions'!$B$8,0)</f>
        <v>4009400</v>
      </c>
      <c r="W706" s="230">
        <f>MAX(T706-U706-'Tax Assumptions'!$B$9,0)</f>
        <v>4017500</v>
      </c>
      <c r="X706" s="230">
        <f>IF(V706=0,0,LOOKUP(V706,'Tax Assumptions'!$F$9:$F$15,'Tax Assumptions'!$I$9:$I$15)+(V706-LOOKUP(V706,'Tax Assumptions'!$F$9:$F$15,'Tax Assumptions'!$F$9:$F$15))*LOOKUP(V706,'Tax Assumptions'!$F$9:$F$15,'Tax Assumptions'!$H$9:$H$15))+MIN(MAX(T706,0),'Tax Assumptions'!$B$11)*'Tax Assumptions'!$B$10+MAX(T706,0)*'Tax Assumptions'!$B$12+MAX(MAX(T706,0)-'Tax Assumptions'!$B$14,0)*'Tax Assumptions'!$B$13+MIN(T706*'Tax Assumptions'!$B$15,'Tax Assumptions'!$B$16)+MIN(T706*'Tax Assumptions'!$B$17,'Tax Assumptions'!$B$18)+IF(W706=0,0,LOOKUP(W706,'Tax Assumptions'!$K$9:$K$17,'Tax Assumptions'!$N$9:$N$17)+(W706-LOOKUP(W706,'Tax Assumptions'!$K$9:$K$17,'Tax Assumptions'!$K$9:$K$17))*LOOKUP(W706,'Tax Assumptions'!$K$9:$K$17,'Tax Assumptions'!$M$9:$M$17))+IF(W706=0,0,LOOKUP(W706,'Tax Assumptions'!$P$9:$P$12,'Tax Assumptions'!$S$9:$S$12)+(W706-LOOKUP(W706,'Tax Assumptions'!$P$9:$P$12,'Tax Assumptions'!$P$9:$P$12))*LOOKUP(W706,'Tax Assumptions'!$P$9:$P$12,'Tax Assumptions'!$R$9:$R$12))</f>
        <v>2055188.6349999998</v>
      </c>
      <c r="Y706" s="230">
        <f t="shared" si="405"/>
        <v>1970311.3650000002</v>
      </c>
      <c r="Z706" s="230">
        <f>IF(J706&lt;=10,INDEX('Savings Projection'!$BL$19:$BL$28,J706),LOOKUP(2,1/('Savings Projection'!$BL$19:$BL$28&lt;&gt;""),'Savings Projection'!$BL$19:$BL$28))*(1+'Model Inputs'!$B$35)^(J706-1)+IF(J706&lt;=10,INDEX('Savings Projection'!$BM$19:$BM$28,J706),LOOKUP(2,1/('Savings Projection'!$BM$19:$BM$28&lt;&gt;""),'Savings Projection'!$BM$19:$BM$28))*(1+'Model Inputs'!$B$36)^(J706-1)</f>
        <v>280356.86478069925</v>
      </c>
      <c r="AA706" s="230">
        <f t="shared" si="406"/>
        <v>1689954.5002193009</v>
      </c>
      <c r="AB706" s="230">
        <f>MIN(MAX(AA706,0),'Tax Assumptions'!$B$20)</f>
        <v>7500</v>
      </c>
      <c r="AC706" s="230">
        <f t="shared" si="407"/>
        <v>1682454.5002193009</v>
      </c>
      <c r="AD706" s="230">
        <f>MAX(AD705*(1+'Model Inputs'!$B$13)+AC706,0)</f>
        <v>81034362.273703247</v>
      </c>
      <c r="AE706" s="230">
        <f>MAX(AE705*(1+'Model Inputs'!$B$13)+U706+AB706,0)</f>
        <v>2038584.5017086829</v>
      </c>
      <c r="AF706" s="230">
        <f t="shared" si="408"/>
        <v>83072946.775411934</v>
      </c>
      <c r="AG706" s="226" t="str">
        <f t="shared" si="394"/>
        <v/>
      </c>
      <c r="AH706" s="226" t="str">
        <f t="shared" si="395"/>
        <v/>
      </c>
      <c r="AI706" s="226" t="str">
        <f t="shared" si="396"/>
        <v/>
      </c>
      <c r="AJ706" s="226" t="str">
        <f t="shared" si="397"/>
        <v/>
      </c>
    </row>
    <row r="707" spans="1:36" ht="18" customHeight="1" x14ac:dyDescent="0.2">
      <c r="A707" s="226" t="str">
        <f t="shared" si="386"/>
        <v>5Y -&gt; PM Y8 Base</v>
      </c>
      <c r="B707" s="226">
        <f t="shared" si="387"/>
        <v>5</v>
      </c>
      <c r="C707" s="235">
        <f t="shared" si="388"/>
        <v>3</v>
      </c>
      <c r="D707" s="226">
        <f t="shared" si="389"/>
        <v>8</v>
      </c>
      <c r="E707" s="226" t="str">
        <f t="shared" si="390"/>
        <v>Base</v>
      </c>
      <c r="F707" s="230">
        <f t="shared" si="391"/>
        <v>25000000</v>
      </c>
      <c r="G707" s="236">
        <f t="shared" si="392"/>
        <v>0.15</v>
      </c>
      <c r="H707" s="230">
        <f t="shared" si="393"/>
        <v>300000</v>
      </c>
      <c r="I707" s="236">
        <f t="shared" si="399"/>
        <v>0</v>
      </c>
      <c r="J707" s="234">
        <v>28</v>
      </c>
      <c r="K707" s="234">
        <f t="shared" si="400"/>
        <v>2053</v>
      </c>
      <c r="L707" s="230">
        <f>IF(J707=1,'Model Inputs'!$B$25*(13-'Model Inputs'!$B$23)/12,'Model Inputs'!$B$25)</f>
        <v>300000</v>
      </c>
      <c r="M707" s="230">
        <f>IF(J707=1,'Model Inputs'!$B$27*(13-'Model Inputs'!$B$23)/12,IF(J707=2,'Model Inputs'!$B$27,IF(J707&lt;=MAX(3,'Model Inputs'!$B$30+1),'Model Inputs'!$B$27*(1+'Model Inputs'!$B$28)^(J707-3),'Model Inputs'!$B$27*(1+'Model Inputs'!$B$28)^(MAX(3,'Model Inputs'!$B$30+1)-3)*(1+'Model Inputs'!$B$29)^(J707-MAX(3,'Model Inputs'!$B$30+1)))))</f>
        <v>235563492.81236541</v>
      </c>
      <c r="N707" s="236">
        <f>IF(J707&lt;=2,0,'Model Inputs'!$B$32*SIN(2*PI()*(J707-3+'Model Inputs'!$B$34)/MAX(1,'Model Inputs'!$B$33)))</f>
        <v>0.10392304845413247</v>
      </c>
      <c r="O707" s="230">
        <f t="shared" si="401"/>
        <v>260043969.08992955</v>
      </c>
      <c r="P707" s="230">
        <f t="shared" si="398"/>
        <v>171689024.02305913</v>
      </c>
      <c r="Q707" s="230">
        <f>L707+P707+IF(J707=1,'Model Inputs'!$B$26,0)</f>
        <v>171989024.02305913</v>
      </c>
      <c r="R707" s="230">
        <f t="shared" si="402"/>
        <v>515967072.06917739</v>
      </c>
      <c r="S707" s="230">
        <f t="shared" si="403"/>
        <v>4050000</v>
      </c>
      <c r="T707" s="230">
        <f t="shared" si="404"/>
        <v>4050000</v>
      </c>
      <c r="U707" s="230">
        <f>MIN(T707,'Tax Assumptions'!$B$19)</f>
        <v>24500</v>
      </c>
      <c r="V707" s="230">
        <f>MAX(T707-U707-'Tax Assumptions'!$B$8,0)</f>
        <v>4009400</v>
      </c>
      <c r="W707" s="230">
        <f>MAX(T707-U707-'Tax Assumptions'!$B$9,0)</f>
        <v>4017500</v>
      </c>
      <c r="X707" s="230">
        <f>IF(V707=0,0,LOOKUP(V707,'Tax Assumptions'!$F$9:$F$15,'Tax Assumptions'!$I$9:$I$15)+(V707-LOOKUP(V707,'Tax Assumptions'!$F$9:$F$15,'Tax Assumptions'!$F$9:$F$15))*LOOKUP(V707,'Tax Assumptions'!$F$9:$F$15,'Tax Assumptions'!$H$9:$H$15))+MIN(MAX(T707,0),'Tax Assumptions'!$B$11)*'Tax Assumptions'!$B$10+MAX(T707,0)*'Tax Assumptions'!$B$12+MAX(MAX(T707,0)-'Tax Assumptions'!$B$14,0)*'Tax Assumptions'!$B$13+MIN(T707*'Tax Assumptions'!$B$15,'Tax Assumptions'!$B$16)+MIN(T707*'Tax Assumptions'!$B$17,'Tax Assumptions'!$B$18)+IF(W707=0,0,LOOKUP(W707,'Tax Assumptions'!$K$9:$K$17,'Tax Assumptions'!$N$9:$N$17)+(W707-LOOKUP(W707,'Tax Assumptions'!$K$9:$K$17,'Tax Assumptions'!$K$9:$K$17))*LOOKUP(W707,'Tax Assumptions'!$K$9:$K$17,'Tax Assumptions'!$M$9:$M$17))+IF(W707=0,0,LOOKUP(W707,'Tax Assumptions'!$P$9:$P$12,'Tax Assumptions'!$S$9:$S$12)+(W707-LOOKUP(W707,'Tax Assumptions'!$P$9:$P$12,'Tax Assumptions'!$P$9:$P$12))*LOOKUP(W707,'Tax Assumptions'!$P$9:$P$12,'Tax Assumptions'!$R$9:$R$12))</f>
        <v>2055188.6349999998</v>
      </c>
      <c r="Y707" s="230">
        <f t="shared" si="405"/>
        <v>1970311.3650000002</v>
      </c>
      <c r="Z707" s="230">
        <f>IF(J707&lt;=10,INDEX('Savings Projection'!$BL$19:$BL$28,J707),LOOKUP(2,1/('Savings Projection'!$BL$19:$BL$28&lt;&gt;""),'Savings Projection'!$BL$19:$BL$28))*(1+'Model Inputs'!$B$35)^(J707-1)+IF(J707&lt;=10,INDEX('Savings Projection'!$BM$19:$BM$28,J707),LOOKUP(2,1/('Savings Projection'!$BM$19:$BM$28&lt;&gt;""),'Savings Projection'!$BM$19:$BM$28))*(1+'Model Inputs'!$B$36)^(J707-1)</f>
        <v>288767.57072412025</v>
      </c>
      <c r="AA707" s="230">
        <f t="shared" si="406"/>
        <v>1681543.7942758799</v>
      </c>
      <c r="AB707" s="230">
        <f>MIN(MAX(AA707,0),'Tax Assumptions'!$B$20)</f>
        <v>7500</v>
      </c>
      <c r="AC707" s="230">
        <f t="shared" si="407"/>
        <v>1674043.7942758799</v>
      </c>
      <c r="AD707" s="230">
        <f>MAX(AD706*(1+'Model Inputs'!$B$13)+AC707,0)</f>
        <v>87570467.804401323</v>
      </c>
      <c r="AE707" s="230">
        <f>MAX(AE706*(1+'Model Inputs'!$B$13)+U707+AB707,0)</f>
        <v>2192899.5718112038</v>
      </c>
      <c r="AF707" s="230">
        <f t="shared" si="408"/>
        <v>89763367.376212522</v>
      </c>
      <c r="AG707" s="226" t="str">
        <f t="shared" si="394"/>
        <v/>
      </c>
      <c r="AH707" s="226" t="str">
        <f t="shared" si="395"/>
        <v/>
      </c>
      <c r="AI707" s="226" t="str">
        <f t="shared" si="396"/>
        <v/>
      </c>
      <c r="AJ707" s="226" t="str">
        <f t="shared" si="397"/>
        <v/>
      </c>
    </row>
    <row r="708" spans="1:36" ht="18" customHeight="1" x14ac:dyDescent="0.2">
      <c r="A708" s="226" t="str">
        <f t="shared" si="386"/>
        <v>5Y -&gt; PM Y8 Base</v>
      </c>
      <c r="B708" s="226">
        <f t="shared" si="387"/>
        <v>5</v>
      </c>
      <c r="C708" s="235">
        <f t="shared" si="388"/>
        <v>3</v>
      </c>
      <c r="D708" s="226">
        <f t="shared" si="389"/>
        <v>8</v>
      </c>
      <c r="E708" s="226" t="str">
        <f t="shared" si="390"/>
        <v>Base</v>
      </c>
      <c r="F708" s="230">
        <f t="shared" si="391"/>
        <v>25000000</v>
      </c>
      <c r="G708" s="236">
        <f t="shared" si="392"/>
        <v>0.15</v>
      </c>
      <c r="H708" s="230">
        <f t="shared" si="393"/>
        <v>300000</v>
      </c>
      <c r="I708" s="236">
        <f t="shared" si="399"/>
        <v>0</v>
      </c>
      <c r="J708" s="234">
        <v>29</v>
      </c>
      <c r="K708" s="234">
        <f t="shared" si="400"/>
        <v>2054</v>
      </c>
      <c r="L708" s="230">
        <f>IF(J708=1,'Model Inputs'!$B$25*(13-'Model Inputs'!$B$23)/12,'Model Inputs'!$B$25)</f>
        <v>300000</v>
      </c>
      <c r="M708" s="230">
        <f>IF(J708=1,'Model Inputs'!$B$27*(13-'Model Inputs'!$B$23)/12,IF(J708=2,'Model Inputs'!$B$27,IF(J708&lt;=MAX(3,'Model Inputs'!$B$30+1),'Model Inputs'!$B$27*(1+'Model Inputs'!$B$28)^(J708-3),'Model Inputs'!$B$27*(1+'Model Inputs'!$B$28)^(MAX(3,'Model Inputs'!$B$30+1)-3)*(1+'Model Inputs'!$B$29)^(J708-MAX(3,'Model Inputs'!$B$30+1)))))</f>
        <v>299372327.53708321</v>
      </c>
      <c r="N708" s="236">
        <f>IF(J708&lt;=2,0,'Model Inputs'!$B$32*SIN(2*PI()*(J708-3+'Model Inputs'!$B$34)/MAX(1,'Model Inputs'!$B$33)))</f>
        <v>-0.10392304845413265</v>
      </c>
      <c r="O708" s="230">
        <f t="shared" si="401"/>
        <v>268260642.63662043</v>
      </c>
      <c r="P708" s="230">
        <f t="shared" si="398"/>
        <v>241371727.96595448</v>
      </c>
      <c r="Q708" s="230">
        <f>L708+P708+IF(J708=1,'Model Inputs'!$B$26,0)</f>
        <v>241671727.96595448</v>
      </c>
      <c r="R708" s="230">
        <f t="shared" si="402"/>
        <v>725015183.89786339</v>
      </c>
      <c r="S708" s="230">
        <f t="shared" si="403"/>
        <v>4050000</v>
      </c>
      <c r="T708" s="230">
        <f t="shared" si="404"/>
        <v>4050000</v>
      </c>
      <c r="U708" s="230">
        <f>MIN(T708,'Tax Assumptions'!$B$19)</f>
        <v>24500</v>
      </c>
      <c r="V708" s="230">
        <f>MAX(T708-U708-'Tax Assumptions'!$B$8,0)</f>
        <v>4009400</v>
      </c>
      <c r="W708" s="230">
        <f>MAX(T708-U708-'Tax Assumptions'!$B$9,0)</f>
        <v>4017500</v>
      </c>
      <c r="X708" s="230">
        <f>IF(V708=0,0,LOOKUP(V708,'Tax Assumptions'!$F$9:$F$15,'Tax Assumptions'!$I$9:$I$15)+(V708-LOOKUP(V708,'Tax Assumptions'!$F$9:$F$15,'Tax Assumptions'!$F$9:$F$15))*LOOKUP(V708,'Tax Assumptions'!$F$9:$F$15,'Tax Assumptions'!$H$9:$H$15))+MIN(MAX(T708,0),'Tax Assumptions'!$B$11)*'Tax Assumptions'!$B$10+MAX(T708,0)*'Tax Assumptions'!$B$12+MAX(MAX(T708,0)-'Tax Assumptions'!$B$14,0)*'Tax Assumptions'!$B$13+MIN(T708*'Tax Assumptions'!$B$15,'Tax Assumptions'!$B$16)+MIN(T708*'Tax Assumptions'!$B$17,'Tax Assumptions'!$B$18)+IF(W708=0,0,LOOKUP(W708,'Tax Assumptions'!$K$9:$K$17,'Tax Assumptions'!$N$9:$N$17)+(W708-LOOKUP(W708,'Tax Assumptions'!$K$9:$K$17,'Tax Assumptions'!$K$9:$K$17))*LOOKUP(W708,'Tax Assumptions'!$K$9:$K$17,'Tax Assumptions'!$M$9:$M$17))+IF(W708=0,0,LOOKUP(W708,'Tax Assumptions'!$P$9:$P$12,'Tax Assumptions'!$S$9:$S$12)+(W708-LOOKUP(W708,'Tax Assumptions'!$P$9:$P$12,'Tax Assumptions'!$P$9:$P$12))*LOOKUP(W708,'Tax Assumptions'!$P$9:$P$12,'Tax Assumptions'!$R$9:$R$12))</f>
        <v>2055188.6349999998</v>
      </c>
      <c r="Y708" s="230">
        <f t="shared" si="405"/>
        <v>1970311.3650000002</v>
      </c>
      <c r="Z708" s="230">
        <f>IF(J708&lt;=10,INDEX('Savings Projection'!$BL$19:$BL$28,J708),LOOKUP(2,1/('Savings Projection'!$BL$19:$BL$28&lt;&gt;""),'Savings Projection'!$BL$19:$BL$28))*(1+'Model Inputs'!$B$35)^(J708-1)+IF(J708&lt;=10,INDEX('Savings Projection'!$BM$19:$BM$28,J708),LOOKUP(2,1/('Savings Projection'!$BM$19:$BM$28&lt;&gt;""),'Savings Projection'!$BM$19:$BM$28))*(1+'Model Inputs'!$B$36)^(J708-1)</f>
        <v>297430.59784584382</v>
      </c>
      <c r="AA708" s="230">
        <f t="shared" si="406"/>
        <v>1672880.7671541565</v>
      </c>
      <c r="AB708" s="230">
        <f>MIN(MAX(AA708,0),'Tax Assumptions'!$B$20)</f>
        <v>7500</v>
      </c>
      <c r="AC708" s="230">
        <f t="shared" si="407"/>
        <v>1665380.7671541565</v>
      </c>
      <c r="AD708" s="230">
        <f>MAX(AD707*(1+'Model Inputs'!$B$13)+AC708,0)</f>
        <v>94490076.639819562</v>
      </c>
      <c r="AE708" s="230">
        <f>MAX(AE707*(1+'Model Inputs'!$B$13)+U708+AB708,0)</f>
        <v>2356473.5461198762</v>
      </c>
      <c r="AF708" s="230">
        <f t="shared" si="408"/>
        <v>96846550.185939431</v>
      </c>
      <c r="AG708" s="226" t="str">
        <f t="shared" si="394"/>
        <v/>
      </c>
      <c r="AH708" s="226" t="str">
        <f t="shared" si="395"/>
        <v/>
      </c>
      <c r="AI708" s="226" t="str">
        <f t="shared" si="396"/>
        <v/>
      </c>
      <c r="AJ708" s="226" t="str">
        <f t="shared" si="397"/>
        <v/>
      </c>
    </row>
    <row r="709" spans="1:36" ht="18" customHeight="1" x14ac:dyDescent="0.2">
      <c r="A709" s="226" t="str">
        <f t="shared" si="386"/>
        <v>5Y -&gt; PM Y8 Base</v>
      </c>
      <c r="B709" s="226">
        <f t="shared" si="387"/>
        <v>5</v>
      </c>
      <c r="C709" s="235">
        <f t="shared" si="388"/>
        <v>3</v>
      </c>
      <c r="D709" s="226">
        <f t="shared" si="389"/>
        <v>8</v>
      </c>
      <c r="E709" s="226" t="str">
        <f t="shared" si="390"/>
        <v>Base</v>
      </c>
      <c r="F709" s="230">
        <f t="shared" si="391"/>
        <v>25000000</v>
      </c>
      <c r="G709" s="236">
        <f t="shared" si="392"/>
        <v>0.15</v>
      </c>
      <c r="H709" s="230">
        <f t="shared" si="393"/>
        <v>300000</v>
      </c>
      <c r="I709" s="236">
        <f t="shared" si="399"/>
        <v>0</v>
      </c>
      <c r="J709" s="234">
        <v>30</v>
      </c>
      <c r="K709" s="234">
        <f t="shared" si="400"/>
        <v>2055</v>
      </c>
      <c r="L709" s="230">
        <f>IF(J709=1,'Model Inputs'!$B$25*(13-'Model Inputs'!$B$23)/12,'Model Inputs'!$B$25)</f>
        <v>300000</v>
      </c>
      <c r="M709" s="230">
        <f>IF(J709=1,'Model Inputs'!$B$27*(13-'Model Inputs'!$B$23)/12,IF(J709=2,'Model Inputs'!$B$27,IF(J709&lt;=MAX(3,'Model Inputs'!$B$30+1),'Model Inputs'!$B$27*(1+'Model Inputs'!$B$28)^(J709-3),'Model Inputs'!$B$27*(1+'Model Inputs'!$B$28)^(MAX(3,'Model Inputs'!$B$30+1)-3)*(1+'Model Inputs'!$B$29)^(J709-MAX(3,'Model Inputs'!$B$30+1)))))</f>
        <v>380465535.74563926</v>
      </c>
      <c r="N709" s="236">
        <f>IF(J709&lt;=2,0,'Model Inputs'!$B$32*SIN(2*PI()*(J709-3+'Model Inputs'!$B$34)/MAX(1,'Model Inputs'!$B$33)))</f>
        <v>-2.645237086158283E-16</v>
      </c>
      <c r="O709" s="230">
        <f t="shared" si="401"/>
        <v>380465535.7456392</v>
      </c>
      <c r="P709" s="230">
        <f t="shared" si="398"/>
        <v>266206474.24994773</v>
      </c>
      <c r="Q709" s="230">
        <f>L709+P709+IF(J709=1,'Model Inputs'!$B$26,0)</f>
        <v>266506474.24994773</v>
      </c>
      <c r="R709" s="230">
        <f t="shared" si="402"/>
        <v>799519422.74984312</v>
      </c>
      <c r="S709" s="230">
        <f t="shared" si="403"/>
        <v>4050000</v>
      </c>
      <c r="T709" s="230">
        <f t="shared" si="404"/>
        <v>4050000</v>
      </c>
      <c r="U709" s="230">
        <f>MIN(T709,'Tax Assumptions'!$B$19)</f>
        <v>24500</v>
      </c>
      <c r="V709" s="230">
        <f>MAX(T709-U709-'Tax Assumptions'!$B$8,0)</f>
        <v>4009400</v>
      </c>
      <c r="W709" s="230">
        <f>MAX(T709-U709-'Tax Assumptions'!$B$9,0)</f>
        <v>4017500</v>
      </c>
      <c r="X709" s="230">
        <f>IF(V709=0,0,LOOKUP(V709,'Tax Assumptions'!$F$9:$F$15,'Tax Assumptions'!$I$9:$I$15)+(V709-LOOKUP(V709,'Tax Assumptions'!$F$9:$F$15,'Tax Assumptions'!$F$9:$F$15))*LOOKUP(V709,'Tax Assumptions'!$F$9:$F$15,'Tax Assumptions'!$H$9:$H$15))+MIN(MAX(T709,0),'Tax Assumptions'!$B$11)*'Tax Assumptions'!$B$10+MAX(T709,0)*'Tax Assumptions'!$B$12+MAX(MAX(T709,0)-'Tax Assumptions'!$B$14,0)*'Tax Assumptions'!$B$13+MIN(T709*'Tax Assumptions'!$B$15,'Tax Assumptions'!$B$16)+MIN(T709*'Tax Assumptions'!$B$17,'Tax Assumptions'!$B$18)+IF(W709=0,0,LOOKUP(W709,'Tax Assumptions'!$K$9:$K$17,'Tax Assumptions'!$N$9:$N$17)+(W709-LOOKUP(W709,'Tax Assumptions'!$K$9:$K$17,'Tax Assumptions'!$K$9:$K$17))*LOOKUP(W709,'Tax Assumptions'!$K$9:$K$17,'Tax Assumptions'!$M$9:$M$17))+IF(W709=0,0,LOOKUP(W709,'Tax Assumptions'!$P$9:$P$12,'Tax Assumptions'!$S$9:$S$12)+(W709-LOOKUP(W709,'Tax Assumptions'!$P$9:$P$12,'Tax Assumptions'!$P$9:$P$12))*LOOKUP(W709,'Tax Assumptions'!$P$9:$P$12,'Tax Assumptions'!$R$9:$R$12))</f>
        <v>2055188.6349999998</v>
      </c>
      <c r="Y709" s="230">
        <f t="shared" si="405"/>
        <v>1970311.3650000002</v>
      </c>
      <c r="Z709" s="230">
        <f>IF(J709&lt;=10,INDEX('Savings Projection'!$BL$19:$BL$28,J709),LOOKUP(2,1/('Savings Projection'!$BL$19:$BL$28&lt;&gt;""),'Savings Projection'!$BL$19:$BL$28))*(1+'Model Inputs'!$B$35)^(J709-1)+IF(J709&lt;=10,INDEX('Savings Projection'!$BM$19:$BM$28,J709),LOOKUP(2,1/('Savings Projection'!$BM$19:$BM$28&lt;&gt;""),'Savings Projection'!$BM$19:$BM$28))*(1+'Model Inputs'!$B$36)^(J709-1)</f>
        <v>306353.51578121912</v>
      </c>
      <c r="AA709" s="230">
        <f t="shared" si="406"/>
        <v>1663957.8492187811</v>
      </c>
      <c r="AB709" s="230">
        <f>MIN(MAX(AA709,0),'Tax Assumptions'!$B$20)</f>
        <v>7500</v>
      </c>
      <c r="AC709" s="230">
        <f t="shared" si="407"/>
        <v>1656457.8492187811</v>
      </c>
      <c r="AD709" s="230">
        <f>MAX(AD708*(1+'Model Inputs'!$B$13)+AC709,0)</f>
        <v>101815939.08742753</v>
      </c>
      <c r="AE709" s="230">
        <f>MAX(AE708*(1+'Model Inputs'!$B$13)+U709+AB709,0)</f>
        <v>2529861.958887069</v>
      </c>
      <c r="AF709" s="230">
        <f t="shared" si="408"/>
        <v>104345801.0463146</v>
      </c>
      <c r="AG709" s="226" t="str">
        <f t="shared" si="394"/>
        <v/>
      </c>
      <c r="AH709" s="226" t="str">
        <f t="shared" si="395"/>
        <v/>
      </c>
      <c r="AI709" s="226" t="str">
        <f t="shared" si="396"/>
        <v/>
      </c>
      <c r="AJ709" s="226" t="str">
        <f t="shared" si="397"/>
        <v/>
      </c>
    </row>
    <row r="710" spans="1:36" ht="18" customHeight="1" x14ac:dyDescent="0.2">
      <c r="A710" s="226" t="str">
        <f t="shared" ref="A710:A739" si="409">$A$44</f>
        <v>5Y -&gt; PM Y8 Upside</v>
      </c>
      <c r="B710" s="226">
        <f t="shared" ref="B710:B739" si="410">$B$44</f>
        <v>5</v>
      </c>
      <c r="C710" s="235">
        <f t="shared" ref="C710:C739" si="411">$C$44</f>
        <v>3</v>
      </c>
      <c r="D710" s="226">
        <f t="shared" ref="D710:D739" si="412">$D$44</f>
        <v>8</v>
      </c>
      <c r="E710" s="226" t="str">
        <f t="shared" ref="E710:E739" si="413">$E$44</f>
        <v>Upside</v>
      </c>
      <c r="F710" s="230">
        <f t="shared" ref="F710:F739" si="414">$F$44</f>
        <v>50000000</v>
      </c>
      <c r="G710" s="236">
        <f t="shared" ref="G710:G739" si="415">$G$44</f>
        <v>0.2</v>
      </c>
      <c r="H710" s="230">
        <f t="shared" ref="H710:H739" si="416">$H$44</f>
        <v>300000</v>
      </c>
      <c r="I710" s="236">
        <f t="shared" si="399"/>
        <v>0</v>
      </c>
      <c r="J710" s="234">
        <v>1</v>
      </c>
      <c r="K710" s="234">
        <f t="shared" si="400"/>
        <v>2026</v>
      </c>
      <c r="L710" s="230">
        <f>IF(J710=1,'Model Inputs'!$B$25*(13-'Model Inputs'!$B$23)/12,'Model Inputs'!$B$25)</f>
        <v>100000</v>
      </c>
      <c r="M710" s="230">
        <f>IF(J710=1,'Model Inputs'!$B$27*(13-'Model Inputs'!$B$23)/12,IF(J710=2,'Model Inputs'!$B$27,IF(J710&lt;=MAX(3,'Model Inputs'!$B$30+1),'Model Inputs'!$B$27*(1+'Model Inputs'!$B$28)^(J710-3),'Model Inputs'!$B$27*(1+'Model Inputs'!$B$28)^(MAX(3,'Model Inputs'!$B$30+1)-3)*(1+'Model Inputs'!$B$29)^(J710-MAX(3,'Model Inputs'!$B$30+1)))))</f>
        <v>150000</v>
      </c>
      <c r="N710" s="236">
        <f>IF(J710&lt;=2,0,'Model Inputs'!$B$32*SIN(2*PI()*(J710-3+'Model Inputs'!$B$34)/MAX(1,'Model Inputs'!$B$33)))</f>
        <v>0</v>
      </c>
      <c r="O710" s="230">
        <f t="shared" si="401"/>
        <v>150000</v>
      </c>
      <c r="P710" s="230">
        <f>0</f>
        <v>0</v>
      </c>
      <c r="Q710" s="230">
        <f>L710+P710+IF(J710=1,'Model Inputs'!$B$26,0)</f>
        <v>550000</v>
      </c>
      <c r="R710" s="230">
        <f t="shared" si="402"/>
        <v>550000</v>
      </c>
      <c r="S710" s="230">
        <f t="shared" si="403"/>
        <v>10300000</v>
      </c>
      <c r="T710" s="230">
        <f t="shared" si="404"/>
        <v>550000</v>
      </c>
      <c r="U710" s="230">
        <f>MIN(T710,'Tax Assumptions'!$B$19)</f>
        <v>24500</v>
      </c>
      <c r="V710" s="230">
        <f>MAX(T710-U710-'Tax Assumptions'!$B$8,0)</f>
        <v>509400</v>
      </c>
      <c r="W710" s="230">
        <f>MAX(T710-U710-'Tax Assumptions'!$B$9,0)</f>
        <v>517500</v>
      </c>
      <c r="X710" s="230">
        <f>IF(V710=0,0,LOOKUP(V710,'Tax Assumptions'!$F$9:$F$15,'Tax Assumptions'!$I$9:$I$15)+(V710-LOOKUP(V710,'Tax Assumptions'!$F$9:$F$15,'Tax Assumptions'!$F$9:$F$15))*LOOKUP(V710,'Tax Assumptions'!$F$9:$F$15,'Tax Assumptions'!$H$9:$H$15))+MIN(MAX(T710,0),'Tax Assumptions'!$B$11)*'Tax Assumptions'!$B$10+MAX(T710,0)*'Tax Assumptions'!$B$12+MAX(MAX(T710,0)-'Tax Assumptions'!$B$14,0)*'Tax Assumptions'!$B$13+MIN(T710*'Tax Assumptions'!$B$15,'Tax Assumptions'!$B$16)+MIN(T710*'Tax Assumptions'!$B$17,'Tax Assumptions'!$B$18)+IF(W710=0,0,LOOKUP(W710,'Tax Assumptions'!$K$9:$K$17,'Tax Assumptions'!$N$9:$N$17)+(W710-LOOKUP(W710,'Tax Assumptions'!$K$9:$K$17,'Tax Assumptions'!$K$9:$K$17))*LOOKUP(W710,'Tax Assumptions'!$K$9:$K$17,'Tax Assumptions'!$M$9:$M$17))+IF(W710=0,0,LOOKUP(W710,'Tax Assumptions'!$P$9:$P$12,'Tax Assumptions'!$S$9:$S$12)+(W710-LOOKUP(W710,'Tax Assumptions'!$P$9:$P$12,'Tax Assumptions'!$P$9:$P$12))*LOOKUP(W710,'Tax Assumptions'!$P$9:$P$12,'Tax Assumptions'!$R$9:$R$12))</f>
        <v>222834.53000000003</v>
      </c>
      <c r="Y710" s="230">
        <f t="shared" si="405"/>
        <v>302665.46999999997</v>
      </c>
      <c r="Z710" s="230">
        <f>IF(J710&lt;=10,INDEX('Savings Projection'!$BL$19:$BL$28,J710),LOOKUP(2,1/('Savings Projection'!$BL$19:$BL$28&lt;&gt;""),'Savings Projection'!$BL$19:$BL$28))*(1+'Model Inputs'!$B$35)^(J710-1)+IF(J710&lt;=10,INDEX('Savings Projection'!$BM$19:$BM$28,J710),LOOKUP(2,1/('Savings Projection'!$BM$19:$BM$28&lt;&gt;""),'Savings Projection'!$BM$19:$BM$28))*(1+'Model Inputs'!$B$36)^(J710-1)</f>
        <v>118000</v>
      </c>
      <c r="AA710" s="230">
        <f t="shared" si="406"/>
        <v>184665.46999999997</v>
      </c>
      <c r="AB710" s="230">
        <f>MIN(MAX(AA710,0),'Tax Assumptions'!$B$20)</f>
        <v>7500</v>
      </c>
      <c r="AC710" s="230">
        <f t="shared" si="407"/>
        <v>177165.46999999997</v>
      </c>
      <c r="AD710" s="230">
        <f>MAX('Model Inputs'!$B$7*(1+'Model Inputs'!$B$13)+AC710,0)</f>
        <v>336165.47</v>
      </c>
      <c r="AE710" s="230">
        <f>MAX(('Model Inputs'!$B$8+'Model Inputs'!$B$9+'Model Inputs'!$B$10)*(1+'Model Inputs'!$B$13)+U710+AB710,0)</f>
        <v>32000</v>
      </c>
      <c r="AF710" s="230">
        <f t="shared" si="408"/>
        <v>368165.47</v>
      </c>
      <c r="AG710" s="226" t="str">
        <f>IF(AND(AF710&gt;=$F$14,0&lt;$F$14),J710,"")</f>
        <v/>
      </c>
      <c r="AH710" s="226" t="str">
        <f>IF(AND(AF710&gt;=$F$15,0&lt;$F$15),J710,"")</f>
        <v/>
      </c>
      <c r="AI710" s="226" t="str">
        <f>IF(AND(AF710&gt;=$F$16,0&lt;$F$16),J710,"")</f>
        <v/>
      </c>
      <c r="AJ710" s="226" t="str">
        <f>IF(AND(AF710&gt;=$F$17,0&lt;$F$17),J710,"")</f>
        <v/>
      </c>
    </row>
    <row r="711" spans="1:36" ht="18" customHeight="1" x14ac:dyDescent="0.2">
      <c r="A711" s="226" t="str">
        <f t="shared" si="409"/>
        <v>5Y -&gt; PM Y8 Upside</v>
      </c>
      <c r="B711" s="226">
        <f t="shared" si="410"/>
        <v>5</v>
      </c>
      <c r="C711" s="235">
        <f t="shared" si="411"/>
        <v>3</v>
      </c>
      <c r="D711" s="226">
        <f t="shared" si="412"/>
        <v>8</v>
      </c>
      <c r="E711" s="226" t="str">
        <f t="shared" si="413"/>
        <v>Upside</v>
      </c>
      <c r="F711" s="230">
        <f t="shared" si="414"/>
        <v>50000000</v>
      </c>
      <c r="G711" s="236">
        <f t="shared" si="415"/>
        <v>0.2</v>
      </c>
      <c r="H711" s="230">
        <f t="shared" si="416"/>
        <v>300000</v>
      </c>
      <c r="I711" s="236">
        <f t="shared" si="399"/>
        <v>0</v>
      </c>
      <c r="J711" s="234">
        <v>2</v>
      </c>
      <c r="K711" s="234">
        <f t="shared" si="400"/>
        <v>2027</v>
      </c>
      <c r="L711" s="230">
        <f>IF(J711=1,'Model Inputs'!$B$25*(13-'Model Inputs'!$B$23)/12,'Model Inputs'!$B$25)</f>
        <v>300000</v>
      </c>
      <c r="M711" s="230">
        <f>IF(J711=1,'Model Inputs'!$B$27*(13-'Model Inputs'!$B$23)/12,IF(J711=2,'Model Inputs'!$B$27,IF(J711&lt;=MAX(3,'Model Inputs'!$B$30+1),'Model Inputs'!$B$27*(1+'Model Inputs'!$B$28)^(J711-3),'Model Inputs'!$B$27*(1+'Model Inputs'!$B$28)^(MAX(3,'Model Inputs'!$B$30+1)-3)*(1+'Model Inputs'!$B$29)^(J711-MAX(3,'Model Inputs'!$B$30+1)))))</f>
        <v>450000</v>
      </c>
      <c r="N711" s="236">
        <f>IF(J711&lt;=2,0,'Model Inputs'!$B$32*SIN(2*PI()*(J711-3+'Model Inputs'!$B$34)/MAX(1,'Model Inputs'!$B$33)))</f>
        <v>0</v>
      </c>
      <c r="O711" s="230">
        <f t="shared" si="401"/>
        <v>450000</v>
      </c>
      <c r="P711" s="230">
        <f>0.75*O710</f>
        <v>112500</v>
      </c>
      <c r="Q711" s="230">
        <f>L711+P711+IF(J711=1,'Model Inputs'!$B$26,0)</f>
        <v>412500</v>
      </c>
      <c r="R711" s="230">
        <f t="shared" si="402"/>
        <v>412500</v>
      </c>
      <c r="S711" s="230">
        <f t="shared" si="403"/>
        <v>10300000</v>
      </c>
      <c r="T711" s="230">
        <f t="shared" si="404"/>
        <v>412500</v>
      </c>
      <c r="U711" s="230">
        <f>MIN(T711,'Tax Assumptions'!$B$19)</f>
        <v>24500</v>
      </c>
      <c r="V711" s="230">
        <f>MAX(T711-U711-'Tax Assumptions'!$B$8,0)</f>
        <v>371900</v>
      </c>
      <c r="W711" s="230">
        <f>MAX(T711-U711-'Tax Assumptions'!$B$9,0)</f>
        <v>380000</v>
      </c>
      <c r="X711" s="230">
        <f>IF(V711=0,0,LOOKUP(V711,'Tax Assumptions'!$F$9:$F$15,'Tax Assumptions'!$I$9:$I$15)+(V711-LOOKUP(V711,'Tax Assumptions'!$F$9:$F$15,'Tax Assumptions'!$F$9:$F$15))*LOOKUP(V711,'Tax Assumptions'!$F$9:$F$15,'Tax Assumptions'!$H$9:$H$15))+MIN(MAX(T711,0),'Tax Assumptions'!$B$11)*'Tax Assumptions'!$B$10+MAX(T711,0)*'Tax Assumptions'!$B$12+MAX(MAX(T711,0)-'Tax Assumptions'!$B$14,0)*'Tax Assumptions'!$B$13+MIN(T711*'Tax Assumptions'!$B$15,'Tax Assumptions'!$B$16)+MIN(T711*'Tax Assumptions'!$B$17,'Tax Assumptions'!$B$18)+IF(W711=0,0,LOOKUP(W711,'Tax Assumptions'!$K$9:$K$17,'Tax Assumptions'!$N$9:$N$17)+(W711-LOOKUP(W711,'Tax Assumptions'!$K$9:$K$17,'Tax Assumptions'!$K$9:$K$17))*LOOKUP(W711,'Tax Assumptions'!$K$9:$K$17,'Tax Assumptions'!$M$9:$M$17))+IF(W711=0,0,LOOKUP(W711,'Tax Assumptions'!$P$9:$P$12,'Tax Assumptions'!$S$9:$S$12)+(W711-LOOKUP(W711,'Tax Assumptions'!$P$9:$P$12,'Tax Assumptions'!$P$9:$P$12))*LOOKUP(W711,'Tax Assumptions'!$P$9:$P$12,'Tax Assumptions'!$R$9:$R$12))</f>
        <v>156730.03</v>
      </c>
      <c r="Y711" s="230">
        <f t="shared" si="405"/>
        <v>231269.97</v>
      </c>
      <c r="Z711" s="230">
        <f>IF(J711&lt;=10,INDEX('Savings Projection'!$BL$19:$BL$28,J711),LOOKUP(2,1/('Savings Projection'!$BL$19:$BL$28&lt;&gt;""),'Savings Projection'!$BL$19:$BL$28))*(1+'Model Inputs'!$B$35)^(J711-1)+IF(J711&lt;=10,INDEX('Savings Projection'!$BM$19:$BM$28,J711),LOOKUP(2,1/('Savings Projection'!$BM$19:$BM$28&lt;&gt;""),'Savings Projection'!$BM$19:$BM$28))*(1+'Model Inputs'!$B$36)^(J711-1)</f>
        <v>121540</v>
      </c>
      <c r="AA711" s="230">
        <f t="shared" si="406"/>
        <v>109729.97</v>
      </c>
      <c r="AB711" s="230">
        <f>MIN(MAX(AA711,0),'Tax Assumptions'!$B$20)</f>
        <v>7500</v>
      </c>
      <c r="AC711" s="230">
        <f t="shared" si="407"/>
        <v>102229.97</v>
      </c>
      <c r="AD711" s="230">
        <f>MAX(AD710*(1+'Model Inputs'!$B$13)+AC711,0)</f>
        <v>458565.36820000003</v>
      </c>
      <c r="AE711" s="230">
        <f>MAX(AE710*(1+'Model Inputs'!$B$13)+U711+AB711,0)</f>
        <v>65920</v>
      </c>
      <c r="AF711" s="230">
        <f t="shared" si="408"/>
        <v>524485.36820000003</v>
      </c>
      <c r="AG711" s="226" t="str">
        <f t="shared" ref="AG711:AG739" si="417">IF(AND(AF711&gt;=$F$14,AF710&lt;$F$14),J711,"")</f>
        <v/>
      </c>
      <c r="AH711" s="226" t="str">
        <f t="shared" ref="AH711:AH739" si="418">IF(AND(AF711&gt;=$F$15,AF710&lt;$F$15),J711,"")</f>
        <v/>
      </c>
      <c r="AI711" s="226" t="str">
        <f t="shared" ref="AI711:AI739" si="419">IF(AND(AF711&gt;=$F$16,AF710&lt;$F$16),J711,"")</f>
        <v/>
      </c>
      <c r="AJ711" s="226" t="str">
        <f t="shared" ref="AJ711:AJ739" si="420">IF(AND(AF711&gt;=$F$17,AF710&lt;$F$17),J711,"")</f>
        <v/>
      </c>
    </row>
    <row r="712" spans="1:36" ht="18" customHeight="1" x14ac:dyDescent="0.2">
      <c r="A712" s="226" t="str">
        <f t="shared" si="409"/>
        <v>5Y -&gt; PM Y8 Upside</v>
      </c>
      <c r="B712" s="226">
        <f t="shared" si="410"/>
        <v>5</v>
      </c>
      <c r="C712" s="235">
        <f t="shared" si="411"/>
        <v>3</v>
      </c>
      <c r="D712" s="226">
        <f t="shared" si="412"/>
        <v>8</v>
      </c>
      <c r="E712" s="226" t="str">
        <f t="shared" si="413"/>
        <v>Upside</v>
      </c>
      <c r="F712" s="230">
        <f t="shared" si="414"/>
        <v>50000000</v>
      </c>
      <c r="G712" s="236">
        <f t="shared" si="415"/>
        <v>0.2</v>
      </c>
      <c r="H712" s="230">
        <f t="shared" si="416"/>
        <v>300000</v>
      </c>
      <c r="I712" s="236">
        <f t="shared" si="399"/>
        <v>0</v>
      </c>
      <c r="J712" s="234">
        <v>3</v>
      </c>
      <c r="K712" s="234">
        <f t="shared" si="400"/>
        <v>2028</v>
      </c>
      <c r="L712" s="230">
        <f>IF(J712=1,'Model Inputs'!$B$25*(13-'Model Inputs'!$B$23)/12,'Model Inputs'!$B$25)</f>
        <v>300000</v>
      </c>
      <c r="M712" s="230">
        <f>IF(J712=1,'Model Inputs'!$B$27*(13-'Model Inputs'!$B$23)/12,IF(J712=2,'Model Inputs'!$B$27,IF(J712&lt;=MAX(3,'Model Inputs'!$B$30+1),'Model Inputs'!$B$27*(1+'Model Inputs'!$B$28)^(J712-3),'Model Inputs'!$B$27*(1+'Model Inputs'!$B$28)^(MAX(3,'Model Inputs'!$B$30+1)-3)*(1+'Model Inputs'!$B$29)^(J712-MAX(3,'Model Inputs'!$B$30+1)))))</f>
        <v>450000</v>
      </c>
      <c r="N712" s="236">
        <f>IF(J712&lt;=2,0,'Model Inputs'!$B$32*SIN(2*PI()*(J712-3+'Model Inputs'!$B$34)/MAX(1,'Model Inputs'!$B$33)))</f>
        <v>0</v>
      </c>
      <c r="O712" s="230">
        <f t="shared" si="401"/>
        <v>450000</v>
      </c>
      <c r="P712" s="230">
        <f t="shared" ref="P712:P739" si="421">0.75*O711+0.25*O710</f>
        <v>375000</v>
      </c>
      <c r="Q712" s="230">
        <f>L712+P712+IF(J712=1,'Model Inputs'!$B$26,0)</f>
        <v>675000</v>
      </c>
      <c r="R712" s="230">
        <f t="shared" si="402"/>
        <v>675000</v>
      </c>
      <c r="S712" s="230">
        <f t="shared" si="403"/>
        <v>10300000</v>
      </c>
      <c r="T712" s="230">
        <f t="shared" si="404"/>
        <v>675000</v>
      </c>
      <c r="U712" s="230">
        <f>MIN(T712,'Tax Assumptions'!$B$19)</f>
        <v>24500</v>
      </c>
      <c r="V712" s="230">
        <f>MAX(T712-U712-'Tax Assumptions'!$B$8,0)</f>
        <v>634400</v>
      </c>
      <c r="W712" s="230">
        <f>MAX(T712-U712-'Tax Assumptions'!$B$9,0)</f>
        <v>642500</v>
      </c>
      <c r="X712" s="230">
        <f>IF(V712=0,0,LOOKUP(V712,'Tax Assumptions'!$F$9:$F$15,'Tax Assumptions'!$I$9:$I$15)+(V712-LOOKUP(V712,'Tax Assumptions'!$F$9:$F$15,'Tax Assumptions'!$F$9:$F$15))*LOOKUP(V712,'Tax Assumptions'!$F$9:$F$15,'Tax Assumptions'!$H$9:$H$15))+MIN(MAX(T712,0),'Tax Assumptions'!$B$11)*'Tax Assumptions'!$B$10+MAX(T712,0)*'Tax Assumptions'!$B$12+MAX(MAX(T712,0)-'Tax Assumptions'!$B$14,0)*'Tax Assumptions'!$B$13+MIN(T712*'Tax Assumptions'!$B$15,'Tax Assumptions'!$B$16)+MIN(T712*'Tax Assumptions'!$B$17,'Tax Assumptions'!$B$18)+IF(W712=0,0,LOOKUP(W712,'Tax Assumptions'!$K$9:$K$17,'Tax Assumptions'!$N$9:$N$17)+(W712-LOOKUP(W712,'Tax Assumptions'!$K$9:$K$17,'Tax Assumptions'!$K$9:$K$17))*LOOKUP(W712,'Tax Assumptions'!$K$9:$K$17,'Tax Assumptions'!$M$9:$M$17))+IF(W712=0,0,LOOKUP(W712,'Tax Assumptions'!$P$9:$P$12,'Tax Assumptions'!$S$9:$S$12)+(W712-LOOKUP(W712,'Tax Assumptions'!$P$9:$P$12,'Tax Assumptions'!$P$9:$P$12))*LOOKUP(W712,'Tax Assumptions'!$P$9:$P$12,'Tax Assumptions'!$R$9:$R$12))</f>
        <v>282929.53000000003</v>
      </c>
      <c r="Y712" s="230">
        <f t="shared" si="405"/>
        <v>367570.47</v>
      </c>
      <c r="Z712" s="230">
        <f>IF(J712&lt;=10,INDEX('Savings Projection'!$BL$19:$BL$28,J712),LOOKUP(2,1/('Savings Projection'!$BL$19:$BL$28&lt;&gt;""),'Savings Projection'!$BL$19:$BL$28))*(1+'Model Inputs'!$B$35)^(J712-1)+IF(J712&lt;=10,INDEX('Savings Projection'!$BM$19:$BM$28,J712),LOOKUP(2,1/('Savings Projection'!$BM$19:$BM$28&lt;&gt;""),'Savings Projection'!$BM$19:$BM$28))*(1+'Model Inputs'!$B$36)^(J712-1)</f>
        <v>135795.20000000001</v>
      </c>
      <c r="AA712" s="230">
        <f t="shared" si="406"/>
        <v>231775.26999999996</v>
      </c>
      <c r="AB712" s="230">
        <f>MIN(MAX(AA712,0),'Tax Assumptions'!$B$20)</f>
        <v>7500</v>
      </c>
      <c r="AC712" s="230">
        <f t="shared" si="407"/>
        <v>224275.26999999996</v>
      </c>
      <c r="AD712" s="230">
        <f>MAX(AD711*(1+'Model Inputs'!$B$13)+AC712,0)</f>
        <v>710354.56029199995</v>
      </c>
      <c r="AE712" s="230">
        <f>MAX(AE711*(1+'Model Inputs'!$B$13)+U712+AB712,0)</f>
        <v>101875.2</v>
      </c>
      <c r="AF712" s="230">
        <f t="shared" si="408"/>
        <v>812229.7602919999</v>
      </c>
      <c r="AG712" s="226" t="str">
        <f t="shared" si="417"/>
        <v/>
      </c>
      <c r="AH712" s="226" t="str">
        <f t="shared" si="418"/>
        <v/>
      </c>
      <c r="AI712" s="226" t="str">
        <f t="shared" si="419"/>
        <v/>
      </c>
      <c r="AJ712" s="226" t="str">
        <f t="shared" si="420"/>
        <v/>
      </c>
    </row>
    <row r="713" spans="1:36" ht="18" customHeight="1" x14ac:dyDescent="0.2">
      <c r="A713" s="226" t="str">
        <f t="shared" si="409"/>
        <v>5Y -&gt; PM Y8 Upside</v>
      </c>
      <c r="B713" s="226">
        <f t="shared" si="410"/>
        <v>5</v>
      </c>
      <c r="C713" s="235">
        <f t="shared" si="411"/>
        <v>3</v>
      </c>
      <c r="D713" s="226">
        <f t="shared" si="412"/>
        <v>8</v>
      </c>
      <c r="E713" s="226" t="str">
        <f t="shared" si="413"/>
        <v>Upside</v>
      </c>
      <c r="F713" s="230">
        <f t="shared" si="414"/>
        <v>50000000</v>
      </c>
      <c r="G713" s="236">
        <f t="shared" si="415"/>
        <v>0.2</v>
      </c>
      <c r="H713" s="230">
        <f t="shared" si="416"/>
        <v>300000</v>
      </c>
      <c r="I713" s="236">
        <f t="shared" si="399"/>
        <v>0</v>
      </c>
      <c r="J713" s="234">
        <v>4</v>
      </c>
      <c r="K713" s="234">
        <f t="shared" si="400"/>
        <v>2029</v>
      </c>
      <c r="L713" s="230">
        <f>IF(J713=1,'Model Inputs'!$B$25*(13-'Model Inputs'!$B$23)/12,'Model Inputs'!$B$25)</f>
        <v>300000</v>
      </c>
      <c r="M713" s="230">
        <f>IF(J713=1,'Model Inputs'!$B$27*(13-'Model Inputs'!$B$23)/12,IF(J713=2,'Model Inputs'!$B$27,IF(J713&lt;=MAX(3,'Model Inputs'!$B$30+1),'Model Inputs'!$B$27*(1+'Model Inputs'!$B$28)^(J713-3),'Model Inputs'!$B$27*(1+'Model Inputs'!$B$28)^(MAX(3,'Model Inputs'!$B$30+1)-3)*(1+'Model Inputs'!$B$29)^(J713-MAX(3,'Model Inputs'!$B$30+1)))))</f>
        <v>653834.84153110103</v>
      </c>
      <c r="N713" s="236">
        <f>IF(J713&lt;=2,0,'Model Inputs'!$B$32*SIN(2*PI()*(J713-3+'Model Inputs'!$B$34)/MAX(1,'Model Inputs'!$B$33)))</f>
        <v>0.10392304845413264</v>
      </c>
      <c r="O713" s="230">
        <f t="shared" si="401"/>
        <v>721783.35144853778</v>
      </c>
      <c r="P713" s="230">
        <f t="shared" si="421"/>
        <v>450000</v>
      </c>
      <c r="Q713" s="230">
        <f>L713+P713+IF(J713=1,'Model Inputs'!$B$26,0)</f>
        <v>750000</v>
      </c>
      <c r="R713" s="230">
        <f t="shared" si="402"/>
        <v>750000</v>
      </c>
      <c r="S713" s="230">
        <f t="shared" si="403"/>
        <v>10300000</v>
      </c>
      <c r="T713" s="230">
        <f t="shared" si="404"/>
        <v>750000</v>
      </c>
      <c r="U713" s="230">
        <f>MIN(T713,'Tax Assumptions'!$B$19)</f>
        <v>24500</v>
      </c>
      <c r="V713" s="230">
        <f>MAX(T713-U713-'Tax Assumptions'!$B$8,0)</f>
        <v>709400</v>
      </c>
      <c r="W713" s="230">
        <f>MAX(T713-U713-'Tax Assumptions'!$B$9,0)</f>
        <v>717500</v>
      </c>
      <c r="X713" s="230">
        <f>IF(V713=0,0,LOOKUP(V713,'Tax Assumptions'!$F$9:$F$15,'Tax Assumptions'!$I$9:$I$15)+(V713-LOOKUP(V713,'Tax Assumptions'!$F$9:$F$15,'Tax Assumptions'!$F$9:$F$15))*LOOKUP(V713,'Tax Assumptions'!$F$9:$F$15,'Tax Assumptions'!$H$9:$H$15))+MIN(MAX(T713,0),'Tax Assumptions'!$B$11)*'Tax Assumptions'!$B$10+MAX(T713,0)*'Tax Assumptions'!$B$12+MAX(MAX(T713,0)-'Tax Assumptions'!$B$14,0)*'Tax Assumptions'!$B$13+MIN(T713*'Tax Assumptions'!$B$15,'Tax Assumptions'!$B$16)+MIN(T713*'Tax Assumptions'!$B$17,'Tax Assumptions'!$B$18)+IF(W713=0,0,LOOKUP(W713,'Tax Assumptions'!$K$9:$K$17,'Tax Assumptions'!$N$9:$N$17)+(W713-LOOKUP(W713,'Tax Assumptions'!$K$9:$K$17,'Tax Assumptions'!$K$9:$K$17))*LOOKUP(W713,'Tax Assumptions'!$K$9:$K$17,'Tax Assumptions'!$M$9:$M$17))+IF(W713=0,0,LOOKUP(W713,'Tax Assumptions'!$P$9:$P$12,'Tax Assumptions'!$S$9:$S$12)+(W713-LOOKUP(W713,'Tax Assumptions'!$P$9:$P$12,'Tax Assumptions'!$P$9:$P$12))*LOOKUP(W713,'Tax Assumptions'!$P$9:$P$12,'Tax Assumptions'!$R$9:$R$12))</f>
        <v>320362.53000000003</v>
      </c>
      <c r="Y713" s="230">
        <f t="shared" si="405"/>
        <v>405137.47</v>
      </c>
      <c r="Z713" s="230">
        <f>IF(J713&lt;=10,INDEX('Savings Projection'!$BL$19:$BL$28,J713),LOOKUP(2,1/('Savings Projection'!$BL$19:$BL$28&lt;&gt;""),'Savings Projection'!$BL$19:$BL$28))*(1+'Model Inputs'!$B$35)^(J713-1)+IF(J713&lt;=10,INDEX('Savings Projection'!$BM$19:$BM$28,J713),LOOKUP(2,1/('Savings Projection'!$BM$19:$BM$28&lt;&gt;""),'Savings Projection'!$BM$19:$BM$28))*(1+'Model Inputs'!$B$36)^(J713-1)</f>
        <v>139869.05600000001</v>
      </c>
      <c r="AA713" s="230">
        <f t="shared" si="406"/>
        <v>265268.41399999999</v>
      </c>
      <c r="AB713" s="230">
        <f>MIN(MAX(AA713,0),'Tax Assumptions'!$B$20)</f>
        <v>7500</v>
      </c>
      <c r="AC713" s="230">
        <f t="shared" si="407"/>
        <v>257768.41399999999</v>
      </c>
      <c r="AD713" s="230">
        <f>MAX(AD712*(1+'Model Inputs'!$B$13)+AC713,0)</f>
        <v>1010744.2479095199</v>
      </c>
      <c r="AE713" s="230">
        <f>MAX(AE712*(1+'Model Inputs'!$B$13)+U713+AB713,0)</f>
        <v>139987.712</v>
      </c>
      <c r="AF713" s="230">
        <f t="shared" si="408"/>
        <v>1150731.9599095199</v>
      </c>
      <c r="AG713" s="226" t="str">
        <f t="shared" si="417"/>
        <v/>
      </c>
      <c r="AH713" s="226" t="str">
        <f t="shared" si="418"/>
        <v/>
      </c>
      <c r="AI713" s="226" t="str">
        <f t="shared" si="419"/>
        <v/>
      </c>
      <c r="AJ713" s="226" t="str">
        <f t="shared" si="420"/>
        <v/>
      </c>
    </row>
    <row r="714" spans="1:36" ht="18" customHeight="1" x14ac:dyDescent="0.2">
      <c r="A714" s="226" t="str">
        <f t="shared" si="409"/>
        <v>5Y -&gt; PM Y8 Upside</v>
      </c>
      <c r="B714" s="226">
        <f t="shared" si="410"/>
        <v>5</v>
      </c>
      <c r="C714" s="235">
        <f t="shared" si="411"/>
        <v>3</v>
      </c>
      <c r="D714" s="226">
        <f t="shared" si="412"/>
        <v>8</v>
      </c>
      <c r="E714" s="226" t="str">
        <f t="shared" si="413"/>
        <v>Upside</v>
      </c>
      <c r="F714" s="230">
        <f t="shared" si="414"/>
        <v>50000000</v>
      </c>
      <c r="G714" s="236">
        <f t="shared" si="415"/>
        <v>0.2</v>
      </c>
      <c r="H714" s="230">
        <f t="shared" si="416"/>
        <v>300000</v>
      </c>
      <c r="I714" s="236">
        <f t="shared" si="399"/>
        <v>0</v>
      </c>
      <c r="J714" s="234">
        <v>5</v>
      </c>
      <c r="K714" s="234">
        <f t="shared" si="400"/>
        <v>2030</v>
      </c>
      <c r="L714" s="230">
        <f>IF(J714=1,'Model Inputs'!$B$25*(13-'Model Inputs'!$B$23)/12,'Model Inputs'!$B$25)</f>
        <v>300000</v>
      </c>
      <c r="M714" s="230">
        <f>IF(J714=1,'Model Inputs'!$B$27*(13-'Model Inputs'!$B$23)/12,IF(J714=2,'Model Inputs'!$B$27,IF(J714&lt;=MAX(3,'Model Inputs'!$B$30+1),'Model Inputs'!$B$27*(1+'Model Inputs'!$B$28)^(J714-3),'Model Inputs'!$B$27*(1+'Model Inputs'!$B$28)^(MAX(3,'Model Inputs'!$B$30+1)-3)*(1+'Model Inputs'!$B$29)^(J714-MAX(3,'Model Inputs'!$B$30+1)))))</f>
        <v>950000</v>
      </c>
      <c r="N714" s="236">
        <f>IF(J714&lt;=2,0,'Model Inputs'!$B$32*SIN(2*PI()*(J714-3+'Model Inputs'!$B$34)/MAX(1,'Model Inputs'!$B$33)))</f>
        <v>-0.1039230484541326</v>
      </c>
      <c r="O714" s="230">
        <f t="shared" si="401"/>
        <v>851273.10396857408</v>
      </c>
      <c r="P714" s="230">
        <f t="shared" si="421"/>
        <v>653837.51358640334</v>
      </c>
      <c r="Q714" s="230">
        <f>L714+P714+IF(J714=1,'Model Inputs'!$B$26,0)</f>
        <v>953837.51358640334</v>
      </c>
      <c r="R714" s="230">
        <f t="shared" si="402"/>
        <v>953837.51358640334</v>
      </c>
      <c r="S714" s="230">
        <f t="shared" si="403"/>
        <v>10300000</v>
      </c>
      <c r="T714" s="230">
        <f t="shared" si="404"/>
        <v>953837.51358640334</v>
      </c>
      <c r="U714" s="230">
        <f>MIN(T714,'Tax Assumptions'!$B$19)</f>
        <v>24500</v>
      </c>
      <c r="V714" s="230">
        <f>MAX(T714-U714-'Tax Assumptions'!$B$8,0)</f>
        <v>913237.51358640334</v>
      </c>
      <c r="W714" s="230">
        <f>MAX(T714-U714-'Tax Assumptions'!$B$9,0)</f>
        <v>921337.51358640334</v>
      </c>
      <c r="X714" s="230">
        <f>IF(V714=0,0,LOOKUP(V714,'Tax Assumptions'!$F$9:$F$15,'Tax Assumptions'!$I$9:$I$15)+(V714-LOOKUP(V714,'Tax Assumptions'!$F$9:$F$15,'Tax Assumptions'!$F$9:$F$15))*LOOKUP(V714,'Tax Assumptions'!$F$9:$F$15,'Tax Assumptions'!$H$9:$H$15))+MIN(MAX(T714,0),'Tax Assumptions'!$B$11)*'Tax Assumptions'!$B$10+MAX(T714,0)*'Tax Assumptions'!$B$12+MAX(MAX(T714,0)-'Tax Assumptions'!$B$14,0)*'Tax Assumptions'!$B$13+MIN(T714*'Tax Assumptions'!$B$15,'Tax Assumptions'!$B$16)+MIN(T714*'Tax Assumptions'!$B$17,'Tax Assumptions'!$B$18)+IF(W714=0,0,LOOKUP(W714,'Tax Assumptions'!$K$9:$K$17,'Tax Assumptions'!$N$9:$N$17)+(W714-LOOKUP(W714,'Tax Assumptions'!$K$9:$K$17,'Tax Assumptions'!$K$9:$K$17))*LOOKUP(W714,'Tax Assumptions'!$K$9:$K$17,'Tax Assumptions'!$M$9:$M$17))+IF(W714=0,0,LOOKUP(W714,'Tax Assumptions'!$P$9:$P$12,'Tax Assumptions'!$S$9:$S$12)+(W714-LOOKUP(W714,'Tax Assumptions'!$P$9:$P$12,'Tax Assumptions'!$P$9:$P$12))*LOOKUP(W714,'Tax Assumptions'!$P$9:$P$12,'Tax Assumptions'!$R$9:$R$12))</f>
        <v>422436.20330352732</v>
      </c>
      <c r="Y714" s="230">
        <f t="shared" si="405"/>
        <v>506901.31028287602</v>
      </c>
      <c r="Z714" s="230">
        <f>IF(J714&lt;=10,INDEX('Savings Projection'!$BL$19:$BL$28,J714),LOOKUP(2,1/('Savings Projection'!$BL$19:$BL$28&lt;&gt;""),'Savings Projection'!$BL$19:$BL$28))*(1+'Model Inputs'!$B$35)^(J714-1)+IF(J714&lt;=10,INDEX('Savings Projection'!$BM$19:$BM$28,J714),LOOKUP(2,1/('Savings Projection'!$BM$19:$BM$28&lt;&gt;""),'Savings Projection'!$BM$19:$BM$28))*(1+'Model Inputs'!$B$36)^(J714-1)</f>
        <v>144065.12767999998</v>
      </c>
      <c r="AA714" s="230">
        <f t="shared" si="406"/>
        <v>362836.18260287604</v>
      </c>
      <c r="AB714" s="230">
        <f>MIN(MAX(AA714,0),'Tax Assumptions'!$B$20)</f>
        <v>7500</v>
      </c>
      <c r="AC714" s="230">
        <f t="shared" si="407"/>
        <v>355336.18260287604</v>
      </c>
      <c r="AD714" s="230">
        <f>MAX(AD713*(1+'Model Inputs'!$B$13)+AC714,0)</f>
        <v>1426725.0853869673</v>
      </c>
      <c r="AE714" s="230">
        <f>MAX(AE713*(1+'Model Inputs'!$B$13)+U714+AB714,0)</f>
        <v>180386.97472</v>
      </c>
      <c r="AF714" s="230">
        <f t="shared" si="408"/>
        <v>1607112.0601069673</v>
      </c>
      <c r="AG714" s="226" t="str">
        <f t="shared" si="417"/>
        <v/>
      </c>
      <c r="AH714" s="226" t="str">
        <f t="shared" si="418"/>
        <v/>
      </c>
      <c r="AI714" s="226" t="str">
        <f t="shared" si="419"/>
        <v/>
      </c>
      <c r="AJ714" s="226" t="str">
        <f t="shared" si="420"/>
        <v/>
      </c>
    </row>
    <row r="715" spans="1:36" ht="18" customHeight="1" x14ac:dyDescent="0.2">
      <c r="A715" s="226" t="str">
        <f t="shared" si="409"/>
        <v>5Y -&gt; PM Y8 Upside</v>
      </c>
      <c r="B715" s="226">
        <f t="shared" si="410"/>
        <v>5</v>
      </c>
      <c r="C715" s="235">
        <f t="shared" si="411"/>
        <v>3</v>
      </c>
      <c r="D715" s="226">
        <f t="shared" si="412"/>
        <v>8</v>
      </c>
      <c r="E715" s="226" t="str">
        <f t="shared" si="413"/>
        <v>Upside</v>
      </c>
      <c r="F715" s="230">
        <f t="shared" si="414"/>
        <v>50000000</v>
      </c>
      <c r="G715" s="236">
        <f t="shared" si="415"/>
        <v>0.2</v>
      </c>
      <c r="H715" s="230">
        <f t="shared" si="416"/>
        <v>300000</v>
      </c>
      <c r="I715" s="236">
        <f t="shared" si="399"/>
        <v>0</v>
      </c>
      <c r="J715" s="234">
        <v>6</v>
      </c>
      <c r="K715" s="234">
        <f t="shared" si="400"/>
        <v>2031</v>
      </c>
      <c r="L715" s="230">
        <f>IF(J715=1,'Model Inputs'!$B$25*(13-'Model Inputs'!$B$23)/12,'Model Inputs'!$B$25)</f>
        <v>300000</v>
      </c>
      <c r="M715" s="230">
        <f>IF(J715=1,'Model Inputs'!$B$27*(13-'Model Inputs'!$B$23)/12,IF(J715=2,'Model Inputs'!$B$27,IF(J715&lt;=MAX(3,'Model Inputs'!$B$30+1),'Model Inputs'!$B$27*(1+'Model Inputs'!$B$28)^(J715-3),'Model Inputs'!$B$27*(1+'Model Inputs'!$B$28)^(MAX(3,'Model Inputs'!$B$30+1)-3)*(1+'Model Inputs'!$B$29)^(J715-MAX(3,'Model Inputs'!$B$30+1)))))</f>
        <v>1207333.5632986501</v>
      </c>
      <c r="N715" s="236">
        <f>IF(J715&lt;=2,0,'Model Inputs'!$B$32*SIN(2*PI()*(J715-3+'Model Inputs'!$B$34)/MAX(1,'Model Inputs'!$B$33)))</f>
        <v>-2.9391523179536474E-17</v>
      </c>
      <c r="O715" s="230">
        <f t="shared" si="401"/>
        <v>1207333.5632986501</v>
      </c>
      <c r="P715" s="230">
        <f t="shared" si="421"/>
        <v>818900.66583856498</v>
      </c>
      <c r="Q715" s="230">
        <f>L715+P715+IF(J715=1,'Model Inputs'!$B$26,0)</f>
        <v>1118900.665838565</v>
      </c>
      <c r="R715" s="230">
        <f t="shared" si="402"/>
        <v>3356701.9975156952</v>
      </c>
      <c r="S715" s="230">
        <f t="shared" si="403"/>
        <v>10300000</v>
      </c>
      <c r="T715" s="230">
        <f t="shared" si="404"/>
        <v>3356701.9975156952</v>
      </c>
      <c r="U715" s="230">
        <f>MIN(T715,'Tax Assumptions'!$B$19)</f>
        <v>24500</v>
      </c>
      <c r="V715" s="230">
        <f>MAX(T715-U715-'Tax Assumptions'!$B$8,0)</f>
        <v>3316101.9975156952</v>
      </c>
      <c r="W715" s="230">
        <f>MAX(T715-U715-'Tax Assumptions'!$B$9,0)</f>
        <v>3324201.9975156952</v>
      </c>
      <c r="X715" s="230">
        <f>IF(V715=0,0,LOOKUP(V715,'Tax Assumptions'!$F$9:$F$15,'Tax Assumptions'!$I$9:$I$15)+(V715-LOOKUP(V715,'Tax Assumptions'!$F$9:$F$15,'Tax Assumptions'!$F$9:$F$15))*LOOKUP(V715,'Tax Assumptions'!$F$9:$F$15,'Tax Assumptions'!$H$9:$H$15))+MIN(MAX(T715,0),'Tax Assumptions'!$B$11)*'Tax Assumptions'!$B$10+MAX(T715,0)*'Tax Assumptions'!$B$12+MAX(MAX(T715,0)-'Tax Assumptions'!$B$14,0)*'Tax Assumptions'!$B$13+MIN(T715*'Tax Assumptions'!$B$15,'Tax Assumptions'!$B$16)+MIN(T715*'Tax Assumptions'!$B$17,'Tax Assumptions'!$B$18)+IF(W715=0,0,LOOKUP(W715,'Tax Assumptions'!$K$9:$K$17,'Tax Assumptions'!$N$9:$N$17)+(W715-LOOKUP(W715,'Tax Assumptions'!$K$9:$K$17,'Tax Assumptions'!$K$9:$K$17))*LOOKUP(W715,'Tax Assumptions'!$K$9:$K$17,'Tax Assumptions'!$M$9:$M$17))+IF(W715=0,0,LOOKUP(W715,'Tax Assumptions'!$P$9:$P$12,'Tax Assumptions'!$S$9:$S$12)+(W715-LOOKUP(W715,'Tax Assumptions'!$P$9:$P$12,'Tax Assumptions'!$P$9:$P$12))*LOOKUP(W715,'Tax Assumptions'!$P$9:$P$12,'Tax Assumptions'!$R$9:$R$12))</f>
        <v>1688600.3832063989</v>
      </c>
      <c r="Y715" s="230">
        <f t="shared" si="405"/>
        <v>1643601.6143092962</v>
      </c>
      <c r="Z715" s="230">
        <f>IF(J715&lt;=10,INDEX('Savings Projection'!$BL$19:$BL$28,J715),LOOKUP(2,1/('Savings Projection'!$BL$19:$BL$28&lt;&gt;""),'Savings Projection'!$BL$19:$BL$28))*(1+'Model Inputs'!$B$35)^(J715-1)+IF(J715&lt;=10,INDEX('Savings Projection'!$BM$19:$BM$28,J715),LOOKUP(2,1/('Savings Projection'!$BM$19:$BM$28&lt;&gt;""),'Savings Projection'!$BM$19:$BM$28))*(1+'Model Inputs'!$B$36)^(J715-1)</f>
        <v>150705.62965899997</v>
      </c>
      <c r="AA715" s="230">
        <f t="shared" si="406"/>
        <v>1492895.9846502962</v>
      </c>
      <c r="AB715" s="230">
        <f>MIN(MAX(AA715,0),'Tax Assumptions'!$B$20)</f>
        <v>7500</v>
      </c>
      <c r="AC715" s="230">
        <f t="shared" si="407"/>
        <v>1485395.9846502962</v>
      </c>
      <c r="AD715" s="230">
        <f>MAX(AD714*(1+'Model Inputs'!$B$13)+AC715,0)</f>
        <v>2997724.5751604815</v>
      </c>
      <c r="AE715" s="230">
        <f>MAX(AE714*(1+'Model Inputs'!$B$13)+U715+AB715,0)</f>
        <v>223210.1932032</v>
      </c>
      <c r="AF715" s="230">
        <f t="shared" si="408"/>
        <v>3220934.7683636816</v>
      </c>
      <c r="AG715" s="226" t="str">
        <f t="shared" si="417"/>
        <v/>
      </c>
      <c r="AH715" s="226" t="str">
        <f t="shared" si="418"/>
        <v/>
      </c>
      <c r="AI715" s="226" t="str">
        <f t="shared" si="419"/>
        <v/>
      </c>
      <c r="AJ715" s="226" t="str">
        <f t="shared" si="420"/>
        <v/>
      </c>
    </row>
    <row r="716" spans="1:36" ht="18" customHeight="1" x14ac:dyDescent="0.2">
      <c r="A716" s="226" t="str">
        <f t="shared" si="409"/>
        <v>5Y -&gt; PM Y8 Upside</v>
      </c>
      <c r="B716" s="226">
        <f t="shared" si="410"/>
        <v>5</v>
      </c>
      <c r="C716" s="235">
        <f t="shared" si="411"/>
        <v>3</v>
      </c>
      <c r="D716" s="226">
        <f t="shared" si="412"/>
        <v>8</v>
      </c>
      <c r="E716" s="226" t="str">
        <f t="shared" si="413"/>
        <v>Upside</v>
      </c>
      <c r="F716" s="230">
        <f t="shared" si="414"/>
        <v>50000000</v>
      </c>
      <c r="G716" s="236">
        <f t="shared" si="415"/>
        <v>0.2</v>
      </c>
      <c r="H716" s="230">
        <f t="shared" si="416"/>
        <v>300000</v>
      </c>
      <c r="I716" s="236">
        <f t="shared" si="399"/>
        <v>0</v>
      </c>
      <c r="J716" s="234">
        <v>7</v>
      </c>
      <c r="K716" s="234">
        <f t="shared" si="400"/>
        <v>2032</v>
      </c>
      <c r="L716" s="230">
        <f>IF(J716=1,'Model Inputs'!$B$25*(13-'Model Inputs'!$B$23)/12,'Model Inputs'!$B$25)</f>
        <v>300000</v>
      </c>
      <c r="M716" s="230">
        <f>IF(J716=1,'Model Inputs'!$B$27*(13-'Model Inputs'!$B$23)/12,IF(J716=2,'Model Inputs'!$B$27,IF(J716&lt;=MAX(3,'Model Inputs'!$B$30+1),'Model Inputs'!$B$27*(1+'Model Inputs'!$B$28)^(J716-3),'Model Inputs'!$B$27*(1+'Model Inputs'!$B$28)^(MAX(3,'Model Inputs'!$B$30+1)-3)*(1+'Model Inputs'!$B$29)^(J716-MAX(3,'Model Inputs'!$B$30+1)))))</f>
        <v>1534372.9821762268</v>
      </c>
      <c r="N716" s="236">
        <f>IF(J716&lt;=2,0,'Model Inputs'!$B$32*SIN(2*PI()*(J716-3+'Model Inputs'!$B$34)/MAX(1,'Model Inputs'!$B$33)))</f>
        <v>0.10392304845413269</v>
      </c>
      <c r="O716" s="230">
        <f t="shared" si="401"/>
        <v>1693829.6999496389</v>
      </c>
      <c r="P716" s="230">
        <f t="shared" si="421"/>
        <v>1118318.448466131</v>
      </c>
      <c r="Q716" s="230">
        <f>L716+P716+IF(J716=1,'Model Inputs'!$B$26,0)</f>
        <v>1418318.448466131</v>
      </c>
      <c r="R716" s="230">
        <f t="shared" si="402"/>
        <v>4254955.3453983925</v>
      </c>
      <c r="S716" s="230">
        <f t="shared" si="403"/>
        <v>10300000</v>
      </c>
      <c r="T716" s="230">
        <f t="shared" si="404"/>
        <v>4254955.3453983925</v>
      </c>
      <c r="U716" s="230">
        <f>MIN(T716,'Tax Assumptions'!$B$19)</f>
        <v>24500</v>
      </c>
      <c r="V716" s="230">
        <f>MAX(T716-U716-'Tax Assumptions'!$B$8,0)</f>
        <v>4214355.3453983925</v>
      </c>
      <c r="W716" s="230">
        <f>MAX(T716-U716-'Tax Assumptions'!$B$9,0)</f>
        <v>4222455.3453983925</v>
      </c>
      <c r="X716" s="230">
        <f>IF(V716=0,0,LOOKUP(V716,'Tax Assumptions'!$F$9:$F$15,'Tax Assumptions'!$I$9:$I$15)+(V716-LOOKUP(V716,'Tax Assumptions'!$F$9:$F$15,'Tax Assumptions'!$F$9:$F$15))*LOOKUP(V716,'Tax Assumptions'!$F$9:$F$15,'Tax Assumptions'!$H$9:$H$15))+MIN(MAX(T716,0),'Tax Assumptions'!$B$11)*'Tax Assumptions'!$B$10+MAX(T716,0)*'Tax Assumptions'!$B$12+MAX(MAX(T716,0)-'Tax Assumptions'!$B$14,0)*'Tax Assumptions'!$B$13+MIN(T716*'Tax Assumptions'!$B$15,'Tax Assumptions'!$B$16)+MIN(T716*'Tax Assumptions'!$B$17,'Tax Assumptions'!$B$18)+IF(W716=0,0,LOOKUP(W716,'Tax Assumptions'!$K$9:$K$17,'Tax Assumptions'!$N$9:$N$17)+(W716-LOOKUP(W716,'Tax Assumptions'!$K$9:$K$17,'Tax Assumptions'!$K$9:$K$17))*LOOKUP(W716,'Tax Assumptions'!$K$9:$K$17,'Tax Assumptions'!$M$9:$M$17))+IF(W716=0,0,LOOKUP(W716,'Tax Assumptions'!$P$9:$P$12,'Tax Assumptions'!$S$9:$S$12)+(W716-LOOKUP(W716,'Tax Assumptions'!$P$9:$P$12,'Tax Assumptions'!$P$9:$P$12))*LOOKUP(W716,'Tax Assumptions'!$P$9:$P$12,'Tax Assumptions'!$R$9:$R$12))</f>
        <v>2163560.8234328539</v>
      </c>
      <c r="Y716" s="230">
        <f t="shared" si="405"/>
        <v>2066894.5219655386</v>
      </c>
      <c r="Z716" s="230">
        <f>IF(J716&lt;=10,INDEX('Savings Projection'!$BL$19:$BL$28,J716),LOOKUP(2,1/('Savings Projection'!$BL$19:$BL$28&lt;&gt;""),'Savings Projection'!$BL$19:$BL$28))*(1+'Model Inputs'!$B$35)^(J716-1)+IF(J716&lt;=10,INDEX('Savings Projection'!$BM$19:$BM$28,J716),LOOKUP(2,1/('Savings Projection'!$BM$19:$BM$28&lt;&gt;""),'Savings Projection'!$BM$19:$BM$28))*(1+'Model Inputs'!$B$36)^(J716-1)</f>
        <v>155226.79854876999</v>
      </c>
      <c r="AA716" s="230">
        <f t="shared" si="406"/>
        <v>1911667.7234167687</v>
      </c>
      <c r="AB716" s="230">
        <f>MIN(MAX(AA716,0),'Tax Assumptions'!$B$20)</f>
        <v>7500</v>
      </c>
      <c r="AC716" s="230">
        <f t="shared" si="407"/>
        <v>1904167.7234167687</v>
      </c>
      <c r="AD716" s="230">
        <f>MAX(AD715*(1+'Model Inputs'!$B$13)+AC716,0)</f>
        <v>5081755.7730868794</v>
      </c>
      <c r="AE716" s="230">
        <f>MAX(AE715*(1+'Model Inputs'!$B$13)+U716+AB716,0)</f>
        <v>268602.80479539197</v>
      </c>
      <c r="AF716" s="230">
        <f t="shared" si="408"/>
        <v>5350358.5778822713</v>
      </c>
      <c r="AG716" s="226" t="str">
        <f t="shared" si="417"/>
        <v/>
      </c>
      <c r="AH716" s="226" t="str">
        <f t="shared" si="418"/>
        <v/>
      </c>
      <c r="AI716" s="226" t="str">
        <f t="shared" si="419"/>
        <v/>
      </c>
      <c r="AJ716" s="226" t="str">
        <f t="shared" si="420"/>
        <v/>
      </c>
    </row>
    <row r="717" spans="1:36" ht="18" customHeight="1" x14ac:dyDescent="0.2">
      <c r="A717" s="226" t="str">
        <f t="shared" si="409"/>
        <v>5Y -&gt; PM Y8 Upside</v>
      </c>
      <c r="B717" s="226">
        <f t="shared" si="410"/>
        <v>5</v>
      </c>
      <c r="C717" s="235">
        <f t="shared" si="411"/>
        <v>3</v>
      </c>
      <c r="D717" s="226">
        <f t="shared" si="412"/>
        <v>8</v>
      </c>
      <c r="E717" s="226" t="str">
        <f t="shared" si="413"/>
        <v>Upside</v>
      </c>
      <c r="F717" s="230">
        <f t="shared" si="414"/>
        <v>50000000</v>
      </c>
      <c r="G717" s="236">
        <f t="shared" si="415"/>
        <v>0.2</v>
      </c>
      <c r="H717" s="230">
        <f t="shared" si="416"/>
        <v>300000</v>
      </c>
      <c r="I717" s="236">
        <f t="shared" si="399"/>
        <v>0</v>
      </c>
      <c r="J717" s="234">
        <v>8</v>
      </c>
      <c r="K717" s="234">
        <f t="shared" si="400"/>
        <v>2033</v>
      </c>
      <c r="L717" s="230">
        <f>IF(J717=1,'Model Inputs'!$B$25*(13-'Model Inputs'!$B$23)/12,'Model Inputs'!$B$25)</f>
        <v>300000</v>
      </c>
      <c r="M717" s="230">
        <f>IF(J717=1,'Model Inputs'!$B$27*(13-'Model Inputs'!$B$23)/12,IF(J717=2,'Model Inputs'!$B$27,IF(J717&lt;=MAX(3,'Model Inputs'!$B$30+1),'Model Inputs'!$B$27*(1+'Model Inputs'!$B$28)^(J717-3),'Model Inputs'!$B$27*(1+'Model Inputs'!$B$28)^(MAX(3,'Model Inputs'!$B$30+1)-3)*(1+'Model Inputs'!$B$29)^(J717-MAX(3,'Model Inputs'!$B$30+1)))))</f>
        <v>1950000.0000000002</v>
      </c>
      <c r="N717" s="236">
        <f>IF(J717&lt;=2,0,'Model Inputs'!$B$32*SIN(2*PI()*(J717-3+'Model Inputs'!$B$34)/MAX(1,'Model Inputs'!$B$33)))</f>
        <v>-0.10392304845413264</v>
      </c>
      <c r="O717" s="230">
        <f t="shared" si="401"/>
        <v>1747350.0555144416</v>
      </c>
      <c r="P717" s="230">
        <f t="shared" si="421"/>
        <v>1572205.6657868917</v>
      </c>
      <c r="Q717" s="230">
        <f>L717+P717+IF(J717=1,'Model Inputs'!$B$26,0)</f>
        <v>1872205.6657868917</v>
      </c>
      <c r="R717" s="230">
        <f t="shared" si="402"/>
        <v>5616616.9973606747</v>
      </c>
      <c r="S717" s="230">
        <f t="shared" si="403"/>
        <v>10300000</v>
      </c>
      <c r="T717" s="230">
        <f t="shared" si="404"/>
        <v>10300000</v>
      </c>
      <c r="U717" s="230">
        <f>MIN(T717,'Tax Assumptions'!$B$19)</f>
        <v>24500</v>
      </c>
      <c r="V717" s="230">
        <f>MAX(T717-U717-'Tax Assumptions'!$B$8,0)</f>
        <v>10259400</v>
      </c>
      <c r="W717" s="230">
        <f>MAX(T717-U717-'Tax Assumptions'!$B$9,0)</f>
        <v>10267500</v>
      </c>
      <c r="X717" s="230">
        <f>IF(V717=0,0,LOOKUP(V717,'Tax Assumptions'!$F$9:$F$15,'Tax Assumptions'!$I$9:$I$15)+(V717-LOOKUP(V717,'Tax Assumptions'!$F$9:$F$15,'Tax Assumptions'!$F$9:$F$15))*LOOKUP(V717,'Tax Assumptions'!$F$9:$F$15,'Tax Assumptions'!$H$9:$H$15))+MIN(MAX(T717,0),'Tax Assumptions'!$B$11)*'Tax Assumptions'!$B$10+MAX(T717,0)*'Tax Assumptions'!$B$12+MAX(MAX(T717,0)-'Tax Assumptions'!$B$14,0)*'Tax Assumptions'!$B$13+MIN(T717*'Tax Assumptions'!$B$15,'Tax Assumptions'!$B$16)+MIN(T717*'Tax Assumptions'!$B$17,'Tax Assumptions'!$B$18)+IF(W717=0,0,LOOKUP(W717,'Tax Assumptions'!$K$9:$K$17,'Tax Assumptions'!$N$9:$N$17)+(W717-LOOKUP(W717,'Tax Assumptions'!$K$9:$K$17,'Tax Assumptions'!$K$9:$K$17))*LOOKUP(W717,'Tax Assumptions'!$K$9:$K$17,'Tax Assumptions'!$M$9:$M$17))+IF(W717=0,0,LOOKUP(W717,'Tax Assumptions'!$P$9:$P$12,'Tax Assumptions'!$S$9:$S$12)+(W717-LOOKUP(W717,'Tax Assumptions'!$P$9:$P$12,'Tax Assumptions'!$P$9:$P$12))*LOOKUP(W717,'Tax Assumptions'!$P$9:$P$12,'Tax Assumptions'!$R$9:$R$12))</f>
        <v>5394180.54</v>
      </c>
      <c r="Y717" s="230">
        <f t="shared" si="405"/>
        <v>4881319.46</v>
      </c>
      <c r="Z717" s="230">
        <f>IF(J717&lt;=10,INDEX('Savings Projection'!$BL$19:$BL$28,J717),LOOKUP(2,1/('Savings Projection'!$BL$19:$BL$28&lt;&gt;""),'Savings Projection'!$BL$19:$BL$28))*(1+'Model Inputs'!$B$35)^(J717-1)+IF(J717&lt;=10,INDEX('Savings Projection'!$BM$19:$BM$28,J717),LOOKUP(2,1/('Savings Projection'!$BM$19:$BM$28&lt;&gt;""),'Savings Projection'!$BM$19:$BM$28))*(1+'Model Inputs'!$B$36)^(J717-1)</f>
        <v>159883.60250523311</v>
      </c>
      <c r="AA717" s="230">
        <f t="shared" si="406"/>
        <v>4721435.8574947668</v>
      </c>
      <c r="AB717" s="230">
        <f>MIN(MAX(AA717,0),'Tax Assumptions'!$B$20)</f>
        <v>7500</v>
      </c>
      <c r="AC717" s="230">
        <f t="shared" si="407"/>
        <v>4713935.8574947668</v>
      </c>
      <c r="AD717" s="230">
        <f>MAX(AD716*(1+'Model Inputs'!$B$13)+AC717,0)</f>
        <v>10100596.976966858</v>
      </c>
      <c r="AE717" s="230">
        <f>MAX(AE716*(1+'Model Inputs'!$B$13)+U717+AB717,0)</f>
        <v>316718.97308311553</v>
      </c>
      <c r="AF717" s="230">
        <f t="shared" si="408"/>
        <v>10417315.950049974</v>
      </c>
      <c r="AG717" s="226" t="str">
        <f t="shared" si="417"/>
        <v/>
      </c>
      <c r="AH717" s="226" t="str">
        <f t="shared" si="418"/>
        <v/>
      </c>
      <c r="AI717" s="226" t="str">
        <f t="shared" si="419"/>
        <v/>
      </c>
      <c r="AJ717" s="226" t="str">
        <f t="shared" si="420"/>
        <v/>
      </c>
    </row>
    <row r="718" spans="1:36" ht="18" customHeight="1" x14ac:dyDescent="0.2">
      <c r="A718" s="226" t="str">
        <f t="shared" si="409"/>
        <v>5Y -&gt; PM Y8 Upside</v>
      </c>
      <c r="B718" s="226">
        <f t="shared" si="410"/>
        <v>5</v>
      </c>
      <c r="C718" s="235">
        <f t="shared" si="411"/>
        <v>3</v>
      </c>
      <c r="D718" s="226">
        <f t="shared" si="412"/>
        <v>8</v>
      </c>
      <c r="E718" s="226" t="str">
        <f t="shared" si="413"/>
        <v>Upside</v>
      </c>
      <c r="F718" s="230">
        <f t="shared" si="414"/>
        <v>50000000</v>
      </c>
      <c r="G718" s="236">
        <f t="shared" si="415"/>
        <v>0.2</v>
      </c>
      <c r="H718" s="230">
        <f t="shared" si="416"/>
        <v>300000</v>
      </c>
      <c r="I718" s="236">
        <f t="shared" si="399"/>
        <v>0</v>
      </c>
      <c r="J718" s="234">
        <v>9</v>
      </c>
      <c r="K718" s="234">
        <f t="shared" si="400"/>
        <v>2034</v>
      </c>
      <c r="L718" s="230">
        <f>IF(J718=1,'Model Inputs'!$B$25*(13-'Model Inputs'!$B$23)/12,'Model Inputs'!$B$25)</f>
        <v>300000</v>
      </c>
      <c r="M718" s="230">
        <f>IF(J718=1,'Model Inputs'!$B$27*(13-'Model Inputs'!$B$23)/12,IF(J718=2,'Model Inputs'!$B$27,IF(J718&lt;=MAX(3,'Model Inputs'!$B$30+1),'Model Inputs'!$B$27*(1+'Model Inputs'!$B$28)^(J718-3),'Model Inputs'!$B$27*(1+'Model Inputs'!$B$28)^(MAX(3,'Model Inputs'!$B$30+1)-3)*(1+'Model Inputs'!$B$29)^(J718-MAX(3,'Model Inputs'!$B$30+1)))))</f>
        <v>2478210.9983498608</v>
      </c>
      <c r="N718" s="236">
        <f>IF(J718&lt;=2,0,'Model Inputs'!$B$32*SIN(2*PI()*(J718-3+'Model Inputs'!$B$34)/MAX(1,'Model Inputs'!$B$33)))</f>
        <v>-5.8783046359072947E-17</v>
      </c>
      <c r="O718" s="230">
        <f t="shared" si="401"/>
        <v>2478210.9983498603</v>
      </c>
      <c r="P718" s="230">
        <f t="shared" si="421"/>
        <v>1733969.9666232408</v>
      </c>
      <c r="Q718" s="230">
        <f>L718+P718+IF(J718=1,'Model Inputs'!$B$26,0)</f>
        <v>2033969.9666232408</v>
      </c>
      <c r="R718" s="230">
        <f t="shared" si="402"/>
        <v>6101909.8998697223</v>
      </c>
      <c r="S718" s="230">
        <f t="shared" si="403"/>
        <v>10300000</v>
      </c>
      <c r="T718" s="230">
        <f t="shared" si="404"/>
        <v>10300000</v>
      </c>
      <c r="U718" s="230">
        <f>MIN(T718,'Tax Assumptions'!$B$19)</f>
        <v>24500</v>
      </c>
      <c r="V718" s="230">
        <f>MAX(T718-U718-'Tax Assumptions'!$B$8,0)</f>
        <v>10259400</v>
      </c>
      <c r="W718" s="230">
        <f>MAX(T718-U718-'Tax Assumptions'!$B$9,0)</f>
        <v>10267500</v>
      </c>
      <c r="X718" s="230">
        <f>IF(V718=0,0,LOOKUP(V718,'Tax Assumptions'!$F$9:$F$15,'Tax Assumptions'!$I$9:$I$15)+(V718-LOOKUP(V718,'Tax Assumptions'!$F$9:$F$15,'Tax Assumptions'!$F$9:$F$15))*LOOKUP(V718,'Tax Assumptions'!$F$9:$F$15,'Tax Assumptions'!$H$9:$H$15))+MIN(MAX(T718,0),'Tax Assumptions'!$B$11)*'Tax Assumptions'!$B$10+MAX(T718,0)*'Tax Assumptions'!$B$12+MAX(MAX(T718,0)-'Tax Assumptions'!$B$14,0)*'Tax Assumptions'!$B$13+MIN(T718*'Tax Assumptions'!$B$15,'Tax Assumptions'!$B$16)+MIN(T718*'Tax Assumptions'!$B$17,'Tax Assumptions'!$B$18)+IF(W718=0,0,LOOKUP(W718,'Tax Assumptions'!$K$9:$K$17,'Tax Assumptions'!$N$9:$N$17)+(W718-LOOKUP(W718,'Tax Assumptions'!$K$9:$K$17,'Tax Assumptions'!$K$9:$K$17))*LOOKUP(W718,'Tax Assumptions'!$K$9:$K$17,'Tax Assumptions'!$M$9:$M$17))+IF(W718=0,0,LOOKUP(W718,'Tax Assumptions'!$P$9:$P$12,'Tax Assumptions'!$S$9:$S$12)+(W718-LOOKUP(W718,'Tax Assumptions'!$P$9:$P$12,'Tax Assumptions'!$P$9:$P$12))*LOOKUP(W718,'Tax Assumptions'!$P$9:$P$12,'Tax Assumptions'!$R$9:$R$12))</f>
        <v>5394180.54</v>
      </c>
      <c r="Y718" s="230">
        <f t="shared" si="405"/>
        <v>4881319.46</v>
      </c>
      <c r="Z718" s="230">
        <f>IF(J718&lt;=10,INDEX('Savings Projection'!$BL$19:$BL$28,J718),LOOKUP(2,1/('Savings Projection'!$BL$19:$BL$28&lt;&gt;""),'Savings Projection'!$BL$19:$BL$28))*(1+'Model Inputs'!$B$35)^(J718-1)+IF(J718&lt;=10,INDEX('Savings Projection'!$BM$19:$BM$28,J718),LOOKUP(2,1/('Savings Projection'!$BM$19:$BM$28&lt;&gt;""),'Savings Projection'!$BM$19:$BM$28))*(1+'Model Inputs'!$B$36)^(J718-1)</f>
        <v>164680.11058039009</v>
      </c>
      <c r="AA718" s="230">
        <f t="shared" si="406"/>
        <v>4716639.3494196096</v>
      </c>
      <c r="AB718" s="230">
        <f>MIN(MAX(AA718,0),'Tax Assumptions'!$B$20)</f>
        <v>7500</v>
      </c>
      <c r="AC718" s="230">
        <f t="shared" si="407"/>
        <v>4709139.3494196096</v>
      </c>
      <c r="AD718" s="230">
        <f>MAX(AD717*(1+'Model Inputs'!$B$13)+AC718,0)</f>
        <v>15415772.145004481</v>
      </c>
      <c r="AE718" s="230">
        <f>MAX(AE717*(1+'Model Inputs'!$B$13)+U718+AB718,0)</f>
        <v>367722.11146810249</v>
      </c>
      <c r="AF718" s="230">
        <f t="shared" si="408"/>
        <v>15783494.256472584</v>
      </c>
      <c r="AG718" s="226">
        <f t="shared" si="417"/>
        <v>9</v>
      </c>
      <c r="AH718" s="226" t="str">
        <f t="shared" si="418"/>
        <v/>
      </c>
      <c r="AI718" s="226" t="str">
        <f t="shared" si="419"/>
        <v/>
      </c>
      <c r="AJ718" s="226" t="str">
        <f t="shared" si="420"/>
        <v/>
      </c>
    </row>
    <row r="719" spans="1:36" ht="18" customHeight="1" x14ac:dyDescent="0.2">
      <c r="A719" s="226" t="str">
        <f t="shared" si="409"/>
        <v>5Y -&gt; PM Y8 Upside</v>
      </c>
      <c r="B719" s="226">
        <f t="shared" si="410"/>
        <v>5</v>
      </c>
      <c r="C719" s="235">
        <f t="shared" si="411"/>
        <v>3</v>
      </c>
      <c r="D719" s="226">
        <f t="shared" si="412"/>
        <v>8</v>
      </c>
      <c r="E719" s="226" t="str">
        <f t="shared" si="413"/>
        <v>Upside</v>
      </c>
      <c r="F719" s="230">
        <f t="shared" si="414"/>
        <v>50000000</v>
      </c>
      <c r="G719" s="236">
        <f t="shared" si="415"/>
        <v>0.2</v>
      </c>
      <c r="H719" s="230">
        <f t="shared" si="416"/>
        <v>300000</v>
      </c>
      <c r="I719" s="236">
        <f t="shared" si="399"/>
        <v>0</v>
      </c>
      <c r="J719" s="234">
        <v>10</v>
      </c>
      <c r="K719" s="234">
        <f t="shared" si="400"/>
        <v>2035</v>
      </c>
      <c r="L719" s="230">
        <f>IF(J719=1,'Model Inputs'!$B$25*(13-'Model Inputs'!$B$23)/12,'Model Inputs'!$B$25)</f>
        <v>300000</v>
      </c>
      <c r="M719" s="230">
        <f>IF(J719=1,'Model Inputs'!$B$27*(13-'Model Inputs'!$B$23)/12,IF(J719=2,'Model Inputs'!$B$27,IF(J719&lt;=MAX(3,'Model Inputs'!$B$30+1),'Model Inputs'!$B$27*(1+'Model Inputs'!$B$28)^(J719-3),'Model Inputs'!$B$27*(1+'Model Inputs'!$B$28)^(MAX(3,'Model Inputs'!$B$30+1)-3)*(1+'Model Inputs'!$B$29)^(J719-MAX(3,'Model Inputs'!$B$30+1)))))</f>
        <v>3149502.4370985711</v>
      </c>
      <c r="N719" s="236">
        <f>IF(J719&lt;=2,0,'Model Inputs'!$B$32*SIN(2*PI()*(J719-3+'Model Inputs'!$B$34)/MAX(1,'Model Inputs'!$B$33)))</f>
        <v>0.10392304845413271</v>
      </c>
      <c r="O719" s="230">
        <f t="shared" si="401"/>
        <v>3476808.331475575</v>
      </c>
      <c r="P719" s="230">
        <f t="shared" si="421"/>
        <v>2295495.7626410057</v>
      </c>
      <c r="Q719" s="230">
        <f>L719+P719+IF(J719=1,'Model Inputs'!$B$26,0)</f>
        <v>2595495.7626410057</v>
      </c>
      <c r="R719" s="230">
        <f t="shared" si="402"/>
        <v>7786487.2879230175</v>
      </c>
      <c r="S719" s="230">
        <f t="shared" si="403"/>
        <v>10300000</v>
      </c>
      <c r="T719" s="230">
        <f t="shared" si="404"/>
        <v>10300000</v>
      </c>
      <c r="U719" s="230">
        <f>MIN(T719,'Tax Assumptions'!$B$19)</f>
        <v>24500</v>
      </c>
      <c r="V719" s="230">
        <f>MAX(T719-U719-'Tax Assumptions'!$B$8,0)</f>
        <v>10259400</v>
      </c>
      <c r="W719" s="230">
        <f>MAX(T719-U719-'Tax Assumptions'!$B$9,0)</f>
        <v>10267500</v>
      </c>
      <c r="X719" s="230">
        <f>IF(V719=0,0,LOOKUP(V719,'Tax Assumptions'!$F$9:$F$15,'Tax Assumptions'!$I$9:$I$15)+(V719-LOOKUP(V719,'Tax Assumptions'!$F$9:$F$15,'Tax Assumptions'!$F$9:$F$15))*LOOKUP(V719,'Tax Assumptions'!$F$9:$F$15,'Tax Assumptions'!$H$9:$H$15))+MIN(MAX(T719,0),'Tax Assumptions'!$B$11)*'Tax Assumptions'!$B$10+MAX(T719,0)*'Tax Assumptions'!$B$12+MAX(MAX(T719,0)-'Tax Assumptions'!$B$14,0)*'Tax Assumptions'!$B$13+MIN(T719*'Tax Assumptions'!$B$15,'Tax Assumptions'!$B$16)+MIN(T719*'Tax Assumptions'!$B$17,'Tax Assumptions'!$B$18)+IF(W719=0,0,LOOKUP(W719,'Tax Assumptions'!$K$9:$K$17,'Tax Assumptions'!$N$9:$N$17)+(W719-LOOKUP(W719,'Tax Assumptions'!$K$9:$K$17,'Tax Assumptions'!$K$9:$K$17))*LOOKUP(W719,'Tax Assumptions'!$K$9:$K$17,'Tax Assumptions'!$M$9:$M$17))+IF(W719=0,0,LOOKUP(W719,'Tax Assumptions'!$P$9:$P$12,'Tax Assumptions'!$S$9:$S$12)+(W719-LOOKUP(W719,'Tax Assumptions'!$P$9:$P$12,'Tax Assumptions'!$P$9:$P$12))*LOOKUP(W719,'Tax Assumptions'!$P$9:$P$12,'Tax Assumptions'!$R$9:$R$12))</f>
        <v>5394180.54</v>
      </c>
      <c r="Y719" s="230">
        <f t="shared" si="405"/>
        <v>4881319.46</v>
      </c>
      <c r="Z719" s="230">
        <f>IF(J719&lt;=10,INDEX('Savings Projection'!$BL$19:$BL$28,J719),LOOKUP(2,1/('Savings Projection'!$BL$19:$BL$28&lt;&gt;""),'Savings Projection'!$BL$19:$BL$28))*(1+'Model Inputs'!$B$35)^(J719-1)+IF(J719&lt;=10,INDEX('Savings Projection'!$BM$19:$BM$28,J719),LOOKUP(2,1/('Savings Projection'!$BM$19:$BM$28&lt;&gt;""),'Savings Projection'!$BM$19:$BM$28))*(1+'Model Inputs'!$B$36)^(J719-1)</f>
        <v>169620.51389780178</v>
      </c>
      <c r="AA719" s="230">
        <f t="shared" si="406"/>
        <v>4711698.9461021982</v>
      </c>
      <c r="AB719" s="230">
        <f>MIN(MAX(AA719,0),'Tax Assumptions'!$B$20)</f>
        <v>7500</v>
      </c>
      <c r="AC719" s="230">
        <f t="shared" si="407"/>
        <v>4704198.9461021982</v>
      </c>
      <c r="AD719" s="230">
        <f>MAX(AD718*(1+'Model Inputs'!$B$13)+AC719,0)</f>
        <v>21044917.41980695</v>
      </c>
      <c r="AE719" s="230">
        <f>MAX(AE718*(1+'Model Inputs'!$B$13)+U719+AB719,0)</f>
        <v>421785.43815618864</v>
      </c>
      <c r="AF719" s="230">
        <f t="shared" si="408"/>
        <v>21466702.857963137</v>
      </c>
      <c r="AG719" s="226" t="str">
        <f t="shared" si="417"/>
        <v/>
      </c>
      <c r="AH719" s="226">
        <f t="shared" si="418"/>
        <v>10</v>
      </c>
      <c r="AI719" s="226">
        <f t="shared" si="419"/>
        <v>10</v>
      </c>
      <c r="AJ719" s="226">
        <f t="shared" si="420"/>
        <v>10</v>
      </c>
    </row>
    <row r="720" spans="1:36" ht="18" customHeight="1" x14ac:dyDescent="0.2">
      <c r="A720" s="226" t="str">
        <f t="shared" si="409"/>
        <v>5Y -&gt; PM Y8 Upside</v>
      </c>
      <c r="B720" s="226">
        <f t="shared" si="410"/>
        <v>5</v>
      </c>
      <c r="C720" s="235">
        <f t="shared" si="411"/>
        <v>3</v>
      </c>
      <c r="D720" s="226">
        <f t="shared" si="412"/>
        <v>8</v>
      </c>
      <c r="E720" s="226" t="str">
        <f t="shared" si="413"/>
        <v>Upside</v>
      </c>
      <c r="F720" s="230">
        <f t="shared" si="414"/>
        <v>50000000</v>
      </c>
      <c r="G720" s="236">
        <f t="shared" si="415"/>
        <v>0.2</v>
      </c>
      <c r="H720" s="230">
        <f t="shared" si="416"/>
        <v>300000</v>
      </c>
      <c r="I720" s="236">
        <f t="shared" si="399"/>
        <v>0</v>
      </c>
      <c r="J720" s="234">
        <v>11</v>
      </c>
      <c r="K720" s="234">
        <f t="shared" si="400"/>
        <v>2036</v>
      </c>
      <c r="L720" s="230">
        <f>IF(J720=1,'Model Inputs'!$B$25*(13-'Model Inputs'!$B$23)/12,'Model Inputs'!$B$25)</f>
        <v>300000</v>
      </c>
      <c r="M720" s="230">
        <f>IF(J720=1,'Model Inputs'!$B$27*(13-'Model Inputs'!$B$23)/12,IF(J720=2,'Model Inputs'!$B$27,IF(J720&lt;=MAX(3,'Model Inputs'!$B$30+1),'Model Inputs'!$B$27*(1+'Model Inputs'!$B$28)^(J720-3),'Model Inputs'!$B$27*(1+'Model Inputs'!$B$28)^(MAX(3,'Model Inputs'!$B$30+1)-3)*(1+'Model Inputs'!$B$29)^(J720-MAX(3,'Model Inputs'!$B$30+1)))))</f>
        <v>4002631.578947369</v>
      </c>
      <c r="N720" s="236">
        <f>IF(J720&lt;=2,0,'Model Inputs'!$B$32*SIN(2*PI()*(J720-3+'Model Inputs'!$B$34)/MAX(1,'Model Inputs'!$B$33)))</f>
        <v>-0.10392304845413253</v>
      </c>
      <c r="O720" s="230">
        <f t="shared" si="401"/>
        <v>3586665.9034243808</v>
      </c>
      <c r="P720" s="230">
        <f t="shared" si="421"/>
        <v>3227158.9981941464</v>
      </c>
      <c r="Q720" s="230">
        <f>L720+P720+IF(J720=1,'Model Inputs'!$B$26,0)</f>
        <v>3527158.9981941464</v>
      </c>
      <c r="R720" s="230">
        <f t="shared" si="402"/>
        <v>10581476.994582439</v>
      </c>
      <c r="S720" s="230">
        <f t="shared" si="403"/>
        <v>10300000</v>
      </c>
      <c r="T720" s="230">
        <f t="shared" si="404"/>
        <v>10300000</v>
      </c>
      <c r="U720" s="230">
        <f>MIN(T720,'Tax Assumptions'!$B$19)</f>
        <v>24500</v>
      </c>
      <c r="V720" s="230">
        <f>MAX(T720-U720-'Tax Assumptions'!$B$8,0)</f>
        <v>10259400</v>
      </c>
      <c r="W720" s="230">
        <f>MAX(T720-U720-'Tax Assumptions'!$B$9,0)</f>
        <v>10267500</v>
      </c>
      <c r="X720" s="230">
        <f>IF(V720=0,0,LOOKUP(V720,'Tax Assumptions'!$F$9:$F$15,'Tax Assumptions'!$I$9:$I$15)+(V720-LOOKUP(V720,'Tax Assumptions'!$F$9:$F$15,'Tax Assumptions'!$F$9:$F$15))*LOOKUP(V720,'Tax Assumptions'!$F$9:$F$15,'Tax Assumptions'!$H$9:$H$15))+MIN(MAX(T720,0),'Tax Assumptions'!$B$11)*'Tax Assumptions'!$B$10+MAX(T720,0)*'Tax Assumptions'!$B$12+MAX(MAX(T720,0)-'Tax Assumptions'!$B$14,0)*'Tax Assumptions'!$B$13+MIN(T720*'Tax Assumptions'!$B$15,'Tax Assumptions'!$B$16)+MIN(T720*'Tax Assumptions'!$B$17,'Tax Assumptions'!$B$18)+IF(W720=0,0,LOOKUP(W720,'Tax Assumptions'!$K$9:$K$17,'Tax Assumptions'!$N$9:$N$17)+(W720-LOOKUP(W720,'Tax Assumptions'!$K$9:$K$17,'Tax Assumptions'!$K$9:$K$17))*LOOKUP(W720,'Tax Assumptions'!$K$9:$K$17,'Tax Assumptions'!$M$9:$M$17))+IF(W720=0,0,LOOKUP(W720,'Tax Assumptions'!$P$9:$P$12,'Tax Assumptions'!$S$9:$S$12)+(W720-LOOKUP(W720,'Tax Assumptions'!$P$9:$P$12,'Tax Assumptions'!$P$9:$P$12))*LOOKUP(W720,'Tax Assumptions'!$P$9:$P$12,'Tax Assumptions'!$R$9:$R$12))</f>
        <v>5394180.54</v>
      </c>
      <c r="Y720" s="230">
        <f t="shared" si="405"/>
        <v>4881319.46</v>
      </c>
      <c r="Z720" s="230">
        <f>IF(J720&lt;=10,INDEX('Savings Projection'!$BL$19:$BL$28,J720),LOOKUP(2,1/('Savings Projection'!$BL$19:$BL$28&lt;&gt;""),'Savings Projection'!$BL$19:$BL$28))*(1+'Model Inputs'!$B$35)^(J720-1)+IF(J720&lt;=10,INDEX('Savings Projection'!$BM$19:$BM$28,J720),LOOKUP(2,1/('Savings Projection'!$BM$19:$BM$28&lt;&gt;""),'Savings Projection'!$BM$19:$BM$28))*(1+'Model Inputs'!$B$36)^(J720-1)</f>
        <v>174709.12931473582</v>
      </c>
      <c r="AA720" s="230">
        <f t="shared" si="406"/>
        <v>4706610.3306852644</v>
      </c>
      <c r="AB720" s="230">
        <f>MIN(MAX(AA720,0),'Tax Assumptions'!$B$20)</f>
        <v>7500</v>
      </c>
      <c r="AC720" s="230">
        <f t="shared" si="407"/>
        <v>4699110.3306852644</v>
      </c>
      <c r="AD720" s="230">
        <f>MAX(AD719*(1+'Model Inputs'!$B$13)+AC720,0)</f>
        <v>27006722.795680635</v>
      </c>
      <c r="AE720" s="230">
        <f>MAX(AE719*(1+'Model Inputs'!$B$13)+U720+AB720,0)</f>
        <v>479092.56444555998</v>
      </c>
      <c r="AF720" s="230">
        <f t="shared" si="408"/>
        <v>27485815.360126194</v>
      </c>
      <c r="AG720" s="226" t="str">
        <f t="shared" si="417"/>
        <v/>
      </c>
      <c r="AH720" s="226" t="str">
        <f t="shared" si="418"/>
        <v/>
      </c>
      <c r="AI720" s="226" t="str">
        <f t="shared" si="419"/>
        <v/>
      </c>
      <c r="AJ720" s="226" t="str">
        <f t="shared" si="420"/>
        <v/>
      </c>
    </row>
    <row r="721" spans="1:36" ht="18" customHeight="1" x14ac:dyDescent="0.2">
      <c r="A721" s="226" t="str">
        <f t="shared" si="409"/>
        <v>5Y -&gt; PM Y8 Upside</v>
      </c>
      <c r="B721" s="226">
        <f t="shared" si="410"/>
        <v>5</v>
      </c>
      <c r="C721" s="235">
        <f t="shared" si="411"/>
        <v>3</v>
      </c>
      <c r="D721" s="226">
        <f t="shared" si="412"/>
        <v>8</v>
      </c>
      <c r="E721" s="226" t="str">
        <f t="shared" si="413"/>
        <v>Upside</v>
      </c>
      <c r="F721" s="230">
        <f t="shared" si="414"/>
        <v>50000000</v>
      </c>
      <c r="G721" s="236">
        <f t="shared" si="415"/>
        <v>0.2</v>
      </c>
      <c r="H721" s="230">
        <f t="shared" si="416"/>
        <v>300000</v>
      </c>
      <c r="I721" s="236">
        <f t="shared" si="399"/>
        <v>0</v>
      </c>
      <c r="J721" s="234">
        <v>12</v>
      </c>
      <c r="K721" s="234">
        <f t="shared" si="400"/>
        <v>2037</v>
      </c>
      <c r="L721" s="230">
        <f>IF(J721=1,'Model Inputs'!$B$25*(13-'Model Inputs'!$B$23)/12,'Model Inputs'!$B$25)</f>
        <v>300000</v>
      </c>
      <c r="M721" s="230">
        <f>IF(J721=1,'Model Inputs'!$B$27*(13-'Model Inputs'!$B$23)/12,IF(J721=2,'Model Inputs'!$B$27,IF(J721&lt;=MAX(3,'Model Inputs'!$B$30+1),'Model Inputs'!$B$27*(1+'Model Inputs'!$B$28)^(J721-3),'Model Inputs'!$B$27*(1+'Model Inputs'!$B$28)^(MAX(3,'Model Inputs'!$B$30+1)-3)*(1+'Model Inputs'!$B$29)^(J721-MAX(3,'Model Inputs'!$B$30+1)))))</f>
        <v>5086854.15450761</v>
      </c>
      <c r="N721" s="236">
        <f>IF(J721&lt;=2,0,'Model Inputs'!$B$32*SIN(2*PI()*(J721-3+'Model Inputs'!$B$34)/MAX(1,'Model Inputs'!$B$33)))</f>
        <v>-8.8174569538609421E-17</v>
      </c>
      <c r="O721" s="230">
        <f t="shared" si="401"/>
        <v>5086854.1545076091</v>
      </c>
      <c r="P721" s="230">
        <f t="shared" si="421"/>
        <v>3559201.5104371794</v>
      </c>
      <c r="Q721" s="230">
        <f>L721+P721+IF(J721=1,'Model Inputs'!$B$26,0)</f>
        <v>3859201.5104371794</v>
      </c>
      <c r="R721" s="230">
        <f t="shared" si="402"/>
        <v>11577604.531311538</v>
      </c>
      <c r="S721" s="230">
        <f t="shared" si="403"/>
        <v>10300000</v>
      </c>
      <c r="T721" s="230">
        <f t="shared" si="404"/>
        <v>10300000</v>
      </c>
      <c r="U721" s="230">
        <f>MIN(T721,'Tax Assumptions'!$B$19)</f>
        <v>24500</v>
      </c>
      <c r="V721" s="230">
        <f>MAX(T721-U721-'Tax Assumptions'!$B$8,0)</f>
        <v>10259400</v>
      </c>
      <c r="W721" s="230">
        <f>MAX(T721-U721-'Tax Assumptions'!$B$9,0)</f>
        <v>10267500</v>
      </c>
      <c r="X721" s="230">
        <f>IF(V721=0,0,LOOKUP(V721,'Tax Assumptions'!$F$9:$F$15,'Tax Assumptions'!$I$9:$I$15)+(V721-LOOKUP(V721,'Tax Assumptions'!$F$9:$F$15,'Tax Assumptions'!$F$9:$F$15))*LOOKUP(V721,'Tax Assumptions'!$F$9:$F$15,'Tax Assumptions'!$H$9:$H$15))+MIN(MAX(T721,0),'Tax Assumptions'!$B$11)*'Tax Assumptions'!$B$10+MAX(T721,0)*'Tax Assumptions'!$B$12+MAX(MAX(T721,0)-'Tax Assumptions'!$B$14,0)*'Tax Assumptions'!$B$13+MIN(T721*'Tax Assumptions'!$B$15,'Tax Assumptions'!$B$16)+MIN(T721*'Tax Assumptions'!$B$17,'Tax Assumptions'!$B$18)+IF(W721=0,0,LOOKUP(W721,'Tax Assumptions'!$K$9:$K$17,'Tax Assumptions'!$N$9:$N$17)+(W721-LOOKUP(W721,'Tax Assumptions'!$K$9:$K$17,'Tax Assumptions'!$K$9:$K$17))*LOOKUP(W721,'Tax Assumptions'!$K$9:$K$17,'Tax Assumptions'!$M$9:$M$17))+IF(W721=0,0,LOOKUP(W721,'Tax Assumptions'!$P$9:$P$12,'Tax Assumptions'!$S$9:$S$12)+(W721-LOOKUP(W721,'Tax Assumptions'!$P$9:$P$12,'Tax Assumptions'!$P$9:$P$12))*LOOKUP(W721,'Tax Assumptions'!$P$9:$P$12,'Tax Assumptions'!$R$9:$R$12))</f>
        <v>5394180.54</v>
      </c>
      <c r="Y721" s="230">
        <f t="shared" si="405"/>
        <v>4881319.46</v>
      </c>
      <c r="Z721" s="230">
        <f>IF(J721&lt;=10,INDEX('Savings Projection'!$BL$19:$BL$28,J721),LOOKUP(2,1/('Savings Projection'!$BL$19:$BL$28&lt;&gt;""),'Savings Projection'!$BL$19:$BL$28))*(1+'Model Inputs'!$B$35)^(J721-1)+IF(J721&lt;=10,INDEX('Savings Projection'!$BM$19:$BM$28,J721),LOOKUP(2,1/('Savings Projection'!$BM$19:$BM$28&lt;&gt;""),'Savings Projection'!$BM$19:$BM$28))*(1+'Model Inputs'!$B$36)^(J721-1)</f>
        <v>179950.4031941779</v>
      </c>
      <c r="AA721" s="230">
        <f t="shared" si="406"/>
        <v>4701369.0568058221</v>
      </c>
      <c r="AB721" s="230">
        <f>MIN(MAX(AA721,0),'Tax Assumptions'!$B$20)</f>
        <v>7500</v>
      </c>
      <c r="AC721" s="230">
        <f t="shared" si="407"/>
        <v>4693869.0568058221</v>
      </c>
      <c r="AD721" s="230">
        <f>MAX(AD720*(1+'Model Inputs'!$B$13)+AC721,0)</f>
        <v>33320995.220227297</v>
      </c>
      <c r="AE721" s="230">
        <f>MAX(AE720*(1+'Model Inputs'!$B$13)+U721+AB721,0)</f>
        <v>539838.11831229366</v>
      </c>
      <c r="AF721" s="230">
        <f t="shared" si="408"/>
        <v>33860833.338539593</v>
      </c>
      <c r="AG721" s="226" t="str">
        <f t="shared" si="417"/>
        <v/>
      </c>
      <c r="AH721" s="226" t="str">
        <f t="shared" si="418"/>
        <v/>
      </c>
      <c r="AI721" s="226" t="str">
        <f t="shared" si="419"/>
        <v/>
      </c>
      <c r="AJ721" s="226" t="str">
        <f t="shared" si="420"/>
        <v/>
      </c>
    </row>
    <row r="722" spans="1:36" ht="18" customHeight="1" x14ac:dyDescent="0.2">
      <c r="A722" s="226" t="str">
        <f t="shared" si="409"/>
        <v>5Y -&gt; PM Y8 Upside</v>
      </c>
      <c r="B722" s="226">
        <f t="shared" si="410"/>
        <v>5</v>
      </c>
      <c r="C722" s="235">
        <f t="shared" si="411"/>
        <v>3</v>
      </c>
      <c r="D722" s="226">
        <f t="shared" si="412"/>
        <v>8</v>
      </c>
      <c r="E722" s="226" t="str">
        <f t="shared" si="413"/>
        <v>Upside</v>
      </c>
      <c r="F722" s="230">
        <f t="shared" si="414"/>
        <v>50000000</v>
      </c>
      <c r="G722" s="236">
        <f t="shared" si="415"/>
        <v>0.2</v>
      </c>
      <c r="H722" s="230">
        <f t="shared" si="416"/>
        <v>300000</v>
      </c>
      <c r="I722" s="236">
        <f t="shared" si="399"/>
        <v>0</v>
      </c>
      <c r="J722" s="234">
        <v>13</v>
      </c>
      <c r="K722" s="234">
        <f t="shared" si="400"/>
        <v>2038</v>
      </c>
      <c r="L722" s="230">
        <f>IF(J722=1,'Model Inputs'!$B$25*(13-'Model Inputs'!$B$23)/12,'Model Inputs'!$B$25)</f>
        <v>300000</v>
      </c>
      <c r="M722" s="230">
        <f>IF(J722=1,'Model Inputs'!$B$27*(13-'Model Inputs'!$B$23)/12,IF(J722=2,'Model Inputs'!$B$27,IF(J722&lt;=MAX(3,'Model Inputs'!$B$30+1),'Model Inputs'!$B$27*(1+'Model Inputs'!$B$28)^(J722-3),'Model Inputs'!$B$27*(1+'Model Inputs'!$B$28)^(MAX(3,'Model Inputs'!$B$30+1)-3)*(1+'Model Inputs'!$B$29)^(J722-MAX(3,'Model Inputs'!$B$30+1)))))</f>
        <v>6464768.1603602255</v>
      </c>
      <c r="N722" s="236">
        <f>IF(J722&lt;=2,0,'Model Inputs'!$B$32*SIN(2*PI()*(J722-3+'Model Inputs'!$B$34)/MAX(1,'Model Inputs'!$B$33)))</f>
        <v>0.10392304845413261</v>
      </c>
      <c r="O722" s="230">
        <f t="shared" si="401"/>
        <v>7136606.5751340752</v>
      </c>
      <c r="P722" s="230">
        <f t="shared" si="421"/>
        <v>4711807.0917368019</v>
      </c>
      <c r="Q722" s="230">
        <f>L722+P722+IF(J722=1,'Model Inputs'!$B$26,0)</f>
        <v>5011807.0917368019</v>
      </c>
      <c r="R722" s="230">
        <f t="shared" si="402"/>
        <v>15035421.275210407</v>
      </c>
      <c r="S722" s="230">
        <f t="shared" si="403"/>
        <v>10300000</v>
      </c>
      <c r="T722" s="230">
        <f t="shared" si="404"/>
        <v>10300000</v>
      </c>
      <c r="U722" s="230">
        <f>MIN(T722,'Tax Assumptions'!$B$19)</f>
        <v>24500</v>
      </c>
      <c r="V722" s="230">
        <f>MAX(T722-U722-'Tax Assumptions'!$B$8,0)</f>
        <v>10259400</v>
      </c>
      <c r="W722" s="230">
        <f>MAX(T722-U722-'Tax Assumptions'!$B$9,0)</f>
        <v>10267500</v>
      </c>
      <c r="X722" s="230">
        <f>IF(V722=0,0,LOOKUP(V722,'Tax Assumptions'!$F$9:$F$15,'Tax Assumptions'!$I$9:$I$15)+(V722-LOOKUP(V722,'Tax Assumptions'!$F$9:$F$15,'Tax Assumptions'!$F$9:$F$15))*LOOKUP(V722,'Tax Assumptions'!$F$9:$F$15,'Tax Assumptions'!$H$9:$H$15))+MIN(MAX(T722,0),'Tax Assumptions'!$B$11)*'Tax Assumptions'!$B$10+MAX(T722,0)*'Tax Assumptions'!$B$12+MAX(MAX(T722,0)-'Tax Assumptions'!$B$14,0)*'Tax Assumptions'!$B$13+MIN(T722*'Tax Assumptions'!$B$15,'Tax Assumptions'!$B$16)+MIN(T722*'Tax Assumptions'!$B$17,'Tax Assumptions'!$B$18)+IF(W722=0,0,LOOKUP(W722,'Tax Assumptions'!$K$9:$K$17,'Tax Assumptions'!$N$9:$N$17)+(W722-LOOKUP(W722,'Tax Assumptions'!$K$9:$K$17,'Tax Assumptions'!$K$9:$K$17))*LOOKUP(W722,'Tax Assumptions'!$K$9:$K$17,'Tax Assumptions'!$M$9:$M$17))+IF(W722=0,0,LOOKUP(W722,'Tax Assumptions'!$P$9:$P$12,'Tax Assumptions'!$S$9:$S$12)+(W722-LOOKUP(W722,'Tax Assumptions'!$P$9:$P$12,'Tax Assumptions'!$P$9:$P$12))*LOOKUP(W722,'Tax Assumptions'!$P$9:$P$12,'Tax Assumptions'!$R$9:$R$12))</f>
        <v>5394180.54</v>
      </c>
      <c r="Y722" s="230">
        <f t="shared" si="405"/>
        <v>4881319.46</v>
      </c>
      <c r="Z722" s="230">
        <f>IF(J722&lt;=10,INDEX('Savings Projection'!$BL$19:$BL$28,J722),LOOKUP(2,1/('Savings Projection'!$BL$19:$BL$28&lt;&gt;""),'Savings Projection'!$BL$19:$BL$28))*(1+'Model Inputs'!$B$35)^(J722-1)+IF(J722&lt;=10,INDEX('Savings Projection'!$BM$19:$BM$28,J722),LOOKUP(2,1/('Savings Projection'!$BM$19:$BM$28&lt;&gt;""),'Savings Projection'!$BM$19:$BM$28))*(1+'Model Inputs'!$B$36)^(J722-1)</f>
        <v>185348.91529000323</v>
      </c>
      <c r="AA722" s="230">
        <f t="shared" si="406"/>
        <v>4695970.5447099963</v>
      </c>
      <c r="AB722" s="230">
        <f>MIN(MAX(AA722,0),'Tax Assumptions'!$B$20)</f>
        <v>7500</v>
      </c>
      <c r="AC722" s="230">
        <f t="shared" si="407"/>
        <v>4688470.5447099963</v>
      </c>
      <c r="AD722" s="230">
        <f>MAX(AD721*(1+'Model Inputs'!$B$13)+AC722,0)</f>
        <v>40008725.478150934</v>
      </c>
      <c r="AE722" s="230">
        <f>MAX(AE721*(1+'Model Inputs'!$B$13)+U722+AB722,0)</f>
        <v>604228.40541103133</v>
      </c>
      <c r="AF722" s="230">
        <f t="shared" si="408"/>
        <v>40612953.883561969</v>
      </c>
      <c r="AG722" s="226" t="str">
        <f t="shared" si="417"/>
        <v/>
      </c>
      <c r="AH722" s="226" t="str">
        <f t="shared" si="418"/>
        <v/>
      </c>
      <c r="AI722" s="226" t="str">
        <f t="shared" si="419"/>
        <v/>
      </c>
      <c r="AJ722" s="226" t="str">
        <f t="shared" si="420"/>
        <v/>
      </c>
    </row>
    <row r="723" spans="1:36" ht="18" customHeight="1" x14ac:dyDescent="0.2">
      <c r="A723" s="226" t="str">
        <f t="shared" si="409"/>
        <v>5Y -&gt; PM Y8 Upside</v>
      </c>
      <c r="B723" s="226">
        <f t="shared" si="410"/>
        <v>5</v>
      </c>
      <c r="C723" s="235">
        <f t="shared" si="411"/>
        <v>3</v>
      </c>
      <c r="D723" s="226">
        <f t="shared" si="412"/>
        <v>8</v>
      </c>
      <c r="E723" s="226" t="str">
        <f t="shared" si="413"/>
        <v>Upside</v>
      </c>
      <c r="F723" s="230">
        <f t="shared" si="414"/>
        <v>50000000</v>
      </c>
      <c r="G723" s="236">
        <f t="shared" si="415"/>
        <v>0.2</v>
      </c>
      <c r="H723" s="230">
        <f t="shared" si="416"/>
        <v>300000</v>
      </c>
      <c r="I723" s="236">
        <f t="shared" si="399"/>
        <v>0</v>
      </c>
      <c r="J723" s="234">
        <v>14</v>
      </c>
      <c r="K723" s="234">
        <f t="shared" si="400"/>
        <v>2039</v>
      </c>
      <c r="L723" s="230">
        <f>IF(J723=1,'Model Inputs'!$B$25*(13-'Model Inputs'!$B$23)/12,'Model Inputs'!$B$25)</f>
        <v>300000</v>
      </c>
      <c r="M723" s="230">
        <f>IF(J723=1,'Model Inputs'!$B$27*(13-'Model Inputs'!$B$23)/12,IF(J723=2,'Model Inputs'!$B$27,IF(J723&lt;=MAX(3,'Model Inputs'!$B$30+1),'Model Inputs'!$B$27*(1+'Model Inputs'!$B$28)^(J723-3),'Model Inputs'!$B$27*(1+'Model Inputs'!$B$28)^(MAX(3,'Model Inputs'!$B$30+1)-3)*(1+'Model Inputs'!$B$29)^(J723-MAX(3,'Model Inputs'!$B$30+1)))))</f>
        <v>8215927.9778393377</v>
      </c>
      <c r="N723" s="236">
        <f>IF(J723&lt;=2,0,'Model Inputs'!$B$32*SIN(2*PI()*(J723-3+'Model Inputs'!$B$34)/MAX(1,'Model Inputs'!$B$33)))</f>
        <v>-0.10392304845413251</v>
      </c>
      <c r="O723" s="230">
        <f t="shared" si="401"/>
        <v>7362103.6965026772</v>
      </c>
      <c r="P723" s="230">
        <f t="shared" si="421"/>
        <v>6624168.4699774589</v>
      </c>
      <c r="Q723" s="230">
        <f>L723+P723+IF(J723=1,'Model Inputs'!$B$26,0)</f>
        <v>6924168.4699774589</v>
      </c>
      <c r="R723" s="230">
        <f t="shared" si="402"/>
        <v>20772505.409932375</v>
      </c>
      <c r="S723" s="230">
        <f t="shared" si="403"/>
        <v>10300000</v>
      </c>
      <c r="T723" s="230">
        <f t="shared" si="404"/>
        <v>10300000</v>
      </c>
      <c r="U723" s="230">
        <f>MIN(T723,'Tax Assumptions'!$B$19)</f>
        <v>24500</v>
      </c>
      <c r="V723" s="230">
        <f>MAX(T723-U723-'Tax Assumptions'!$B$8,0)</f>
        <v>10259400</v>
      </c>
      <c r="W723" s="230">
        <f>MAX(T723-U723-'Tax Assumptions'!$B$9,0)</f>
        <v>10267500</v>
      </c>
      <c r="X723" s="230">
        <f>IF(V723=0,0,LOOKUP(V723,'Tax Assumptions'!$F$9:$F$15,'Tax Assumptions'!$I$9:$I$15)+(V723-LOOKUP(V723,'Tax Assumptions'!$F$9:$F$15,'Tax Assumptions'!$F$9:$F$15))*LOOKUP(V723,'Tax Assumptions'!$F$9:$F$15,'Tax Assumptions'!$H$9:$H$15))+MIN(MAX(T723,0),'Tax Assumptions'!$B$11)*'Tax Assumptions'!$B$10+MAX(T723,0)*'Tax Assumptions'!$B$12+MAX(MAX(T723,0)-'Tax Assumptions'!$B$14,0)*'Tax Assumptions'!$B$13+MIN(T723*'Tax Assumptions'!$B$15,'Tax Assumptions'!$B$16)+MIN(T723*'Tax Assumptions'!$B$17,'Tax Assumptions'!$B$18)+IF(W723=0,0,LOOKUP(W723,'Tax Assumptions'!$K$9:$K$17,'Tax Assumptions'!$N$9:$N$17)+(W723-LOOKUP(W723,'Tax Assumptions'!$K$9:$K$17,'Tax Assumptions'!$K$9:$K$17))*LOOKUP(W723,'Tax Assumptions'!$K$9:$K$17,'Tax Assumptions'!$M$9:$M$17))+IF(W723=0,0,LOOKUP(W723,'Tax Assumptions'!$P$9:$P$12,'Tax Assumptions'!$S$9:$S$12)+(W723-LOOKUP(W723,'Tax Assumptions'!$P$9:$P$12,'Tax Assumptions'!$P$9:$P$12))*LOOKUP(W723,'Tax Assumptions'!$P$9:$P$12,'Tax Assumptions'!$R$9:$R$12))</f>
        <v>5394180.54</v>
      </c>
      <c r="Y723" s="230">
        <f t="shared" si="405"/>
        <v>4881319.46</v>
      </c>
      <c r="Z723" s="230">
        <f>IF(J723&lt;=10,INDEX('Savings Projection'!$BL$19:$BL$28,J723),LOOKUP(2,1/('Savings Projection'!$BL$19:$BL$28&lt;&gt;""),'Savings Projection'!$BL$19:$BL$28))*(1+'Model Inputs'!$B$35)^(J723-1)+IF(J723&lt;=10,INDEX('Savings Projection'!$BM$19:$BM$28,J723),LOOKUP(2,1/('Savings Projection'!$BM$19:$BM$28&lt;&gt;""),'Savings Projection'!$BM$19:$BM$28))*(1+'Model Inputs'!$B$36)^(J723-1)</f>
        <v>190909.3827487033</v>
      </c>
      <c r="AA723" s="230">
        <f t="shared" si="406"/>
        <v>4690410.0772512965</v>
      </c>
      <c r="AB723" s="230">
        <f>MIN(MAX(AA723,0),'Tax Assumptions'!$B$20)</f>
        <v>7500</v>
      </c>
      <c r="AC723" s="230">
        <f t="shared" si="407"/>
        <v>4682910.0772512965</v>
      </c>
      <c r="AD723" s="230">
        <f>MAX(AD722*(1+'Model Inputs'!$B$13)+AC723,0)</f>
        <v>47092159.084091291</v>
      </c>
      <c r="AE723" s="230">
        <f>MAX(AE722*(1+'Model Inputs'!$B$13)+U723+AB723,0)</f>
        <v>672482.1097356932</v>
      </c>
      <c r="AF723" s="230">
        <f t="shared" si="408"/>
        <v>47764641.193826981</v>
      </c>
      <c r="AG723" s="226" t="str">
        <f t="shared" si="417"/>
        <v/>
      </c>
      <c r="AH723" s="226" t="str">
        <f t="shared" si="418"/>
        <v/>
      </c>
      <c r="AI723" s="226" t="str">
        <f t="shared" si="419"/>
        <v/>
      </c>
      <c r="AJ723" s="226" t="str">
        <f t="shared" si="420"/>
        <v/>
      </c>
    </row>
    <row r="724" spans="1:36" ht="18" customHeight="1" x14ac:dyDescent="0.2">
      <c r="A724" s="226" t="str">
        <f t="shared" si="409"/>
        <v>5Y -&gt; PM Y8 Upside</v>
      </c>
      <c r="B724" s="226">
        <f t="shared" si="410"/>
        <v>5</v>
      </c>
      <c r="C724" s="235">
        <f t="shared" si="411"/>
        <v>3</v>
      </c>
      <c r="D724" s="226">
        <f t="shared" si="412"/>
        <v>8</v>
      </c>
      <c r="E724" s="226" t="str">
        <f t="shared" si="413"/>
        <v>Upside</v>
      </c>
      <c r="F724" s="230">
        <f t="shared" si="414"/>
        <v>50000000</v>
      </c>
      <c r="G724" s="236">
        <f t="shared" si="415"/>
        <v>0.2</v>
      </c>
      <c r="H724" s="230">
        <f t="shared" si="416"/>
        <v>300000</v>
      </c>
      <c r="I724" s="236">
        <f t="shared" si="399"/>
        <v>0</v>
      </c>
      <c r="J724" s="234">
        <v>15</v>
      </c>
      <c r="K724" s="234">
        <f t="shared" si="400"/>
        <v>2040</v>
      </c>
      <c r="L724" s="230">
        <f>IF(J724=1,'Model Inputs'!$B$25*(13-'Model Inputs'!$B$23)/12,'Model Inputs'!$B$25)</f>
        <v>300000</v>
      </c>
      <c r="M724" s="230">
        <f>IF(J724=1,'Model Inputs'!$B$27*(13-'Model Inputs'!$B$23)/12,IF(J724=2,'Model Inputs'!$B$27,IF(J724&lt;=MAX(3,'Model Inputs'!$B$30+1),'Model Inputs'!$B$27*(1+'Model Inputs'!$B$28)^(J724-3),'Model Inputs'!$B$27*(1+'Model Inputs'!$B$28)^(MAX(3,'Model Inputs'!$B$30+1)-3)*(1+'Model Inputs'!$B$29)^(J724-MAX(3,'Model Inputs'!$B$30+1)))))</f>
        <v>10441437.475041937</v>
      </c>
      <c r="N724" s="236">
        <f>IF(J724&lt;=2,0,'Model Inputs'!$B$32*SIN(2*PI()*(J724-3+'Model Inputs'!$B$34)/MAX(1,'Model Inputs'!$B$33)))</f>
        <v>-1.1756609271814589E-16</v>
      </c>
      <c r="O724" s="230">
        <f t="shared" si="401"/>
        <v>10441437.475041935</v>
      </c>
      <c r="P724" s="230">
        <f t="shared" si="421"/>
        <v>7305729.4161605267</v>
      </c>
      <c r="Q724" s="230">
        <f>L724+P724+IF(J724=1,'Model Inputs'!$B$26,0)</f>
        <v>7605729.4161605267</v>
      </c>
      <c r="R724" s="230">
        <f t="shared" si="402"/>
        <v>22817188.248481579</v>
      </c>
      <c r="S724" s="230">
        <f t="shared" si="403"/>
        <v>10300000</v>
      </c>
      <c r="T724" s="230">
        <f t="shared" si="404"/>
        <v>10300000</v>
      </c>
      <c r="U724" s="230">
        <f>MIN(T724,'Tax Assumptions'!$B$19)</f>
        <v>24500</v>
      </c>
      <c r="V724" s="230">
        <f>MAX(T724-U724-'Tax Assumptions'!$B$8,0)</f>
        <v>10259400</v>
      </c>
      <c r="W724" s="230">
        <f>MAX(T724-U724-'Tax Assumptions'!$B$9,0)</f>
        <v>10267500</v>
      </c>
      <c r="X724" s="230">
        <f>IF(V724=0,0,LOOKUP(V724,'Tax Assumptions'!$F$9:$F$15,'Tax Assumptions'!$I$9:$I$15)+(V724-LOOKUP(V724,'Tax Assumptions'!$F$9:$F$15,'Tax Assumptions'!$F$9:$F$15))*LOOKUP(V724,'Tax Assumptions'!$F$9:$F$15,'Tax Assumptions'!$H$9:$H$15))+MIN(MAX(T724,0),'Tax Assumptions'!$B$11)*'Tax Assumptions'!$B$10+MAX(T724,0)*'Tax Assumptions'!$B$12+MAX(MAX(T724,0)-'Tax Assumptions'!$B$14,0)*'Tax Assumptions'!$B$13+MIN(T724*'Tax Assumptions'!$B$15,'Tax Assumptions'!$B$16)+MIN(T724*'Tax Assumptions'!$B$17,'Tax Assumptions'!$B$18)+IF(W724=0,0,LOOKUP(W724,'Tax Assumptions'!$K$9:$K$17,'Tax Assumptions'!$N$9:$N$17)+(W724-LOOKUP(W724,'Tax Assumptions'!$K$9:$K$17,'Tax Assumptions'!$K$9:$K$17))*LOOKUP(W724,'Tax Assumptions'!$K$9:$K$17,'Tax Assumptions'!$M$9:$M$17))+IF(W724=0,0,LOOKUP(W724,'Tax Assumptions'!$P$9:$P$12,'Tax Assumptions'!$S$9:$S$12)+(W724-LOOKUP(W724,'Tax Assumptions'!$P$9:$P$12,'Tax Assumptions'!$P$9:$P$12))*LOOKUP(W724,'Tax Assumptions'!$P$9:$P$12,'Tax Assumptions'!$R$9:$R$12))</f>
        <v>5394180.54</v>
      </c>
      <c r="Y724" s="230">
        <f t="shared" si="405"/>
        <v>4881319.46</v>
      </c>
      <c r="Z724" s="230">
        <f>IF(J724&lt;=10,INDEX('Savings Projection'!$BL$19:$BL$28,J724),LOOKUP(2,1/('Savings Projection'!$BL$19:$BL$28&lt;&gt;""),'Savings Projection'!$BL$19:$BL$28))*(1+'Model Inputs'!$B$35)^(J724-1)+IF(J724&lt;=10,INDEX('Savings Projection'!$BM$19:$BM$28,J724),LOOKUP(2,1/('Savings Projection'!$BM$19:$BM$28&lt;&gt;""),'Savings Projection'!$BM$19:$BM$28))*(1+'Model Inputs'!$B$36)^(J724-1)</f>
        <v>196636.66423116444</v>
      </c>
      <c r="AA724" s="230">
        <f t="shared" si="406"/>
        <v>4684682.7957688356</v>
      </c>
      <c r="AB724" s="230">
        <f>MIN(MAX(AA724,0),'Tax Assumptions'!$B$20)</f>
        <v>7500</v>
      </c>
      <c r="AC724" s="230">
        <f t="shared" si="407"/>
        <v>4677182.7957688356</v>
      </c>
      <c r="AD724" s="230">
        <f>MAX(AD723*(1+'Model Inputs'!$B$13)+AC724,0)</f>
        <v>54594871.424905606</v>
      </c>
      <c r="AE724" s="230">
        <f>MAX(AE723*(1+'Model Inputs'!$B$13)+U724+AB724,0)</f>
        <v>744831.03631983488</v>
      </c>
      <c r="AF724" s="230">
        <f t="shared" si="408"/>
        <v>55339702.461225443</v>
      </c>
      <c r="AG724" s="226" t="str">
        <f t="shared" si="417"/>
        <v/>
      </c>
      <c r="AH724" s="226" t="str">
        <f t="shared" si="418"/>
        <v/>
      </c>
      <c r="AI724" s="226" t="str">
        <f t="shared" si="419"/>
        <v/>
      </c>
      <c r="AJ724" s="226" t="str">
        <f t="shared" si="420"/>
        <v/>
      </c>
    </row>
    <row r="725" spans="1:36" ht="18" customHeight="1" x14ac:dyDescent="0.2">
      <c r="A725" s="226" t="str">
        <f t="shared" si="409"/>
        <v>5Y -&gt; PM Y8 Upside</v>
      </c>
      <c r="B725" s="226">
        <f t="shared" si="410"/>
        <v>5</v>
      </c>
      <c r="C725" s="235">
        <f t="shared" si="411"/>
        <v>3</v>
      </c>
      <c r="D725" s="226">
        <f t="shared" si="412"/>
        <v>8</v>
      </c>
      <c r="E725" s="226" t="str">
        <f t="shared" si="413"/>
        <v>Upside</v>
      </c>
      <c r="F725" s="230">
        <f t="shared" si="414"/>
        <v>50000000</v>
      </c>
      <c r="G725" s="236">
        <f t="shared" si="415"/>
        <v>0.2</v>
      </c>
      <c r="H725" s="230">
        <f t="shared" si="416"/>
        <v>300000</v>
      </c>
      <c r="I725" s="236">
        <f t="shared" si="399"/>
        <v>0</v>
      </c>
      <c r="J725" s="234">
        <v>16</v>
      </c>
      <c r="K725" s="234">
        <f t="shared" si="400"/>
        <v>2041</v>
      </c>
      <c r="L725" s="230">
        <f>IF(J725=1,'Model Inputs'!$B$25*(13-'Model Inputs'!$B$23)/12,'Model Inputs'!$B$25)</f>
        <v>300000</v>
      </c>
      <c r="M725" s="230">
        <f>IF(J725=1,'Model Inputs'!$B$27*(13-'Model Inputs'!$B$23)/12,IF(J725=2,'Model Inputs'!$B$27,IF(J725&lt;=MAX(3,'Model Inputs'!$B$30+1),'Model Inputs'!$B$27*(1+'Model Inputs'!$B$28)^(J725-3),'Model Inputs'!$B$27*(1+'Model Inputs'!$B$28)^(MAX(3,'Model Inputs'!$B$30+1)-3)*(1+'Model Inputs'!$B$29)^(J725-MAX(3,'Model Inputs'!$B$30+1)))))</f>
        <v>13269787.276528884</v>
      </c>
      <c r="N725" s="236">
        <f>IF(J725&lt;=2,0,'Model Inputs'!$B$32*SIN(2*PI()*(J725-3+'Model Inputs'!$B$34)/MAX(1,'Model Inputs'!$B$33)))</f>
        <v>0.10392304845413262</v>
      </c>
      <c r="O725" s="230">
        <f t="shared" si="401"/>
        <v>14648824.022643628</v>
      </c>
      <c r="P725" s="230">
        <f t="shared" si="421"/>
        <v>9671604.0304071214</v>
      </c>
      <c r="Q725" s="230">
        <f>L725+P725+IF(J725=1,'Model Inputs'!$B$26,0)</f>
        <v>9971604.0304071214</v>
      </c>
      <c r="R725" s="230">
        <f t="shared" si="402"/>
        <v>29914812.091221362</v>
      </c>
      <c r="S725" s="230">
        <f t="shared" si="403"/>
        <v>10300000</v>
      </c>
      <c r="T725" s="230">
        <f t="shared" si="404"/>
        <v>10300000</v>
      </c>
      <c r="U725" s="230">
        <f>MIN(T725,'Tax Assumptions'!$B$19)</f>
        <v>24500</v>
      </c>
      <c r="V725" s="230">
        <f>MAX(T725-U725-'Tax Assumptions'!$B$8,0)</f>
        <v>10259400</v>
      </c>
      <c r="W725" s="230">
        <f>MAX(T725-U725-'Tax Assumptions'!$B$9,0)</f>
        <v>10267500</v>
      </c>
      <c r="X725" s="230">
        <f>IF(V725=0,0,LOOKUP(V725,'Tax Assumptions'!$F$9:$F$15,'Tax Assumptions'!$I$9:$I$15)+(V725-LOOKUP(V725,'Tax Assumptions'!$F$9:$F$15,'Tax Assumptions'!$F$9:$F$15))*LOOKUP(V725,'Tax Assumptions'!$F$9:$F$15,'Tax Assumptions'!$H$9:$H$15))+MIN(MAX(T725,0),'Tax Assumptions'!$B$11)*'Tax Assumptions'!$B$10+MAX(T725,0)*'Tax Assumptions'!$B$12+MAX(MAX(T725,0)-'Tax Assumptions'!$B$14,0)*'Tax Assumptions'!$B$13+MIN(T725*'Tax Assumptions'!$B$15,'Tax Assumptions'!$B$16)+MIN(T725*'Tax Assumptions'!$B$17,'Tax Assumptions'!$B$18)+IF(W725=0,0,LOOKUP(W725,'Tax Assumptions'!$K$9:$K$17,'Tax Assumptions'!$N$9:$N$17)+(W725-LOOKUP(W725,'Tax Assumptions'!$K$9:$K$17,'Tax Assumptions'!$K$9:$K$17))*LOOKUP(W725,'Tax Assumptions'!$K$9:$K$17,'Tax Assumptions'!$M$9:$M$17))+IF(W725=0,0,LOOKUP(W725,'Tax Assumptions'!$P$9:$P$12,'Tax Assumptions'!$S$9:$S$12)+(W725-LOOKUP(W725,'Tax Assumptions'!$P$9:$P$12,'Tax Assumptions'!$P$9:$P$12))*LOOKUP(W725,'Tax Assumptions'!$P$9:$P$12,'Tax Assumptions'!$R$9:$R$12))</f>
        <v>5394180.54</v>
      </c>
      <c r="Y725" s="230">
        <f t="shared" si="405"/>
        <v>4881319.46</v>
      </c>
      <c r="Z725" s="230">
        <f>IF(J725&lt;=10,INDEX('Savings Projection'!$BL$19:$BL$28,J725),LOOKUP(2,1/('Savings Projection'!$BL$19:$BL$28&lt;&gt;""),'Savings Projection'!$BL$19:$BL$28))*(1+'Model Inputs'!$B$35)^(J725-1)+IF(J725&lt;=10,INDEX('Savings Projection'!$BM$19:$BM$28,J725),LOOKUP(2,1/('Savings Projection'!$BM$19:$BM$28&lt;&gt;""),'Savings Projection'!$BM$19:$BM$28))*(1+'Model Inputs'!$B$36)^(J725-1)</f>
        <v>202535.76415809937</v>
      </c>
      <c r="AA725" s="230">
        <f t="shared" si="406"/>
        <v>4678783.695841901</v>
      </c>
      <c r="AB725" s="230">
        <f>MIN(MAX(AA725,0),'Tax Assumptions'!$B$20)</f>
        <v>7500</v>
      </c>
      <c r="AC725" s="230">
        <f t="shared" si="407"/>
        <v>4671283.695841901</v>
      </c>
      <c r="AD725" s="230">
        <f>MAX(AD724*(1+'Model Inputs'!$B$13)+AC725,0)</f>
        <v>62541847.406241849</v>
      </c>
      <c r="AE725" s="230">
        <f>MAX(AE724*(1+'Model Inputs'!$B$13)+U725+AB725,0)</f>
        <v>821520.89849902503</v>
      </c>
      <c r="AF725" s="230">
        <f t="shared" si="408"/>
        <v>63363368.304740876</v>
      </c>
      <c r="AG725" s="226" t="str">
        <f t="shared" si="417"/>
        <v/>
      </c>
      <c r="AH725" s="226" t="str">
        <f t="shared" si="418"/>
        <v/>
      </c>
      <c r="AI725" s="226" t="str">
        <f t="shared" si="419"/>
        <v/>
      </c>
      <c r="AJ725" s="226" t="str">
        <f t="shared" si="420"/>
        <v/>
      </c>
    </row>
    <row r="726" spans="1:36" ht="18" customHeight="1" x14ac:dyDescent="0.2">
      <c r="A726" s="226" t="str">
        <f t="shared" si="409"/>
        <v>5Y -&gt; PM Y8 Upside</v>
      </c>
      <c r="B726" s="226">
        <f t="shared" si="410"/>
        <v>5</v>
      </c>
      <c r="C726" s="235">
        <f t="shared" si="411"/>
        <v>3</v>
      </c>
      <c r="D726" s="226">
        <f t="shared" si="412"/>
        <v>8</v>
      </c>
      <c r="E726" s="226" t="str">
        <f t="shared" si="413"/>
        <v>Upside</v>
      </c>
      <c r="F726" s="230">
        <f t="shared" si="414"/>
        <v>50000000</v>
      </c>
      <c r="G726" s="236">
        <f t="shared" si="415"/>
        <v>0.2</v>
      </c>
      <c r="H726" s="230">
        <f t="shared" si="416"/>
        <v>300000</v>
      </c>
      <c r="I726" s="236">
        <f t="shared" si="399"/>
        <v>0</v>
      </c>
      <c r="J726" s="234">
        <v>17</v>
      </c>
      <c r="K726" s="234">
        <f t="shared" si="400"/>
        <v>2042</v>
      </c>
      <c r="L726" s="230">
        <f>IF(J726=1,'Model Inputs'!$B$25*(13-'Model Inputs'!$B$23)/12,'Model Inputs'!$B$25)</f>
        <v>300000</v>
      </c>
      <c r="M726" s="230">
        <f>IF(J726=1,'Model Inputs'!$B$27*(13-'Model Inputs'!$B$23)/12,IF(J726=2,'Model Inputs'!$B$27,IF(J726&lt;=MAX(3,'Model Inputs'!$B$30+1),'Model Inputs'!$B$27*(1+'Model Inputs'!$B$28)^(J726-3),'Model Inputs'!$B$27*(1+'Model Inputs'!$B$28)^(MAX(3,'Model Inputs'!$B$30+1)-3)*(1+'Model Inputs'!$B$29)^(J726-MAX(3,'Model Inputs'!$B$30+1)))))</f>
        <v>16864273.217670217</v>
      </c>
      <c r="N726" s="236">
        <f>IF(J726&lt;=2,0,'Model Inputs'!$B$32*SIN(2*PI()*(J726-3+'Model Inputs'!$B$34)/MAX(1,'Model Inputs'!$B$33)))</f>
        <v>-0.1039230484541325</v>
      </c>
      <c r="O726" s="230">
        <f t="shared" si="401"/>
        <v>15111686.534926547</v>
      </c>
      <c r="P726" s="230">
        <f t="shared" si="421"/>
        <v>13596977.385743205</v>
      </c>
      <c r="Q726" s="230">
        <f>L726+P726+IF(J726=1,'Model Inputs'!$B$26,0)</f>
        <v>13896977.385743205</v>
      </c>
      <c r="R726" s="230">
        <f t="shared" si="402"/>
        <v>41690932.157229617</v>
      </c>
      <c r="S726" s="230">
        <f t="shared" si="403"/>
        <v>10300000</v>
      </c>
      <c r="T726" s="230">
        <f t="shared" si="404"/>
        <v>10300000</v>
      </c>
      <c r="U726" s="230">
        <f>MIN(T726,'Tax Assumptions'!$B$19)</f>
        <v>24500</v>
      </c>
      <c r="V726" s="230">
        <f>MAX(T726-U726-'Tax Assumptions'!$B$8,0)</f>
        <v>10259400</v>
      </c>
      <c r="W726" s="230">
        <f>MAX(T726-U726-'Tax Assumptions'!$B$9,0)</f>
        <v>10267500</v>
      </c>
      <c r="X726" s="230">
        <f>IF(V726=0,0,LOOKUP(V726,'Tax Assumptions'!$F$9:$F$15,'Tax Assumptions'!$I$9:$I$15)+(V726-LOOKUP(V726,'Tax Assumptions'!$F$9:$F$15,'Tax Assumptions'!$F$9:$F$15))*LOOKUP(V726,'Tax Assumptions'!$F$9:$F$15,'Tax Assumptions'!$H$9:$H$15))+MIN(MAX(T726,0),'Tax Assumptions'!$B$11)*'Tax Assumptions'!$B$10+MAX(T726,0)*'Tax Assumptions'!$B$12+MAX(MAX(T726,0)-'Tax Assumptions'!$B$14,0)*'Tax Assumptions'!$B$13+MIN(T726*'Tax Assumptions'!$B$15,'Tax Assumptions'!$B$16)+MIN(T726*'Tax Assumptions'!$B$17,'Tax Assumptions'!$B$18)+IF(W726=0,0,LOOKUP(W726,'Tax Assumptions'!$K$9:$K$17,'Tax Assumptions'!$N$9:$N$17)+(W726-LOOKUP(W726,'Tax Assumptions'!$K$9:$K$17,'Tax Assumptions'!$K$9:$K$17))*LOOKUP(W726,'Tax Assumptions'!$K$9:$K$17,'Tax Assumptions'!$M$9:$M$17))+IF(W726=0,0,LOOKUP(W726,'Tax Assumptions'!$P$9:$P$12,'Tax Assumptions'!$S$9:$S$12)+(W726-LOOKUP(W726,'Tax Assumptions'!$P$9:$P$12,'Tax Assumptions'!$P$9:$P$12))*LOOKUP(W726,'Tax Assumptions'!$P$9:$P$12,'Tax Assumptions'!$R$9:$R$12))</f>
        <v>5394180.54</v>
      </c>
      <c r="Y726" s="230">
        <f t="shared" si="405"/>
        <v>4881319.46</v>
      </c>
      <c r="Z726" s="230">
        <f>IF(J726&lt;=10,INDEX('Savings Projection'!$BL$19:$BL$28,J726),LOOKUP(2,1/('Savings Projection'!$BL$19:$BL$28&lt;&gt;""),'Savings Projection'!$BL$19:$BL$28))*(1+'Model Inputs'!$B$35)^(J726-1)+IF(J726&lt;=10,INDEX('Savings Projection'!$BM$19:$BM$28,J726),LOOKUP(2,1/('Savings Projection'!$BM$19:$BM$28&lt;&gt;""),'Savings Projection'!$BM$19:$BM$28))*(1+'Model Inputs'!$B$36)^(J726-1)</f>
        <v>208611.83708284231</v>
      </c>
      <c r="AA726" s="230">
        <f t="shared" si="406"/>
        <v>4672707.6229171576</v>
      </c>
      <c r="AB726" s="230">
        <f>MIN(MAX(AA726,0),'Tax Assumptions'!$B$20)</f>
        <v>7500</v>
      </c>
      <c r="AC726" s="230">
        <f t="shared" si="407"/>
        <v>4665207.6229171576</v>
      </c>
      <c r="AD726" s="230">
        <f>MAX(AD725*(1+'Model Inputs'!$B$13)+AC726,0)</f>
        <v>70959565.873533517</v>
      </c>
      <c r="AE726" s="230">
        <f>MAX(AE725*(1+'Model Inputs'!$B$13)+U726+AB726,0)</f>
        <v>902812.15240896656</v>
      </c>
      <c r="AF726" s="230">
        <f t="shared" si="408"/>
        <v>71862378.02594249</v>
      </c>
      <c r="AG726" s="226" t="str">
        <f t="shared" si="417"/>
        <v/>
      </c>
      <c r="AH726" s="226" t="str">
        <f t="shared" si="418"/>
        <v/>
      </c>
      <c r="AI726" s="226" t="str">
        <f t="shared" si="419"/>
        <v/>
      </c>
      <c r="AJ726" s="226" t="str">
        <f t="shared" si="420"/>
        <v/>
      </c>
    </row>
    <row r="727" spans="1:36" ht="18" customHeight="1" x14ac:dyDescent="0.2">
      <c r="A727" s="226" t="str">
        <f t="shared" si="409"/>
        <v>5Y -&gt; PM Y8 Upside</v>
      </c>
      <c r="B727" s="226">
        <f t="shared" si="410"/>
        <v>5</v>
      </c>
      <c r="C727" s="235">
        <f t="shared" si="411"/>
        <v>3</v>
      </c>
      <c r="D727" s="226">
        <f t="shared" si="412"/>
        <v>8</v>
      </c>
      <c r="E727" s="226" t="str">
        <f t="shared" si="413"/>
        <v>Upside</v>
      </c>
      <c r="F727" s="230">
        <f t="shared" si="414"/>
        <v>50000000</v>
      </c>
      <c r="G727" s="236">
        <f t="shared" si="415"/>
        <v>0.2</v>
      </c>
      <c r="H727" s="230">
        <f t="shared" si="416"/>
        <v>300000</v>
      </c>
      <c r="I727" s="236">
        <f t="shared" si="399"/>
        <v>0</v>
      </c>
      <c r="J727" s="234">
        <v>18</v>
      </c>
      <c r="K727" s="234">
        <f t="shared" si="400"/>
        <v>2043</v>
      </c>
      <c r="L727" s="230">
        <f>IF(J727=1,'Model Inputs'!$B$25*(13-'Model Inputs'!$B$23)/12,'Model Inputs'!$B$25)</f>
        <v>300000</v>
      </c>
      <c r="M727" s="230">
        <f>IF(J727=1,'Model Inputs'!$B$27*(13-'Model Inputs'!$B$23)/12,IF(J727=2,'Model Inputs'!$B$27,IF(J727&lt;=MAX(3,'Model Inputs'!$B$30+1),'Model Inputs'!$B$27*(1+'Model Inputs'!$B$28)^(J727-3),'Model Inputs'!$B$27*(1+'Model Inputs'!$B$28)^(MAX(3,'Model Inputs'!$B$30+1)-3)*(1+'Model Inputs'!$B$29)^(J727-MAX(3,'Model Inputs'!$B$30+1)))))</f>
        <v>21432424.290875554</v>
      </c>
      <c r="N727" s="236">
        <f>IF(J727&lt;=2,0,'Model Inputs'!$B$32*SIN(2*PI()*(J727-3+'Model Inputs'!$B$34)/MAX(1,'Model Inputs'!$B$33)))</f>
        <v>-5.7328325735374245E-16</v>
      </c>
      <c r="O727" s="230">
        <f t="shared" si="401"/>
        <v>21432424.290875543</v>
      </c>
      <c r="P727" s="230">
        <f t="shared" si="421"/>
        <v>14995970.906855816</v>
      </c>
      <c r="Q727" s="230">
        <f>L727+P727+IF(J727=1,'Model Inputs'!$B$26,0)</f>
        <v>15295970.906855816</v>
      </c>
      <c r="R727" s="230">
        <f t="shared" si="402"/>
        <v>45887912.72056745</v>
      </c>
      <c r="S727" s="230">
        <f t="shared" si="403"/>
        <v>10300000</v>
      </c>
      <c r="T727" s="230">
        <f t="shared" si="404"/>
        <v>10300000</v>
      </c>
      <c r="U727" s="230">
        <f>MIN(T727,'Tax Assumptions'!$B$19)</f>
        <v>24500</v>
      </c>
      <c r="V727" s="230">
        <f>MAX(T727-U727-'Tax Assumptions'!$B$8,0)</f>
        <v>10259400</v>
      </c>
      <c r="W727" s="230">
        <f>MAX(T727-U727-'Tax Assumptions'!$B$9,0)</f>
        <v>10267500</v>
      </c>
      <c r="X727" s="230">
        <f>IF(V727=0,0,LOOKUP(V727,'Tax Assumptions'!$F$9:$F$15,'Tax Assumptions'!$I$9:$I$15)+(V727-LOOKUP(V727,'Tax Assumptions'!$F$9:$F$15,'Tax Assumptions'!$F$9:$F$15))*LOOKUP(V727,'Tax Assumptions'!$F$9:$F$15,'Tax Assumptions'!$H$9:$H$15))+MIN(MAX(T727,0),'Tax Assumptions'!$B$11)*'Tax Assumptions'!$B$10+MAX(T727,0)*'Tax Assumptions'!$B$12+MAX(MAX(T727,0)-'Tax Assumptions'!$B$14,0)*'Tax Assumptions'!$B$13+MIN(T727*'Tax Assumptions'!$B$15,'Tax Assumptions'!$B$16)+MIN(T727*'Tax Assumptions'!$B$17,'Tax Assumptions'!$B$18)+IF(W727=0,0,LOOKUP(W727,'Tax Assumptions'!$K$9:$K$17,'Tax Assumptions'!$N$9:$N$17)+(W727-LOOKUP(W727,'Tax Assumptions'!$K$9:$K$17,'Tax Assumptions'!$K$9:$K$17))*LOOKUP(W727,'Tax Assumptions'!$K$9:$K$17,'Tax Assumptions'!$M$9:$M$17))+IF(W727=0,0,LOOKUP(W727,'Tax Assumptions'!$P$9:$P$12,'Tax Assumptions'!$S$9:$S$12)+(W727-LOOKUP(W727,'Tax Assumptions'!$P$9:$P$12,'Tax Assumptions'!$P$9:$P$12))*LOOKUP(W727,'Tax Assumptions'!$P$9:$P$12,'Tax Assumptions'!$R$9:$R$12))</f>
        <v>5394180.54</v>
      </c>
      <c r="Y727" s="230">
        <f t="shared" si="405"/>
        <v>4881319.46</v>
      </c>
      <c r="Z727" s="230">
        <f>IF(J727&lt;=10,INDEX('Savings Projection'!$BL$19:$BL$28,J727),LOOKUP(2,1/('Savings Projection'!$BL$19:$BL$28&lt;&gt;""),'Savings Projection'!$BL$19:$BL$28))*(1+'Model Inputs'!$B$35)^(J727-1)+IF(J727&lt;=10,INDEX('Savings Projection'!$BM$19:$BM$28,J727),LOOKUP(2,1/('Savings Projection'!$BM$19:$BM$28&lt;&gt;""),'Savings Projection'!$BM$19:$BM$28))*(1+'Model Inputs'!$B$36)^(J727-1)</f>
        <v>214870.1921953276</v>
      </c>
      <c r="AA727" s="230">
        <f t="shared" si="406"/>
        <v>4666449.267804672</v>
      </c>
      <c r="AB727" s="230">
        <f>MIN(MAX(AA727,0),'Tax Assumptions'!$B$20)</f>
        <v>7500</v>
      </c>
      <c r="AC727" s="230">
        <f t="shared" si="407"/>
        <v>4658949.267804672</v>
      </c>
      <c r="AD727" s="230">
        <f>MAX(AD726*(1+'Model Inputs'!$B$13)+AC727,0)</f>
        <v>79876089.093750194</v>
      </c>
      <c r="AE727" s="230">
        <f>MAX(AE726*(1+'Model Inputs'!$B$13)+U727+AB727,0)</f>
        <v>988980.88155350462</v>
      </c>
      <c r="AF727" s="230">
        <f t="shared" si="408"/>
        <v>80865069.975303695</v>
      </c>
      <c r="AG727" s="226" t="str">
        <f t="shared" si="417"/>
        <v/>
      </c>
      <c r="AH727" s="226" t="str">
        <f t="shared" si="418"/>
        <v/>
      </c>
      <c r="AI727" s="226" t="str">
        <f t="shared" si="419"/>
        <v/>
      </c>
      <c r="AJ727" s="226" t="str">
        <f t="shared" si="420"/>
        <v/>
      </c>
    </row>
    <row r="728" spans="1:36" ht="18" customHeight="1" x14ac:dyDescent="0.2">
      <c r="A728" s="226" t="str">
        <f t="shared" si="409"/>
        <v>5Y -&gt; PM Y8 Upside</v>
      </c>
      <c r="B728" s="226">
        <f t="shared" si="410"/>
        <v>5</v>
      </c>
      <c r="C728" s="235">
        <f t="shared" si="411"/>
        <v>3</v>
      </c>
      <c r="D728" s="226">
        <f t="shared" si="412"/>
        <v>8</v>
      </c>
      <c r="E728" s="226" t="str">
        <f t="shared" si="413"/>
        <v>Upside</v>
      </c>
      <c r="F728" s="230">
        <f t="shared" si="414"/>
        <v>50000000</v>
      </c>
      <c r="G728" s="236">
        <f t="shared" si="415"/>
        <v>0.2</v>
      </c>
      <c r="H728" s="230">
        <f t="shared" si="416"/>
        <v>300000</v>
      </c>
      <c r="I728" s="236">
        <f t="shared" si="399"/>
        <v>0</v>
      </c>
      <c r="J728" s="234">
        <v>19</v>
      </c>
      <c r="K728" s="234">
        <f t="shared" si="400"/>
        <v>2044</v>
      </c>
      <c r="L728" s="230">
        <f>IF(J728=1,'Model Inputs'!$B$25*(13-'Model Inputs'!$B$23)/12,'Model Inputs'!$B$25)</f>
        <v>300000</v>
      </c>
      <c r="M728" s="230">
        <f>IF(J728=1,'Model Inputs'!$B$27*(13-'Model Inputs'!$B$23)/12,IF(J728=2,'Model Inputs'!$B$27,IF(J728&lt;=MAX(3,'Model Inputs'!$B$30+1),'Model Inputs'!$B$27*(1+'Model Inputs'!$B$28)^(J728-3),'Model Inputs'!$B$27*(1+'Model Inputs'!$B$28)^(MAX(3,'Model Inputs'!$B$30+1)-3)*(1+'Model Inputs'!$B$29)^(J728-MAX(3,'Model Inputs'!$B$30+1)))))</f>
        <v>27237984.409717187</v>
      </c>
      <c r="N728" s="236">
        <f>IF(J728&lt;=2,0,'Model Inputs'!$B$32*SIN(2*PI()*(J728-3+'Model Inputs'!$B$34)/MAX(1,'Model Inputs'!$B$33)))</f>
        <v>0.10392304845413286</v>
      </c>
      <c r="O728" s="230">
        <f t="shared" si="401"/>
        <v>30068638.783321142</v>
      </c>
      <c r="P728" s="230">
        <f t="shared" si="421"/>
        <v>19852239.851888295</v>
      </c>
      <c r="Q728" s="230">
        <f>L728+P728+IF(J728=1,'Model Inputs'!$B$26,0)</f>
        <v>20152239.851888295</v>
      </c>
      <c r="R728" s="230">
        <f t="shared" si="402"/>
        <v>60456719.555664882</v>
      </c>
      <c r="S728" s="230">
        <f t="shared" si="403"/>
        <v>10300000</v>
      </c>
      <c r="T728" s="230">
        <f t="shared" si="404"/>
        <v>10300000</v>
      </c>
      <c r="U728" s="230">
        <f>MIN(T728,'Tax Assumptions'!$B$19)</f>
        <v>24500</v>
      </c>
      <c r="V728" s="230">
        <f>MAX(T728-U728-'Tax Assumptions'!$B$8,0)</f>
        <v>10259400</v>
      </c>
      <c r="W728" s="230">
        <f>MAX(T728-U728-'Tax Assumptions'!$B$9,0)</f>
        <v>10267500</v>
      </c>
      <c r="X728" s="230">
        <f>IF(V728=0,0,LOOKUP(V728,'Tax Assumptions'!$F$9:$F$15,'Tax Assumptions'!$I$9:$I$15)+(V728-LOOKUP(V728,'Tax Assumptions'!$F$9:$F$15,'Tax Assumptions'!$F$9:$F$15))*LOOKUP(V728,'Tax Assumptions'!$F$9:$F$15,'Tax Assumptions'!$H$9:$H$15))+MIN(MAX(T728,0),'Tax Assumptions'!$B$11)*'Tax Assumptions'!$B$10+MAX(T728,0)*'Tax Assumptions'!$B$12+MAX(MAX(T728,0)-'Tax Assumptions'!$B$14,0)*'Tax Assumptions'!$B$13+MIN(T728*'Tax Assumptions'!$B$15,'Tax Assumptions'!$B$16)+MIN(T728*'Tax Assumptions'!$B$17,'Tax Assumptions'!$B$18)+IF(W728=0,0,LOOKUP(W728,'Tax Assumptions'!$K$9:$K$17,'Tax Assumptions'!$N$9:$N$17)+(W728-LOOKUP(W728,'Tax Assumptions'!$K$9:$K$17,'Tax Assumptions'!$K$9:$K$17))*LOOKUP(W728,'Tax Assumptions'!$K$9:$K$17,'Tax Assumptions'!$M$9:$M$17))+IF(W728=0,0,LOOKUP(W728,'Tax Assumptions'!$P$9:$P$12,'Tax Assumptions'!$S$9:$S$12)+(W728-LOOKUP(W728,'Tax Assumptions'!$P$9:$P$12,'Tax Assumptions'!$P$9:$P$12))*LOOKUP(W728,'Tax Assumptions'!$P$9:$P$12,'Tax Assumptions'!$R$9:$R$12))</f>
        <v>5394180.54</v>
      </c>
      <c r="Y728" s="230">
        <f t="shared" si="405"/>
        <v>4881319.46</v>
      </c>
      <c r="Z728" s="230">
        <f>IF(J728&lt;=10,INDEX('Savings Projection'!$BL$19:$BL$28,J728),LOOKUP(2,1/('Savings Projection'!$BL$19:$BL$28&lt;&gt;""),'Savings Projection'!$BL$19:$BL$28))*(1+'Model Inputs'!$B$35)^(J728-1)+IF(J728&lt;=10,INDEX('Savings Projection'!$BM$19:$BM$28,J728),LOOKUP(2,1/('Savings Projection'!$BM$19:$BM$28&lt;&gt;""),'Savings Projection'!$BM$19:$BM$28))*(1+'Model Inputs'!$B$36)^(J728-1)</f>
        <v>221316.29796118743</v>
      </c>
      <c r="AA728" s="230">
        <f t="shared" si="406"/>
        <v>4660003.1620388124</v>
      </c>
      <c r="AB728" s="230">
        <f>MIN(MAX(AA728,0),'Tax Assumptions'!$B$20)</f>
        <v>7500</v>
      </c>
      <c r="AC728" s="230">
        <f t="shared" si="407"/>
        <v>4652503.1620388124</v>
      </c>
      <c r="AD728" s="230">
        <f>MAX(AD727*(1+'Model Inputs'!$B$13)+AC728,0)</f>
        <v>89321157.601414025</v>
      </c>
      <c r="AE728" s="230">
        <f>MAX(AE727*(1+'Model Inputs'!$B$13)+U728+AB728,0)</f>
        <v>1080319.7344467151</v>
      </c>
      <c r="AF728" s="230">
        <f t="shared" si="408"/>
        <v>90401477.335860744</v>
      </c>
      <c r="AG728" s="226" t="str">
        <f t="shared" si="417"/>
        <v/>
      </c>
      <c r="AH728" s="226" t="str">
        <f t="shared" si="418"/>
        <v/>
      </c>
      <c r="AI728" s="226" t="str">
        <f t="shared" si="419"/>
        <v/>
      </c>
      <c r="AJ728" s="226" t="str">
        <f t="shared" si="420"/>
        <v/>
      </c>
    </row>
    <row r="729" spans="1:36" ht="18" customHeight="1" x14ac:dyDescent="0.2">
      <c r="A729" s="226" t="str">
        <f t="shared" si="409"/>
        <v>5Y -&gt; PM Y8 Upside</v>
      </c>
      <c r="B729" s="226">
        <f t="shared" si="410"/>
        <v>5</v>
      </c>
      <c r="C729" s="235">
        <f t="shared" si="411"/>
        <v>3</v>
      </c>
      <c r="D729" s="226">
        <f t="shared" si="412"/>
        <v>8</v>
      </c>
      <c r="E729" s="226" t="str">
        <f t="shared" si="413"/>
        <v>Upside</v>
      </c>
      <c r="F729" s="230">
        <f t="shared" si="414"/>
        <v>50000000</v>
      </c>
      <c r="G729" s="236">
        <f t="shared" si="415"/>
        <v>0.2</v>
      </c>
      <c r="H729" s="230">
        <f t="shared" si="416"/>
        <v>300000</v>
      </c>
      <c r="I729" s="236">
        <f t="shared" si="399"/>
        <v>0</v>
      </c>
      <c r="J729" s="234">
        <v>20</v>
      </c>
      <c r="K729" s="234">
        <f t="shared" si="400"/>
        <v>2045</v>
      </c>
      <c r="L729" s="230">
        <f>IF(J729=1,'Model Inputs'!$B$25*(13-'Model Inputs'!$B$23)/12,'Model Inputs'!$B$25)</f>
        <v>300000</v>
      </c>
      <c r="M729" s="230">
        <f>IF(J729=1,'Model Inputs'!$B$27*(13-'Model Inputs'!$B$23)/12,IF(J729=2,'Model Inputs'!$B$27,IF(J729&lt;=MAX(3,'Model Inputs'!$B$30+1),'Model Inputs'!$B$27*(1+'Model Inputs'!$B$28)^(J729-3),'Model Inputs'!$B$27*(1+'Model Inputs'!$B$28)^(MAX(3,'Model Inputs'!$B$30+1)-3)*(1+'Model Inputs'!$B$29)^(J729-MAX(3,'Model Inputs'!$B$30+1)))))</f>
        <v>34616139.762586243</v>
      </c>
      <c r="N729" s="236">
        <f>IF(J729&lt;=2,0,'Model Inputs'!$B$32*SIN(2*PI()*(J729-3+'Model Inputs'!$B$34)/MAX(1,'Model Inputs'!$B$33)))</f>
        <v>-0.10392304845413269</v>
      </c>
      <c r="O729" s="230">
        <f t="shared" si="401"/>
        <v>31018724.992743965</v>
      </c>
      <c r="P729" s="230">
        <f t="shared" si="421"/>
        <v>27909585.160209741</v>
      </c>
      <c r="Q729" s="230">
        <f>L729+P729+IF(J729=1,'Model Inputs'!$B$26,0)</f>
        <v>28209585.160209741</v>
      </c>
      <c r="R729" s="230">
        <f t="shared" si="402"/>
        <v>84628755.480629221</v>
      </c>
      <c r="S729" s="230">
        <f t="shared" si="403"/>
        <v>10300000</v>
      </c>
      <c r="T729" s="230">
        <f t="shared" si="404"/>
        <v>10300000</v>
      </c>
      <c r="U729" s="230">
        <f>MIN(T729,'Tax Assumptions'!$B$19)</f>
        <v>24500</v>
      </c>
      <c r="V729" s="230">
        <f>MAX(T729-U729-'Tax Assumptions'!$B$8,0)</f>
        <v>10259400</v>
      </c>
      <c r="W729" s="230">
        <f>MAX(T729-U729-'Tax Assumptions'!$B$9,0)</f>
        <v>10267500</v>
      </c>
      <c r="X729" s="230">
        <f>IF(V729=0,0,LOOKUP(V729,'Tax Assumptions'!$F$9:$F$15,'Tax Assumptions'!$I$9:$I$15)+(V729-LOOKUP(V729,'Tax Assumptions'!$F$9:$F$15,'Tax Assumptions'!$F$9:$F$15))*LOOKUP(V729,'Tax Assumptions'!$F$9:$F$15,'Tax Assumptions'!$H$9:$H$15))+MIN(MAX(T729,0),'Tax Assumptions'!$B$11)*'Tax Assumptions'!$B$10+MAX(T729,0)*'Tax Assumptions'!$B$12+MAX(MAX(T729,0)-'Tax Assumptions'!$B$14,0)*'Tax Assumptions'!$B$13+MIN(T729*'Tax Assumptions'!$B$15,'Tax Assumptions'!$B$16)+MIN(T729*'Tax Assumptions'!$B$17,'Tax Assumptions'!$B$18)+IF(W729=0,0,LOOKUP(W729,'Tax Assumptions'!$K$9:$K$17,'Tax Assumptions'!$N$9:$N$17)+(W729-LOOKUP(W729,'Tax Assumptions'!$K$9:$K$17,'Tax Assumptions'!$K$9:$K$17))*LOOKUP(W729,'Tax Assumptions'!$K$9:$K$17,'Tax Assumptions'!$M$9:$M$17))+IF(W729=0,0,LOOKUP(W729,'Tax Assumptions'!$P$9:$P$12,'Tax Assumptions'!$S$9:$S$12)+(W729-LOOKUP(W729,'Tax Assumptions'!$P$9:$P$12,'Tax Assumptions'!$P$9:$P$12))*LOOKUP(W729,'Tax Assumptions'!$P$9:$P$12,'Tax Assumptions'!$R$9:$R$12))</f>
        <v>5394180.54</v>
      </c>
      <c r="Y729" s="230">
        <f t="shared" si="405"/>
        <v>4881319.46</v>
      </c>
      <c r="Z729" s="230">
        <f>IF(J729&lt;=10,INDEX('Savings Projection'!$BL$19:$BL$28,J729),LOOKUP(2,1/('Savings Projection'!$BL$19:$BL$28&lt;&gt;""),'Savings Projection'!$BL$19:$BL$28))*(1+'Model Inputs'!$B$35)^(J729-1)+IF(J729&lt;=10,INDEX('Savings Projection'!$BM$19:$BM$28,J729),LOOKUP(2,1/('Savings Projection'!$BM$19:$BM$28&lt;&gt;""),'Savings Projection'!$BM$19:$BM$28))*(1+'Model Inputs'!$B$36)^(J729-1)</f>
        <v>227955.78690002306</v>
      </c>
      <c r="AA729" s="230">
        <f t="shared" si="406"/>
        <v>4653363.673099977</v>
      </c>
      <c r="AB729" s="230">
        <f>MIN(MAX(AA729,0),'Tax Assumptions'!$B$20)</f>
        <v>7500</v>
      </c>
      <c r="AC729" s="230">
        <f t="shared" si="407"/>
        <v>4645863.673099977</v>
      </c>
      <c r="AD729" s="230">
        <f>MAX(AD728*(1+'Model Inputs'!$B$13)+AC729,0)</f>
        <v>99326290.730598852</v>
      </c>
      <c r="AE729" s="230">
        <f>MAX(AE728*(1+'Model Inputs'!$B$13)+U729+AB729,0)</f>
        <v>1177138.9185135181</v>
      </c>
      <c r="AF729" s="230">
        <f t="shared" si="408"/>
        <v>100503429.64911237</v>
      </c>
      <c r="AG729" s="226" t="str">
        <f t="shared" si="417"/>
        <v/>
      </c>
      <c r="AH729" s="226" t="str">
        <f t="shared" si="418"/>
        <v/>
      </c>
      <c r="AI729" s="226" t="str">
        <f t="shared" si="419"/>
        <v/>
      </c>
      <c r="AJ729" s="226" t="str">
        <f t="shared" si="420"/>
        <v/>
      </c>
    </row>
    <row r="730" spans="1:36" ht="18" customHeight="1" x14ac:dyDescent="0.2">
      <c r="A730" s="226" t="str">
        <f t="shared" si="409"/>
        <v>5Y -&gt; PM Y8 Upside</v>
      </c>
      <c r="B730" s="226">
        <f t="shared" si="410"/>
        <v>5</v>
      </c>
      <c r="C730" s="235">
        <f t="shared" si="411"/>
        <v>3</v>
      </c>
      <c r="D730" s="226">
        <f t="shared" si="412"/>
        <v>8</v>
      </c>
      <c r="E730" s="226" t="str">
        <f t="shared" si="413"/>
        <v>Upside</v>
      </c>
      <c r="F730" s="230">
        <f t="shared" si="414"/>
        <v>50000000</v>
      </c>
      <c r="G730" s="236">
        <f t="shared" si="415"/>
        <v>0.2</v>
      </c>
      <c r="H730" s="230">
        <f t="shared" si="416"/>
        <v>300000</v>
      </c>
      <c r="I730" s="236">
        <f t="shared" si="399"/>
        <v>0</v>
      </c>
      <c r="J730" s="234">
        <v>21</v>
      </c>
      <c r="K730" s="234">
        <f t="shared" si="400"/>
        <v>2046</v>
      </c>
      <c r="L730" s="230">
        <f>IF(J730=1,'Model Inputs'!$B$25*(13-'Model Inputs'!$B$23)/12,'Model Inputs'!$B$25)</f>
        <v>300000</v>
      </c>
      <c r="M730" s="230">
        <f>IF(J730=1,'Model Inputs'!$B$27*(13-'Model Inputs'!$B$23)/12,IF(J730=2,'Model Inputs'!$B$27,IF(J730&lt;=MAX(3,'Model Inputs'!$B$30+1),'Model Inputs'!$B$27*(1+'Model Inputs'!$B$28)^(J730-3),'Model Inputs'!$B$27*(1+'Model Inputs'!$B$28)^(MAX(3,'Model Inputs'!$B$30+1)-3)*(1+'Model Inputs'!$B$29)^(J730-MAX(3,'Model Inputs'!$B$30+1)))))</f>
        <v>43992870.912849829</v>
      </c>
      <c r="N730" s="236">
        <f>IF(J730&lt;=2,0,'Model Inputs'!$B$32*SIN(2*PI()*(J730-3+'Model Inputs'!$B$34)/MAX(1,'Model Inputs'!$B$33)))</f>
        <v>-1.7634913907721884E-16</v>
      </c>
      <c r="O730" s="230">
        <f t="shared" si="401"/>
        <v>43992870.912849821</v>
      </c>
      <c r="P730" s="230">
        <f t="shared" si="421"/>
        <v>30781203.440388259</v>
      </c>
      <c r="Q730" s="230">
        <f>L730+P730+IF(J730=1,'Model Inputs'!$B$26,0)</f>
        <v>31081203.440388259</v>
      </c>
      <c r="R730" s="230">
        <f t="shared" si="402"/>
        <v>93243610.321164772</v>
      </c>
      <c r="S730" s="230">
        <f t="shared" si="403"/>
        <v>10300000</v>
      </c>
      <c r="T730" s="230">
        <f t="shared" si="404"/>
        <v>10300000</v>
      </c>
      <c r="U730" s="230">
        <f>MIN(T730,'Tax Assumptions'!$B$19)</f>
        <v>24500</v>
      </c>
      <c r="V730" s="230">
        <f>MAX(T730-U730-'Tax Assumptions'!$B$8,0)</f>
        <v>10259400</v>
      </c>
      <c r="W730" s="230">
        <f>MAX(T730-U730-'Tax Assumptions'!$B$9,0)</f>
        <v>10267500</v>
      </c>
      <c r="X730" s="230">
        <f>IF(V730=0,0,LOOKUP(V730,'Tax Assumptions'!$F$9:$F$15,'Tax Assumptions'!$I$9:$I$15)+(V730-LOOKUP(V730,'Tax Assumptions'!$F$9:$F$15,'Tax Assumptions'!$F$9:$F$15))*LOOKUP(V730,'Tax Assumptions'!$F$9:$F$15,'Tax Assumptions'!$H$9:$H$15))+MIN(MAX(T730,0),'Tax Assumptions'!$B$11)*'Tax Assumptions'!$B$10+MAX(T730,0)*'Tax Assumptions'!$B$12+MAX(MAX(T730,0)-'Tax Assumptions'!$B$14,0)*'Tax Assumptions'!$B$13+MIN(T730*'Tax Assumptions'!$B$15,'Tax Assumptions'!$B$16)+MIN(T730*'Tax Assumptions'!$B$17,'Tax Assumptions'!$B$18)+IF(W730=0,0,LOOKUP(W730,'Tax Assumptions'!$K$9:$K$17,'Tax Assumptions'!$N$9:$N$17)+(W730-LOOKUP(W730,'Tax Assumptions'!$K$9:$K$17,'Tax Assumptions'!$K$9:$K$17))*LOOKUP(W730,'Tax Assumptions'!$K$9:$K$17,'Tax Assumptions'!$M$9:$M$17))+IF(W730=0,0,LOOKUP(W730,'Tax Assumptions'!$P$9:$P$12,'Tax Assumptions'!$S$9:$S$12)+(W730-LOOKUP(W730,'Tax Assumptions'!$P$9:$P$12,'Tax Assumptions'!$P$9:$P$12))*LOOKUP(W730,'Tax Assumptions'!$P$9:$P$12,'Tax Assumptions'!$R$9:$R$12))</f>
        <v>5394180.54</v>
      </c>
      <c r="Y730" s="230">
        <f t="shared" si="405"/>
        <v>4881319.46</v>
      </c>
      <c r="Z730" s="230">
        <f>IF(J730&lt;=10,INDEX('Savings Projection'!$BL$19:$BL$28,J730),LOOKUP(2,1/('Savings Projection'!$BL$19:$BL$28&lt;&gt;""),'Savings Projection'!$BL$19:$BL$28))*(1+'Model Inputs'!$B$35)^(J730-1)+IF(J730&lt;=10,INDEX('Savings Projection'!$BM$19:$BM$28,J730),LOOKUP(2,1/('Savings Projection'!$BM$19:$BM$28&lt;&gt;""),'Savings Projection'!$BM$19:$BM$28))*(1+'Model Inputs'!$B$36)^(J730-1)</f>
        <v>234794.46050702373</v>
      </c>
      <c r="AA730" s="230">
        <f t="shared" si="406"/>
        <v>4646524.9994929759</v>
      </c>
      <c r="AB730" s="230">
        <f>MIN(MAX(AA730,0),'Tax Assumptions'!$B$20)</f>
        <v>7500</v>
      </c>
      <c r="AC730" s="230">
        <f t="shared" si="407"/>
        <v>4639024.9994929759</v>
      </c>
      <c r="AD730" s="230">
        <f>MAX(AD729*(1+'Model Inputs'!$B$13)+AC730,0)</f>
        <v>109924893.17392775</v>
      </c>
      <c r="AE730" s="230">
        <f>MAX(AE729*(1+'Model Inputs'!$B$13)+U730+AB730,0)</f>
        <v>1279767.2536243291</v>
      </c>
      <c r="AF730" s="230">
        <f t="shared" si="408"/>
        <v>111204660.42755209</v>
      </c>
      <c r="AG730" s="226" t="str">
        <f t="shared" si="417"/>
        <v/>
      </c>
      <c r="AH730" s="226" t="str">
        <f t="shared" si="418"/>
        <v/>
      </c>
      <c r="AI730" s="226" t="str">
        <f t="shared" si="419"/>
        <v/>
      </c>
      <c r="AJ730" s="226" t="str">
        <f t="shared" si="420"/>
        <v/>
      </c>
    </row>
    <row r="731" spans="1:36" ht="18" customHeight="1" x14ac:dyDescent="0.2">
      <c r="A731" s="226" t="str">
        <f t="shared" si="409"/>
        <v>5Y -&gt; PM Y8 Upside</v>
      </c>
      <c r="B731" s="226">
        <f t="shared" si="410"/>
        <v>5</v>
      </c>
      <c r="C731" s="235">
        <f t="shared" si="411"/>
        <v>3</v>
      </c>
      <c r="D731" s="226">
        <f t="shared" si="412"/>
        <v>8</v>
      </c>
      <c r="E731" s="226" t="str">
        <f t="shared" si="413"/>
        <v>Upside</v>
      </c>
      <c r="F731" s="230">
        <f t="shared" si="414"/>
        <v>50000000</v>
      </c>
      <c r="G731" s="236">
        <f t="shared" si="415"/>
        <v>0.2</v>
      </c>
      <c r="H731" s="230">
        <f t="shared" si="416"/>
        <v>300000</v>
      </c>
      <c r="I731" s="236">
        <f t="shared" si="399"/>
        <v>0</v>
      </c>
      <c r="J731" s="234">
        <v>22</v>
      </c>
      <c r="K731" s="234">
        <f t="shared" si="400"/>
        <v>2047</v>
      </c>
      <c r="L731" s="230">
        <f>IF(J731=1,'Model Inputs'!$B$25*(13-'Model Inputs'!$B$23)/12,'Model Inputs'!$B$25)</f>
        <v>300000</v>
      </c>
      <c r="M731" s="230">
        <f>IF(J731=1,'Model Inputs'!$B$27*(13-'Model Inputs'!$B$23)/12,IF(J731=2,'Model Inputs'!$B$27,IF(J731&lt;=MAX(3,'Model Inputs'!$B$30+1),'Model Inputs'!$B$27*(1+'Model Inputs'!$B$28)^(J731-3),'Model Inputs'!$B$27*(1+'Model Inputs'!$B$28)^(MAX(3,'Model Inputs'!$B$30+1)-3)*(1+'Model Inputs'!$B$29)^(J731-MAX(3,'Model Inputs'!$B$30+1)))))</f>
        <v>55909546.9462616</v>
      </c>
      <c r="N731" s="236">
        <f>IF(J731&lt;=2,0,'Model Inputs'!$B$32*SIN(2*PI()*(J731-3+'Model Inputs'!$B$34)/MAX(1,'Model Inputs'!$B$33)))</f>
        <v>0.10392304845413287</v>
      </c>
      <c r="O731" s="230">
        <f t="shared" si="401"/>
        <v>61719837.502606563</v>
      </c>
      <c r="P731" s="230">
        <f t="shared" si="421"/>
        <v>40749334.43282336</v>
      </c>
      <c r="Q731" s="230">
        <f>L731+P731+IF(J731=1,'Model Inputs'!$B$26,0)</f>
        <v>41049334.43282336</v>
      </c>
      <c r="R731" s="230">
        <f t="shared" si="402"/>
        <v>123148003.29847008</v>
      </c>
      <c r="S731" s="230">
        <f t="shared" si="403"/>
        <v>10300000</v>
      </c>
      <c r="T731" s="230">
        <f t="shared" si="404"/>
        <v>10300000</v>
      </c>
      <c r="U731" s="230">
        <f>MIN(T731,'Tax Assumptions'!$B$19)</f>
        <v>24500</v>
      </c>
      <c r="V731" s="230">
        <f>MAX(T731-U731-'Tax Assumptions'!$B$8,0)</f>
        <v>10259400</v>
      </c>
      <c r="W731" s="230">
        <f>MAX(T731-U731-'Tax Assumptions'!$B$9,0)</f>
        <v>10267500</v>
      </c>
      <c r="X731" s="230">
        <f>IF(V731=0,0,LOOKUP(V731,'Tax Assumptions'!$F$9:$F$15,'Tax Assumptions'!$I$9:$I$15)+(V731-LOOKUP(V731,'Tax Assumptions'!$F$9:$F$15,'Tax Assumptions'!$F$9:$F$15))*LOOKUP(V731,'Tax Assumptions'!$F$9:$F$15,'Tax Assumptions'!$H$9:$H$15))+MIN(MAX(T731,0),'Tax Assumptions'!$B$11)*'Tax Assumptions'!$B$10+MAX(T731,0)*'Tax Assumptions'!$B$12+MAX(MAX(T731,0)-'Tax Assumptions'!$B$14,0)*'Tax Assumptions'!$B$13+MIN(T731*'Tax Assumptions'!$B$15,'Tax Assumptions'!$B$16)+MIN(T731*'Tax Assumptions'!$B$17,'Tax Assumptions'!$B$18)+IF(W731=0,0,LOOKUP(W731,'Tax Assumptions'!$K$9:$K$17,'Tax Assumptions'!$N$9:$N$17)+(W731-LOOKUP(W731,'Tax Assumptions'!$K$9:$K$17,'Tax Assumptions'!$K$9:$K$17))*LOOKUP(W731,'Tax Assumptions'!$K$9:$K$17,'Tax Assumptions'!$M$9:$M$17))+IF(W731=0,0,LOOKUP(W731,'Tax Assumptions'!$P$9:$P$12,'Tax Assumptions'!$S$9:$S$12)+(W731-LOOKUP(W731,'Tax Assumptions'!$P$9:$P$12,'Tax Assumptions'!$P$9:$P$12))*LOOKUP(W731,'Tax Assumptions'!$P$9:$P$12,'Tax Assumptions'!$R$9:$R$12))</f>
        <v>5394180.54</v>
      </c>
      <c r="Y731" s="230">
        <f t="shared" si="405"/>
        <v>4881319.46</v>
      </c>
      <c r="Z731" s="230">
        <f>IF(J731&lt;=10,INDEX('Savings Projection'!$BL$19:$BL$28,J731),LOOKUP(2,1/('Savings Projection'!$BL$19:$BL$28&lt;&gt;""),'Savings Projection'!$BL$19:$BL$28))*(1+'Model Inputs'!$B$35)^(J731-1)+IF(J731&lt;=10,INDEX('Savings Projection'!$BM$19:$BM$28,J731),LOOKUP(2,1/('Savings Projection'!$BM$19:$BM$28&lt;&gt;""),'Savings Projection'!$BM$19:$BM$28))*(1+'Model Inputs'!$B$36)^(J731-1)</f>
        <v>241838.2943222344</v>
      </c>
      <c r="AA731" s="230">
        <f t="shared" si="406"/>
        <v>4639481.1656777654</v>
      </c>
      <c r="AB731" s="230">
        <f>MIN(MAX(AA731,0),'Tax Assumptions'!$B$20)</f>
        <v>7500</v>
      </c>
      <c r="AC731" s="230">
        <f t="shared" si="407"/>
        <v>4631981.1656777654</v>
      </c>
      <c r="AD731" s="230">
        <f>MAX(AD730*(1+'Model Inputs'!$B$13)+AC731,0)</f>
        <v>121152367.93004119</v>
      </c>
      <c r="AE731" s="230">
        <f>MAX(AE730*(1+'Model Inputs'!$B$13)+U731+AB731,0)</f>
        <v>1388553.2888417889</v>
      </c>
      <c r="AF731" s="230">
        <f t="shared" si="408"/>
        <v>122540921.21888298</v>
      </c>
      <c r="AG731" s="226" t="str">
        <f t="shared" si="417"/>
        <v/>
      </c>
      <c r="AH731" s="226" t="str">
        <f t="shared" si="418"/>
        <v/>
      </c>
      <c r="AI731" s="226" t="str">
        <f t="shared" si="419"/>
        <v/>
      </c>
      <c r="AJ731" s="226" t="str">
        <f t="shared" si="420"/>
        <v/>
      </c>
    </row>
    <row r="732" spans="1:36" ht="18" customHeight="1" x14ac:dyDescent="0.2">
      <c r="A732" s="226" t="str">
        <f t="shared" si="409"/>
        <v>5Y -&gt; PM Y8 Upside</v>
      </c>
      <c r="B732" s="226">
        <f t="shared" si="410"/>
        <v>5</v>
      </c>
      <c r="C732" s="235">
        <f t="shared" si="411"/>
        <v>3</v>
      </c>
      <c r="D732" s="226">
        <f t="shared" si="412"/>
        <v>8</v>
      </c>
      <c r="E732" s="226" t="str">
        <f t="shared" si="413"/>
        <v>Upside</v>
      </c>
      <c r="F732" s="230">
        <f t="shared" si="414"/>
        <v>50000000</v>
      </c>
      <c r="G732" s="236">
        <f t="shared" si="415"/>
        <v>0.2</v>
      </c>
      <c r="H732" s="230">
        <f t="shared" si="416"/>
        <v>300000</v>
      </c>
      <c r="I732" s="236">
        <f t="shared" si="399"/>
        <v>0</v>
      </c>
      <c r="J732" s="234">
        <v>23</v>
      </c>
      <c r="K732" s="234">
        <f t="shared" si="400"/>
        <v>2048</v>
      </c>
      <c r="L732" s="230">
        <f>IF(J732=1,'Model Inputs'!$B$25*(13-'Model Inputs'!$B$23)/12,'Model Inputs'!$B$25)</f>
        <v>300000</v>
      </c>
      <c r="M732" s="230">
        <f>IF(J732=1,'Model Inputs'!$B$27*(13-'Model Inputs'!$B$23)/12,IF(J732=2,'Model Inputs'!$B$27,IF(J732&lt;=MAX(3,'Model Inputs'!$B$30+1),'Model Inputs'!$B$27*(1+'Model Inputs'!$B$28)^(J732-3),'Model Inputs'!$B$27*(1+'Model Inputs'!$B$28)^(MAX(3,'Model Inputs'!$B$30+1)-3)*(1+'Model Inputs'!$B$29)^(J732-MAX(3,'Model Inputs'!$B$30+1)))))</f>
        <v>71054181.617940187</v>
      </c>
      <c r="N732" s="236">
        <f>IF(J732&lt;=2,0,'Model Inputs'!$B$32*SIN(2*PI()*(J732-3+'Model Inputs'!$B$34)/MAX(1,'Model Inputs'!$B$33)))</f>
        <v>-0.10392304845413268</v>
      </c>
      <c r="O732" s="230">
        <f t="shared" si="401"/>
        <v>63670014.458790243</v>
      </c>
      <c r="P732" s="230">
        <f t="shared" si="421"/>
        <v>57288095.855167374</v>
      </c>
      <c r="Q732" s="230">
        <f>L732+P732+IF(J732=1,'Model Inputs'!$B$26,0)</f>
        <v>57588095.855167374</v>
      </c>
      <c r="R732" s="230">
        <f t="shared" si="402"/>
        <v>172764287.56550211</v>
      </c>
      <c r="S732" s="230">
        <f t="shared" si="403"/>
        <v>10300000</v>
      </c>
      <c r="T732" s="230">
        <f t="shared" si="404"/>
        <v>10300000</v>
      </c>
      <c r="U732" s="230">
        <f>MIN(T732,'Tax Assumptions'!$B$19)</f>
        <v>24500</v>
      </c>
      <c r="V732" s="230">
        <f>MAX(T732-U732-'Tax Assumptions'!$B$8,0)</f>
        <v>10259400</v>
      </c>
      <c r="W732" s="230">
        <f>MAX(T732-U732-'Tax Assumptions'!$B$9,0)</f>
        <v>10267500</v>
      </c>
      <c r="X732" s="230">
        <f>IF(V732=0,0,LOOKUP(V732,'Tax Assumptions'!$F$9:$F$15,'Tax Assumptions'!$I$9:$I$15)+(V732-LOOKUP(V732,'Tax Assumptions'!$F$9:$F$15,'Tax Assumptions'!$F$9:$F$15))*LOOKUP(V732,'Tax Assumptions'!$F$9:$F$15,'Tax Assumptions'!$H$9:$H$15))+MIN(MAX(T732,0),'Tax Assumptions'!$B$11)*'Tax Assumptions'!$B$10+MAX(T732,0)*'Tax Assumptions'!$B$12+MAX(MAX(T732,0)-'Tax Assumptions'!$B$14,0)*'Tax Assumptions'!$B$13+MIN(T732*'Tax Assumptions'!$B$15,'Tax Assumptions'!$B$16)+MIN(T732*'Tax Assumptions'!$B$17,'Tax Assumptions'!$B$18)+IF(W732=0,0,LOOKUP(W732,'Tax Assumptions'!$K$9:$K$17,'Tax Assumptions'!$N$9:$N$17)+(W732-LOOKUP(W732,'Tax Assumptions'!$K$9:$K$17,'Tax Assumptions'!$K$9:$K$17))*LOOKUP(W732,'Tax Assumptions'!$K$9:$K$17,'Tax Assumptions'!$M$9:$M$17))+IF(W732=0,0,LOOKUP(W732,'Tax Assumptions'!$P$9:$P$12,'Tax Assumptions'!$S$9:$S$12)+(W732-LOOKUP(W732,'Tax Assumptions'!$P$9:$P$12,'Tax Assumptions'!$P$9:$P$12))*LOOKUP(W732,'Tax Assumptions'!$P$9:$P$12,'Tax Assumptions'!$R$9:$R$12))</f>
        <v>5394180.54</v>
      </c>
      <c r="Y732" s="230">
        <f t="shared" si="405"/>
        <v>4881319.46</v>
      </c>
      <c r="Z732" s="230">
        <f>IF(J732&lt;=10,INDEX('Savings Projection'!$BL$19:$BL$28,J732),LOOKUP(2,1/('Savings Projection'!$BL$19:$BL$28&lt;&gt;""),'Savings Projection'!$BL$19:$BL$28))*(1+'Model Inputs'!$B$35)^(J732-1)+IF(J732&lt;=10,INDEX('Savings Projection'!$BM$19:$BM$28,J732),LOOKUP(2,1/('Savings Projection'!$BM$19:$BM$28&lt;&gt;""),'Savings Projection'!$BM$19:$BM$28))*(1+'Model Inputs'!$B$36)^(J732-1)</f>
        <v>249093.44315190148</v>
      </c>
      <c r="AA732" s="230">
        <f t="shared" si="406"/>
        <v>4632226.0168480985</v>
      </c>
      <c r="AB732" s="230">
        <f>MIN(MAX(AA732,0),'Tax Assumptions'!$B$20)</f>
        <v>7500</v>
      </c>
      <c r="AC732" s="230">
        <f t="shared" si="407"/>
        <v>4624726.0168480985</v>
      </c>
      <c r="AD732" s="230">
        <f>MAX(AD731*(1+'Model Inputs'!$B$13)+AC732,0)</f>
        <v>133046236.02269177</v>
      </c>
      <c r="AE732" s="230">
        <f>MAX(AE731*(1+'Model Inputs'!$B$13)+U732+AB732,0)</f>
        <v>1503866.4861722963</v>
      </c>
      <c r="AF732" s="230">
        <f t="shared" si="408"/>
        <v>134550102.50886407</v>
      </c>
      <c r="AG732" s="226" t="str">
        <f t="shared" si="417"/>
        <v/>
      </c>
      <c r="AH732" s="226" t="str">
        <f t="shared" si="418"/>
        <v/>
      </c>
      <c r="AI732" s="226" t="str">
        <f t="shared" si="419"/>
        <v/>
      </c>
      <c r="AJ732" s="226" t="str">
        <f t="shared" si="420"/>
        <v/>
      </c>
    </row>
    <row r="733" spans="1:36" ht="18" customHeight="1" x14ac:dyDescent="0.2">
      <c r="A733" s="226" t="str">
        <f t="shared" si="409"/>
        <v>5Y -&gt; PM Y8 Upside</v>
      </c>
      <c r="B733" s="226">
        <f t="shared" si="410"/>
        <v>5</v>
      </c>
      <c r="C733" s="235">
        <f t="shared" si="411"/>
        <v>3</v>
      </c>
      <c r="D733" s="226">
        <f t="shared" si="412"/>
        <v>8</v>
      </c>
      <c r="E733" s="226" t="str">
        <f t="shared" si="413"/>
        <v>Upside</v>
      </c>
      <c r="F733" s="230">
        <f t="shared" si="414"/>
        <v>50000000</v>
      </c>
      <c r="G733" s="236">
        <f t="shared" si="415"/>
        <v>0.2</v>
      </c>
      <c r="H733" s="230">
        <f t="shared" si="416"/>
        <v>300000</v>
      </c>
      <c r="I733" s="236">
        <f t="shared" si="399"/>
        <v>0</v>
      </c>
      <c r="J733" s="234">
        <v>24</v>
      </c>
      <c r="K733" s="234">
        <f t="shared" si="400"/>
        <v>2049</v>
      </c>
      <c r="L733" s="230">
        <f>IF(J733=1,'Model Inputs'!$B$25*(13-'Model Inputs'!$B$23)/12,'Model Inputs'!$B$25)</f>
        <v>300000</v>
      </c>
      <c r="M733" s="230">
        <f>IF(J733=1,'Model Inputs'!$B$27*(13-'Model Inputs'!$B$23)/12,IF(J733=2,'Model Inputs'!$B$27,IF(J733&lt;=MAX(3,'Model Inputs'!$B$30+1),'Model Inputs'!$B$27*(1+'Model Inputs'!$B$28)^(J733-3),'Model Inputs'!$B$27*(1+'Model Inputs'!$B$28)^(MAX(3,'Model Inputs'!$B$30+1)-3)*(1+'Model Inputs'!$B$29)^(J733-MAX(3,'Model Inputs'!$B$30+1)))))</f>
        <v>90301156.084270701</v>
      </c>
      <c r="N733" s="236">
        <f>IF(J733&lt;=2,0,'Model Inputs'!$B$32*SIN(2*PI()*(J733-3+'Model Inputs'!$B$34)/MAX(1,'Model Inputs'!$B$33)))</f>
        <v>-2.0574066225675533E-16</v>
      </c>
      <c r="O733" s="230">
        <f t="shared" si="401"/>
        <v>90301156.084270686</v>
      </c>
      <c r="P733" s="230">
        <f t="shared" si="421"/>
        <v>63182470.219744325</v>
      </c>
      <c r="Q733" s="230">
        <f>L733+P733+IF(J733=1,'Model Inputs'!$B$26,0)</f>
        <v>63482470.219744325</v>
      </c>
      <c r="R733" s="230">
        <f t="shared" si="402"/>
        <v>190447410.65923297</v>
      </c>
      <c r="S733" s="230">
        <f t="shared" si="403"/>
        <v>10300000</v>
      </c>
      <c r="T733" s="230">
        <f t="shared" si="404"/>
        <v>10300000</v>
      </c>
      <c r="U733" s="230">
        <f>MIN(T733,'Tax Assumptions'!$B$19)</f>
        <v>24500</v>
      </c>
      <c r="V733" s="230">
        <f>MAX(T733-U733-'Tax Assumptions'!$B$8,0)</f>
        <v>10259400</v>
      </c>
      <c r="W733" s="230">
        <f>MAX(T733-U733-'Tax Assumptions'!$B$9,0)</f>
        <v>10267500</v>
      </c>
      <c r="X733" s="230">
        <f>IF(V733=0,0,LOOKUP(V733,'Tax Assumptions'!$F$9:$F$15,'Tax Assumptions'!$I$9:$I$15)+(V733-LOOKUP(V733,'Tax Assumptions'!$F$9:$F$15,'Tax Assumptions'!$F$9:$F$15))*LOOKUP(V733,'Tax Assumptions'!$F$9:$F$15,'Tax Assumptions'!$H$9:$H$15))+MIN(MAX(T733,0),'Tax Assumptions'!$B$11)*'Tax Assumptions'!$B$10+MAX(T733,0)*'Tax Assumptions'!$B$12+MAX(MAX(T733,0)-'Tax Assumptions'!$B$14,0)*'Tax Assumptions'!$B$13+MIN(T733*'Tax Assumptions'!$B$15,'Tax Assumptions'!$B$16)+MIN(T733*'Tax Assumptions'!$B$17,'Tax Assumptions'!$B$18)+IF(W733=0,0,LOOKUP(W733,'Tax Assumptions'!$K$9:$K$17,'Tax Assumptions'!$N$9:$N$17)+(W733-LOOKUP(W733,'Tax Assumptions'!$K$9:$K$17,'Tax Assumptions'!$K$9:$K$17))*LOOKUP(W733,'Tax Assumptions'!$K$9:$K$17,'Tax Assumptions'!$M$9:$M$17))+IF(W733=0,0,LOOKUP(W733,'Tax Assumptions'!$P$9:$P$12,'Tax Assumptions'!$S$9:$S$12)+(W733-LOOKUP(W733,'Tax Assumptions'!$P$9:$P$12,'Tax Assumptions'!$P$9:$P$12))*LOOKUP(W733,'Tax Assumptions'!$P$9:$P$12,'Tax Assumptions'!$R$9:$R$12))</f>
        <v>5394180.54</v>
      </c>
      <c r="Y733" s="230">
        <f t="shared" si="405"/>
        <v>4881319.46</v>
      </c>
      <c r="Z733" s="230">
        <f>IF(J733&lt;=10,INDEX('Savings Projection'!$BL$19:$BL$28,J733),LOOKUP(2,1/('Savings Projection'!$BL$19:$BL$28&lt;&gt;""),'Savings Projection'!$BL$19:$BL$28))*(1+'Model Inputs'!$B$35)^(J733-1)+IF(J733&lt;=10,INDEX('Savings Projection'!$BM$19:$BM$28,J733),LOOKUP(2,1/('Savings Projection'!$BM$19:$BM$28&lt;&gt;""),'Savings Projection'!$BM$19:$BM$28))*(1+'Model Inputs'!$B$36)^(J733-1)</f>
        <v>256566.24644645851</v>
      </c>
      <c r="AA733" s="230">
        <f t="shared" si="406"/>
        <v>4624753.2135535413</v>
      </c>
      <c r="AB733" s="230">
        <f>MIN(MAX(AA733,0),'Tax Assumptions'!$B$20)</f>
        <v>7500</v>
      </c>
      <c r="AC733" s="230">
        <f t="shared" si="407"/>
        <v>4617253.2135535413</v>
      </c>
      <c r="AD733" s="230">
        <f>MAX(AD732*(1+'Model Inputs'!$B$13)+AC733,0)</f>
        <v>145646263.39760682</v>
      </c>
      <c r="AE733" s="230">
        <f>MAX(AE732*(1+'Model Inputs'!$B$13)+U733+AB733,0)</f>
        <v>1626098.4753426341</v>
      </c>
      <c r="AF733" s="230">
        <f t="shared" si="408"/>
        <v>147272361.87294945</v>
      </c>
      <c r="AG733" s="226" t="str">
        <f t="shared" si="417"/>
        <v/>
      </c>
      <c r="AH733" s="226" t="str">
        <f t="shared" si="418"/>
        <v/>
      </c>
      <c r="AI733" s="226" t="str">
        <f t="shared" si="419"/>
        <v/>
      </c>
      <c r="AJ733" s="226" t="str">
        <f t="shared" si="420"/>
        <v/>
      </c>
    </row>
    <row r="734" spans="1:36" ht="18" customHeight="1" x14ac:dyDescent="0.2">
      <c r="A734" s="226" t="str">
        <f t="shared" si="409"/>
        <v>5Y -&gt; PM Y8 Upside</v>
      </c>
      <c r="B734" s="226">
        <f t="shared" si="410"/>
        <v>5</v>
      </c>
      <c r="C734" s="235">
        <f t="shared" si="411"/>
        <v>3</v>
      </c>
      <c r="D734" s="226">
        <f t="shared" si="412"/>
        <v>8</v>
      </c>
      <c r="E734" s="226" t="str">
        <f t="shared" si="413"/>
        <v>Upside</v>
      </c>
      <c r="F734" s="230">
        <f t="shared" si="414"/>
        <v>50000000</v>
      </c>
      <c r="G734" s="236">
        <f t="shared" si="415"/>
        <v>0.2</v>
      </c>
      <c r="H734" s="230">
        <f t="shared" si="416"/>
        <v>300000</v>
      </c>
      <c r="I734" s="236">
        <f t="shared" si="399"/>
        <v>0</v>
      </c>
      <c r="J734" s="234">
        <v>25</v>
      </c>
      <c r="K734" s="234">
        <f t="shared" si="400"/>
        <v>2050</v>
      </c>
      <c r="L734" s="230">
        <f>IF(J734=1,'Model Inputs'!$B$25*(13-'Model Inputs'!$B$23)/12,'Model Inputs'!$B$25)</f>
        <v>300000</v>
      </c>
      <c r="M734" s="230">
        <f>IF(J734=1,'Model Inputs'!$B$27*(13-'Model Inputs'!$B$23)/12,IF(J734=2,'Model Inputs'!$B$27,IF(J734&lt;=MAX(3,'Model Inputs'!$B$30+1),'Model Inputs'!$B$27*(1+'Model Inputs'!$B$28)^(J734-3),'Model Inputs'!$B$27*(1+'Model Inputs'!$B$28)^(MAX(3,'Model Inputs'!$B$30+1)-3)*(1+'Model Inputs'!$B$29)^(J734-MAX(3,'Model Inputs'!$B$30+1)))))</f>
        <v>114761701.62653697</v>
      </c>
      <c r="N734" s="236">
        <f>IF(J734&lt;=2,0,'Model Inputs'!$B$32*SIN(2*PI()*(J734-3+'Model Inputs'!$B$34)/MAX(1,'Model Inputs'!$B$33)))</f>
        <v>0.10392304845413287</v>
      </c>
      <c r="O734" s="230">
        <f t="shared" si="401"/>
        <v>126688087.50535031</v>
      </c>
      <c r="P734" s="230">
        <f t="shared" si="421"/>
        <v>83643370.677900568</v>
      </c>
      <c r="Q734" s="230">
        <f>L734+P734+IF(J734=1,'Model Inputs'!$B$26,0)</f>
        <v>83943370.677900568</v>
      </c>
      <c r="R734" s="230">
        <f t="shared" si="402"/>
        <v>251830112.03370172</v>
      </c>
      <c r="S734" s="230">
        <f t="shared" si="403"/>
        <v>10300000</v>
      </c>
      <c r="T734" s="230">
        <f t="shared" si="404"/>
        <v>10300000</v>
      </c>
      <c r="U734" s="230">
        <f>MIN(T734,'Tax Assumptions'!$B$19)</f>
        <v>24500</v>
      </c>
      <c r="V734" s="230">
        <f>MAX(T734-U734-'Tax Assumptions'!$B$8,0)</f>
        <v>10259400</v>
      </c>
      <c r="W734" s="230">
        <f>MAX(T734-U734-'Tax Assumptions'!$B$9,0)</f>
        <v>10267500</v>
      </c>
      <c r="X734" s="230">
        <f>IF(V734=0,0,LOOKUP(V734,'Tax Assumptions'!$F$9:$F$15,'Tax Assumptions'!$I$9:$I$15)+(V734-LOOKUP(V734,'Tax Assumptions'!$F$9:$F$15,'Tax Assumptions'!$F$9:$F$15))*LOOKUP(V734,'Tax Assumptions'!$F$9:$F$15,'Tax Assumptions'!$H$9:$H$15))+MIN(MAX(T734,0),'Tax Assumptions'!$B$11)*'Tax Assumptions'!$B$10+MAX(T734,0)*'Tax Assumptions'!$B$12+MAX(MAX(T734,0)-'Tax Assumptions'!$B$14,0)*'Tax Assumptions'!$B$13+MIN(T734*'Tax Assumptions'!$B$15,'Tax Assumptions'!$B$16)+MIN(T734*'Tax Assumptions'!$B$17,'Tax Assumptions'!$B$18)+IF(W734=0,0,LOOKUP(W734,'Tax Assumptions'!$K$9:$K$17,'Tax Assumptions'!$N$9:$N$17)+(W734-LOOKUP(W734,'Tax Assumptions'!$K$9:$K$17,'Tax Assumptions'!$K$9:$K$17))*LOOKUP(W734,'Tax Assumptions'!$K$9:$K$17,'Tax Assumptions'!$M$9:$M$17))+IF(W734=0,0,LOOKUP(W734,'Tax Assumptions'!$P$9:$P$12,'Tax Assumptions'!$S$9:$S$12)+(W734-LOOKUP(W734,'Tax Assumptions'!$P$9:$P$12,'Tax Assumptions'!$P$9:$P$12))*LOOKUP(W734,'Tax Assumptions'!$P$9:$P$12,'Tax Assumptions'!$R$9:$R$12))</f>
        <v>5394180.54</v>
      </c>
      <c r="Y734" s="230">
        <f t="shared" si="405"/>
        <v>4881319.46</v>
      </c>
      <c r="Z734" s="230">
        <f>IF(J734&lt;=10,INDEX('Savings Projection'!$BL$19:$BL$28,J734),LOOKUP(2,1/('Savings Projection'!$BL$19:$BL$28&lt;&gt;""),'Savings Projection'!$BL$19:$BL$28))*(1+'Model Inputs'!$B$35)^(J734-1)+IF(J734&lt;=10,INDEX('Savings Projection'!$BM$19:$BM$28,J734),LOOKUP(2,1/('Savings Projection'!$BM$19:$BM$28&lt;&gt;""),'Savings Projection'!$BM$19:$BM$28))*(1+'Model Inputs'!$B$36)^(J734-1)</f>
        <v>264263.23383985227</v>
      </c>
      <c r="AA734" s="230">
        <f t="shared" si="406"/>
        <v>4617056.2261601482</v>
      </c>
      <c r="AB734" s="230">
        <f>MIN(MAX(AA734,0),'Tax Assumptions'!$B$20)</f>
        <v>7500</v>
      </c>
      <c r="AC734" s="230">
        <f t="shared" si="407"/>
        <v>4609556.2261601482</v>
      </c>
      <c r="AD734" s="230">
        <f>MAX(AD733*(1+'Model Inputs'!$B$13)+AC734,0)</f>
        <v>158994595.42762336</v>
      </c>
      <c r="AE734" s="230">
        <f>MAX(AE733*(1+'Model Inputs'!$B$13)+U734+AB734,0)</f>
        <v>1755664.3838631923</v>
      </c>
      <c r="AF734" s="230">
        <f t="shared" si="408"/>
        <v>160750259.81148654</v>
      </c>
      <c r="AG734" s="226" t="str">
        <f t="shared" si="417"/>
        <v/>
      </c>
      <c r="AH734" s="226" t="str">
        <f t="shared" si="418"/>
        <v/>
      </c>
      <c r="AI734" s="226" t="str">
        <f t="shared" si="419"/>
        <v/>
      </c>
      <c r="AJ734" s="226" t="str">
        <f t="shared" si="420"/>
        <v/>
      </c>
    </row>
    <row r="735" spans="1:36" ht="18" customHeight="1" x14ac:dyDescent="0.2">
      <c r="A735" s="226" t="str">
        <f t="shared" si="409"/>
        <v>5Y -&gt; PM Y8 Upside</v>
      </c>
      <c r="B735" s="226">
        <f t="shared" si="410"/>
        <v>5</v>
      </c>
      <c r="C735" s="235">
        <f t="shared" si="411"/>
        <v>3</v>
      </c>
      <c r="D735" s="226">
        <f t="shared" si="412"/>
        <v>8</v>
      </c>
      <c r="E735" s="226" t="str">
        <f t="shared" si="413"/>
        <v>Upside</v>
      </c>
      <c r="F735" s="230">
        <f t="shared" si="414"/>
        <v>50000000</v>
      </c>
      <c r="G735" s="236">
        <f t="shared" si="415"/>
        <v>0.2</v>
      </c>
      <c r="H735" s="230">
        <f t="shared" si="416"/>
        <v>300000</v>
      </c>
      <c r="I735" s="236">
        <f t="shared" si="399"/>
        <v>0</v>
      </c>
      <c r="J735" s="234">
        <v>26</v>
      </c>
      <c r="K735" s="234">
        <f t="shared" si="400"/>
        <v>2051</v>
      </c>
      <c r="L735" s="230">
        <f>IF(J735=1,'Model Inputs'!$B$25*(13-'Model Inputs'!$B$23)/12,'Model Inputs'!$B$25)</f>
        <v>300000</v>
      </c>
      <c r="M735" s="230">
        <f>IF(J735=1,'Model Inputs'!$B$27*(13-'Model Inputs'!$B$23)/12,IF(J735=2,'Model Inputs'!$B$27,IF(J735&lt;=MAX(3,'Model Inputs'!$B$30+1),'Model Inputs'!$B$27*(1+'Model Inputs'!$B$28)^(J735-3),'Model Inputs'!$B$27*(1+'Model Inputs'!$B$28)^(MAX(3,'Model Inputs'!$B$30+1)-3)*(1+'Model Inputs'!$B$29)^(J735-MAX(3,'Model Inputs'!$B$30+1)))))</f>
        <v>145848057.00524563</v>
      </c>
      <c r="N735" s="236">
        <f>IF(J735&lt;=2,0,'Model Inputs'!$B$32*SIN(2*PI()*(J735-3+'Model Inputs'!$B$34)/MAX(1,'Model Inputs'!$B$33)))</f>
        <v>-0.10392304845413224</v>
      </c>
      <c r="O735" s="230">
        <f t="shared" si="401"/>
        <v>130691082.31014845</v>
      </c>
      <c r="P735" s="230">
        <f t="shared" si="421"/>
        <v>117591354.65008041</v>
      </c>
      <c r="Q735" s="230">
        <f>L735+P735+IF(J735=1,'Model Inputs'!$B$26,0)</f>
        <v>117891354.65008041</v>
      </c>
      <c r="R735" s="230">
        <f t="shared" si="402"/>
        <v>353674063.95024121</v>
      </c>
      <c r="S735" s="230">
        <f t="shared" si="403"/>
        <v>10300000</v>
      </c>
      <c r="T735" s="230">
        <f t="shared" si="404"/>
        <v>10300000</v>
      </c>
      <c r="U735" s="230">
        <f>MIN(T735,'Tax Assumptions'!$B$19)</f>
        <v>24500</v>
      </c>
      <c r="V735" s="230">
        <f>MAX(T735-U735-'Tax Assumptions'!$B$8,0)</f>
        <v>10259400</v>
      </c>
      <c r="W735" s="230">
        <f>MAX(T735-U735-'Tax Assumptions'!$B$9,0)</f>
        <v>10267500</v>
      </c>
      <c r="X735" s="230">
        <f>IF(V735=0,0,LOOKUP(V735,'Tax Assumptions'!$F$9:$F$15,'Tax Assumptions'!$I$9:$I$15)+(V735-LOOKUP(V735,'Tax Assumptions'!$F$9:$F$15,'Tax Assumptions'!$F$9:$F$15))*LOOKUP(V735,'Tax Assumptions'!$F$9:$F$15,'Tax Assumptions'!$H$9:$H$15))+MIN(MAX(T735,0),'Tax Assumptions'!$B$11)*'Tax Assumptions'!$B$10+MAX(T735,0)*'Tax Assumptions'!$B$12+MAX(MAX(T735,0)-'Tax Assumptions'!$B$14,0)*'Tax Assumptions'!$B$13+MIN(T735*'Tax Assumptions'!$B$15,'Tax Assumptions'!$B$16)+MIN(T735*'Tax Assumptions'!$B$17,'Tax Assumptions'!$B$18)+IF(W735=0,0,LOOKUP(W735,'Tax Assumptions'!$K$9:$K$17,'Tax Assumptions'!$N$9:$N$17)+(W735-LOOKUP(W735,'Tax Assumptions'!$K$9:$K$17,'Tax Assumptions'!$K$9:$K$17))*LOOKUP(W735,'Tax Assumptions'!$K$9:$K$17,'Tax Assumptions'!$M$9:$M$17))+IF(W735=0,0,LOOKUP(W735,'Tax Assumptions'!$P$9:$P$12,'Tax Assumptions'!$S$9:$S$12)+(W735-LOOKUP(W735,'Tax Assumptions'!$P$9:$P$12,'Tax Assumptions'!$P$9:$P$12))*LOOKUP(W735,'Tax Assumptions'!$P$9:$P$12,'Tax Assumptions'!$R$9:$R$12))</f>
        <v>5394180.54</v>
      </c>
      <c r="Y735" s="230">
        <f t="shared" si="405"/>
        <v>4881319.46</v>
      </c>
      <c r="Z735" s="230">
        <f>IF(J735&lt;=10,INDEX('Savings Projection'!$BL$19:$BL$28,J735),LOOKUP(2,1/('Savings Projection'!$BL$19:$BL$28&lt;&gt;""),'Savings Projection'!$BL$19:$BL$28))*(1+'Model Inputs'!$B$35)^(J735-1)+IF(J735&lt;=10,INDEX('Savings Projection'!$BM$19:$BM$28,J735),LOOKUP(2,1/('Savings Projection'!$BM$19:$BM$28&lt;&gt;""),'Savings Projection'!$BM$19:$BM$28))*(1+'Model Inputs'!$B$36)^(J735-1)</f>
        <v>272191.13085504784</v>
      </c>
      <c r="AA735" s="230">
        <f t="shared" si="406"/>
        <v>4609128.3291449519</v>
      </c>
      <c r="AB735" s="230">
        <f>MIN(MAX(AA735,0),'Tax Assumptions'!$B$20)</f>
        <v>7500</v>
      </c>
      <c r="AC735" s="230">
        <f t="shared" si="407"/>
        <v>4601628.3291449519</v>
      </c>
      <c r="AD735" s="230">
        <f>MAX(AD734*(1+'Model Inputs'!$B$13)+AC735,0)</f>
        <v>173135899.48242572</v>
      </c>
      <c r="AE735" s="230">
        <f>MAX(AE734*(1+'Model Inputs'!$B$13)+U735+AB735,0)</f>
        <v>1893004.2468949838</v>
      </c>
      <c r="AF735" s="230">
        <f t="shared" si="408"/>
        <v>175028903.7293207</v>
      </c>
      <c r="AG735" s="226" t="str">
        <f t="shared" si="417"/>
        <v/>
      </c>
      <c r="AH735" s="226" t="str">
        <f t="shared" si="418"/>
        <v/>
      </c>
      <c r="AI735" s="226" t="str">
        <f t="shared" si="419"/>
        <v/>
      </c>
      <c r="AJ735" s="226" t="str">
        <f t="shared" si="420"/>
        <v/>
      </c>
    </row>
    <row r="736" spans="1:36" ht="18" customHeight="1" x14ac:dyDescent="0.2">
      <c r="A736" s="226" t="str">
        <f t="shared" si="409"/>
        <v>5Y -&gt; PM Y8 Upside</v>
      </c>
      <c r="B736" s="226">
        <f t="shared" si="410"/>
        <v>5</v>
      </c>
      <c r="C736" s="235">
        <f t="shared" si="411"/>
        <v>3</v>
      </c>
      <c r="D736" s="226">
        <f t="shared" si="412"/>
        <v>8</v>
      </c>
      <c r="E736" s="226" t="str">
        <f t="shared" si="413"/>
        <v>Upside</v>
      </c>
      <c r="F736" s="230">
        <f t="shared" si="414"/>
        <v>50000000</v>
      </c>
      <c r="G736" s="236">
        <f t="shared" si="415"/>
        <v>0.2</v>
      </c>
      <c r="H736" s="230">
        <f t="shared" si="416"/>
        <v>300000</v>
      </c>
      <c r="I736" s="236">
        <f t="shared" si="399"/>
        <v>0</v>
      </c>
      <c r="J736" s="234">
        <v>27</v>
      </c>
      <c r="K736" s="234">
        <f t="shared" si="400"/>
        <v>2052</v>
      </c>
      <c r="L736" s="230">
        <f>IF(J736=1,'Model Inputs'!$B$25*(13-'Model Inputs'!$B$23)/12,'Model Inputs'!$B$25)</f>
        <v>300000</v>
      </c>
      <c r="M736" s="230">
        <f>IF(J736=1,'Model Inputs'!$B$27*(13-'Model Inputs'!$B$23)/12,IF(J736=2,'Model Inputs'!$B$27,IF(J736&lt;=MAX(3,'Model Inputs'!$B$30+1),'Model Inputs'!$B$27*(1+'Model Inputs'!$B$28)^(J736-3),'Model Inputs'!$B$27*(1+'Model Inputs'!$B$28)^(MAX(3,'Model Inputs'!$B$30+1)-3)*(1+'Model Inputs'!$B$29)^(J736-MAX(3,'Model Inputs'!$B$30+1)))))</f>
        <v>185355004.59402937</v>
      </c>
      <c r="N736" s="236">
        <f>IF(J736&lt;=2,0,'Model Inputs'!$B$32*SIN(2*PI()*(J736-3+'Model Inputs'!$B$34)/MAX(1,'Model Inputs'!$B$33)))</f>
        <v>-2.3513218543629179E-16</v>
      </c>
      <c r="O736" s="230">
        <f t="shared" si="401"/>
        <v>185355004.59402934</v>
      </c>
      <c r="P736" s="230">
        <f t="shared" si="421"/>
        <v>129690333.6089489</v>
      </c>
      <c r="Q736" s="230">
        <f>L736+P736+IF(J736=1,'Model Inputs'!$B$26,0)</f>
        <v>129990333.6089489</v>
      </c>
      <c r="R736" s="230">
        <f t="shared" si="402"/>
        <v>389971000.82684672</v>
      </c>
      <c r="S736" s="230">
        <f t="shared" si="403"/>
        <v>10300000</v>
      </c>
      <c r="T736" s="230">
        <f t="shared" si="404"/>
        <v>10300000</v>
      </c>
      <c r="U736" s="230">
        <f>MIN(T736,'Tax Assumptions'!$B$19)</f>
        <v>24500</v>
      </c>
      <c r="V736" s="230">
        <f>MAX(T736-U736-'Tax Assumptions'!$B$8,0)</f>
        <v>10259400</v>
      </c>
      <c r="W736" s="230">
        <f>MAX(T736-U736-'Tax Assumptions'!$B$9,0)</f>
        <v>10267500</v>
      </c>
      <c r="X736" s="230">
        <f>IF(V736=0,0,LOOKUP(V736,'Tax Assumptions'!$F$9:$F$15,'Tax Assumptions'!$I$9:$I$15)+(V736-LOOKUP(V736,'Tax Assumptions'!$F$9:$F$15,'Tax Assumptions'!$F$9:$F$15))*LOOKUP(V736,'Tax Assumptions'!$F$9:$F$15,'Tax Assumptions'!$H$9:$H$15))+MIN(MAX(T736,0),'Tax Assumptions'!$B$11)*'Tax Assumptions'!$B$10+MAX(T736,0)*'Tax Assumptions'!$B$12+MAX(MAX(T736,0)-'Tax Assumptions'!$B$14,0)*'Tax Assumptions'!$B$13+MIN(T736*'Tax Assumptions'!$B$15,'Tax Assumptions'!$B$16)+MIN(T736*'Tax Assumptions'!$B$17,'Tax Assumptions'!$B$18)+IF(W736=0,0,LOOKUP(W736,'Tax Assumptions'!$K$9:$K$17,'Tax Assumptions'!$N$9:$N$17)+(W736-LOOKUP(W736,'Tax Assumptions'!$K$9:$K$17,'Tax Assumptions'!$K$9:$K$17))*LOOKUP(W736,'Tax Assumptions'!$K$9:$K$17,'Tax Assumptions'!$M$9:$M$17))+IF(W736=0,0,LOOKUP(W736,'Tax Assumptions'!$P$9:$P$12,'Tax Assumptions'!$S$9:$S$12)+(W736-LOOKUP(W736,'Tax Assumptions'!$P$9:$P$12,'Tax Assumptions'!$P$9:$P$12))*LOOKUP(W736,'Tax Assumptions'!$P$9:$P$12,'Tax Assumptions'!$R$9:$R$12))</f>
        <v>5394180.54</v>
      </c>
      <c r="Y736" s="230">
        <f t="shared" si="405"/>
        <v>4881319.46</v>
      </c>
      <c r="Z736" s="230">
        <f>IF(J736&lt;=10,INDEX('Savings Projection'!$BL$19:$BL$28,J736),LOOKUP(2,1/('Savings Projection'!$BL$19:$BL$28&lt;&gt;""),'Savings Projection'!$BL$19:$BL$28))*(1+'Model Inputs'!$B$35)^(J736-1)+IF(J736&lt;=10,INDEX('Savings Projection'!$BM$19:$BM$28,J736),LOOKUP(2,1/('Savings Projection'!$BM$19:$BM$28&lt;&gt;""),'Savings Projection'!$BM$19:$BM$28))*(1+'Model Inputs'!$B$36)^(J736-1)</f>
        <v>280356.86478069925</v>
      </c>
      <c r="AA736" s="230">
        <f t="shared" si="406"/>
        <v>4600962.5952193011</v>
      </c>
      <c r="AB736" s="230">
        <f>MIN(MAX(AA736,0),'Tax Assumptions'!$B$20)</f>
        <v>7500</v>
      </c>
      <c r="AC736" s="230">
        <f t="shared" si="407"/>
        <v>4593462.5952193011</v>
      </c>
      <c r="AD736" s="230">
        <f>MAX(AD735*(1+'Model Inputs'!$B$13)+AC736,0)</f>
        <v>188117516.0465906</v>
      </c>
      <c r="AE736" s="230">
        <f>MAX(AE735*(1+'Model Inputs'!$B$13)+U736+AB736,0)</f>
        <v>2038584.5017086829</v>
      </c>
      <c r="AF736" s="230">
        <f t="shared" si="408"/>
        <v>190156100.54829928</v>
      </c>
      <c r="AG736" s="226" t="str">
        <f t="shared" si="417"/>
        <v/>
      </c>
      <c r="AH736" s="226" t="str">
        <f t="shared" si="418"/>
        <v/>
      </c>
      <c r="AI736" s="226" t="str">
        <f t="shared" si="419"/>
        <v/>
      </c>
      <c r="AJ736" s="226" t="str">
        <f t="shared" si="420"/>
        <v/>
      </c>
    </row>
    <row r="737" spans="1:36" ht="18" customHeight="1" x14ac:dyDescent="0.2">
      <c r="A737" s="226" t="str">
        <f t="shared" si="409"/>
        <v>5Y -&gt; PM Y8 Upside</v>
      </c>
      <c r="B737" s="226">
        <f t="shared" si="410"/>
        <v>5</v>
      </c>
      <c r="C737" s="235">
        <f t="shared" si="411"/>
        <v>3</v>
      </c>
      <c r="D737" s="226">
        <f t="shared" si="412"/>
        <v>8</v>
      </c>
      <c r="E737" s="226" t="str">
        <f t="shared" si="413"/>
        <v>Upside</v>
      </c>
      <c r="F737" s="230">
        <f t="shared" si="414"/>
        <v>50000000</v>
      </c>
      <c r="G737" s="236">
        <f t="shared" si="415"/>
        <v>0.2</v>
      </c>
      <c r="H737" s="230">
        <f t="shared" si="416"/>
        <v>300000</v>
      </c>
      <c r="I737" s="236">
        <f t="shared" si="399"/>
        <v>0</v>
      </c>
      <c r="J737" s="234">
        <v>28</v>
      </c>
      <c r="K737" s="234">
        <f t="shared" si="400"/>
        <v>2053</v>
      </c>
      <c r="L737" s="230">
        <f>IF(J737=1,'Model Inputs'!$B$25*(13-'Model Inputs'!$B$23)/12,'Model Inputs'!$B$25)</f>
        <v>300000</v>
      </c>
      <c r="M737" s="230">
        <f>IF(J737=1,'Model Inputs'!$B$27*(13-'Model Inputs'!$B$23)/12,IF(J737=2,'Model Inputs'!$B$27,IF(J737&lt;=MAX(3,'Model Inputs'!$B$30+1),'Model Inputs'!$B$27*(1+'Model Inputs'!$B$28)^(J737-3),'Model Inputs'!$B$27*(1+'Model Inputs'!$B$28)^(MAX(3,'Model Inputs'!$B$30+1)-3)*(1+'Model Inputs'!$B$29)^(J737-MAX(3,'Model Inputs'!$B$30+1)))))</f>
        <v>235563492.81236541</v>
      </c>
      <c r="N737" s="236">
        <f>IF(J737&lt;=2,0,'Model Inputs'!$B$32*SIN(2*PI()*(J737-3+'Model Inputs'!$B$34)/MAX(1,'Model Inputs'!$B$33)))</f>
        <v>0.10392304845413247</v>
      </c>
      <c r="O737" s="230">
        <f t="shared" si="401"/>
        <v>260043969.08992955</v>
      </c>
      <c r="P737" s="230">
        <f t="shared" si="421"/>
        <v>171689024.02305913</v>
      </c>
      <c r="Q737" s="230">
        <f>L737+P737+IF(J737=1,'Model Inputs'!$B$26,0)</f>
        <v>171989024.02305913</v>
      </c>
      <c r="R737" s="230">
        <f t="shared" si="402"/>
        <v>515967072.06917739</v>
      </c>
      <c r="S737" s="230">
        <f t="shared" si="403"/>
        <v>10300000</v>
      </c>
      <c r="T737" s="230">
        <f t="shared" si="404"/>
        <v>10300000</v>
      </c>
      <c r="U737" s="230">
        <f>MIN(T737,'Tax Assumptions'!$B$19)</f>
        <v>24500</v>
      </c>
      <c r="V737" s="230">
        <f>MAX(T737-U737-'Tax Assumptions'!$B$8,0)</f>
        <v>10259400</v>
      </c>
      <c r="W737" s="230">
        <f>MAX(T737-U737-'Tax Assumptions'!$B$9,0)</f>
        <v>10267500</v>
      </c>
      <c r="X737" s="230">
        <f>IF(V737=0,0,LOOKUP(V737,'Tax Assumptions'!$F$9:$F$15,'Tax Assumptions'!$I$9:$I$15)+(V737-LOOKUP(V737,'Tax Assumptions'!$F$9:$F$15,'Tax Assumptions'!$F$9:$F$15))*LOOKUP(V737,'Tax Assumptions'!$F$9:$F$15,'Tax Assumptions'!$H$9:$H$15))+MIN(MAX(T737,0),'Tax Assumptions'!$B$11)*'Tax Assumptions'!$B$10+MAX(T737,0)*'Tax Assumptions'!$B$12+MAX(MAX(T737,0)-'Tax Assumptions'!$B$14,0)*'Tax Assumptions'!$B$13+MIN(T737*'Tax Assumptions'!$B$15,'Tax Assumptions'!$B$16)+MIN(T737*'Tax Assumptions'!$B$17,'Tax Assumptions'!$B$18)+IF(W737=0,0,LOOKUP(W737,'Tax Assumptions'!$K$9:$K$17,'Tax Assumptions'!$N$9:$N$17)+(W737-LOOKUP(W737,'Tax Assumptions'!$K$9:$K$17,'Tax Assumptions'!$K$9:$K$17))*LOOKUP(W737,'Tax Assumptions'!$K$9:$K$17,'Tax Assumptions'!$M$9:$M$17))+IF(W737=0,0,LOOKUP(W737,'Tax Assumptions'!$P$9:$P$12,'Tax Assumptions'!$S$9:$S$12)+(W737-LOOKUP(W737,'Tax Assumptions'!$P$9:$P$12,'Tax Assumptions'!$P$9:$P$12))*LOOKUP(W737,'Tax Assumptions'!$P$9:$P$12,'Tax Assumptions'!$R$9:$R$12))</f>
        <v>5394180.54</v>
      </c>
      <c r="Y737" s="230">
        <f t="shared" si="405"/>
        <v>4881319.46</v>
      </c>
      <c r="Z737" s="230">
        <f>IF(J737&lt;=10,INDEX('Savings Projection'!$BL$19:$BL$28,J737),LOOKUP(2,1/('Savings Projection'!$BL$19:$BL$28&lt;&gt;""),'Savings Projection'!$BL$19:$BL$28))*(1+'Model Inputs'!$B$35)^(J737-1)+IF(J737&lt;=10,INDEX('Savings Projection'!$BM$19:$BM$28,J737),LOOKUP(2,1/('Savings Projection'!$BM$19:$BM$28&lt;&gt;""),'Savings Projection'!$BM$19:$BM$28))*(1+'Model Inputs'!$B$36)^(J737-1)</f>
        <v>288767.57072412025</v>
      </c>
      <c r="AA737" s="230">
        <f t="shared" si="406"/>
        <v>4592551.8892758796</v>
      </c>
      <c r="AB737" s="230">
        <f>MIN(MAX(AA737,0),'Tax Assumptions'!$B$20)</f>
        <v>7500</v>
      </c>
      <c r="AC737" s="230">
        <f t="shared" si="407"/>
        <v>4585051.8892758796</v>
      </c>
      <c r="AD737" s="230">
        <f>MAX(AD736*(1+'Model Inputs'!$B$13)+AC737,0)</f>
        <v>203989618.89866191</v>
      </c>
      <c r="AE737" s="230">
        <f>MAX(AE736*(1+'Model Inputs'!$B$13)+U737+AB737,0)</f>
        <v>2192899.5718112038</v>
      </c>
      <c r="AF737" s="230">
        <f t="shared" si="408"/>
        <v>206182518.47047311</v>
      </c>
      <c r="AG737" s="226" t="str">
        <f t="shared" si="417"/>
        <v/>
      </c>
      <c r="AH737" s="226" t="str">
        <f t="shared" si="418"/>
        <v/>
      </c>
      <c r="AI737" s="226" t="str">
        <f t="shared" si="419"/>
        <v/>
      </c>
      <c r="AJ737" s="226" t="str">
        <f t="shared" si="420"/>
        <v/>
      </c>
    </row>
    <row r="738" spans="1:36" ht="18" customHeight="1" x14ac:dyDescent="0.2">
      <c r="A738" s="226" t="str">
        <f t="shared" si="409"/>
        <v>5Y -&gt; PM Y8 Upside</v>
      </c>
      <c r="B738" s="226">
        <f t="shared" si="410"/>
        <v>5</v>
      </c>
      <c r="C738" s="235">
        <f t="shared" si="411"/>
        <v>3</v>
      </c>
      <c r="D738" s="226">
        <f t="shared" si="412"/>
        <v>8</v>
      </c>
      <c r="E738" s="226" t="str">
        <f t="shared" si="413"/>
        <v>Upside</v>
      </c>
      <c r="F738" s="230">
        <f t="shared" si="414"/>
        <v>50000000</v>
      </c>
      <c r="G738" s="236">
        <f t="shared" si="415"/>
        <v>0.2</v>
      </c>
      <c r="H738" s="230">
        <f t="shared" si="416"/>
        <v>300000</v>
      </c>
      <c r="I738" s="236">
        <f t="shared" si="399"/>
        <v>0</v>
      </c>
      <c r="J738" s="234">
        <v>29</v>
      </c>
      <c r="K738" s="234">
        <f t="shared" si="400"/>
        <v>2054</v>
      </c>
      <c r="L738" s="230">
        <f>IF(J738=1,'Model Inputs'!$B$25*(13-'Model Inputs'!$B$23)/12,'Model Inputs'!$B$25)</f>
        <v>300000</v>
      </c>
      <c r="M738" s="230">
        <f>IF(J738=1,'Model Inputs'!$B$27*(13-'Model Inputs'!$B$23)/12,IF(J738=2,'Model Inputs'!$B$27,IF(J738&lt;=MAX(3,'Model Inputs'!$B$30+1),'Model Inputs'!$B$27*(1+'Model Inputs'!$B$28)^(J738-3),'Model Inputs'!$B$27*(1+'Model Inputs'!$B$28)^(MAX(3,'Model Inputs'!$B$30+1)-3)*(1+'Model Inputs'!$B$29)^(J738-MAX(3,'Model Inputs'!$B$30+1)))))</f>
        <v>299372327.53708321</v>
      </c>
      <c r="N738" s="236">
        <f>IF(J738&lt;=2,0,'Model Inputs'!$B$32*SIN(2*PI()*(J738-3+'Model Inputs'!$B$34)/MAX(1,'Model Inputs'!$B$33)))</f>
        <v>-0.10392304845413265</v>
      </c>
      <c r="O738" s="230">
        <f t="shared" si="401"/>
        <v>268260642.63662043</v>
      </c>
      <c r="P738" s="230">
        <f t="shared" si="421"/>
        <v>241371727.96595448</v>
      </c>
      <c r="Q738" s="230">
        <f>L738+P738+IF(J738=1,'Model Inputs'!$B$26,0)</f>
        <v>241671727.96595448</v>
      </c>
      <c r="R738" s="230">
        <f t="shared" si="402"/>
        <v>725015183.89786339</v>
      </c>
      <c r="S738" s="230">
        <f t="shared" si="403"/>
        <v>10300000</v>
      </c>
      <c r="T738" s="230">
        <f t="shared" si="404"/>
        <v>10300000</v>
      </c>
      <c r="U738" s="230">
        <f>MIN(T738,'Tax Assumptions'!$B$19)</f>
        <v>24500</v>
      </c>
      <c r="V738" s="230">
        <f>MAX(T738-U738-'Tax Assumptions'!$B$8,0)</f>
        <v>10259400</v>
      </c>
      <c r="W738" s="230">
        <f>MAX(T738-U738-'Tax Assumptions'!$B$9,0)</f>
        <v>10267500</v>
      </c>
      <c r="X738" s="230">
        <f>IF(V738=0,0,LOOKUP(V738,'Tax Assumptions'!$F$9:$F$15,'Tax Assumptions'!$I$9:$I$15)+(V738-LOOKUP(V738,'Tax Assumptions'!$F$9:$F$15,'Tax Assumptions'!$F$9:$F$15))*LOOKUP(V738,'Tax Assumptions'!$F$9:$F$15,'Tax Assumptions'!$H$9:$H$15))+MIN(MAX(T738,0),'Tax Assumptions'!$B$11)*'Tax Assumptions'!$B$10+MAX(T738,0)*'Tax Assumptions'!$B$12+MAX(MAX(T738,0)-'Tax Assumptions'!$B$14,0)*'Tax Assumptions'!$B$13+MIN(T738*'Tax Assumptions'!$B$15,'Tax Assumptions'!$B$16)+MIN(T738*'Tax Assumptions'!$B$17,'Tax Assumptions'!$B$18)+IF(W738=0,0,LOOKUP(W738,'Tax Assumptions'!$K$9:$K$17,'Tax Assumptions'!$N$9:$N$17)+(W738-LOOKUP(W738,'Tax Assumptions'!$K$9:$K$17,'Tax Assumptions'!$K$9:$K$17))*LOOKUP(W738,'Tax Assumptions'!$K$9:$K$17,'Tax Assumptions'!$M$9:$M$17))+IF(W738=0,0,LOOKUP(W738,'Tax Assumptions'!$P$9:$P$12,'Tax Assumptions'!$S$9:$S$12)+(W738-LOOKUP(W738,'Tax Assumptions'!$P$9:$P$12,'Tax Assumptions'!$P$9:$P$12))*LOOKUP(W738,'Tax Assumptions'!$P$9:$P$12,'Tax Assumptions'!$R$9:$R$12))</f>
        <v>5394180.54</v>
      </c>
      <c r="Y738" s="230">
        <f t="shared" si="405"/>
        <v>4881319.46</v>
      </c>
      <c r="Z738" s="230">
        <f>IF(J738&lt;=10,INDEX('Savings Projection'!$BL$19:$BL$28,J738),LOOKUP(2,1/('Savings Projection'!$BL$19:$BL$28&lt;&gt;""),'Savings Projection'!$BL$19:$BL$28))*(1+'Model Inputs'!$B$35)^(J738-1)+IF(J738&lt;=10,INDEX('Savings Projection'!$BM$19:$BM$28,J738),LOOKUP(2,1/('Savings Projection'!$BM$19:$BM$28&lt;&gt;""),'Savings Projection'!$BM$19:$BM$28))*(1+'Model Inputs'!$B$36)^(J738-1)</f>
        <v>297430.59784584382</v>
      </c>
      <c r="AA738" s="230">
        <f t="shared" si="406"/>
        <v>4583888.862154156</v>
      </c>
      <c r="AB738" s="230">
        <f>MIN(MAX(AA738,0),'Tax Assumptions'!$B$20)</f>
        <v>7500</v>
      </c>
      <c r="AC738" s="230">
        <f t="shared" si="407"/>
        <v>4576388.862154156</v>
      </c>
      <c r="AD738" s="230">
        <f>MAX(AD737*(1+'Model Inputs'!$B$13)+AC738,0)</f>
        <v>220805384.89473578</v>
      </c>
      <c r="AE738" s="230">
        <f>MAX(AE737*(1+'Model Inputs'!$B$13)+U738+AB738,0)</f>
        <v>2356473.5461198762</v>
      </c>
      <c r="AF738" s="230">
        <f t="shared" si="408"/>
        <v>223161858.44085565</v>
      </c>
      <c r="AG738" s="226" t="str">
        <f t="shared" si="417"/>
        <v/>
      </c>
      <c r="AH738" s="226" t="str">
        <f t="shared" si="418"/>
        <v/>
      </c>
      <c r="AI738" s="226" t="str">
        <f t="shared" si="419"/>
        <v/>
      </c>
      <c r="AJ738" s="226" t="str">
        <f t="shared" si="420"/>
        <v/>
      </c>
    </row>
    <row r="739" spans="1:36" ht="18" customHeight="1" x14ac:dyDescent="0.2">
      <c r="A739" s="226" t="str">
        <f t="shared" si="409"/>
        <v>5Y -&gt; PM Y8 Upside</v>
      </c>
      <c r="B739" s="226">
        <f t="shared" si="410"/>
        <v>5</v>
      </c>
      <c r="C739" s="235">
        <f t="shared" si="411"/>
        <v>3</v>
      </c>
      <c r="D739" s="226">
        <f t="shared" si="412"/>
        <v>8</v>
      </c>
      <c r="E739" s="226" t="str">
        <f t="shared" si="413"/>
        <v>Upside</v>
      </c>
      <c r="F739" s="230">
        <f t="shared" si="414"/>
        <v>50000000</v>
      </c>
      <c r="G739" s="236">
        <f t="shared" si="415"/>
        <v>0.2</v>
      </c>
      <c r="H739" s="230">
        <f t="shared" si="416"/>
        <v>300000</v>
      </c>
      <c r="I739" s="236">
        <f t="shared" si="399"/>
        <v>0</v>
      </c>
      <c r="J739" s="234">
        <v>30</v>
      </c>
      <c r="K739" s="234">
        <f t="shared" si="400"/>
        <v>2055</v>
      </c>
      <c r="L739" s="230">
        <f>IF(J739=1,'Model Inputs'!$B$25*(13-'Model Inputs'!$B$23)/12,'Model Inputs'!$B$25)</f>
        <v>300000</v>
      </c>
      <c r="M739" s="230">
        <f>IF(J739=1,'Model Inputs'!$B$27*(13-'Model Inputs'!$B$23)/12,IF(J739=2,'Model Inputs'!$B$27,IF(J739&lt;=MAX(3,'Model Inputs'!$B$30+1),'Model Inputs'!$B$27*(1+'Model Inputs'!$B$28)^(J739-3),'Model Inputs'!$B$27*(1+'Model Inputs'!$B$28)^(MAX(3,'Model Inputs'!$B$30+1)-3)*(1+'Model Inputs'!$B$29)^(J739-MAX(3,'Model Inputs'!$B$30+1)))))</f>
        <v>380465535.74563926</v>
      </c>
      <c r="N739" s="236">
        <f>IF(J739&lt;=2,0,'Model Inputs'!$B$32*SIN(2*PI()*(J739-3+'Model Inputs'!$B$34)/MAX(1,'Model Inputs'!$B$33)))</f>
        <v>-2.645237086158283E-16</v>
      </c>
      <c r="O739" s="230">
        <f t="shared" si="401"/>
        <v>380465535.7456392</v>
      </c>
      <c r="P739" s="230">
        <f t="shared" si="421"/>
        <v>266206474.24994773</v>
      </c>
      <c r="Q739" s="230">
        <f>L739+P739+IF(J739=1,'Model Inputs'!$B$26,0)</f>
        <v>266506474.24994773</v>
      </c>
      <c r="R739" s="230">
        <f t="shared" si="402"/>
        <v>799519422.74984312</v>
      </c>
      <c r="S739" s="230">
        <f t="shared" si="403"/>
        <v>10300000</v>
      </c>
      <c r="T739" s="230">
        <f t="shared" si="404"/>
        <v>10300000</v>
      </c>
      <c r="U739" s="230">
        <f>MIN(T739,'Tax Assumptions'!$B$19)</f>
        <v>24500</v>
      </c>
      <c r="V739" s="230">
        <f>MAX(T739-U739-'Tax Assumptions'!$B$8,0)</f>
        <v>10259400</v>
      </c>
      <c r="W739" s="230">
        <f>MAX(T739-U739-'Tax Assumptions'!$B$9,0)</f>
        <v>10267500</v>
      </c>
      <c r="X739" s="230">
        <f>IF(V739=0,0,LOOKUP(V739,'Tax Assumptions'!$F$9:$F$15,'Tax Assumptions'!$I$9:$I$15)+(V739-LOOKUP(V739,'Tax Assumptions'!$F$9:$F$15,'Tax Assumptions'!$F$9:$F$15))*LOOKUP(V739,'Tax Assumptions'!$F$9:$F$15,'Tax Assumptions'!$H$9:$H$15))+MIN(MAX(T739,0),'Tax Assumptions'!$B$11)*'Tax Assumptions'!$B$10+MAX(T739,0)*'Tax Assumptions'!$B$12+MAX(MAX(T739,0)-'Tax Assumptions'!$B$14,0)*'Tax Assumptions'!$B$13+MIN(T739*'Tax Assumptions'!$B$15,'Tax Assumptions'!$B$16)+MIN(T739*'Tax Assumptions'!$B$17,'Tax Assumptions'!$B$18)+IF(W739=0,0,LOOKUP(W739,'Tax Assumptions'!$K$9:$K$17,'Tax Assumptions'!$N$9:$N$17)+(W739-LOOKUP(W739,'Tax Assumptions'!$K$9:$K$17,'Tax Assumptions'!$K$9:$K$17))*LOOKUP(W739,'Tax Assumptions'!$K$9:$K$17,'Tax Assumptions'!$M$9:$M$17))+IF(W739=0,0,LOOKUP(W739,'Tax Assumptions'!$P$9:$P$12,'Tax Assumptions'!$S$9:$S$12)+(W739-LOOKUP(W739,'Tax Assumptions'!$P$9:$P$12,'Tax Assumptions'!$P$9:$P$12))*LOOKUP(W739,'Tax Assumptions'!$P$9:$P$12,'Tax Assumptions'!$R$9:$R$12))</f>
        <v>5394180.54</v>
      </c>
      <c r="Y739" s="230">
        <f t="shared" si="405"/>
        <v>4881319.46</v>
      </c>
      <c r="Z739" s="230">
        <f>IF(J739&lt;=10,INDEX('Savings Projection'!$BL$19:$BL$28,J739),LOOKUP(2,1/('Savings Projection'!$BL$19:$BL$28&lt;&gt;""),'Savings Projection'!$BL$19:$BL$28))*(1+'Model Inputs'!$B$35)^(J739-1)+IF(J739&lt;=10,INDEX('Savings Projection'!$BM$19:$BM$28,J739),LOOKUP(2,1/('Savings Projection'!$BM$19:$BM$28&lt;&gt;""),'Savings Projection'!$BM$19:$BM$28))*(1+'Model Inputs'!$B$36)^(J739-1)</f>
        <v>306353.51578121912</v>
      </c>
      <c r="AA739" s="230">
        <f t="shared" si="406"/>
        <v>4574965.9442187808</v>
      </c>
      <c r="AB739" s="230">
        <f>MIN(MAX(AA739,0),'Tax Assumptions'!$B$20)</f>
        <v>7500</v>
      </c>
      <c r="AC739" s="230">
        <f t="shared" si="407"/>
        <v>4567465.9442187808</v>
      </c>
      <c r="AD739" s="230">
        <f>MAX(AD738*(1+'Model Inputs'!$B$13)+AC739,0)</f>
        <v>238621173.93263873</v>
      </c>
      <c r="AE739" s="230">
        <f>MAX(AE738*(1+'Model Inputs'!$B$13)+U739+AB739,0)</f>
        <v>2529861.958887069</v>
      </c>
      <c r="AF739" s="230">
        <f t="shared" si="408"/>
        <v>241151035.8915258</v>
      </c>
      <c r="AG739" s="226" t="str">
        <f t="shared" si="417"/>
        <v/>
      </c>
      <c r="AH739" s="226" t="str">
        <f t="shared" si="418"/>
        <v/>
      </c>
      <c r="AI739" s="226" t="str">
        <f t="shared" si="419"/>
        <v/>
      </c>
      <c r="AJ739" s="226" t="str">
        <f t="shared" si="420"/>
        <v/>
      </c>
    </row>
    <row r="740" spans="1:36" ht="18" customHeight="1" x14ac:dyDescent="0.2">
      <c r="A740" s="226" t="str">
        <f t="shared" ref="A740:A769" si="422">$A$45</f>
        <v>5Y -&gt; PM Y8 Tail</v>
      </c>
      <c r="B740" s="226">
        <f t="shared" ref="B740:B769" si="423">$B$45</f>
        <v>5</v>
      </c>
      <c r="C740" s="235">
        <f t="shared" ref="C740:C769" si="424">$C$45</f>
        <v>3</v>
      </c>
      <c r="D740" s="226">
        <f t="shared" ref="D740:D769" si="425">$D$45</f>
        <v>8</v>
      </c>
      <c r="E740" s="226" t="str">
        <f t="shared" ref="E740:E769" si="426">$E$45</f>
        <v>Tail</v>
      </c>
      <c r="F740" s="230">
        <f t="shared" ref="F740:F769" si="427">$F$45</f>
        <v>100000000</v>
      </c>
      <c r="G740" s="236">
        <f t="shared" ref="G740:G769" si="428">$G$45</f>
        <v>0.15</v>
      </c>
      <c r="H740" s="230">
        <f t="shared" ref="H740:H769" si="429">$H$45</f>
        <v>300000</v>
      </c>
      <c r="I740" s="236">
        <f t="shared" si="399"/>
        <v>0</v>
      </c>
      <c r="J740" s="234">
        <v>1</v>
      </c>
      <c r="K740" s="234">
        <f t="shared" si="400"/>
        <v>2026</v>
      </c>
      <c r="L740" s="230">
        <f>IF(J740=1,'Model Inputs'!$B$25*(13-'Model Inputs'!$B$23)/12,'Model Inputs'!$B$25)</f>
        <v>100000</v>
      </c>
      <c r="M740" s="230">
        <f>IF(J740=1,'Model Inputs'!$B$27*(13-'Model Inputs'!$B$23)/12,IF(J740=2,'Model Inputs'!$B$27,IF(J740&lt;=MAX(3,'Model Inputs'!$B$30+1),'Model Inputs'!$B$27*(1+'Model Inputs'!$B$28)^(J740-3),'Model Inputs'!$B$27*(1+'Model Inputs'!$B$28)^(MAX(3,'Model Inputs'!$B$30+1)-3)*(1+'Model Inputs'!$B$29)^(J740-MAX(3,'Model Inputs'!$B$30+1)))))</f>
        <v>150000</v>
      </c>
      <c r="N740" s="236">
        <f>IF(J740&lt;=2,0,'Model Inputs'!$B$32*SIN(2*PI()*(J740-3+'Model Inputs'!$B$34)/MAX(1,'Model Inputs'!$B$33)))</f>
        <v>0</v>
      </c>
      <c r="O740" s="230">
        <f t="shared" si="401"/>
        <v>150000</v>
      </c>
      <c r="P740" s="230">
        <f>0</f>
        <v>0</v>
      </c>
      <c r="Q740" s="230">
        <f>L740+P740+IF(J740=1,'Model Inputs'!$B$26,0)</f>
        <v>550000</v>
      </c>
      <c r="R740" s="230">
        <f t="shared" si="402"/>
        <v>550000</v>
      </c>
      <c r="S740" s="230">
        <f t="shared" si="403"/>
        <v>15300000</v>
      </c>
      <c r="T740" s="230">
        <f t="shared" si="404"/>
        <v>550000</v>
      </c>
      <c r="U740" s="230">
        <f>MIN(T740,'Tax Assumptions'!$B$19)</f>
        <v>24500</v>
      </c>
      <c r="V740" s="230">
        <f>MAX(T740-U740-'Tax Assumptions'!$B$8,0)</f>
        <v>509400</v>
      </c>
      <c r="W740" s="230">
        <f>MAX(T740-U740-'Tax Assumptions'!$B$9,0)</f>
        <v>517500</v>
      </c>
      <c r="X740" s="230">
        <f>IF(V740=0,0,LOOKUP(V740,'Tax Assumptions'!$F$9:$F$15,'Tax Assumptions'!$I$9:$I$15)+(V740-LOOKUP(V740,'Tax Assumptions'!$F$9:$F$15,'Tax Assumptions'!$F$9:$F$15))*LOOKUP(V740,'Tax Assumptions'!$F$9:$F$15,'Tax Assumptions'!$H$9:$H$15))+MIN(MAX(T740,0),'Tax Assumptions'!$B$11)*'Tax Assumptions'!$B$10+MAX(T740,0)*'Tax Assumptions'!$B$12+MAX(MAX(T740,0)-'Tax Assumptions'!$B$14,0)*'Tax Assumptions'!$B$13+MIN(T740*'Tax Assumptions'!$B$15,'Tax Assumptions'!$B$16)+MIN(T740*'Tax Assumptions'!$B$17,'Tax Assumptions'!$B$18)+IF(W740=0,0,LOOKUP(W740,'Tax Assumptions'!$K$9:$K$17,'Tax Assumptions'!$N$9:$N$17)+(W740-LOOKUP(W740,'Tax Assumptions'!$K$9:$K$17,'Tax Assumptions'!$K$9:$K$17))*LOOKUP(W740,'Tax Assumptions'!$K$9:$K$17,'Tax Assumptions'!$M$9:$M$17))+IF(W740=0,0,LOOKUP(W740,'Tax Assumptions'!$P$9:$P$12,'Tax Assumptions'!$S$9:$S$12)+(W740-LOOKUP(W740,'Tax Assumptions'!$P$9:$P$12,'Tax Assumptions'!$P$9:$P$12))*LOOKUP(W740,'Tax Assumptions'!$P$9:$P$12,'Tax Assumptions'!$R$9:$R$12))</f>
        <v>222834.53000000003</v>
      </c>
      <c r="Y740" s="230">
        <f t="shared" si="405"/>
        <v>302665.46999999997</v>
      </c>
      <c r="Z740" s="230">
        <f>IF(J740&lt;=10,INDEX('Savings Projection'!$BL$19:$BL$28,J740),LOOKUP(2,1/('Savings Projection'!$BL$19:$BL$28&lt;&gt;""),'Savings Projection'!$BL$19:$BL$28))*(1+'Model Inputs'!$B$35)^(J740-1)+IF(J740&lt;=10,INDEX('Savings Projection'!$BM$19:$BM$28,J740),LOOKUP(2,1/('Savings Projection'!$BM$19:$BM$28&lt;&gt;""),'Savings Projection'!$BM$19:$BM$28))*(1+'Model Inputs'!$B$36)^(J740-1)</f>
        <v>118000</v>
      </c>
      <c r="AA740" s="230">
        <f t="shared" si="406"/>
        <v>184665.46999999997</v>
      </c>
      <c r="AB740" s="230">
        <f>MIN(MAX(AA740,0),'Tax Assumptions'!$B$20)</f>
        <v>7500</v>
      </c>
      <c r="AC740" s="230">
        <f t="shared" si="407"/>
        <v>177165.46999999997</v>
      </c>
      <c r="AD740" s="230">
        <f>MAX('Model Inputs'!$B$7*(1+'Model Inputs'!$B$13)+AC740,0)</f>
        <v>336165.47</v>
      </c>
      <c r="AE740" s="230">
        <f>MAX(('Model Inputs'!$B$8+'Model Inputs'!$B$9+'Model Inputs'!$B$10)*(1+'Model Inputs'!$B$13)+U740+AB740,0)</f>
        <v>32000</v>
      </c>
      <c r="AF740" s="230">
        <f t="shared" si="408"/>
        <v>368165.47</v>
      </c>
      <c r="AG740" s="226" t="str">
        <f>IF(AND(AF740&gt;=$F$14,0&lt;$F$14),J740,"")</f>
        <v/>
      </c>
      <c r="AH740" s="226" t="str">
        <f>IF(AND(AF740&gt;=$F$15,0&lt;$F$15),J740,"")</f>
        <v/>
      </c>
      <c r="AI740" s="226" t="str">
        <f>IF(AND(AF740&gt;=$F$16,0&lt;$F$16),J740,"")</f>
        <v/>
      </c>
      <c r="AJ740" s="226" t="str">
        <f>IF(AND(AF740&gt;=$F$17,0&lt;$F$17),J740,"")</f>
        <v/>
      </c>
    </row>
    <row r="741" spans="1:36" ht="18" customHeight="1" x14ac:dyDescent="0.2">
      <c r="A741" s="226" t="str">
        <f t="shared" si="422"/>
        <v>5Y -&gt; PM Y8 Tail</v>
      </c>
      <c r="B741" s="226">
        <f t="shared" si="423"/>
        <v>5</v>
      </c>
      <c r="C741" s="235">
        <f t="shared" si="424"/>
        <v>3</v>
      </c>
      <c r="D741" s="226">
        <f t="shared" si="425"/>
        <v>8</v>
      </c>
      <c r="E741" s="226" t="str">
        <f t="shared" si="426"/>
        <v>Tail</v>
      </c>
      <c r="F741" s="230">
        <f t="shared" si="427"/>
        <v>100000000</v>
      </c>
      <c r="G741" s="236">
        <f t="shared" si="428"/>
        <v>0.15</v>
      </c>
      <c r="H741" s="230">
        <f t="shared" si="429"/>
        <v>300000</v>
      </c>
      <c r="I741" s="236">
        <f t="shared" si="399"/>
        <v>0</v>
      </c>
      <c r="J741" s="234">
        <v>2</v>
      </c>
      <c r="K741" s="234">
        <f t="shared" si="400"/>
        <v>2027</v>
      </c>
      <c r="L741" s="230">
        <f>IF(J741=1,'Model Inputs'!$B$25*(13-'Model Inputs'!$B$23)/12,'Model Inputs'!$B$25)</f>
        <v>300000</v>
      </c>
      <c r="M741" s="230">
        <f>IF(J741=1,'Model Inputs'!$B$27*(13-'Model Inputs'!$B$23)/12,IF(J741=2,'Model Inputs'!$B$27,IF(J741&lt;=MAX(3,'Model Inputs'!$B$30+1),'Model Inputs'!$B$27*(1+'Model Inputs'!$B$28)^(J741-3),'Model Inputs'!$B$27*(1+'Model Inputs'!$B$28)^(MAX(3,'Model Inputs'!$B$30+1)-3)*(1+'Model Inputs'!$B$29)^(J741-MAX(3,'Model Inputs'!$B$30+1)))))</f>
        <v>450000</v>
      </c>
      <c r="N741" s="236">
        <f>IF(J741&lt;=2,0,'Model Inputs'!$B$32*SIN(2*PI()*(J741-3+'Model Inputs'!$B$34)/MAX(1,'Model Inputs'!$B$33)))</f>
        <v>0</v>
      </c>
      <c r="O741" s="230">
        <f t="shared" si="401"/>
        <v>450000</v>
      </c>
      <c r="P741" s="230">
        <f>0.75*O740</f>
        <v>112500</v>
      </c>
      <c r="Q741" s="230">
        <f>L741+P741+IF(J741=1,'Model Inputs'!$B$26,0)</f>
        <v>412500</v>
      </c>
      <c r="R741" s="230">
        <f t="shared" si="402"/>
        <v>412500</v>
      </c>
      <c r="S741" s="230">
        <f t="shared" si="403"/>
        <v>15300000</v>
      </c>
      <c r="T741" s="230">
        <f t="shared" si="404"/>
        <v>412500</v>
      </c>
      <c r="U741" s="230">
        <f>MIN(T741,'Tax Assumptions'!$B$19)</f>
        <v>24500</v>
      </c>
      <c r="V741" s="230">
        <f>MAX(T741-U741-'Tax Assumptions'!$B$8,0)</f>
        <v>371900</v>
      </c>
      <c r="W741" s="230">
        <f>MAX(T741-U741-'Tax Assumptions'!$B$9,0)</f>
        <v>380000</v>
      </c>
      <c r="X741" s="230">
        <f>IF(V741=0,0,LOOKUP(V741,'Tax Assumptions'!$F$9:$F$15,'Tax Assumptions'!$I$9:$I$15)+(V741-LOOKUP(V741,'Tax Assumptions'!$F$9:$F$15,'Tax Assumptions'!$F$9:$F$15))*LOOKUP(V741,'Tax Assumptions'!$F$9:$F$15,'Tax Assumptions'!$H$9:$H$15))+MIN(MAX(T741,0),'Tax Assumptions'!$B$11)*'Tax Assumptions'!$B$10+MAX(T741,0)*'Tax Assumptions'!$B$12+MAX(MAX(T741,0)-'Tax Assumptions'!$B$14,0)*'Tax Assumptions'!$B$13+MIN(T741*'Tax Assumptions'!$B$15,'Tax Assumptions'!$B$16)+MIN(T741*'Tax Assumptions'!$B$17,'Tax Assumptions'!$B$18)+IF(W741=0,0,LOOKUP(W741,'Tax Assumptions'!$K$9:$K$17,'Tax Assumptions'!$N$9:$N$17)+(W741-LOOKUP(W741,'Tax Assumptions'!$K$9:$K$17,'Tax Assumptions'!$K$9:$K$17))*LOOKUP(W741,'Tax Assumptions'!$K$9:$K$17,'Tax Assumptions'!$M$9:$M$17))+IF(W741=0,0,LOOKUP(W741,'Tax Assumptions'!$P$9:$P$12,'Tax Assumptions'!$S$9:$S$12)+(W741-LOOKUP(W741,'Tax Assumptions'!$P$9:$P$12,'Tax Assumptions'!$P$9:$P$12))*LOOKUP(W741,'Tax Assumptions'!$P$9:$P$12,'Tax Assumptions'!$R$9:$R$12))</f>
        <v>156730.03</v>
      </c>
      <c r="Y741" s="230">
        <f t="shared" si="405"/>
        <v>231269.97</v>
      </c>
      <c r="Z741" s="230">
        <f>IF(J741&lt;=10,INDEX('Savings Projection'!$BL$19:$BL$28,J741),LOOKUP(2,1/('Savings Projection'!$BL$19:$BL$28&lt;&gt;""),'Savings Projection'!$BL$19:$BL$28))*(1+'Model Inputs'!$B$35)^(J741-1)+IF(J741&lt;=10,INDEX('Savings Projection'!$BM$19:$BM$28,J741),LOOKUP(2,1/('Savings Projection'!$BM$19:$BM$28&lt;&gt;""),'Savings Projection'!$BM$19:$BM$28))*(1+'Model Inputs'!$B$36)^(J741-1)</f>
        <v>121540</v>
      </c>
      <c r="AA741" s="230">
        <f t="shared" si="406"/>
        <v>109729.97</v>
      </c>
      <c r="AB741" s="230">
        <f>MIN(MAX(AA741,0),'Tax Assumptions'!$B$20)</f>
        <v>7500</v>
      </c>
      <c r="AC741" s="230">
        <f t="shared" si="407"/>
        <v>102229.97</v>
      </c>
      <c r="AD741" s="230">
        <f>MAX(AD740*(1+'Model Inputs'!$B$13)+AC741,0)</f>
        <v>458565.36820000003</v>
      </c>
      <c r="AE741" s="230">
        <f>MAX(AE740*(1+'Model Inputs'!$B$13)+U741+AB741,0)</f>
        <v>65920</v>
      </c>
      <c r="AF741" s="230">
        <f t="shared" si="408"/>
        <v>524485.36820000003</v>
      </c>
      <c r="AG741" s="226" t="str">
        <f t="shared" ref="AG741:AG769" si="430">IF(AND(AF741&gt;=$F$14,AF740&lt;$F$14),J741,"")</f>
        <v/>
      </c>
      <c r="AH741" s="226" t="str">
        <f t="shared" ref="AH741:AH769" si="431">IF(AND(AF741&gt;=$F$15,AF740&lt;$F$15),J741,"")</f>
        <v/>
      </c>
      <c r="AI741" s="226" t="str">
        <f t="shared" ref="AI741:AI769" si="432">IF(AND(AF741&gt;=$F$16,AF740&lt;$F$16),J741,"")</f>
        <v/>
      </c>
      <c r="AJ741" s="226" t="str">
        <f t="shared" ref="AJ741:AJ769" si="433">IF(AND(AF741&gt;=$F$17,AF740&lt;$F$17),J741,"")</f>
        <v/>
      </c>
    </row>
    <row r="742" spans="1:36" ht="18" customHeight="1" x14ac:dyDescent="0.2">
      <c r="A742" s="226" t="str">
        <f t="shared" si="422"/>
        <v>5Y -&gt; PM Y8 Tail</v>
      </c>
      <c r="B742" s="226">
        <f t="shared" si="423"/>
        <v>5</v>
      </c>
      <c r="C742" s="235">
        <f t="shared" si="424"/>
        <v>3</v>
      </c>
      <c r="D742" s="226">
        <f t="shared" si="425"/>
        <v>8</v>
      </c>
      <c r="E742" s="226" t="str">
        <f t="shared" si="426"/>
        <v>Tail</v>
      </c>
      <c r="F742" s="230">
        <f t="shared" si="427"/>
        <v>100000000</v>
      </c>
      <c r="G742" s="236">
        <f t="shared" si="428"/>
        <v>0.15</v>
      </c>
      <c r="H742" s="230">
        <f t="shared" si="429"/>
        <v>300000</v>
      </c>
      <c r="I742" s="236">
        <f t="shared" si="399"/>
        <v>0</v>
      </c>
      <c r="J742" s="234">
        <v>3</v>
      </c>
      <c r="K742" s="234">
        <f t="shared" si="400"/>
        <v>2028</v>
      </c>
      <c r="L742" s="230">
        <f>IF(J742=1,'Model Inputs'!$B$25*(13-'Model Inputs'!$B$23)/12,'Model Inputs'!$B$25)</f>
        <v>300000</v>
      </c>
      <c r="M742" s="230">
        <f>IF(J742=1,'Model Inputs'!$B$27*(13-'Model Inputs'!$B$23)/12,IF(J742=2,'Model Inputs'!$B$27,IF(J742&lt;=MAX(3,'Model Inputs'!$B$30+1),'Model Inputs'!$B$27*(1+'Model Inputs'!$B$28)^(J742-3),'Model Inputs'!$B$27*(1+'Model Inputs'!$B$28)^(MAX(3,'Model Inputs'!$B$30+1)-3)*(1+'Model Inputs'!$B$29)^(J742-MAX(3,'Model Inputs'!$B$30+1)))))</f>
        <v>450000</v>
      </c>
      <c r="N742" s="236">
        <f>IF(J742&lt;=2,0,'Model Inputs'!$B$32*SIN(2*PI()*(J742-3+'Model Inputs'!$B$34)/MAX(1,'Model Inputs'!$B$33)))</f>
        <v>0</v>
      </c>
      <c r="O742" s="230">
        <f t="shared" si="401"/>
        <v>450000</v>
      </c>
      <c r="P742" s="230">
        <f t="shared" ref="P742:P769" si="434">0.75*O741+0.25*O740</f>
        <v>375000</v>
      </c>
      <c r="Q742" s="230">
        <f>L742+P742+IF(J742=1,'Model Inputs'!$B$26,0)</f>
        <v>675000</v>
      </c>
      <c r="R742" s="230">
        <f t="shared" si="402"/>
        <v>675000</v>
      </c>
      <c r="S742" s="230">
        <f t="shared" si="403"/>
        <v>15300000</v>
      </c>
      <c r="T742" s="230">
        <f t="shared" si="404"/>
        <v>675000</v>
      </c>
      <c r="U742" s="230">
        <f>MIN(T742,'Tax Assumptions'!$B$19)</f>
        <v>24500</v>
      </c>
      <c r="V742" s="230">
        <f>MAX(T742-U742-'Tax Assumptions'!$B$8,0)</f>
        <v>634400</v>
      </c>
      <c r="W742" s="230">
        <f>MAX(T742-U742-'Tax Assumptions'!$B$9,0)</f>
        <v>642500</v>
      </c>
      <c r="X742" s="230">
        <f>IF(V742=0,0,LOOKUP(V742,'Tax Assumptions'!$F$9:$F$15,'Tax Assumptions'!$I$9:$I$15)+(V742-LOOKUP(V742,'Tax Assumptions'!$F$9:$F$15,'Tax Assumptions'!$F$9:$F$15))*LOOKUP(V742,'Tax Assumptions'!$F$9:$F$15,'Tax Assumptions'!$H$9:$H$15))+MIN(MAX(T742,0),'Tax Assumptions'!$B$11)*'Tax Assumptions'!$B$10+MAX(T742,0)*'Tax Assumptions'!$B$12+MAX(MAX(T742,0)-'Tax Assumptions'!$B$14,0)*'Tax Assumptions'!$B$13+MIN(T742*'Tax Assumptions'!$B$15,'Tax Assumptions'!$B$16)+MIN(T742*'Tax Assumptions'!$B$17,'Tax Assumptions'!$B$18)+IF(W742=0,0,LOOKUP(W742,'Tax Assumptions'!$K$9:$K$17,'Tax Assumptions'!$N$9:$N$17)+(W742-LOOKUP(W742,'Tax Assumptions'!$K$9:$K$17,'Tax Assumptions'!$K$9:$K$17))*LOOKUP(W742,'Tax Assumptions'!$K$9:$K$17,'Tax Assumptions'!$M$9:$M$17))+IF(W742=0,0,LOOKUP(W742,'Tax Assumptions'!$P$9:$P$12,'Tax Assumptions'!$S$9:$S$12)+(W742-LOOKUP(W742,'Tax Assumptions'!$P$9:$P$12,'Tax Assumptions'!$P$9:$P$12))*LOOKUP(W742,'Tax Assumptions'!$P$9:$P$12,'Tax Assumptions'!$R$9:$R$12))</f>
        <v>282929.53000000003</v>
      </c>
      <c r="Y742" s="230">
        <f t="shared" si="405"/>
        <v>367570.47</v>
      </c>
      <c r="Z742" s="230">
        <f>IF(J742&lt;=10,INDEX('Savings Projection'!$BL$19:$BL$28,J742),LOOKUP(2,1/('Savings Projection'!$BL$19:$BL$28&lt;&gt;""),'Savings Projection'!$BL$19:$BL$28))*(1+'Model Inputs'!$B$35)^(J742-1)+IF(J742&lt;=10,INDEX('Savings Projection'!$BM$19:$BM$28,J742),LOOKUP(2,1/('Savings Projection'!$BM$19:$BM$28&lt;&gt;""),'Savings Projection'!$BM$19:$BM$28))*(1+'Model Inputs'!$B$36)^(J742-1)</f>
        <v>135795.20000000001</v>
      </c>
      <c r="AA742" s="230">
        <f t="shared" si="406"/>
        <v>231775.26999999996</v>
      </c>
      <c r="AB742" s="230">
        <f>MIN(MAX(AA742,0),'Tax Assumptions'!$B$20)</f>
        <v>7500</v>
      </c>
      <c r="AC742" s="230">
        <f t="shared" si="407"/>
        <v>224275.26999999996</v>
      </c>
      <c r="AD742" s="230">
        <f>MAX(AD741*(1+'Model Inputs'!$B$13)+AC742,0)</f>
        <v>710354.56029199995</v>
      </c>
      <c r="AE742" s="230">
        <f>MAX(AE741*(1+'Model Inputs'!$B$13)+U742+AB742,0)</f>
        <v>101875.2</v>
      </c>
      <c r="AF742" s="230">
        <f t="shared" si="408"/>
        <v>812229.7602919999</v>
      </c>
      <c r="AG742" s="226" t="str">
        <f t="shared" si="430"/>
        <v/>
      </c>
      <c r="AH742" s="226" t="str">
        <f t="shared" si="431"/>
        <v/>
      </c>
      <c r="AI742" s="226" t="str">
        <f t="shared" si="432"/>
        <v/>
      </c>
      <c r="AJ742" s="226" t="str">
        <f t="shared" si="433"/>
        <v/>
      </c>
    </row>
    <row r="743" spans="1:36" ht="18" customHeight="1" x14ac:dyDescent="0.2">
      <c r="A743" s="226" t="str">
        <f t="shared" si="422"/>
        <v>5Y -&gt; PM Y8 Tail</v>
      </c>
      <c r="B743" s="226">
        <f t="shared" si="423"/>
        <v>5</v>
      </c>
      <c r="C743" s="235">
        <f t="shared" si="424"/>
        <v>3</v>
      </c>
      <c r="D743" s="226">
        <f t="shared" si="425"/>
        <v>8</v>
      </c>
      <c r="E743" s="226" t="str">
        <f t="shared" si="426"/>
        <v>Tail</v>
      </c>
      <c r="F743" s="230">
        <f t="shared" si="427"/>
        <v>100000000</v>
      </c>
      <c r="G743" s="236">
        <f t="shared" si="428"/>
        <v>0.15</v>
      </c>
      <c r="H743" s="230">
        <f t="shared" si="429"/>
        <v>300000</v>
      </c>
      <c r="I743" s="236">
        <f t="shared" si="399"/>
        <v>0</v>
      </c>
      <c r="J743" s="234">
        <v>4</v>
      </c>
      <c r="K743" s="234">
        <f t="shared" si="400"/>
        <v>2029</v>
      </c>
      <c r="L743" s="230">
        <f>IF(J743=1,'Model Inputs'!$B$25*(13-'Model Inputs'!$B$23)/12,'Model Inputs'!$B$25)</f>
        <v>300000</v>
      </c>
      <c r="M743" s="230">
        <f>IF(J743=1,'Model Inputs'!$B$27*(13-'Model Inputs'!$B$23)/12,IF(J743=2,'Model Inputs'!$B$27,IF(J743&lt;=MAX(3,'Model Inputs'!$B$30+1),'Model Inputs'!$B$27*(1+'Model Inputs'!$B$28)^(J743-3),'Model Inputs'!$B$27*(1+'Model Inputs'!$B$28)^(MAX(3,'Model Inputs'!$B$30+1)-3)*(1+'Model Inputs'!$B$29)^(J743-MAX(3,'Model Inputs'!$B$30+1)))))</f>
        <v>653834.84153110103</v>
      </c>
      <c r="N743" s="236">
        <f>IF(J743&lt;=2,0,'Model Inputs'!$B$32*SIN(2*PI()*(J743-3+'Model Inputs'!$B$34)/MAX(1,'Model Inputs'!$B$33)))</f>
        <v>0.10392304845413264</v>
      </c>
      <c r="O743" s="230">
        <f t="shared" si="401"/>
        <v>721783.35144853778</v>
      </c>
      <c r="P743" s="230">
        <f t="shared" si="434"/>
        <v>450000</v>
      </c>
      <c r="Q743" s="230">
        <f>L743+P743+IF(J743=1,'Model Inputs'!$B$26,0)</f>
        <v>750000</v>
      </c>
      <c r="R743" s="230">
        <f t="shared" si="402"/>
        <v>750000</v>
      </c>
      <c r="S743" s="230">
        <f t="shared" si="403"/>
        <v>15300000</v>
      </c>
      <c r="T743" s="230">
        <f t="shared" si="404"/>
        <v>750000</v>
      </c>
      <c r="U743" s="230">
        <f>MIN(T743,'Tax Assumptions'!$B$19)</f>
        <v>24500</v>
      </c>
      <c r="V743" s="230">
        <f>MAX(T743-U743-'Tax Assumptions'!$B$8,0)</f>
        <v>709400</v>
      </c>
      <c r="W743" s="230">
        <f>MAX(T743-U743-'Tax Assumptions'!$B$9,0)</f>
        <v>717500</v>
      </c>
      <c r="X743" s="230">
        <f>IF(V743=0,0,LOOKUP(V743,'Tax Assumptions'!$F$9:$F$15,'Tax Assumptions'!$I$9:$I$15)+(V743-LOOKUP(V743,'Tax Assumptions'!$F$9:$F$15,'Tax Assumptions'!$F$9:$F$15))*LOOKUP(V743,'Tax Assumptions'!$F$9:$F$15,'Tax Assumptions'!$H$9:$H$15))+MIN(MAX(T743,0),'Tax Assumptions'!$B$11)*'Tax Assumptions'!$B$10+MAX(T743,0)*'Tax Assumptions'!$B$12+MAX(MAX(T743,0)-'Tax Assumptions'!$B$14,0)*'Tax Assumptions'!$B$13+MIN(T743*'Tax Assumptions'!$B$15,'Tax Assumptions'!$B$16)+MIN(T743*'Tax Assumptions'!$B$17,'Tax Assumptions'!$B$18)+IF(W743=0,0,LOOKUP(W743,'Tax Assumptions'!$K$9:$K$17,'Tax Assumptions'!$N$9:$N$17)+(W743-LOOKUP(W743,'Tax Assumptions'!$K$9:$K$17,'Tax Assumptions'!$K$9:$K$17))*LOOKUP(W743,'Tax Assumptions'!$K$9:$K$17,'Tax Assumptions'!$M$9:$M$17))+IF(W743=0,0,LOOKUP(W743,'Tax Assumptions'!$P$9:$P$12,'Tax Assumptions'!$S$9:$S$12)+(W743-LOOKUP(W743,'Tax Assumptions'!$P$9:$P$12,'Tax Assumptions'!$P$9:$P$12))*LOOKUP(W743,'Tax Assumptions'!$P$9:$P$12,'Tax Assumptions'!$R$9:$R$12))</f>
        <v>320362.53000000003</v>
      </c>
      <c r="Y743" s="230">
        <f t="shared" si="405"/>
        <v>405137.47</v>
      </c>
      <c r="Z743" s="230">
        <f>IF(J743&lt;=10,INDEX('Savings Projection'!$BL$19:$BL$28,J743),LOOKUP(2,1/('Savings Projection'!$BL$19:$BL$28&lt;&gt;""),'Savings Projection'!$BL$19:$BL$28))*(1+'Model Inputs'!$B$35)^(J743-1)+IF(J743&lt;=10,INDEX('Savings Projection'!$BM$19:$BM$28,J743),LOOKUP(2,1/('Savings Projection'!$BM$19:$BM$28&lt;&gt;""),'Savings Projection'!$BM$19:$BM$28))*(1+'Model Inputs'!$B$36)^(J743-1)</f>
        <v>139869.05600000001</v>
      </c>
      <c r="AA743" s="230">
        <f t="shared" si="406"/>
        <v>265268.41399999999</v>
      </c>
      <c r="AB743" s="230">
        <f>MIN(MAX(AA743,0),'Tax Assumptions'!$B$20)</f>
        <v>7500</v>
      </c>
      <c r="AC743" s="230">
        <f t="shared" si="407"/>
        <v>257768.41399999999</v>
      </c>
      <c r="AD743" s="230">
        <f>MAX(AD742*(1+'Model Inputs'!$B$13)+AC743,0)</f>
        <v>1010744.2479095199</v>
      </c>
      <c r="AE743" s="230">
        <f>MAX(AE742*(1+'Model Inputs'!$B$13)+U743+AB743,0)</f>
        <v>139987.712</v>
      </c>
      <c r="AF743" s="230">
        <f t="shared" si="408"/>
        <v>1150731.9599095199</v>
      </c>
      <c r="AG743" s="226" t="str">
        <f t="shared" si="430"/>
        <v/>
      </c>
      <c r="AH743" s="226" t="str">
        <f t="shared" si="431"/>
        <v/>
      </c>
      <c r="AI743" s="226" t="str">
        <f t="shared" si="432"/>
        <v/>
      </c>
      <c r="AJ743" s="226" t="str">
        <f t="shared" si="433"/>
        <v/>
      </c>
    </row>
    <row r="744" spans="1:36" ht="18" customHeight="1" x14ac:dyDescent="0.2">
      <c r="A744" s="226" t="str">
        <f t="shared" si="422"/>
        <v>5Y -&gt; PM Y8 Tail</v>
      </c>
      <c r="B744" s="226">
        <f t="shared" si="423"/>
        <v>5</v>
      </c>
      <c r="C744" s="235">
        <f t="shared" si="424"/>
        <v>3</v>
      </c>
      <c r="D744" s="226">
        <f t="shared" si="425"/>
        <v>8</v>
      </c>
      <c r="E744" s="226" t="str">
        <f t="shared" si="426"/>
        <v>Tail</v>
      </c>
      <c r="F744" s="230">
        <f t="shared" si="427"/>
        <v>100000000</v>
      </c>
      <c r="G744" s="236">
        <f t="shared" si="428"/>
        <v>0.15</v>
      </c>
      <c r="H744" s="230">
        <f t="shared" si="429"/>
        <v>300000</v>
      </c>
      <c r="I744" s="236">
        <f t="shared" si="399"/>
        <v>0</v>
      </c>
      <c r="J744" s="234">
        <v>5</v>
      </c>
      <c r="K744" s="234">
        <f t="shared" si="400"/>
        <v>2030</v>
      </c>
      <c r="L744" s="230">
        <f>IF(J744=1,'Model Inputs'!$B$25*(13-'Model Inputs'!$B$23)/12,'Model Inputs'!$B$25)</f>
        <v>300000</v>
      </c>
      <c r="M744" s="230">
        <f>IF(J744=1,'Model Inputs'!$B$27*(13-'Model Inputs'!$B$23)/12,IF(J744=2,'Model Inputs'!$B$27,IF(J744&lt;=MAX(3,'Model Inputs'!$B$30+1),'Model Inputs'!$B$27*(1+'Model Inputs'!$B$28)^(J744-3),'Model Inputs'!$B$27*(1+'Model Inputs'!$B$28)^(MAX(3,'Model Inputs'!$B$30+1)-3)*(1+'Model Inputs'!$B$29)^(J744-MAX(3,'Model Inputs'!$B$30+1)))))</f>
        <v>950000</v>
      </c>
      <c r="N744" s="236">
        <f>IF(J744&lt;=2,0,'Model Inputs'!$B$32*SIN(2*PI()*(J744-3+'Model Inputs'!$B$34)/MAX(1,'Model Inputs'!$B$33)))</f>
        <v>-0.1039230484541326</v>
      </c>
      <c r="O744" s="230">
        <f t="shared" si="401"/>
        <v>851273.10396857408</v>
      </c>
      <c r="P744" s="230">
        <f t="shared" si="434"/>
        <v>653837.51358640334</v>
      </c>
      <c r="Q744" s="230">
        <f>L744+P744+IF(J744=1,'Model Inputs'!$B$26,0)</f>
        <v>953837.51358640334</v>
      </c>
      <c r="R744" s="230">
        <f t="shared" si="402"/>
        <v>953837.51358640334</v>
      </c>
      <c r="S744" s="230">
        <f t="shared" si="403"/>
        <v>15300000</v>
      </c>
      <c r="T744" s="230">
        <f t="shared" si="404"/>
        <v>953837.51358640334</v>
      </c>
      <c r="U744" s="230">
        <f>MIN(T744,'Tax Assumptions'!$B$19)</f>
        <v>24500</v>
      </c>
      <c r="V744" s="230">
        <f>MAX(T744-U744-'Tax Assumptions'!$B$8,0)</f>
        <v>913237.51358640334</v>
      </c>
      <c r="W744" s="230">
        <f>MAX(T744-U744-'Tax Assumptions'!$B$9,0)</f>
        <v>921337.51358640334</v>
      </c>
      <c r="X744" s="230">
        <f>IF(V744=0,0,LOOKUP(V744,'Tax Assumptions'!$F$9:$F$15,'Tax Assumptions'!$I$9:$I$15)+(V744-LOOKUP(V744,'Tax Assumptions'!$F$9:$F$15,'Tax Assumptions'!$F$9:$F$15))*LOOKUP(V744,'Tax Assumptions'!$F$9:$F$15,'Tax Assumptions'!$H$9:$H$15))+MIN(MAX(T744,0),'Tax Assumptions'!$B$11)*'Tax Assumptions'!$B$10+MAX(T744,0)*'Tax Assumptions'!$B$12+MAX(MAX(T744,0)-'Tax Assumptions'!$B$14,0)*'Tax Assumptions'!$B$13+MIN(T744*'Tax Assumptions'!$B$15,'Tax Assumptions'!$B$16)+MIN(T744*'Tax Assumptions'!$B$17,'Tax Assumptions'!$B$18)+IF(W744=0,0,LOOKUP(W744,'Tax Assumptions'!$K$9:$K$17,'Tax Assumptions'!$N$9:$N$17)+(W744-LOOKUP(W744,'Tax Assumptions'!$K$9:$K$17,'Tax Assumptions'!$K$9:$K$17))*LOOKUP(W744,'Tax Assumptions'!$K$9:$K$17,'Tax Assumptions'!$M$9:$M$17))+IF(W744=0,0,LOOKUP(W744,'Tax Assumptions'!$P$9:$P$12,'Tax Assumptions'!$S$9:$S$12)+(W744-LOOKUP(W744,'Tax Assumptions'!$P$9:$P$12,'Tax Assumptions'!$P$9:$P$12))*LOOKUP(W744,'Tax Assumptions'!$P$9:$P$12,'Tax Assumptions'!$R$9:$R$12))</f>
        <v>422436.20330352732</v>
      </c>
      <c r="Y744" s="230">
        <f t="shared" si="405"/>
        <v>506901.31028287602</v>
      </c>
      <c r="Z744" s="230">
        <f>IF(J744&lt;=10,INDEX('Savings Projection'!$BL$19:$BL$28,J744),LOOKUP(2,1/('Savings Projection'!$BL$19:$BL$28&lt;&gt;""),'Savings Projection'!$BL$19:$BL$28))*(1+'Model Inputs'!$B$35)^(J744-1)+IF(J744&lt;=10,INDEX('Savings Projection'!$BM$19:$BM$28,J744),LOOKUP(2,1/('Savings Projection'!$BM$19:$BM$28&lt;&gt;""),'Savings Projection'!$BM$19:$BM$28))*(1+'Model Inputs'!$B$36)^(J744-1)</f>
        <v>144065.12767999998</v>
      </c>
      <c r="AA744" s="230">
        <f t="shared" si="406"/>
        <v>362836.18260287604</v>
      </c>
      <c r="AB744" s="230">
        <f>MIN(MAX(AA744,0),'Tax Assumptions'!$B$20)</f>
        <v>7500</v>
      </c>
      <c r="AC744" s="230">
        <f t="shared" si="407"/>
        <v>355336.18260287604</v>
      </c>
      <c r="AD744" s="230">
        <f>MAX(AD743*(1+'Model Inputs'!$B$13)+AC744,0)</f>
        <v>1426725.0853869673</v>
      </c>
      <c r="AE744" s="230">
        <f>MAX(AE743*(1+'Model Inputs'!$B$13)+U744+AB744,0)</f>
        <v>180386.97472</v>
      </c>
      <c r="AF744" s="230">
        <f t="shared" si="408"/>
        <v>1607112.0601069673</v>
      </c>
      <c r="AG744" s="226" t="str">
        <f t="shared" si="430"/>
        <v/>
      </c>
      <c r="AH744" s="226" t="str">
        <f t="shared" si="431"/>
        <v/>
      </c>
      <c r="AI744" s="226" t="str">
        <f t="shared" si="432"/>
        <v/>
      </c>
      <c r="AJ744" s="226" t="str">
        <f t="shared" si="433"/>
        <v/>
      </c>
    </row>
    <row r="745" spans="1:36" ht="18" customHeight="1" x14ac:dyDescent="0.2">
      <c r="A745" s="226" t="str">
        <f t="shared" si="422"/>
        <v>5Y -&gt; PM Y8 Tail</v>
      </c>
      <c r="B745" s="226">
        <f t="shared" si="423"/>
        <v>5</v>
      </c>
      <c r="C745" s="235">
        <f t="shared" si="424"/>
        <v>3</v>
      </c>
      <c r="D745" s="226">
        <f t="shared" si="425"/>
        <v>8</v>
      </c>
      <c r="E745" s="226" t="str">
        <f t="shared" si="426"/>
        <v>Tail</v>
      </c>
      <c r="F745" s="230">
        <f t="shared" si="427"/>
        <v>100000000</v>
      </c>
      <c r="G745" s="236">
        <f t="shared" si="428"/>
        <v>0.15</v>
      </c>
      <c r="H745" s="230">
        <f t="shared" si="429"/>
        <v>300000</v>
      </c>
      <c r="I745" s="236">
        <f t="shared" si="399"/>
        <v>0</v>
      </c>
      <c r="J745" s="234">
        <v>6</v>
      </c>
      <c r="K745" s="234">
        <f t="shared" si="400"/>
        <v>2031</v>
      </c>
      <c r="L745" s="230">
        <f>IF(J745=1,'Model Inputs'!$B$25*(13-'Model Inputs'!$B$23)/12,'Model Inputs'!$B$25)</f>
        <v>300000</v>
      </c>
      <c r="M745" s="230">
        <f>IF(J745=1,'Model Inputs'!$B$27*(13-'Model Inputs'!$B$23)/12,IF(J745=2,'Model Inputs'!$B$27,IF(J745&lt;=MAX(3,'Model Inputs'!$B$30+1),'Model Inputs'!$B$27*(1+'Model Inputs'!$B$28)^(J745-3),'Model Inputs'!$B$27*(1+'Model Inputs'!$B$28)^(MAX(3,'Model Inputs'!$B$30+1)-3)*(1+'Model Inputs'!$B$29)^(J745-MAX(3,'Model Inputs'!$B$30+1)))))</f>
        <v>1207333.5632986501</v>
      </c>
      <c r="N745" s="236">
        <f>IF(J745&lt;=2,0,'Model Inputs'!$B$32*SIN(2*PI()*(J745-3+'Model Inputs'!$B$34)/MAX(1,'Model Inputs'!$B$33)))</f>
        <v>-2.9391523179536474E-17</v>
      </c>
      <c r="O745" s="230">
        <f t="shared" si="401"/>
        <v>1207333.5632986501</v>
      </c>
      <c r="P745" s="230">
        <f t="shared" si="434"/>
        <v>818900.66583856498</v>
      </c>
      <c r="Q745" s="230">
        <f>L745+P745+IF(J745=1,'Model Inputs'!$B$26,0)</f>
        <v>1118900.665838565</v>
      </c>
      <c r="R745" s="230">
        <f t="shared" si="402"/>
        <v>3356701.9975156952</v>
      </c>
      <c r="S745" s="230">
        <f t="shared" si="403"/>
        <v>15300000</v>
      </c>
      <c r="T745" s="230">
        <f t="shared" si="404"/>
        <v>3356701.9975156952</v>
      </c>
      <c r="U745" s="230">
        <f>MIN(T745,'Tax Assumptions'!$B$19)</f>
        <v>24500</v>
      </c>
      <c r="V745" s="230">
        <f>MAX(T745-U745-'Tax Assumptions'!$B$8,0)</f>
        <v>3316101.9975156952</v>
      </c>
      <c r="W745" s="230">
        <f>MAX(T745-U745-'Tax Assumptions'!$B$9,0)</f>
        <v>3324201.9975156952</v>
      </c>
      <c r="X745" s="230">
        <f>IF(V745=0,0,LOOKUP(V745,'Tax Assumptions'!$F$9:$F$15,'Tax Assumptions'!$I$9:$I$15)+(V745-LOOKUP(V745,'Tax Assumptions'!$F$9:$F$15,'Tax Assumptions'!$F$9:$F$15))*LOOKUP(V745,'Tax Assumptions'!$F$9:$F$15,'Tax Assumptions'!$H$9:$H$15))+MIN(MAX(T745,0),'Tax Assumptions'!$B$11)*'Tax Assumptions'!$B$10+MAX(T745,0)*'Tax Assumptions'!$B$12+MAX(MAX(T745,0)-'Tax Assumptions'!$B$14,0)*'Tax Assumptions'!$B$13+MIN(T745*'Tax Assumptions'!$B$15,'Tax Assumptions'!$B$16)+MIN(T745*'Tax Assumptions'!$B$17,'Tax Assumptions'!$B$18)+IF(W745=0,0,LOOKUP(W745,'Tax Assumptions'!$K$9:$K$17,'Tax Assumptions'!$N$9:$N$17)+(W745-LOOKUP(W745,'Tax Assumptions'!$K$9:$K$17,'Tax Assumptions'!$K$9:$K$17))*LOOKUP(W745,'Tax Assumptions'!$K$9:$K$17,'Tax Assumptions'!$M$9:$M$17))+IF(W745=0,0,LOOKUP(W745,'Tax Assumptions'!$P$9:$P$12,'Tax Assumptions'!$S$9:$S$12)+(W745-LOOKUP(W745,'Tax Assumptions'!$P$9:$P$12,'Tax Assumptions'!$P$9:$P$12))*LOOKUP(W745,'Tax Assumptions'!$P$9:$P$12,'Tax Assumptions'!$R$9:$R$12))</f>
        <v>1688600.3832063989</v>
      </c>
      <c r="Y745" s="230">
        <f t="shared" si="405"/>
        <v>1643601.6143092962</v>
      </c>
      <c r="Z745" s="230">
        <f>IF(J745&lt;=10,INDEX('Savings Projection'!$BL$19:$BL$28,J745),LOOKUP(2,1/('Savings Projection'!$BL$19:$BL$28&lt;&gt;""),'Savings Projection'!$BL$19:$BL$28))*(1+'Model Inputs'!$B$35)^(J745-1)+IF(J745&lt;=10,INDEX('Savings Projection'!$BM$19:$BM$28,J745),LOOKUP(2,1/('Savings Projection'!$BM$19:$BM$28&lt;&gt;""),'Savings Projection'!$BM$19:$BM$28))*(1+'Model Inputs'!$B$36)^(J745-1)</f>
        <v>150705.62965899997</v>
      </c>
      <c r="AA745" s="230">
        <f t="shared" si="406"/>
        <v>1492895.9846502962</v>
      </c>
      <c r="AB745" s="230">
        <f>MIN(MAX(AA745,0),'Tax Assumptions'!$B$20)</f>
        <v>7500</v>
      </c>
      <c r="AC745" s="230">
        <f t="shared" si="407"/>
        <v>1485395.9846502962</v>
      </c>
      <c r="AD745" s="230">
        <f>MAX(AD744*(1+'Model Inputs'!$B$13)+AC745,0)</f>
        <v>2997724.5751604815</v>
      </c>
      <c r="AE745" s="230">
        <f>MAX(AE744*(1+'Model Inputs'!$B$13)+U745+AB745,0)</f>
        <v>223210.1932032</v>
      </c>
      <c r="AF745" s="230">
        <f t="shared" si="408"/>
        <v>3220934.7683636816</v>
      </c>
      <c r="AG745" s="226" t="str">
        <f t="shared" si="430"/>
        <v/>
      </c>
      <c r="AH745" s="226" t="str">
        <f t="shared" si="431"/>
        <v/>
      </c>
      <c r="AI745" s="226" t="str">
        <f t="shared" si="432"/>
        <v/>
      </c>
      <c r="AJ745" s="226" t="str">
        <f t="shared" si="433"/>
        <v/>
      </c>
    </row>
    <row r="746" spans="1:36" ht="18" customHeight="1" x14ac:dyDescent="0.2">
      <c r="A746" s="226" t="str">
        <f t="shared" si="422"/>
        <v>5Y -&gt; PM Y8 Tail</v>
      </c>
      <c r="B746" s="226">
        <f t="shared" si="423"/>
        <v>5</v>
      </c>
      <c r="C746" s="235">
        <f t="shared" si="424"/>
        <v>3</v>
      </c>
      <c r="D746" s="226">
        <f t="shared" si="425"/>
        <v>8</v>
      </c>
      <c r="E746" s="226" t="str">
        <f t="shared" si="426"/>
        <v>Tail</v>
      </c>
      <c r="F746" s="230">
        <f t="shared" si="427"/>
        <v>100000000</v>
      </c>
      <c r="G746" s="236">
        <f t="shared" si="428"/>
        <v>0.15</v>
      </c>
      <c r="H746" s="230">
        <f t="shared" si="429"/>
        <v>300000</v>
      </c>
      <c r="I746" s="236">
        <f t="shared" si="399"/>
        <v>0</v>
      </c>
      <c r="J746" s="234">
        <v>7</v>
      </c>
      <c r="K746" s="234">
        <f t="shared" si="400"/>
        <v>2032</v>
      </c>
      <c r="L746" s="230">
        <f>IF(J746=1,'Model Inputs'!$B$25*(13-'Model Inputs'!$B$23)/12,'Model Inputs'!$B$25)</f>
        <v>300000</v>
      </c>
      <c r="M746" s="230">
        <f>IF(J746=1,'Model Inputs'!$B$27*(13-'Model Inputs'!$B$23)/12,IF(J746=2,'Model Inputs'!$B$27,IF(J746&lt;=MAX(3,'Model Inputs'!$B$30+1),'Model Inputs'!$B$27*(1+'Model Inputs'!$B$28)^(J746-3),'Model Inputs'!$B$27*(1+'Model Inputs'!$B$28)^(MAX(3,'Model Inputs'!$B$30+1)-3)*(1+'Model Inputs'!$B$29)^(J746-MAX(3,'Model Inputs'!$B$30+1)))))</f>
        <v>1534372.9821762268</v>
      </c>
      <c r="N746" s="236">
        <f>IF(J746&lt;=2,0,'Model Inputs'!$B$32*SIN(2*PI()*(J746-3+'Model Inputs'!$B$34)/MAX(1,'Model Inputs'!$B$33)))</f>
        <v>0.10392304845413269</v>
      </c>
      <c r="O746" s="230">
        <f t="shared" si="401"/>
        <v>1693829.6999496389</v>
      </c>
      <c r="P746" s="230">
        <f t="shared" si="434"/>
        <v>1118318.448466131</v>
      </c>
      <c r="Q746" s="230">
        <f>L746+P746+IF(J746=1,'Model Inputs'!$B$26,0)</f>
        <v>1418318.448466131</v>
      </c>
      <c r="R746" s="230">
        <f t="shared" si="402"/>
        <v>4254955.3453983925</v>
      </c>
      <c r="S746" s="230">
        <f t="shared" si="403"/>
        <v>15300000</v>
      </c>
      <c r="T746" s="230">
        <f t="shared" si="404"/>
        <v>4254955.3453983925</v>
      </c>
      <c r="U746" s="230">
        <f>MIN(T746,'Tax Assumptions'!$B$19)</f>
        <v>24500</v>
      </c>
      <c r="V746" s="230">
        <f>MAX(T746-U746-'Tax Assumptions'!$B$8,0)</f>
        <v>4214355.3453983925</v>
      </c>
      <c r="W746" s="230">
        <f>MAX(T746-U746-'Tax Assumptions'!$B$9,0)</f>
        <v>4222455.3453983925</v>
      </c>
      <c r="X746" s="230">
        <f>IF(V746=0,0,LOOKUP(V746,'Tax Assumptions'!$F$9:$F$15,'Tax Assumptions'!$I$9:$I$15)+(V746-LOOKUP(V746,'Tax Assumptions'!$F$9:$F$15,'Tax Assumptions'!$F$9:$F$15))*LOOKUP(V746,'Tax Assumptions'!$F$9:$F$15,'Tax Assumptions'!$H$9:$H$15))+MIN(MAX(T746,0),'Tax Assumptions'!$B$11)*'Tax Assumptions'!$B$10+MAX(T746,0)*'Tax Assumptions'!$B$12+MAX(MAX(T746,0)-'Tax Assumptions'!$B$14,0)*'Tax Assumptions'!$B$13+MIN(T746*'Tax Assumptions'!$B$15,'Tax Assumptions'!$B$16)+MIN(T746*'Tax Assumptions'!$B$17,'Tax Assumptions'!$B$18)+IF(W746=0,0,LOOKUP(W746,'Tax Assumptions'!$K$9:$K$17,'Tax Assumptions'!$N$9:$N$17)+(W746-LOOKUP(W746,'Tax Assumptions'!$K$9:$K$17,'Tax Assumptions'!$K$9:$K$17))*LOOKUP(W746,'Tax Assumptions'!$K$9:$K$17,'Tax Assumptions'!$M$9:$M$17))+IF(W746=0,0,LOOKUP(W746,'Tax Assumptions'!$P$9:$P$12,'Tax Assumptions'!$S$9:$S$12)+(W746-LOOKUP(W746,'Tax Assumptions'!$P$9:$P$12,'Tax Assumptions'!$P$9:$P$12))*LOOKUP(W746,'Tax Assumptions'!$P$9:$P$12,'Tax Assumptions'!$R$9:$R$12))</f>
        <v>2163560.8234328539</v>
      </c>
      <c r="Y746" s="230">
        <f t="shared" si="405"/>
        <v>2066894.5219655386</v>
      </c>
      <c r="Z746" s="230">
        <f>IF(J746&lt;=10,INDEX('Savings Projection'!$BL$19:$BL$28,J746),LOOKUP(2,1/('Savings Projection'!$BL$19:$BL$28&lt;&gt;""),'Savings Projection'!$BL$19:$BL$28))*(1+'Model Inputs'!$B$35)^(J746-1)+IF(J746&lt;=10,INDEX('Savings Projection'!$BM$19:$BM$28,J746),LOOKUP(2,1/('Savings Projection'!$BM$19:$BM$28&lt;&gt;""),'Savings Projection'!$BM$19:$BM$28))*(1+'Model Inputs'!$B$36)^(J746-1)</f>
        <v>155226.79854876999</v>
      </c>
      <c r="AA746" s="230">
        <f t="shared" si="406"/>
        <v>1911667.7234167687</v>
      </c>
      <c r="AB746" s="230">
        <f>MIN(MAX(AA746,0),'Tax Assumptions'!$B$20)</f>
        <v>7500</v>
      </c>
      <c r="AC746" s="230">
        <f t="shared" si="407"/>
        <v>1904167.7234167687</v>
      </c>
      <c r="AD746" s="230">
        <f>MAX(AD745*(1+'Model Inputs'!$B$13)+AC746,0)</f>
        <v>5081755.7730868794</v>
      </c>
      <c r="AE746" s="230">
        <f>MAX(AE745*(1+'Model Inputs'!$B$13)+U746+AB746,0)</f>
        <v>268602.80479539197</v>
      </c>
      <c r="AF746" s="230">
        <f t="shared" si="408"/>
        <v>5350358.5778822713</v>
      </c>
      <c r="AG746" s="226" t="str">
        <f t="shared" si="430"/>
        <v/>
      </c>
      <c r="AH746" s="226" t="str">
        <f t="shared" si="431"/>
        <v/>
      </c>
      <c r="AI746" s="226" t="str">
        <f t="shared" si="432"/>
        <v/>
      </c>
      <c r="AJ746" s="226" t="str">
        <f t="shared" si="433"/>
        <v/>
      </c>
    </row>
    <row r="747" spans="1:36" ht="18" customHeight="1" x14ac:dyDescent="0.2">
      <c r="A747" s="226" t="str">
        <f t="shared" si="422"/>
        <v>5Y -&gt; PM Y8 Tail</v>
      </c>
      <c r="B747" s="226">
        <f t="shared" si="423"/>
        <v>5</v>
      </c>
      <c r="C747" s="235">
        <f t="shared" si="424"/>
        <v>3</v>
      </c>
      <c r="D747" s="226">
        <f t="shared" si="425"/>
        <v>8</v>
      </c>
      <c r="E747" s="226" t="str">
        <f t="shared" si="426"/>
        <v>Tail</v>
      </c>
      <c r="F747" s="230">
        <f t="shared" si="427"/>
        <v>100000000</v>
      </c>
      <c r="G747" s="236">
        <f t="shared" si="428"/>
        <v>0.15</v>
      </c>
      <c r="H747" s="230">
        <f t="shared" si="429"/>
        <v>300000</v>
      </c>
      <c r="I747" s="236">
        <f t="shared" si="399"/>
        <v>0</v>
      </c>
      <c r="J747" s="234">
        <v>8</v>
      </c>
      <c r="K747" s="234">
        <f t="shared" si="400"/>
        <v>2033</v>
      </c>
      <c r="L747" s="230">
        <f>IF(J747=1,'Model Inputs'!$B$25*(13-'Model Inputs'!$B$23)/12,'Model Inputs'!$B$25)</f>
        <v>300000</v>
      </c>
      <c r="M747" s="230">
        <f>IF(J747=1,'Model Inputs'!$B$27*(13-'Model Inputs'!$B$23)/12,IF(J747=2,'Model Inputs'!$B$27,IF(J747&lt;=MAX(3,'Model Inputs'!$B$30+1),'Model Inputs'!$B$27*(1+'Model Inputs'!$B$28)^(J747-3),'Model Inputs'!$B$27*(1+'Model Inputs'!$B$28)^(MAX(3,'Model Inputs'!$B$30+1)-3)*(1+'Model Inputs'!$B$29)^(J747-MAX(3,'Model Inputs'!$B$30+1)))))</f>
        <v>1950000.0000000002</v>
      </c>
      <c r="N747" s="236">
        <f>IF(J747&lt;=2,0,'Model Inputs'!$B$32*SIN(2*PI()*(J747-3+'Model Inputs'!$B$34)/MAX(1,'Model Inputs'!$B$33)))</f>
        <v>-0.10392304845413264</v>
      </c>
      <c r="O747" s="230">
        <f t="shared" si="401"/>
        <v>1747350.0555144416</v>
      </c>
      <c r="P747" s="230">
        <f t="shared" si="434"/>
        <v>1572205.6657868917</v>
      </c>
      <c r="Q747" s="230">
        <f>L747+P747+IF(J747=1,'Model Inputs'!$B$26,0)</f>
        <v>1872205.6657868917</v>
      </c>
      <c r="R747" s="230">
        <f t="shared" si="402"/>
        <v>5616616.9973606747</v>
      </c>
      <c r="S747" s="230">
        <f t="shared" si="403"/>
        <v>15300000</v>
      </c>
      <c r="T747" s="230">
        <f t="shared" si="404"/>
        <v>15300000</v>
      </c>
      <c r="U747" s="230">
        <f>MIN(T747,'Tax Assumptions'!$B$19)</f>
        <v>24500</v>
      </c>
      <c r="V747" s="230">
        <f>MAX(T747-U747-'Tax Assumptions'!$B$8,0)</f>
        <v>15259400</v>
      </c>
      <c r="W747" s="230">
        <f>MAX(T747-U747-'Tax Assumptions'!$B$9,0)</f>
        <v>15267500</v>
      </c>
      <c r="X747" s="230">
        <f>IF(V747=0,0,LOOKUP(V747,'Tax Assumptions'!$F$9:$F$15,'Tax Assumptions'!$I$9:$I$15)+(V747-LOOKUP(V747,'Tax Assumptions'!$F$9:$F$15,'Tax Assumptions'!$F$9:$F$15))*LOOKUP(V747,'Tax Assumptions'!$F$9:$F$15,'Tax Assumptions'!$H$9:$H$15))+MIN(MAX(T747,0),'Tax Assumptions'!$B$11)*'Tax Assumptions'!$B$10+MAX(T747,0)*'Tax Assumptions'!$B$12+MAX(MAX(T747,0)-'Tax Assumptions'!$B$14,0)*'Tax Assumptions'!$B$13+MIN(T747*'Tax Assumptions'!$B$15,'Tax Assumptions'!$B$16)+MIN(T747*'Tax Assumptions'!$B$17,'Tax Assumptions'!$B$18)+IF(W747=0,0,LOOKUP(W747,'Tax Assumptions'!$K$9:$K$17,'Tax Assumptions'!$N$9:$N$17)+(W747-LOOKUP(W747,'Tax Assumptions'!$K$9:$K$17,'Tax Assumptions'!$K$9:$K$17))*LOOKUP(W747,'Tax Assumptions'!$K$9:$K$17,'Tax Assumptions'!$M$9:$M$17))+IF(W747=0,0,LOOKUP(W747,'Tax Assumptions'!$P$9:$P$12,'Tax Assumptions'!$S$9:$S$12)+(W747-LOOKUP(W747,'Tax Assumptions'!$P$9:$P$12,'Tax Assumptions'!$P$9:$P$12))*LOOKUP(W747,'Tax Assumptions'!$P$9:$P$12,'Tax Assumptions'!$R$9:$R$12))</f>
        <v>8070480.54</v>
      </c>
      <c r="Y747" s="230">
        <f t="shared" si="405"/>
        <v>7205019.46</v>
      </c>
      <c r="Z747" s="230">
        <f>IF(J747&lt;=10,INDEX('Savings Projection'!$BL$19:$BL$28,J747),LOOKUP(2,1/('Savings Projection'!$BL$19:$BL$28&lt;&gt;""),'Savings Projection'!$BL$19:$BL$28))*(1+'Model Inputs'!$B$35)^(J747-1)+IF(J747&lt;=10,INDEX('Savings Projection'!$BM$19:$BM$28,J747),LOOKUP(2,1/('Savings Projection'!$BM$19:$BM$28&lt;&gt;""),'Savings Projection'!$BM$19:$BM$28))*(1+'Model Inputs'!$B$36)^(J747-1)</f>
        <v>159883.60250523311</v>
      </c>
      <c r="AA747" s="230">
        <f t="shared" si="406"/>
        <v>7045135.8574947668</v>
      </c>
      <c r="AB747" s="230">
        <f>MIN(MAX(AA747,0),'Tax Assumptions'!$B$20)</f>
        <v>7500</v>
      </c>
      <c r="AC747" s="230">
        <f t="shared" si="407"/>
        <v>7037635.8574947668</v>
      </c>
      <c r="AD747" s="230">
        <f>MAX(AD746*(1+'Model Inputs'!$B$13)+AC747,0)</f>
        <v>12424296.976966858</v>
      </c>
      <c r="AE747" s="230">
        <f>MAX(AE746*(1+'Model Inputs'!$B$13)+U747+AB747,0)</f>
        <v>316718.97308311553</v>
      </c>
      <c r="AF747" s="230">
        <f t="shared" si="408"/>
        <v>12741015.950049974</v>
      </c>
      <c r="AG747" s="226" t="str">
        <f t="shared" si="430"/>
        <v/>
      </c>
      <c r="AH747" s="226" t="str">
        <f t="shared" si="431"/>
        <v/>
      </c>
      <c r="AI747" s="226" t="str">
        <f t="shared" si="432"/>
        <v/>
      </c>
      <c r="AJ747" s="226" t="str">
        <f t="shared" si="433"/>
        <v/>
      </c>
    </row>
    <row r="748" spans="1:36" ht="18" customHeight="1" x14ac:dyDescent="0.2">
      <c r="A748" s="226" t="str">
        <f t="shared" si="422"/>
        <v>5Y -&gt; PM Y8 Tail</v>
      </c>
      <c r="B748" s="226">
        <f t="shared" si="423"/>
        <v>5</v>
      </c>
      <c r="C748" s="235">
        <f t="shared" si="424"/>
        <v>3</v>
      </c>
      <c r="D748" s="226">
        <f t="shared" si="425"/>
        <v>8</v>
      </c>
      <c r="E748" s="226" t="str">
        <f t="shared" si="426"/>
        <v>Tail</v>
      </c>
      <c r="F748" s="230">
        <f t="shared" si="427"/>
        <v>100000000</v>
      </c>
      <c r="G748" s="236">
        <f t="shared" si="428"/>
        <v>0.15</v>
      </c>
      <c r="H748" s="230">
        <f t="shared" si="429"/>
        <v>300000</v>
      </c>
      <c r="I748" s="236">
        <f t="shared" si="399"/>
        <v>0</v>
      </c>
      <c r="J748" s="234">
        <v>9</v>
      </c>
      <c r="K748" s="234">
        <f t="shared" si="400"/>
        <v>2034</v>
      </c>
      <c r="L748" s="230">
        <f>IF(J748=1,'Model Inputs'!$B$25*(13-'Model Inputs'!$B$23)/12,'Model Inputs'!$B$25)</f>
        <v>300000</v>
      </c>
      <c r="M748" s="230">
        <f>IF(J748=1,'Model Inputs'!$B$27*(13-'Model Inputs'!$B$23)/12,IF(J748=2,'Model Inputs'!$B$27,IF(J748&lt;=MAX(3,'Model Inputs'!$B$30+1),'Model Inputs'!$B$27*(1+'Model Inputs'!$B$28)^(J748-3),'Model Inputs'!$B$27*(1+'Model Inputs'!$B$28)^(MAX(3,'Model Inputs'!$B$30+1)-3)*(1+'Model Inputs'!$B$29)^(J748-MAX(3,'Model Inputs'!$B$30+1)))))</f>
        <v>2478210.9983498608</v>
      </c>
      <c r="N748" s="236">
        <f>IF(J748&lt;=2,0,'Model Inputs'!$B$32*SIN(2*PI()*(J748-3+'Model Inputs'!$B$34)/MAX(1,'Model Inputs'!$B$33)))</f>
        <v>-5.8783046359072947E-17</v>
      </c>
      <c r="O748" s="230">
        <f t="shared" si="401"/>
        <v>2478210.9983498603</v>
      </c>
      <c r="P748" s="230">
        <f t="shared" si="434"/>
        <v>1733969.9666232408</v>
      </c>
      <c r="Q748" s="230">
        <f>L748+P748+IF(J748=1,'Model Inputs'!$B$26,0)</f>
        <v>2033969.9666232408</v>
      </c>
      <c r="R748" s="230">
        <f t="shared" si="402"/>
        <v>6101909.8998697223</v>
      </c>
      <c r="S748" s="230">
        <f t="shared" si="403"/>
        <v>15300000</v>
      </c>
      <c r="T748" s="230">
        <f t="shared" si="404"/>
        <v>15300000</v>
      </c>
      <c r="U748" s="230">
        <f>MIN(T748,'Tax Assumptions'!$B$19)</f>
        <v>24500</v>
      </c>
      <c r="V748" s="230">
        <f>MAX(T748-U748-'Tax Assumptions'!$B$8,0)</f>
        <v>15259400</v>
      </c>
      <c r="W748" s="230">
        <f>MAX(T748-U748-'Tax Assumptions'!$B$9,0)</f>
        <v>15267500</v>
      </c>
      <c r="X748" s="230">
        <f>IF(V748=0,0,LOOKUP(V748,'Tax Assumptions'!$F$9:$F$15,'Tax Assumptions'!$I$9:$I$15)+(V748-LOOKUP(V748,'Tax Assumptions'!$F$9:$F$15,'Tax Assumptions'!$F$9:$F$15))*LOOKUP(V748,'Tax Assumptions'!$F$9:$F$15,'Tax Assumptions'!$H$9:$H$15))+MIN(MAX(T748,0),'Tax Assumptions'!$B$11)*'Tax Assumptions'!$B$10+MAX(T748,0)*'Tax Assumptions'!$B$12+MAX(MAX(T748,0)-'Tax Assumptions'!$B$14,0)*'Tax Assumptions'!$B$13+MIN(T748*'Tax Assumptions'!$B$15,'Tax Assumptions'!$B$16)+MIN(T748*'Tax Assumptions'!$B$17,'Tax Assumptions'!$B$18)+IF(W748=0,0,LOOKUP(W748,'Tax Assumptions'!$K$9:$K$17,'Tax Assumptions'!$N$9:$N$17)+(W748-LOOKUP(W748,'Tax Assumptions'!$K$9:$K$17,'Tax Assumptions'!$K$9:$K$17))*LOOKUP(W748,'Tax Assumptions'!$K$9:$K$17,'Tax Assumptions'!$M$9:$M$17))+IF(W748=0,0,LOOKUP(W748,'Tax Assumptions'!$P$9:$P$12,'Tax Assumptions'!$S$9:$S$12)+(W748-LOOKUP(W748,'Tax Assumptions'!$P$9:$P$12,'Tax Assumptions'!$P$9:$P$12))*LOOKUP(W748,'Tax Assumptions'!$P$9:$P$12,'Tax Assumptions'!$R$9:$R$12))</f>
        <v>8070480.54</v>
      </c>
      <c r="Y748" s="230">
        <f t="shared" si="405"/>
        <v>7205019.46</v>
      </c>
      <c r="Z748" s="230">
        <f>IF(J748&lt;=10,INDEX('Savings Projection'!$BL$19:$BL$28,J748),LOOKUP(2,1/('Savings Projection'!$BL$19:$BL$28&lt;&gt;""),'Savings Projection'!$BL$19:$BL$28))*(1+'Model Inputs'!$B$35)^(J748-1)+IF(J748&lt;=10,INDEX('Savings Projection'!$BM$19:$BM$28,J748),LOOKUP(2,1/('Savings Projection'!$BM$19:$BM$28&lt;&gt;""),'Savings Projection'!$BM$19:$BM$28))*(1+'Model Inputs'!$B$36)^(J748-1)</f>
        <v>164680.11058039009</v>
      </c>
      <c r="AA748" s="230">
        <f t="shared" si="406"/>
        <v>7040339.3494196096</v>
      </c>
      <c r="AB748" s="230">
        <f>MIN(MAX(AA748,0),'Tax Assumptions'!$B$20)</f>
        <v>7500</v>
      </c>
      <c r="AC748" s="230">
        <f t="shared" si="407"/>
        <v>7032839.3494196096</v>
      </c>
      <c r="AD748" s="230">
        <f>MAX(AD747*(1+'Model Inputs'!$B$13)+AC748,0)</f>
        <v>20202594.145004481</v>
      </c>
      <c r="AE748" s="230">
        <f>MAX(AE747*(1+'Model Inputs'!$B$13)+U748+AB748,0)</f>
        <v>367722.11146810249</v>
      </c>
      <c r="AF748" s="230">
        <f t="shared" si="408"/>
        <v>20570316.256472584</v>
      </c>
      <c r="AG748" s="226">
        <f t="shared" si="430"/>
        <v>9</v>
      </c>
      <c r="AH748" s="226">
        <f t="shared" si="431"/>
        <v>9</v>
      </c>
      <c r="AI748" s="226">
        <f t="shared" si="432"/>
        <v>9</v>
      </c>
      <c r="AJ748" s="226" t="str">
        <f t="shared" si="433"/>
        <v/>
      </c>
    </row>
    <row r="749" spans="1:36" ht="18" customHeight="1" x14ac:dyDescent="0.2">
      <c r="A749" s="226" t="str">
        <f t="shared" si="422"/>
        <v>5Y -&gt; PM Y8 Tail</v>
      </c>
      <c r="B749" s="226">
        <f t="shared" si="423"/>
        <v>5</v>
      </c>
      <c r="C749" s="235">
        <f t="shared" si="424"/>
        <v>3</v>
      </c>
      <c r="D749" s="226">
        <f t="shared" si="425"/>
        <v>8</v>
      </c>
      <c r="E749" s="226" t="str">
        <f t="shared" si="426"/>
        <v>Tail</v>
      </c>
      <c r="F749" s="230">
        <f t="shared" si="427"/>
        <v>100000000</v>
      </c>
      <c r="G749" s="236">
        <f t="shared" si="428"/>
        <v>0.15</v>
      </c>
      <c r="H749" s="230">
        <f t="shared" si="429"/>
        <v>300000</v>
      </c>
      <c r="I749" s="236">
        <f t="shared" si="399"/>
        <v>0</v>
      </c>
      <c r="J749" s="234">
        <v>10</v>
      </c>
      <c r="K749" s="234">
        <f t="shared" si="400"/>
        <v>2035</v>
      </c>
      <c r="L749" s="230">
        <f>IF(J749=1,'Model Inputs'!$B$25*(13-'Model Inputs'!$B$23)/12,'Model Inputs'!$B$25)</f>
        <v>300000</v>
      </c>
      <c r="M749" s="230">
        <f>IF(J749=1,'Model Inputs'!$B$27*(13-'Model Inputs'!$B$23)/12,IF(J749=2,'Model Inputs'!$B$27,IF(J749&lt;=MAX(3,'Model Inputs'!$B$30+1),'Model Inputs'!$B$27*(1+'Model Inputs'!$B$28)^(J749-3),'Model Inputs'!$B$27*(1+'Model Inputs'!$B$28)^(MAX(3,'Model Inputs'!$B$30+1)-3)*(1+'Model Inputs'!$B$29)^(J749-MAX(3,'Model Inputs'!$B$30+1)))))</f>
        <v>3149502.4370985711</v>
      </c>
      <c r="N749" s="236">
        <f>IF(J749&lt;=2,0,'Model Inputs'!$B$32*SIN(2*PI()*(J749-3+'Model Inputs'!$B$34)/MAX(1,'Model Inputs'!$B$33)))</f>
        <v>0.10392304845413271</v>
      </c>
      <c r="O749" s="230">
        <f t="shared" si="401"/>
        <v>3476808.331475575</v>
      </c>
      <c r="P749" s="230">
        <f t="shared" si="434"/>
        <v>2295495.7626410057</v>
      </c>
      <c r="Q749" s="230">
        <f>L749+P749+IF(J749=1,'Model Inputs'!$B$26,0)</f>
        <v>2595495.7626410057</v>
      </c>
      <c r="R749" s="230">
        <f t="shared" si="402"/>
        <v>7786487.2879230175</v>
      </c>
      <c r="S749" s="230">
        <f t="shared" si="403"/>
        <v>15300000</v>
      </c>
      <c r="T749" s="230">
        <f t="shared" si="404"/>
        <v>15300000</v>
      </c>
      <c r="U749" s="230">
        <f>MIN(T749,'Tax Assumptions'!$B$19)</f>
        <v>24500</v>
      </c>
      <c r="V749" s="230">
        <f>MAX(T749-U749-'Tax Assumptions'!$B$8,0)</f>
        <v>15259400</v>
      </c>
      <c r="W749" s="230">
        <f>MAX(T749-U749-'Tax Assumptions'!$B$9,0)</f>
        <v>15267500</v>
      </c>
      <c r="X749" s="230">
        <f>IF(V749=0,0,LOOKUP(V749,'Tax Assumptions'!$F$9:$F$15,'Tax Assumptions'!$I$9:$I$15)+(V749-LOOKUP(V749,'Tax Assumptions'!$F$9:$F$15,'Tax Assumptions'!$F$9:$F$15))*LOOKUP(V749,'Tax Assumptions'!$F$9:$F$15,'Tax Assumptions'!$H$9:$H$15))+MIN(MAX(T749,0),'Tax Assumptions'!$B$11)*'Tax Assumptions'!$B$10+MAX(T749,0)*'Tax Assumptions'!$B$12+MAX(MAX(T749,0)-'Tax Assumptions'!$B$14,0)*'Tax Assumptions'!$B$13+MIN(T749*'Tax Assumptions'!$B$15,'Tax Assumptions'!$B$16)+MIN(T749*'Tax Assumptions'!$B$17,'Tax Assumptions'!$B$18)+IF(W749=0,0,LOOKUP(W749,'Tax Assumptions'!$K$9:$K$17,'Tax Assumptions'!$N$9:$N$17)+(W749-LOOKUP(W749,'Tax Assumptions'!$K$9:$K$17,'Tax Assumptions'!$K$9:$K$17))*LOOKUP(W749,'Tax Assumptions'!$K$9:$K$17,'Tax Assumptions'!$M$9:$M$17))+IF(W749=0,0,LOOKUP(W749,'Tax Assumptions'!$P$9:$P$12,'Tax Assumptions'!$S$9:$S$12)+(W749-LOOKUP(W749,'Tax Assumptions'!$P$9:$P$12,'Tax Assumptions'!$P$9:$P$12))*LOOKUP(W749,'Tax Assumptions'!$P$9:$P$12,'Tax Assumptions'!$R$9:$R$12))</f>
        <v>8070480.54</v>
      </c>
      <c r="Y749" s="230">
        <f t="shared" si="405"/>
        <v>7205019.46</v>
      </c>
      <c r="Z749" s="230">
        <f>IF(J749&lt;=10,INDEX('Savings Projection'!$BL$19:$BL$28,J749),LOOKUP(2,1/('Savings Projection'!$BL$19:$BL$28&lt;&gt;""),'Savings Projection'!$BL$19:$BL$28))*(1+'Model Inputs'!$B$35)^(J749-1)+IF(J749&lt;=10,INDEX('Savings Projection'!$BM$19:$BM$28,J749),LOOKUP(2,1/('Savings Projection'!$BM$19:$BM$28&lt;&gt;""),'Savings Projection'!$BM$19:$BM$28))*(1+'Model Inputs'!$B$36)^(J749-1)</f>
        <v>169620.51389780178</v>
      </c>
      <c r="AA749" s="230">
        <f t="shared" si="406"/>
        <v>7035398.9461021982</v>
      </c>
      <c r="AB749" s="230">
        <f>MIN(MAX(AA749,0),'Tax Assumptions'!$B$20)</f>
        <v>7500</v>
      </c>
      <c r="AC749" s="230">
        <f t="shared" si="407"/>
        <v>7027898.9461021982</v>
      </c>
      <c r="AD749" s="230">
        <f>MAX(AD748*(1+'Model Inputs'!$B$13)+AC749,0)</f>
        <v>28442648.73980695</v>
      </c>
      <c r="AE749" s="230">
        <f>MAX(AE748*(1+'Model Inputs'!$B$13)+U749+AB749,0)</f>
        <v>421785.43815618864</v>
      </c>
      <c r="AF749" s="230">
        <f t="shared" si="408"/>
        <v>28864434.177963138</v>
      </c>
      <c r="AG749" s="226" t="str">
        <f t="shared" si="430"/>
        <v/>
      </c>
      <c r="AH749" s="226" t="str">
        <f t="shared" si="431"/>
        <v/>
      </c>
      <c r="AI749" s="226" t="str">
        <f t="shared" si="432"/>
        <v/>
      </c>
      <c r="AJ749" s="226">
        <f t="shared" si="433"/>
        <v>10</v>
      </c>
    </row>
    <row r="750" spans="1:36" ht="18" customHeight="1" x14ac:dyDescent="0.2">
      <c r="A750" s="226" t="str">
        <f t="shared" si="422"/>
        <v>5Y -&gt; PM Y8 Tail</v>
      </c>
      <c r="B750" s="226">
        <f t="shared" si="423"/>
        <v>5</v>
      </c>
      <c r="C750" s="235">
        <f t="shared" si="424"/>
        <v>3</v>
      </c>
      <c r="D750" s="226">
        <f t="shared" si="425"/>
        <v>8</v>
      </c>
      <c r="E750" s="226" t="str">
        <f t="shared" si="426"/>
        <v>Tail</v>
      </c>
      <c r="F750" s="230">
        <f t="shared" si="427"/>
        <v>100000000</v>
      </c>
      <c r="G750" s="236">
        <f t="shared" si="428"/>
        <v>0.15</v>
      </c>
      <c r="H750" s="230">
        <f t="shared" si="429"/>
        <v>300000</v>
      </c>
      <c r="I750" s="236">
        <f t="shared" si="399"/>
        <v>0</v>
      </c>
      <c r="J750" s="234">
        <v>11</v>
      </c>
      <c r="K750" s="234">
        <f t="shared" si="400"/>
        <v>2036</v>
      </c>
      <c r="L750" s="230">
        <f>IF(J750=1,'Model Inputs'!$B$25*(13-'Model Inputs'!$B$23)/12,'Model Inputs'!$B$25)</f>
        <v>300000</v>
      </c>
      <c r="M750" s="230">
        <f>IF(J750=1,'Model Inputs'!$B$27*(13-'Model Inputs'!$B$23)/12,IF(J750=2,'Model Inputs'!$B$27,IF(J750&lt;=MAX(3,'Model Inputs'!$B$30+1),'Model Inputs'!$B$27*(1+'Model Inputs'!$B$28)^(J750-3),'Model Inputs'!$B$27*(1+'Model Inputs'!$B$28)^(MAX(3,'Model Inputs'!$B$30+1)-3)*(1+'Model Inputs'!$B$29)^(J750-MAX(3,'Model Inputs'!$B$30+1)))))</f>
        <v>4002631.578947369</v>
      </c>
      <c r="N750" s="236">
        <f>IF(J750&lt;=2,0,'Model Inputs'!$B$32*SIN(2*PI()*(J750-3+'Model Inputs'!$B$34)/MAX(1,'Model Inputs'!$B$33)))</f>
        <v>-0.10392304845413253</v>
      </c>
      <c r="O750" s="230">
        <f t="shared" si="401"/>
        <v>3586665.9034243808</v>
      </c>
      <c r="P750" s="230">
        <f t="shared" si="434"/>
        <v>3227158.9981941464</v>
      </c>
      <c r="Q750" s="230">
        <f>L750+P750+IF(J750=1,'Model Inputs'!$B$26,0)</f>
        <v>3527158.9981941464</v>
      </c>
      <c r="R750" s="230">
        <f t="shared" si="402"/>
        <v>10581476.994582439</v>
      </c>
      <c r="S750" s="230">
        <f t="shared" si="403"/>
        <v>15300000</v>
      </c>
      <c r="T750" s="230">
        <f t="shared" si="404"/>
        <v>15300000</v>
      </c>
      <c r="U750" s="230">
        <f>MIN(T750,'Tax Assumptions'!$B$19)</f>
        <v>24500</v>
      </c>
      <c r="V750" s="230">
        <f>MAX(T750-U750-'Tax Assumptions'!$B$8,0)</f>
        <v>15259400</v>
      </c>
      <c r="W750" s="230">
        <f>MAX(T750-U750-'Tax Assumptions'!$B$9,0)</f>
        <v>15267500</v>
      </c>
      <c r="X750" s="230">
        <f>IF(V750=0,0,LOOKUP(V750,'Tax Assumptions'!$F$9:$F$15,'Tax Assumptions'!$I$9:$I$15)+(V750-LOOKUP(V750,'Tax Assumptions'!$F$9:$F$15,'Tax Assumptions'!$F$9:$F$15))*LOOKUP(V750,'Tax Assumptions'!$F$9:$F$15,'Tax Assumptions'!$H$9:$H$15))+MIN(MAX(T750,0),'Tax Assumptions'!$B$11)*'Tax Assumptions'!$B$10+MAX(T750,0)*'Tax Assumptions'!$B$12+MAX(MAX(T750,0)-'Tax Assumptions'!$B$14,0)*'Tax Assumptions'!$B$13+MIN(T750*'Tax Assumptions'!$B$15,'Tax Assumptions'!$B$16)+MIN(T750*'Tax Assumptions'!$B$17,'Tax Assumptions'!$B$18)+IF(W750=0,0,LOOKUP(W750,'Tax Assumptions'!$K$9:$K$17,'Tax Assumptions'!$N$9:$N$17)+(W750-LOOKUP(W750,'Tax Assumptions'!$K$9:$K$17,'Tax Assumptions'!$K$9:$K$17))*LOOKUP(W750,'Tax Assumptions'!$K$9:$K$17,'Tax Assumptions'!$M$9:$M$17))+IF(W750=0,0,LOOKUP(W750,'Tax Assumptions'!$P$9:$P$12,'Tax Assumptions'!$S$9:$S$12)+(W750-LOOKUP(W750,'Tax Assumptions'!$P$9:$P$12,'Tax Assumptions'!$P$9:$P$12))*LOOKUP(W750,'Tax Assumptions'!$P$9:$P$12,'Tax Assumptions'!$R$9:$R$12))</f>
        <v>8070480.54</v>
      </c>
      <c r="Y750" s="230">
        <f t="shared" si="405"/>
        <v>7205019.46</v>
      </c>
      <c r="Z750" s="230">
        <f>IF(J750&lt;=10,INDEX('Savings Projection'!$BL$19:$BL$28,J750),LOOKUP(2,1/('Savings Projection'!$BL$19:$BL$28&lt;&gt;""),'Savings Projection'!$BL$19:$BL$28))*(1+'Model Inputs'!$B$35)^(J750-1)+IF(J750&lt;=10,INDEX('Savings Projection'!$BM$19:$BM$28,J750),LOOKUP(2,1/('Savings Projection'!$BM$19:$BM$28&lt;&gt;""),'Savings Projection'!$BM$19:$BM$28))*(1+'Model Inputs'!$B$36)^(J750-1)</f>
        <v>174709.12931473582</v>
      </c>
      <c r="AA750" s="230">
        <f t="shared" si="406"/>
        <v>7030310.3306852644</v>
      </c>
      <c r="AB750" s="230">
        <f>MIN(MAX(AA750,0),'Tax Assumptions'!$B$20)</f>
        <v>7500</v>
      </c>
      <c r="AC750" s="230">
        <f t="shared" si="407"/>
        <v>7022810.3306852644</v>
      </c>
      <c r="AD750" s="230">
        <f>MAX(AD749*(1+'Model Inputs'!$B$13)+AC750,0)</f>
        <v>37172017.994880632</v>
      </c>
      <c r="AE750" s="230">
        <f>MAX(AE749*(1+'Model Inputs'!$B$13)+U750+AB750,0)</f>
        <v>479092.56444555998</v>
      </c>
      <c r="AF750" s="230">
        <f t="shared" si="408"/>
        <v>37651110.559326194</v>
      </c>
      <c r="AG750" s="226" t="str">
        <f t="shared" si="430"/>
        <v/>
      </c>
      <c r="AH750" s="226" t="str">
        <f t="shared" si="431"/>
        <v/>
      </c>
      <c r="AI750" s="226" t="str">
        <f t="shared" si="432"/>
        <v/>
      </c>
      <c r="AJ750" s="226" t="str">
        <f t="shared" si="433"/>
        <v/>
      </c>
    </row>
    <row r="751" spans="1:36" ht="18" customHeight="1" x14ac:dyDescent="0.2">
      <c r="A751" s="226" t="str">
        <f t="shared" si="422"/>
        <v>5Y -&gt; PM Y8 Tail</v>
      </c>
      <c r="B751" s="226">
        <f t="shared" si="423"/>
        <v>5</v>
      </c>
      <c r="C751" s="235">
        <f t="shared" si="424"/>
        <v>3</v>
      </c>
      <c r="D751" s="226">
        <f t="shared" si="425"/>
        <v>8</v>
      </c>
      <c r="E751" s="226" t="str">
        <f t="shared" si="426"/>
        <v>Tail</v>
      </c>
      <c r="F751" s="230">
        <f t="shared" si="427"/>
        <v>100000000</v>
      </c>
      <c r="G751" s="236">
        <f t="shared" si="428"/>
        <v>0.15</v>
      </c>
      <c r="H751" s="230">
        <f t="shared" si="429"/>
        <v>300000</v>
      </c>
      <c r="I751" s="236">
        <f t="shared" si="399"/>
        <v>0</v>
      </c>
      <c r="J751" s="234">
        <v>12</v>
      </c>
      <c r="K751" s="234">
        <f t="shared" si="400"/>
        <v>2037</v>
      </c>
      <c r="L751" s="230">
        <f>IF(J751=1,'Model Inputs'!$B$25*(13-'Model Inputs'!$B$23)/12,'Model Inputs'!$B$25)</f>
        <v>300000</v>
      </c>
      <c r="M751" s="230">
        <f>IF(J751=1,'Model Inputs'!$B$27*(13-'Model Inputs'!$B$23)/12,IF(J751=2,'Model Inputs'!$B$27,IF(J751&lt;=MAX(3,'Model Inputs'!$B$30+1),'Model Inputs'!$B$27*(1+'Model Inputs'!$B$28)^(J751-3),'Model Inputs'!$B$27*(1+'Model Inputs'!$B$28)^(MAX(3,'Model Inputs'!$B$30+1)-3)*(1+'Model Inputs'!$B$29)^(J751-MAX(3,'Model Inputs'!$B$30+1)))))</f>
        <v>5086854.15450761</v>
      </c>
      <c r="N751" s="236">
        <f>IF(J751&lt;=2,0,'Model Inputs'!$B$32*SIN(2*PI()*(J751-3+'Model Inputs'!$B$34)/MAX(1,'Model Inputs'!$B$33)))</f>
        <v>-8.8174569538609421E-17</v>
      </c>
      <c r="O751" s="230">
        <f t="shared" si="401"/>
        <v>5086854.1545076091</v>
      </c>
      <c r="P751" s="230">
        <f t="shared" si="434"/>
        <v>3559201.5104371794</v>
      </c>
      <c r="Q751" s="230">
        <f>L751+P751+IF(J751=1,'Model Inputs'!$B$26,0)</f>
        <v>3859201.5104371794</v>
      </c>
      <c r="R751" s="230">
        <f t="shared" si="402"/>
        <v>11577604.531311538</v>
      </c>
      <c r="S751" s="230">
        <f t="shared" si="403"/>
        <v>15300000</v>
      </c>
      <c r="T751" s="230">
        <f t="shared" si="404"/>
        <v>15300000</v>
      </c>
      <c r="U751" s="230">
        <f>MIN(T751,'Tax Assumptions'!$B$19)</f>
        <v>24500</v>
      </c>
      <c r="V751" s="230">
        <f>MAX(T751-U751-'Tax Assumptions'!$B$8,0)</f>
        <v>15259400</v>
      </c>
      <c r="W751" s="230">
        <f>MAX(T751-U751-'Tax Assumptions'!$B$9,0)</f>
        <v>15267500</v>
      </c>
      <c r="X751" s="230">
        <f>IF(V751=0,0,LOOKUP(V751,'Tax Assumptions'!$F$9:$F$15,'Tax Assumptions'!$I$9:$I$15)+(V751-LOOKUP(V751,'Tax Assumptions'!$F$9:$F$15,'Tax Assumptions'!$F$9:$F$15))*LOOKUP(V751,'Tax Assumptions'!$F$9:$F$15,'Tax Assumptions'!$H$9:$H$15))+MIN(MAX(T751,0),'Tax Assumptions'!$B$11)*'Tax Assumptions'!$B$10+MAX(T751,0)*'Tax Assumptions'!$B$12+MAX(MAX(T751,0)-'Tax Assumptions'!$B$14,0)*'Tax Assumptions'!$B$13+MIN(T751*'Tax Assumptions'!$B$15,'Tax Assumptions'!$B$16)+MIN(T751*'Tax Assumptions'!$B$17,'Tax Assumptions'!$B$18)+IF(W751=0,0,LOOKUP(W751,'Tax Assumptions'!$K$9:$K$17,'Tax Assumptions'!$N$9:$N$17)+(W751-LOOKUP(W751,'Tax Assumptions'!$K$9:$K$17,'Tax Assumptions'!$K$9:$K$17))*LOOKUP(W751,'Tax Assumptions'!$K$9:$K$17,'Tax Assumptions'!$M$9:$M$17))+IF(W751=0,0,LOOKUP(W751,'Tax Assumptions'!$P$9:$P$12,'Tax Assumptions'!$S$9:$S$12)+(W751-LOOKUP(W751,'Tax Assumptions'!$P$9:$P$12,'Tax Assumptions'!$P$9:$P$12))*LOOKUP(W751,'Tax Assumptions'!$P$9:$P$12,'Tax Assumptions'!$R$9:$R$12))</f>
        <v>8070480.54</v>
      </c>
      <c r="Y751" s="230">
        <f t="shared" si="405"/>
        <v>7205019.46</v>
      </c>
      <c r="Z751" s="230">
        <f>IF(J751&lt;=10,INDEX('Savings Projection'!$BL$19:$BL$28,J751),LOOKUP(2,1/('Savings Projection'!$BL$19:$BL$28&lt;&gt;""),'Savings Projection'!$BL$19:$BL$28))*(1+'Model Inputs'!$B$35)^(J751-1)+IF(J751&lt;=10,INDEX('Savings Projection'!$BM$19:$BM$28,J751),LOOKUP(2,1/('Savings Projection'!$BM$19:$BM$28&lt;&gt;""),'Savings Projection'!$BM$19:$BM$28))*(1+'Model Inputs'!$B$36)^(J751-1)</f>
        <v>179950.4031941779</v>
      </c>
      <c r="AA751" s="230">
        <f t="shared" si="406"/>
        <v>7025069.0568058221</v>
      </c>
      <c r="AB751" s="230">
        <f>MIN(MAX(AA751,0),'Tax Assumptions'!$B$20)</f>
        <v>7500</v>
      </c>
      <c r="AC751" s="230">
        <f t="shared" si="407"/>
        <v>7017569.0568058221</v>
      </c>
      <c r="AD751" s="230">
        <f>MAX(AD750*(1+'Model Inputs'!$B$13)+AC751,0)</f>
        <v>46419908.131379291</v>
      </c>
      <c r="AE751" s="230">
        <f>MAX(AE750*(1+'Model Inputs'!$B$13)+U751+AB751,0)</f>
        <v>539838.11831229366</v>
      </c>
      <c r="AF751" s="230">
        <f t="shared" si="408"/>
        <v>46959746.249691583</v>
      </c>
      <c r="AG751" s="226" t="str">
        <f t="shared" si="430"/>
        <v/>
      </c>
      <c r="AH751" s="226" t="str">
        <f t="shared" si="431"/>
        <v/>
      </c>
      <c r="AI751" s="226" t="str">
        <f t="shared" si="432"/>
        <v/>
      </c>
      <c r="AJ751" s="226" t="str">
        <f t="shared" si="433"/>
        <v/>
      </c>
    </row>
    <row r="752" spans="1:36" ht="18" customHeight="1" x14ac:dyDescent="0.2">
      <c r="A752" s="226" t="str">
        <f t="shared" si="422"/>
        <v>5Y -&gt; PM Y8 Tail</v>
      </c>
      <c r="B752" s="226">
        <f t="shared" si="423"/>
        <v>5</v>
      </c>
      <c r="C752" s="235">
        <f t="shared" si="424"/>
        <v>3</v>
      </c>
      <c r="D752" s="226">
        <f t="shared" si="425"/>
        <v>8</v>
      </c>
      <c r="E752" s="226" t="str">
        <f t="shared" si="426"/>
        <v>Tail</v>
      </c>
      <c r="F752" s="230">
        <f t="shared" si="427"/>
        <v>100000000</v>
      </c>
      <c r="G752" s="236">
        <f t="shared" si="428"/>
        <v>0.15</v>
      </c>
      <c r="H752" s="230">
        <f t="shared" si="429"/>
        <v>300000</v>
      </c>
      <c r="I752" s="236">
        <f t="shared" si="399"/>
        <v>0</v>
      </c>
      <c r="J752" s="234">
        <v>13</v>
      </c>
      <c r="K752" s="234">
        <f t="shared" si="400"/>
        <v>2038</v>
      </c>
      <c r="L752" s="230">
        <f>IF(J752=1,'Model Inputs'!$B$25*(13-'Model Inputs'!$B$23)/12,'Model Inputs'!$B$25)</f>
        <v>300000</v>
      </c>
      <c r="M752" s="230">
        <f>IF(J752=1,'Model Inputs'!$B$27*(13-'Model Inputs'!$B$23)/12,IF(J752=2,'Model Inputs'!$B$27,IF(J752&lt;=MAX(3,'Model Inputs'!$B$30+1),'Model Inputs'!$B$27*(1+'Model Inputs'!$B$28)^(J752-3),'Model Inputs'!$B$27*(1+'Model Inputs'!$B$28)^(MAX(3,'Model Inputs'!$B$30+1)-3)*(1+'Model Inputs'!$B$29)^(J752-MAX(3,'Model Inputs'!$B$30+1)))))</f>
        <v>6464768.1603602255</v>
      </c>
      <c r="N752" s="236">
        <f>IF(J752&lt;=2,0,'Model Inputs'!$B$32*SIN(2*PI()*(J752-3+'Model Inputs'!$B$34)/MAX(1,'Model Inputs'!$B$33)))</f>
        <v>0.10392304845413261</v>
      </c>
      <c r="O752" s="230">
        <f t="shared" si="401"/>
        <v>7136606.5751340752</v>
      </c>
      <c r="P752" s="230">
        <f t="shared" si="434"/>
        <v>4711807.0917368019</v>
      </c>
      <c r="Q752" s="230">
        <f>L752+P752+IF(J752=1,'Model Inputs'!$B$26,0)</f>
        <v>5011807.0917368019</v>
      </c>
      <c r="R752" s="230">
        <f t="shared" si="402"/>
        <v>15035421.275210407</v>
      </c>
      <c r="S752" s="230">
        <f t="shared" si="403"/>
        <v>15300000</v>
      </c>
      <c r="T752" s="230">
        <f t="shared" si="404"/>
        <v>15300000</v>
      </c>
      <c r="U752" s="230">
        <f>MIN(T752,'Tax Assumptions'!$B$19)</f>
        <v>24500</v>
      </c>
      <c r="V752" s="230">
        <f>MAX(T752-U752-'Tax Assumptions'!$B$8,0)</f>
        <v>15259400</v>
      </c>
      <c r="W752" s="230">
        <f>MAX(T752-U752-'Tax Assumptions'!$B$9,0)</f>
        <v>15267500</v>
      </c>
      <c r="X752" s="230">
        <f>IF(V752=0,0,LOOKUP(V752,'Tax Assumptions'!$F$9:$F$15,'Tax Assumptions'!$I$9:$I$15)+(V752-LOOKUP(V752,'Tax Assumptions'!$F$9:$F$15,'Tax Assumptions'!$F$9:$F$15))*LOOKUP(V752,'Tax Assumptions'!$F$9:$F$15,'Tax Assumptions'!$H$9:$H$15))+MIN(MAX(T752,0),'Tax Assumptions'!$B$11)*'Tax Assumptions'!$B$10+MAX(T752,0)*'Tax Assumptions'!$B$12+MAX(MAX(T752,0)-'Tax Assumptions'!$B$14,0)*'Tax Assumptions'!$B$13+MIN(T752*'Tax Assumptions'!$B$15,'Tax Assumptions'!$B$16)+MIN(T752*'Tax Assumptions'!$B$17,'Tax Assumptions'!$B$18)+IF(W752=0,0,LOOKUP(W752,'Tax Assumptions'!$K$9:$K$17,'Tax Assumptions'!$N$9:$N$17)+(W752-LOOKUP(W752,'Tax Assumptions'!$K$9:$K$17,'Tax Assumptions'!$K$9:$K$17))*LOOKUP(W752,'Tax Assumptions'!$K$9:$K$17,'Tax Assumptions'!$M$9:$M$17))+IF(W752=0,0,LOOKUP(W752,'Tax Assumptions'!$P$9:$P$12,'Tax Assumptions'!$S$9:$S$12)+(W752-LOOKUP(W752,'Tax Assumptions'!$P$9:$P$12,'Tax Assumptions'!$P$9:$P$12))*LOOKUP(W752,'Tax Assumptions'!$P$9:$P$12,'Tax Assumptions'!$R$9:$R$12))</f>
        <v>8070480.54</v>
      </c>
      <c r="Y752" s="230">
        <f t="shared" si="405"/>
        <v>7205019.46</v>
      </c>
      <c r="Z752" s="230">
        <f>IF(J752&lt;=10,INDEX('Savings Projection'!$BL$19:$BL$28,J752),LOOKUP(2,1/('Savings Projection'!$BL$19:$BL$28&lt;&gt;""),'Savings Projection'!$BL$19:$BL$28))*(1+'Model Inputs'!$B$35)^(J752-1)+IF(J752&lt;=10,INDEX('Savings Projection'!$BM$19:$BM$28,J752),LOOKUP(2,1/('Savings Projection'!$BM$19:$BM$28&lt;&gt;""),'Savings Projection'!$BM$19:$BM$28))*(1+'Model Inputs'!$B$36)^(J752-1)</f>
        <v>185348.91529000323</v>
      </c>
      <c r="AA752" s="230">
        <f t="shared" si="406"/>
        <v>7019670.5447099963</v>
      </c>
      <c r="AB752" s="230">
        <f>MIN(MAX(AA752,0),'Tax Assumptions'!$B$20)</f>
        <v>7500</v>
      </c>
      <c r="AC752" s="230">
        <f t="shared" si="407"/>
        <v>7012170.5447099963</v>
      </c>
      <c r="AD752" s="230">
        <f>MAX(AD751*(1+'Model Inputs'!$B$13)+AC752,0)</f>
        <v>56217273.16397205</v>
      </c>
      <c r="AE752" s="230">
        <f>MAX(AE751*(1+'Model Inputs'!$B$13)+U752+AB752,0)</f>
        <v>604228.40541103133</v>
      </c>
      <c r="AF752" s="230">
        <f t="shared" si="408"/>
        <v>56821501.569383085</v>
      </c>
      <c r="AG752" s="226" t="str">
        <f t="shared" si="430"/>
        <v/>
      </c>
      <c r="AH752" s="226" t="str">
        <f t="shared" si="431"/>
        <v/>
      </c>
      <c r="AI752" s="226" t="str">
        <f t="shared" si="432"/>
        <v/>
      </c>
      <c r="AJ752" s="226" t="str">
        <f t="shared" si="433"/>
        <v/>
      </c>
    </row>
    <row r="753" spans="1:36" ht="18" customHeight="1" x14ac:dyDescent="0.2">
      <c r="A753" s="226" t="str">
        <f t="shared" si="422"/>
        <v>5Y -&gt; PM Y8 Tail</v>
      </c>
      <c r="B753" s="226">
        <f t="shared" si="423"/>
        <v>5</v>
      </c>
      <c r="C753" s="235">
        <f t="shared" si="424"/>
        <v>3</v>
      </c>
      <c r="D753" s="226">
        <f t="shared" si="425"/>
        <v>8</v>
      </c>
      <c r="E753" s="226" t="str">
        <f t="shared" si="426"/>
        <v>Tail</v>
      </c>
      <c r="F753" s="230">
        <f t="shared" si="427"/>
        <v>100000000</v>
      </c>
      <c r="G753" s="236">
        <f t="shared" si="428"/>
        <v>0.15</v>
      </c>
      <c r="H753" s="230">
        <f t="shared" si="429"/>
        <v>300000</v>
      </c>
      <c r="I753" s="236">
        <f t="shared" si="399"/>
        <v>0</v>
      </c>
      <c r="J753" s="234">
        <v>14</v>
      </c>
      <c r="K753" s="234">
        <f t="shared" si="400"/>
        <v>2039</v>
      </c>
      <c r="L753" s="230">
        <f>IF(J753=1,'Model Inputs'!$B$25*(13-'Model Inputs'!$B$23)/12,'Model Inputs'!$B$25)</f>
        <v>300000</v>
      </c>
      <c r="M753" s="230">
        <f>IF(J753=1,'Model Inputs'!$B$27*(13-'Model Inputs'!$B$23)/12,IF(J753=2,'Model Inputs'!$B$27,IF(J753&lt;=MAX(3,'Model Inputs'!$B$30+1),'Model Inputs'!$B$27*(1+'Model Inputs'!$B$28)^(J753-3),'Model Inputs'!$B$27*(1+'Model Inputs'!$B$28)^(MAX(3,'Model Inputs'!$B$30+1)-3)*(1+'Model Inputs'!$B$29)^(J753-MAX(3,'Model Inputs'!$B$30+1)))))</f>
        <v>8215927.9778393377</v>
      </c>
      <c r="N753" s="236">
        <f>IF(J753&lt;=2,0,'Model Inputs'!$B$32*SIN(2*PI()*(J753-3+'Model Inputs'!$B$34)/MAX(1,'Model Inputs'!$B$33)))</f>
        <v>-0.10392304845413251</v>
      </c>
      <c r="O753" s="230">
        <f t="shared" si="401"/>
        <v>7362103.6965026772</v>
      </c>
      <c r="P753" s="230">
        <f t="shared" si="434"/>
        <v>6624168.4699774589</v>
      </c>
      <c r="Q753" s="230">
        <f>L753+P753+IF(J753=1,'Model Inputs'!$B$26,0)</f>
        <v>6924168.4699774589</v>
      </c>
      <c r="R753" s="230">
        <f t="shared" si="402"/>
        <v>20772505.409932375</v>
      </c>
      <c r="S753" s="230">
        <f t="shared" si="403"/>
        <v>15300000</v>
      </c>
      <c r="T753" s="230">
        <f t="shared" si="404"/>
        <v>15300000</v>
      </c>
      <c r="U753" s="230">
        <f>MIN(T753,'Tax Assumptions'!$B$19)</f>
        <v>24500</v>
      </c>
      <c r="V753" s="230">
        <f>MAX(T753-U753-'Tax Assumptions'!$B$8,0)</f>
        <v>15259400</v>
      </c>
      <c r="W753" s="230">
        <f>MAX(T753-U753-'Tax Assumptions'!$B$9,0)</f>
        <v>15267500</v>
      </c>
      <c r="X753" s="230">
        <f>IF(V753=0,0,LOOKUP(V753,'Tax Assumptions'!$F$9:$F$15,'Tax Assumptions'!$I$9:$I$15)+(V753-LOOKUP(V753,'Tax Assumptions'!$F$9:$F$15,'Tax Assumptions'!$F$9:$F$15))*LOOKUP(V753,'Tax Assumptions'!$F$9:$F$15,'Tax Assumptions'!$H$9:$H$15))+MIN(MAX(T753,0),'Tax Assumptions'!$B$11)*'Tax Assumptions'!$B$10+MAX(T753,0)*'Tax Assumptions'!$B$12+MAX(MAX(T753,0)-'Tax Assumptions'!$B$14,0)*'Tax Assumptions'!$B$13+MIN(T753*'Tax Assumptions'!$B$15,'Tax Assumptions'!$B$16)+MIN(T753*'Tax Assumptions'!$B$17,'Tax Assumptions'!$B$18)+IF(W753=0,0,LOOKUP(W753,'Tax Assumptions'!$K$9:$K$17,'Tax Assumptions'!$N$9:$N$17)+(W753-LOOKUP(W753,'Tax Assumptions'!$K$9:$K$17,'Tax Assumptions'!$K$9:$K$17))*LOOKUP(W753,'Tax Assumptions'!$K$9:$K$17,'Tax Assumptions'!$M$9:$M$17))+IF(W753=0,0,LOOKUP(W753,'Tax Assumptions'!$P$9:$P$12,'Tax Assumptions'!$S$9:$S$12)+(W753-LOOKUP(W753,'Tax Assumptions'!$P$9:$P$12,'Tax Assumptions'!$P$9:$P$12))*LOOKUP(W753,'Tax Assumptions'!$P$9:$P$12,'Tax Assumptions'!$R$9:$R$12))</f>
        <v>8070480.54</v>
      </c>
      <c r="Y753" s="230">
        <f t="shared" si="405"/>
        <v>7205019.46</v>
      </c>
      <c r="Z753" s="230">
        <f>IF(J753&lt;=10,INDEX('Savings Projection'!$BL$19:$BL$28,J753),LOOKUP(2,1/('Savings Projection'!$BL$19:$BL$28&lt;&gt;""),'Savings Projection'!$BL$19:$BL$28))*(1+'Model Inputs'!$B$35)^(J753-1)+IF(J753&lt;=10,INDEX('Savings Projection'!$BM$19:$BM$28,J753),LOOKUP(2,1/('Savings Projection'!$BM$19:$BM$28&lt;&gt;""),'Savings Projection'!$BM$19:$BM$28))*(1+'Model Inputs'!$B$36)^(J753-1)</f>
        <v>190909.3827487033</v>
      </c>
      <c r="AA753" s="230">
        <f t="shared" si="406"/>
        <v>7014110.0772512965</v>
      </c>
      <c r="AB753" s="230">
        <f>MIN(MAX(AA753,0),'Tax Assumptions'!$B$20)</f>
        <v>7500</v>
      </c>
      <c r="AC753" s="230">
        <f t="shared" si="407"/>
        <v>7006610.0772512965</v>
      </c>
      <c r="AD753" s="230">
        <f>MAX(AD752*(1+'Model Inputs'!$B$13)+AC753,0)</f>
        <v>66596919.631061673</v>
      </c>
      <c r="AE753" s="230">
        <f>MAX(AE752*(1+'Model Inputs'!$B$13)+U753+AB753,0)</f>
        <v>672482.1097356932</v>
      </c>
      <c r="AF753" s="230">
        <f t="shared" si="408"/>
        <v>67269401.740797371</v>
      </c>
      <c r="AG753" s="226" t="str">
        <f t="shared" si="430"/>
        <v/>
      </c>
      <c r="AH753" s="226" t="str">
        <f t="shared" si="431"/>
        <v/>
      </c>
      <c r="AI753" s="226" t="str">
        <f t="shared" si="432"/>
        <v/>
      </c>
      <c r="AJ753" s="226" t="str">
        <f t="shared" si="433"/>
        <v/>
      </c>
    </row>
    <row r="754" spans="1:36" ht="18" customHeight="1" x14ac:dyDescent="0.2">
      <c r="A754" s="226" t="str">
        <f t="shared" si="422"/>
        <v>5Y -&gt; PM Y8 Tail</v>
      </c>
      <c r="B754" s="226">
        <f t="shared" si="423"/>
        <v>5</v>
      </c>
      <c r="C754" s="235">
        <f t="shared" si="424"/>
        <v>3</v>
      </c>
      <c r="D754" s="226">
        <f t="shared" si="425"/>
        <v>8</v>
      </c>
      <c r="E754" s="226" t="str">
        <f t="shared" si="426"/>
        <v>Tail</v>
      </c>
      <c r="F754" s="230">
        <f t="shared" si="427"/>
        <v>100000000</v>
      </c>
      <c r="G754" s="236">
        <f t="shared" si="428"/>
        <v>0.15</v>
      </c>
      <c r="H754" s="230">
        <f t="shared" si="429"/>
        <v>300000</v>
      </c>
      <c r="I754" s="236">
        <f t="shared" ref="I754:I769" si="435">$J$17</f>
        <v>0</v>
      </c>
      <c r="J754" s="234">
        <v>15</v>
      </c>
      <c r="K754" s="234">
        <f t="shared" ref="K754:K817" si="436">2025+J754</f>
        <v>2040</v>
      </c>
      <c r="L754" s="230">
        <f>IF(J754=1,'Model Inputs'!$B$25*(13-'Model Inputs'!$B$23)/12,'Model Inputs'!$B$25)</f>
        <v>300000</v>
      </c>
      <c r="M754" s="230">
        <f>IF(J754=1,'Model Inputs'!$B$27*(13-'Model Inputs'!$B$23)/12,IF(J754=2,'Model Inputs'!$B$27,IF(J754&lt;=MAX(3,'Model Inputs'!$B$30+1),'Model Inputs'!$B$27*(1+'Model Inputs'!$B$28)^(J754-3),'Model Inputs'!$B$27*(1+'Model Inputs'!$B$28)^(MAX(3,'Model Inputs'!$B$30+1)-3)*(1+'Model Inputs'!$B$29)^(J754-MAX(3,'Model Inputs'!$B$30+1)))))</f>
        <v>10441437.475041937</v>
      </c>
      <c r="N754" s="236">
        <f>IF(J754&lt;=2,0,'Model Inputs'!$B$32*SIN(2*PI()*(J754-3+'Model Inputs'!$B$34)/MAX(1,'Model Inputs'!$B$33)))</f>
        <v>-1.1756609271814589E-16</v>
      </c>
      <c r="O754" s="230">
        <f t="shared" ref="O754:O817" si="437">M754*(1+N754)</f>
        <v>10441437.475041935</v>
      </c>
      <c r="P754" s="230">
        <f t="shared" si="434"/>
        <v>7305729.4161605267</v>
      </c>
      <c r="Q754" s="230">
        <f>L754+P754+IF(J754=1,'Model Inputs'!$B$26,0)</f>
        <v>7605729.4161605267</v>
      </c>
      <c r="R754" s="230">
        <f t="shared" ref="R754:R817" si="438">IF(J754&lt;=B754,Q754,Q754*C754)</f>
        <v>22817188.248481579</v>
      </c>
      <c r="S754" s="230">
        <f t="shared" ref="S754:S769" si="439">H754+F754*G754*(1+I754)^MAX(0,J754-D754)</f>
        <v>15300000</v>
      </c>
      <c r="T754" s="230">
        <f t="shared" ref="T754:T817" si="440">IF(J754&gt;=D754,S754,R754)</f>
        <v>15300000</v>
      </c>
      <c r="U754" s="230">
        <f>MIN(T754,'Tax Assumptions'!$B$19)</f>
        <v>24500</v>
      </c>
      <c r="V754" s="230">
        <f>MAX(T754-U754-'Tax Assumptions'!$B$8,0)</f>
        <v>15259400</v>
      </c>
      <c r="W754" s="230">
        <f>MAX(T754-U754-'Tax Assumptions'!$B$9,0)</f>
        <v>15267500</v>
      </c>
      <c r="X754" s="230">
        <f>IF(V754=0,0,LOOKUP(V754,'Tax Assumptions'!$F$9:$F$15,'Tax Assumptions'!$I$9:$I$15)+(V754-LOOKUP(V754,'Tax Assumptions'!$F$9:$F$15,'Tax Assumptions'!$F$9:$F$15))*LOOKUP(V754,'Tax Assumptions'!$F$9:$F$15,'Tax Assumptions'!$H$9:$H$15))+MIN(MAX(T754,0),'Tax Assumptions'!$B$11)*'Tax Assumptions'!$B$10+MAX(T754,0)*'Tax Assumptions'!$B$12+MAX(MAX(T754,0)-'Tax Assumptions'!$B$14,0)*'Tax Assumptions'!$B$13+MIN(T754*'Tax Assumptions'!$B$15,'Tax Assumptions'!$B$16)+MIN(T754*'Tax Assumptions'!$B$17,'Tax Assumptions'!$B$18)+IF(W754=0,0,LOOKUP(W754,'Tax Assumptions'!$K$9:$K$17,'Tax Assumptions'!$N$9:$N$17)+(W754-LOOKUP(W754,'Tax Assumptions'!$K$9:$K$17,'Tax Assumptions'!$K$9:$K$17))*LOOKUP(W754,'Tax Assumptions'!$K$9:$K$17,'Tax Assumptions'!$M$9:$M$17))+IF(W754=0,0,LOOKUP(W754,'Tax Assumptions'!$P$9:$P$12,'Tax Assumptions'!$S$9:$S$12)+(W754-LOOKUP(W754,'Tax Assumptions'!$P$9:$P$12,'Tax Assumptions'!$P$9:$P$12))*LOOKUP(W754,'Tax Assumptions'!$P$9:$P$12,'Tax Assumptions'!$R$9:$R$12))</f>
        <v>8070480.54</v>
      </c>
      <c r="Y754" s="230">
        <f t="shared" ref="Y754:Y817" si="441">T754-U754-X754</f>
        <v>7205019.46</v>
      </c>
      <c r="Z754" s="230">
        <f>IF(J754&lt;=10,INDEX('Savings Projection'!$BL$19:$BL$28,J754),LOOKUP(2,1/('Savings Projection'!$BL$19:$BL$28&lt;&gt;""),'Savings Projection'!$BL$19:$BL$28))*(1+'Model Inputs'!$B$35)^(J754-1)+IF(J754&lt;=10,INDEX('Savings Projection'!$BM$19:$BM$28,J754),LOOKUP(2,1/('Savings Projection'!$BM$19:$BM$28&lt;&gt;""),'Savings Projection'!$BM$19:$BM$28))*(1+'Model Inputs'!$B$36)^(J754-1)</f>
        <v>196636.66423116444</v>
      </c>
      <c r="AA754" s="230">
        <f t="shared" ref="AA754:AA817" si="442">Y754-Z754</f>
        <v>7008382.7957688356</v>
      </c>
      <c r="AB754" s="230">
        <f>MIN(MAX(AA754,0),'Tax Assumptions'!$B$20)</f>
        <v>7500</v>
      </c>
      <c r="AC754" s="230">
        <f t="shared" ref="AC754:AC817" si="443">AA754-AB754</f>
        <v>7000882.7957688356</v>
      </c>
      <c r="AD754" s="230">
        <f>MAX(AD753*(1+'Model Inputs'!$B$13)+AC754,0)</f>
        <v>77593617.604694217</v>
      </c>
      <c r="AE754" s="230">
        <f>MAX(AE753*(1+'Model Inputs'!$B$13)+U754+AB754,0)</f>
        <v>744831.03631983488</v>
      </c>
      <c r="AF754" s="230">
        <f t="shared" ref="AF754:AF817" si="444">AD754+AE754</f>
        <v>78338448.641014054</v>
      </c>
      <c r="AG754" s="226" t="str">
        <f t="shared" si="430"/>
        <v/>
      </c>
      <c r="AH754" s="226" t="str">
        <f t="shared" si="431"/>
        <v/>
      </c>
      <c r="AI754" s="226" t="str">
        <f t="shared" si="432"/>
        <v/>
      </c>
      <c r="AJ754" s="226" t="str">
        <f t="shared" si="433"/>
        <v/>
      </c>
    </row>
    <row r="755" spans="1:36" ht="18" customHeight="1" x14ac:dyDescent="0.2">
      <c r="A755" s="226" t="str">
        <f t="shared" si="422"/>
        <v>5Y -&gt; PM Y8 Tail</v>
      </c>
      <c r="B755" s="226">
        <f t="shared" si="423"/>
        <v>5</v>
      </c>
      <c r="C755" s="235">
        <f t="shared" si="424"/>
        <v>3</v>
      </c>
      <c r="D755" s="226">
        <f t="shared" si="425"/>
        <v>8</v>
      </c>
      <c r="E755" s="226" t="str">
        <f t="shared" si="426"/>
        <v>Tail</v>
      </c>
      <c r="F755" s="230">
        <f t="shared" si="427"/>
        <v>100000000</v>
      </c>
      <c r="G755" s="236">
        <f t="shared" si="428"/>
        <v>0.15</v>
      </c>
      <c r="H755" s="230">
        <f t="shared" si="429"/>
        <v>300000</v>
      </c>
      <c r="I755" s="236">
        <f t="shared" si="435"/>
        <v>0</v>
      </c>
      <c r="J755" s="234">
        <v>16</v>
      </c>
      <c r="K755" s="234">
        <f t="shared" si="436"/>
        <v>2041</v>
      </c>
      <c r="L755" s="230">
        <f>IF(J755=1,'Model Inputs'!$B$25*(13-'Model Inputs'!$B$23)/12,'Model Inputs'!$B$25)</f>
        <v>300000</v>
      </c>
      <c r="M755" s="230">
        <f>IF(J755=1,'Model Inputs'!$B$27*(13-'Model Inputs'!$B$23)/12,IF(J755=2,'Model Inputs'!$B$27,IF(J755&lt;=MAX(3,'Model Inputs'!$B$30+1),'Model Inputs'!$B$27*(1+'Model Inputs'!$B$28)^(J755-3),'Model Inputs'!$B$27*(1+'Model Inputs'!$B$28)^(MAX(3,'Model Inputs'!$B$30+1)-3)*(1+'Model Inputs'!$B$29)^(J755-MAX(3,'Model Inputs'!$B$30+1)))))</f>
        <v>13269787.276528884</v>
      </c>
      <c r="N755" s="236">
        <f>IF(J755&lt;=2,0,'Model Inputs'!$B$32*SIN(2*PI()*(J755-3+'Model Inputs'!$B$34)/MAX(1,'Model Inputs'!$B$33)))</f>
        <v>0.10392304845413262</v>
      </c>
      <c r="O755" s="230">
        <f t="shared" si="437"/>
        <v>14648824.022643628</v>
      </c>
      <c r="P755" s="230">
        <f t="shared" si="434"/>
        <v>9671604.0304071214</v>
      </c>
      <c r="Q755" s="230">
        <f>L755+P755+IF(J755=1,'Model Inputs'!$B$26,0)</f>
        <v>9971604.0304071214</v>
      </c>
      <c r="R755" s="230">
        <f t="shared" si="438"/>
        <v>29914812.091221362</v>
      </c>
      <c r="S755" s="230">
        <f t="shared" si="439"/>
        <v>15300000</v>
      </c>
      <c r="T755" s="230">
        <f t="shared" si="440"/>
        <v>15300000</v>
      </c>
      <c r="U755" s="230">
        <f>MIN(T755,'Tax Assumptions'!$B$19)</f>
        <v>24500</v>
      </c>
      <c r="V755" s="230">
        <f>MAX(T755-U755-'Tax Assumptions'!$B$8,0)</f>
        <v>15259400</v>
      </c>
      <c r="W755" s="230">
        <f>MAX(T755-U755-'Tax Assumptions'!$B$9,0)</f>
        <v>15267500</v>
      </c>
      <c r="X755" s="230">
        <f>IF(V755=0,0,LOOKUP(V755,'Tax Assumptions'!$F$9:$F$15,'Tax Assumptions'!$I$9:$I$15)+(V755-LOOKUP(V755,'Tax Assumptions'!$F$9:$F$15,'Tax Assumptions'!$F$9:$F$15))*LOOKUP(V755,'Tax Assumptions'!$F$9:$F$15,'Tax Assumptions'!$H$9:$H$15))+MIN(MAX(T755,0),'Tax Assumptions'!$B$11)*'Tax Assumptions'!$B$10+MAX(T755,0)*'Tax Assumptions'!$B$12+MAX(MAX(T755,0)-'Tax Assumptions'!$B$14,0)*'Tax Assumptions'!$B$13+MIN(T755*'Tax Assumptions'!$B$15,'Tax Assumptions'!$B$16)+MIN(T755*'Tax Assumptions'!$B$17,'Tax Assumptions'!$B$18)+IF(W755=0,0,LOOKUP(W755,'Tax Assumptions'!$K$9:$K$17,'Tax Assumptions'!$N$9:$N$17)+(W755-LOOKUP(W755,'Tax Assumptions'!$K$9:$K$17,'Tax Assumptions'!$K$9:$K$17))*LOOKUP(W755,'Tax Assumptions'!$K$9:$K$17,'Tax Assumptions'!$M$9:$M$17))+IF(W755=0,0,LOOKUP(W755,'Tax Assumptions'!$P$9:$P$12,'Tax Assumptions'!$S$9:$S$12)+(W755-LOOKUP(W755,'Tax Assumptions'!$P$9:$P$12,'Tax Assumptions'!$P$9:$P$12))*LOOKUP(W755,'Tax Assumptions'!$P$9:$P$12,'Tax Assumptions'!$R$9:$R$12))</f>
        <v>8070480.54</v>
      </c>
      <c r="Y755" s="230">
        <f t="shared" si="441"/>
        <v>7205019.46</v>
      </c>
      <c r="Z755" s="230">
        <f>IF(J755&lt;=10,INDEX('Savings Projection'!$BL$19:$BL$28,J755),LOOKUP(2,1/('Savings Projection'!$BL$19:$BL$28&lt;&gt;""),'Savings Projection'!$BL$19:$BL$28))*(1+'Model Inputs'!$B$35)^(J755-1)+IF(J755&lt;=10,INDEX('Savings Projection'!$BM$19:$BM$28,J755),LOOKUP(2,1/('Savings Projection'!$BM$19:$BM$28&lt;&gt;""),'Savings Projection'!$BM$19:$BM$28))*(1+'Model Inputs'!$B$36)^(J755-1)</f>
        <v>202535.76415809937</v>
      </c>
      <c r="AA755" s="230">
        <f t="shared" si="442"/>
        <v>7002483.695841901</v>
      </c>
      <c r="AB755" s="230">
        <f>MIN(MAX(AA755,0),'Tax Assumptions'!$B$20)</f>
        <v>7500</v>
      </c>
      <c r="AC755" s="230">
        <f t="shared" si="443"/>
        <v>6994983.695841901</v>
      </c>
      <c r="AD755" s="230">
        <f>MAX(AD754*(1+'Model Inputs'!$B$13)+AC755,0)</f>
        <v>89244218.356817782</v>
      </c>
      <c r="AE755" s="230">
        <f>MAX(AE754*(1+'Model Inputs'!$B$13)+U755+AB755,0)</f>
        <v>821520.89849902503</v>
      </c>
      <c r="AF755" s="230">
        <f t="shared" si="444"/>
        <v>90065739.255316809</v>
      </c>
      <c r="AG755" s="226" t="str">
        <f t="shared" si="430"/>
        <v/>
      </c>
      <c r="AH755" s="226" t="str">
        <f t="shared" si="431"/>
        <v/>
      </c>
      <c r="AI755" s="226" t="str">
        <f t="shared" si="432"/>
        <v/>
      </c>
      <c r="AJ755" s="226" t="str">
        <f t="shared" si="433"/>
        <v/>
      </c>
    </row>
    <row r="756" spans="1:36" ht="18" customHeight="1" x14ac:dyDescent="0.2">
      <c r="A756" s="226" t="str">
        <f t="shared" si="422"/>
        <v>5Y -&gt; PM Y8 Tail</v>
      </c>
      <c r="B756" s="226">
        <f t="shared" si="423"/>
        <v>5</v>
      </c>
      <c r="C756" s="235">
        <f t="shared" si="424"/>
        <v>3</v>
      </c>
      <c r="D756" s="226">
        <f t="shared" si="425"/>
        <v>8</v>
      </c>
      <c r="E756" s="226" t="str">
        <f t="shared" si="426"/>
        <v>Tail</v>
      </c>
      <c r="F756" s="230">
        <f t="shared" si="427"/>
        <v>100000000</v>
      </c>
      <c r="G756" s="236">
        <f t="shared" si="428"/>
        <v>0.15</v>
      </c>
      <c r="H756" s="230">
        <f t="shared" si="429"/>
        <v>300000</v>
      </c>
      <c r="I756" s="236">
        <f t="shared" si="435"/>
        <v>0</v>
      </c>
      <c r="J756" s="234">
        <v>17</v>
      </c>
      <c r="K756" s="234">
        <f t="shared" si="436"/>
        <v>2042</v>
      </c>
      <c r="L756" s="230">
        <f>IF(J756=1,'Model Inputs'!$B$25*(13-'Model Inputs'!$B$23)/12,'Model Inputs'!$B$25)</f>
        <v>300000</v>
      </c>
      <c r="M756" s="230">
        <f>IF(J756=1,'Model Inputs'!$B$27*(13-'Model Inputs'!$B$23)/12,IF(J756=2,'Model Inputs'!$B$27,IF(J756&lt;=MAX(3,'Model Inputs'!$B$30+1),'Model Inputs'!$B$27*(1+'Model Inputs'!$B$28)^(J756-3),'Model Inputs'!$B$27*(1+'Model Inputs'!$B$28)^(MAX(3,'Model Inputs'!$B$30+1)-3)*(1+'Model Inputs'!$B$29)^(J756-MAX(3,'Model Inputs'!$B$30+1)))))</f>
        <v>16864273.217670217</v>
      </c>
      <c r="N756" s="236">
        <f>IF(J756&lt;=2,0,'Model Inputs'!$B$32*SIN(2*PI()*(J756-3+'Model Inputs'!$B$34)/MAX(1,'Model Inputs'!$B$33)))</f>
        <v>-0.1039230484541325</v>
      </c>
      <c r="O756" s="230">
        <f t="shared" si="437"/>
        <v>15111686.534926547</v>
      </c>
      <c r="P756" s="230">
        <f t="shared" si="434"/>
        <v>13596977.385743205</v>
      </c>
      <c r="Q756" s="230">
        <f>L756+P756+IF(J756=1,'Model Inputs'!$B$26,0)</f>
        <v>13896977.385743205</v>
      </c>
      <c r="R756" s="230">
        <f t="shared" si="438"/>
        <v>41690932.157229617</v>
      </c>
      <c r="S756" s="230">
        <f t="shared" si="439"/>
        <v>15300000</v>
      </c>
      <c r="T756" s="230">
        <f t="shared" si="440"/>
        <v>15300000</v>
      </c>
      <c r="U756" s="230">
        <f>MIN(T756,'Tax Assumptions'!$B$19)</f>
        <v>24500</v>
      </c>
      <c r="V756" s="230">
        <f>MAX(T756-U756-'Tax Assumptions'!$B$8,0)</f>
        <v>15259400</v>
      </c>
      <c r="W756" s="230">
        <f>MAX(T756-U756-'Tax Assumptions'!$B$9,0)</f>
        <v>15267500</v>
      </c>
      <c r="X756" s="230">
        <f>IF(V756=0,0,LOOKUP(V756,'Tax Assumptions'!$F$9:$F$15,'Tax Assumptions'!$I$9:$I$15)+(V756-LOOKUP(V756,'Tax Assumptions'!$F$9:$F$15,'Tax Assumptions'!$F$9:$F$15))*LOOKUP(V756,'Tax Assumptions'!$F$9:$F$15,'Tax Assumptions'!$H$9:$H$15))+MIN(MAX(T756,0),'Tax Assumptions'!$B$11)*'Tax Assumptions'!$B$10+MAX(T756,0)*'Tax Assumptions'!$B$12+MAX(MAX(T756,0)-'Tax Assumptions'!$B$14,0)*'Tax Assumptions'!$B$13+MIN(T756*'Tax Assumptions'!$B$15,'Tax Assumptions'!$B$16)+MIN(T756*'Tax Assumptions'!$B$17,'Tax Assumptions'!$B$18)+IF(W756=0,0,LOOKUP(W756,'Tax Assumptions'!$K$9:$K$17,'Tax Assumptions'!$N$9:$N$17)+(W756-LOOKUP(W756,'Tax Assumptions'!$K$9:$K$17,'Tax Assumptions'!$K$9:$K$17))*LOOKUP(W756,'Tax Assumptions'!$K$9:$K$17,'Tax Assumptions'!$M$9:$M$17))+IF(W756=0,0,LOOKUP(W756,'Tax Assumptions'!$P$9:$P$12,'Tax Assumptions'!$S$9:$S$12)+(W756-LOOKUP(W756,'Tax Assumptions'!$P$9:$P$12,'Tax Assumptions'!$P$9:$P$12))*LOOKUP(W756,'Tax Assumptions'!$P$9:$P$12,'Tax Assumptions'!$R$9:$R$12))</f>
        <v>8070480.54</v>
      </c>
      <c r="Y756" s="230">
        <f t="shared" si="441"/>
        <v>7205019.46</v>
      </c>
      <c r="Z756" s="230">
        <f>IF(J756&lt;=10,INDEX('Savings Projection'!$BL$19:$BL$28,J756),LOOKUP(2,1/('Savings Projection'!$BL$19:$BL$28&lt;&gt;""),'Savings Projection'!$BL$19:$BL$28))*(1+'Model Inputs'!$B$35)^(J756-1)+IF(J756&lt;=10,INDEX('Savings Projection'!$BM$19:$BM$28,J756),LOOKUP(2,1/('Savings Projection'!$BM$19:$BM$28&lt;&gt;""),'Savings Projection'!$BM$19:$BM$28))*(1+'Model Inputs'!$B$36)^(J756-1)</f>
        <v>208611.83708284231</v>
      </c>
      <c r="AA756" s="230">
        <f t="shared" si="442"/>
        <v>6996407.6229171576</v>
      </c>
      <c r="AB756" s="230">
        <f>MIN(MAX(AA756,0),'Tax Assumptions'!$B$20)</f>
        <v>7500</v>
      </c>
      <c r="AC756" s="230">
        <f t="shared" si="443"/>
        <v>6988907.6229171576</v>
      </c>
      <c r="AD756" s="230">
        <f>MAX(AD755*(1+'Model Inputs'!$B$13)+AC756,0)</f>
        <v>101587779.08114402</v>
      </c>
      <c r="AE756" s="230">
        <f>MAX(AE755*(1+'Model Inputs'!$B$13)+U756+AB756,0)</f>
        <v>902812.15240896656</v>
      </c>
      <c r="AF756" s="230">
        <f t="shared" si="444"/>
        <v>102490591.23355299</v>
      </c>
      <c r="AG756" s="226" t="str">
        <f t="shared" si="430"/>
        <v/>
      </c>
      <c r="AH756" s="226" t="str">
        <f t="shared" si="431"/>
        <v/>
      </c>
      <c r="AI756" s="226" t="str">
        <f t="shared" si="432"/>
        <v/>
      </c>
      <c r="AJ756" s="226" t="str">
        <f t="shared" si="433"/>
        <v/>
      </c>
    </row>
    <row r="757" spans="1:36" ht="18" customHeight="1" x14ac:dyDescent="0.2">
      <c r="A757" s="226" t="str">
        <f t="shared" si="422"/>
        <v>5Y -&gt; PM Y8 Tail</v>
      </c>
      <c r="B757" s="226">
        <f t="shared" si="423"/>
        <v>5</v>
      </c>
      <c r="C757" s="235">
        <f t="shared" si="424"/>
        <v>3</v>
      </c>
      <c r="D757" s="226">
        <f t="shared" si="425"/>
        <v>8</v>
      </c>
      <c r="E757" s="226" t="str">
        <f t="shared" si="426"/>
        <v>Tail</v>
      </c>
      <c r="F757" s="230">
        <f t="shared" si="427"/>
        <v>100000000</v>
      </c>
      <c r="G757" s="236">
        <f t="shared" si="428"/>
        <v>0.15</v>
      </c>
      <c r="H757" s="230">
        <f t="shared" si="429"/>
        <v>300000</v>
      </c>
      <c r="I757" s="236">
        <f t="shared" si="435"/>
        <v>0</v>
      </c>
      <c r="J757" s="234">
        <v>18</v>
      </c>
      <c r="K757" s="234">
        <f t="shared" si="436"/>
        <v>2043</v>
      </c>
      <c r="L757" s="230">
        <f>IF(J757=1,'Model Inputs'!$B$25*(13-'Model Inputs'!$B$23)/12,'Model Inputs'!$B$25)</f>
        <v>300000</v>
      </c>
      <c r="M757" s="230">
        <f>IF(J757=1,'Model Inputs'!$B$27*(13-'Model Inputs'!$B$23)/12,IF(J757=2,'Model Inputs'!$B$27,IF(J757&lt;=MAX(3,'Model Inputs'!$B$30+1),'Model Inputs'!$B$27*(1+'Model Inputs'!$B$28)^(J757-3),'Model Inputs'!$B$27*(1+'Model Inputs'!$B$28)^(MAX(3,'Model Inputs'!$B$30+1)-3)*(1+'Model Inputs'!$B$29)^(J757-MAX(3,'Model Inputs'!$B$30+1)))))</f>
        <v>21432424.290875554</v>
      </c>
      <c r="N757" s="236">
        <f>IF(J757&lt;=2,0,'Model Inputs'!$B$32*SIN(2*PI()*(J757-3+'Model Inputs'!$B$34)/MAX(1,'Model Inputs'!$B$33)))</f>
        <v>-5.7328325735374245E-16</v>
      </c>
      <c r="O757" s="230">
        <f t="shared" si="437"/>
        <v>21432424.290875543</v>
      </c>
      <c r="P757" s="230">
        <f t="shared" si="434"/>
        <v>14995970.906855816</v>
      </c>
      <c r="Q757" s="230">
        <f>L757+P757+IF(J757=1,'Model Inputs'!$B$26,0)</f>
        <v>15295970.906855816</v>
      </c>
      <c r="R757" s="230">
        <f t="shared" si="438"/>
        <v>45887912.72056745</v>
      </c>
      <c r="S757" s="230">
        <f t="shared" si="439"/>
        <v>15300000</v>
      </c>
      <c r="T757" s="230">
        <f t="shared" si="440"/>
        <v>15300000</v>
      </c>
      <c r="U757" s="230">
        <f>MIN(T757,'Tax Assumptions'!$B$19)</f>
        <v>24500</v>
      </c>
      <c r="V757" s="230">
        <f>MAX(T757-U757-'Tax Assumptions'!$B$8,0)</f>
        <v>15259400</v>
      </c>
      <c r="W757" s="230">
        <f>MAX(T757-U757-'Tax Assumptions'!$B$9,0)</f>
        <v>15267500</v>
      </c>
      <c r="X757" s="230">
        <f>IF(V757=0,0,LOOKUP(V757,'Tax Assumptions'!$F$9:$F$15,'Tax Assumptions'!$I$9:$I$15)+(V757-LOOKUP(V757,'Tax Assumptions'!$F$9:$F$15,'Tax Assumptions'!$F$9:$F$15))*LOOKUP(V757,'Tax Assumptions'!$F$9:$F$15,'Tax Assumptions'!$H$9:$H$15))+MIN(MAX(T757,0),'Tax Assumptions'!$B$11)*'Tax Assumptions'!$B$10+MAX(T757,0)*'Tax Assumptions'!$B$12+MAX(MAX(T757,0)-'Tax Assumptions'!$B$14,0)*'Tax Assumptions'!$B$13+MIN(T757*'Tax Assumptions'!$B$15,'Tax Assumptions'!$B$16)+MIN(T757*'Tax Assumptions'!$B$17,'Tax Assumptions'!$B$18)+IF(W757=0,0,LOOKUP(W757,'Tax Assumptions'!$K$9:$K$17,'Tax Assumptions'!$N$9:$N$17)+(W757-LOOKUP(W757,'Tax Assumptions'!$K$9:$K$17,'Tax Assumptions'!$K$9:$K$17))*LOOKUP(W757,'Tax Assumptions'!$K$9:$K$17,'Tax Assumptions'!$M$9:$M$17))+IF(W757=0,0,LOOKUP(W757,'Tax Assumptions'!$P$9:$P$12,'Tax Assumptions'!$S$9:$S$12)+(W757-LOOKUP(W757,'Tax Assumptions'!$P$9:$P$12,'Tax Assumptions'!$P$9:$P$12))*LOOKUP(W757,'Tax Assumptions'!$P$9:$P$12,'Tax Assumptions'!$R$9:$R$12))</f>
        <v>8070480.54</v>
      </c>
      <c r="Y757" s="230">
        <f t="shared" si="441"/>
        <v>7205019.46</v>
      </c>
      <c r="Z757" s="230">
        <f>IF(J757&lt;=10,INDEX('Savings Projection'!$BL$19:$BL$28,J757),LOOKUP(2,1/('Savings Projection'!$BL$19:$BL$28&lt;&gt;""),'Savings Projection'!$BL$19:$BL$28))*(1+'Model Inputs'!$B$35)^(J757-1)+IF(J757&lt;=10,INDEX('Savings Projection'!$BM$19:$BM$28,J757),LOOKUP(2,1/('Savings Projection'!$BM$19:$BM$28&lt;&gt;""),'Savings Projection'!$BM$19:$BM$28))*(1+'Model Inputs'!$B$36)^(J757-1)</f>
        <v>214870.1921953276</v>
      </c>
      <c r="AA757" s="230">
        <f t="shared" si="442"/>
        <v>6990149.267804672</v>
      </c>
      <c r="AB757" s="230">
        <f>MIN(MAX(AA757,0),'Tax Assumptions'!$B$20)</f>
        <v>7500</v>
      </c>
      <c r="AC757" s="230">
        <f t="shared" si="443"/>
        <v>6982649.267804672</v>
      </c>
      <c r="AD757" s="230">
        <f>MAX(AD756*(1+'Model Inputs'!$B$13)+AC757,0)</f>
        <v>114665695.09381734</v>
      </c>
      <c r="AE757" s="230">
        <f>MAX(AE756*(1+'Model Inputs'!$B$13)+U757+AB757,0)</f>
        <v>988980.88155350462</v>
      </c>
      <c r="AF757" s="230">
        <f t="shared" si="444"/>
        <v>115654675.97537084</v>
      </c>
      <c r="AG757" s="226" t="str">
        <f t="shared" si="430"/>
        <v/>
      </c>
      <c r="AH757" s="226" t="str">
        <f t="shared" si="431"/>
        <v/>
      </c>
      <c r="AI757" s="226" t="str">
        <f t="shared" si="432"/>
        <v/>
      </c>
      <c r="AJ757" s="226" t="str">
        <f t="shared" si="433"/>
        <v/>
      </c>
    </row>
    <row r="758" spans="1:36" ht="18" customHeight="1" x14ac:dyDescent="0.2">
      <c r="A758" s="226" t="str">
        <f t="shared" si="422"/>
        <v>5Y -&gt; PM Y8 Tail</v>
      </c>
      <c r="B758" s="226">
        <f t="shared" si="423"/>
        <v>5</v>
      </c>
      <c r="C758" s="235">
        <f t="shared" si="424"/>
        <v>3</v>
      </c>
      <c r="D758" s="226">
        <f t="shared" si="425"/>
        <v>8</v>
      </c>
      <c r="E758" s="226" t="str">
        <f t="shared" si="426"/>
        <v>Tail</v>
      </c>
      <c r="F758" s="230">
        <f t="shared" si="427"/>
        <v>100000000</v>
      </c>
      <c r="G758" s="236">
        <f t="shared" si="428"/>
        <v>0.15</v>
      </c>
      <c r="H758" s="230">
        <f t="shared" si="429"/>
        <v>300000</v>
      </c>
      <c r="I758" s="236">
        <f t="shared" si="435"/>
        <v>0</v>
      </c>
      <c r="J758" s="234">
        <v>19</v>
      </c>
      <c r="K758" s="234">
        <f t="shared" si="436"/>
        <v>2044</v>
      </c>
      <c r="L758" s="230">
        <f>IF(J758=1,'Model Inputs'!$B$25*(13-'Model Inputs'!$B$23)/12,'Model Inputs'!$B$25)</f>
        <v>300000</v>
      </c>
      <c r="M758" s="230">
        <f>IF(J758=1,'Model Inputs'!$B$27*(13-'Model Inputs'!$B$23)/12,IF(J758=2,'Model Inputs'!$B$27,IF(J758&lt;=MAX(3,'Model Inputs'!$B$30+1),'Model Inputs'!$B$27*(1+'Model Inputs'!$B$28)^(J758-3),'Model Inputs'!$B$27*(1+'Model Inputs'!$B$28)^(MAX(3,'Model Inputs'!$B$30+1)-3)*(1+'Model Inputs'!$B$29)^(J758-MAX(3,'Model Inputs'!$B$30+1)))))</f>
        <v>27237984.409717187</v>
      </c>
      <c r="N758" s="236">
        <f>IF(J758&lt;=2,0,'Model Inputs'!$B$32*SIN(2*PI()*(J758-3+'Model Inputs'!$B$34)/MAX(1,'Model Inputs'!$B$33)))</f>
        <v>0.10392304845413286</v>
      </c>
      <c r="O758" s="230">
        <f t="shared" si="437"/>
        <v>30068638.783321142</v>
      </c>
      <c r="P758" s="230">
        <f t="shared" si="434"/>
        <v>19852239.851888295</v>
      </c>
      <c r="Q758" s="230">
        <f>L758+P758+IF(J758=1,'Model Inputs'!$B$26,0)</f>
        <v>20152239.851888295</v>
      </c>
      <c r="R758" s="230">
        <f t="shared" si="438"/>
        <v>60456719.555664882</v>
      </c>
      <c r="S758" s="230">
        <f t="shared" si="439"/>
        <v>15300000</v>
      </c>
      <c r="T758" s="230">
        <f t="shared" si="440"/>
        <v>15300000</v>
      </c>
      <c r="U758" s="230">
        <f>MIN(T758,'Tax Assumptions'!$B$19)</f>
        <v>24500</v>
      </c>
      <c r="V758" s="230">
        <f>MAX(T758-U758-'Tax Assumptions'!$B$8,0)</f>
        <v>15259400</v>
      </c>
      <c r="W758" s="230">
        <f>MAX(T758-U758-'Tax Assumptions'!$B$9,0)</f>
        <v>15267500</v>
      </c>
      <c r="X758" s="230">
        <f>IF(V758=0,0,LOOKUP(V758,'Tax Assumptions'!$F$9:$F$15,'Tax Assumptions'!$I$9:$I$15)+(V758-LOOKUP(V758,'Tax Assumptions'!$F$9:$F$15,'Tax Assumptions'!$F$9:$F$15))*LOOKUP(V758,'Tax Assumptions'!$F$9:$F$15,'Tax Assumptions'!$H$9:$H$15))+MIN(MAX(T758,0),'Tax Assumptions'!$B$11)*'Tax Assumptions'!$B$10+MAX(T758,0)*'Tax Assumptions'!$B$12+MAX(MAX(T758,0)-'Tax Assumptions'!$B$14,0)*'Tax Assumptions'!$B$13+MIN(T758*'Tax Assumptions'!$B$15,'Tax Assumptions'!$B$16)+MIN(T758*'Tax Assumptions'!$B$17,'Tax Assumptions'!$B$18)+IF(W758=0,0,LOOKUP(W758,'Tax Assumptions'!$K$9:$K$17,'Tax Assumptions'!$N$9:$N$17)+(W758-LOOKUP(W758,'Tax Assumptions'!$K$9:$K$17,'Tax Assumptions'!$K$9:$K$17))*LOOKUP(W758,'Tax Assumptions'!$K$9:$K$17,'Tax Assumptions'!$M$9:$M$17))+IF(W758=0,0,LOOKUP(W758,'Tax Assumptions'!$P$9:$P$12,'Tax Assumptions'!$S$9:$S$12)+(W758-LOOKUP(W758,'Tax Assumptions'!$P$9:$P$12,'Tax Assumptions'!$P$9:$P$12))*LOOKUP(W758,'Tax Assumptions'!$P$9:$P$12,'Tax Assumptions'!$R$9:$R$12))</f>
        <v>8070480.54</v>
      </c>
      <c r="Y758" s="230">
        <f t="shared" si="441"/>
        <v>7205019.46</v>
      </c>
      <c r="Z758" s="230">
        <f>IF(J758&lt;=10,INDEX('Savings Projection'!$BL$19:$BL$28,J758),LOOKUP(2,1/('Savings Projection'!$BL$19:$BL$28&lt;&gt;""),'Savings Projection'!$BL$19:$BL$28))*(1+'Model Inputs'!$B$35)^(J758-1)+IF(J758&lt;=10,INDEX('Savings Projection'!$BM$19:$BM$28,J758),LOOKUP(2,1/('Savings Projection'!$BM$19:$BM$28&lt;&gt;""),'Savings Projection'!$BM$19:$BM$28))*(1+'Model Inputs'!$B$36)^(J758-1)</f>
        <v>221316.29796118743</v>
      </c>
      <c r="AA758" s="230">
        <f t="shared" si="442"/>
        <v>6983703.1620388124</v>
      </c>
      <c r="AB758" s="230">
        <f>MIN(MAX(AA758,0),'Tax Assumptions'!$B$20)</f>
        <v>7500</v>
      </c>
      <c r="AC758" s="230">
        <f t="shared" si="443"/>
        <v>6976203.1620388124</v>
      </c>
      <c r="AD758" s="230">
        <f>MAX(AD757*(1+'Model Inputs'!$B$13)+AC758,0)</f>
        <v>128521839.96148521</v>
      </c>
      <c r="AE758" s="230">
        <f>MAX(AE757*(1+'Model Inputs'!$B$13)+U758+AB758,0)</f>
        <v>1080319.7344467151</v>
      </c>
      <c r="AF758" s="230">
        <f t="shared" si="444"/>
        <v>129602159.69593193</v>
      </c>
      <c r="AG758" s="226" t="str">
        <f t="shared" si="430"/>
        <v/>
      </c>
      <c r="AH758" s="226" t="str">
        <f t="shared" si="431"/>
        <v/>
      </c>
      <c r="AI758" s="226" t="str">
        <f t="shared" si="432"/>
        <v/>
      </c>
      <c r="AJ758" s="226" t="str">
        <f t="shared" si="433"/>
        <v/>
      </c>
    </row>
    <row r="759" spans="1:36" ht="18" customHeight="1" x14ac:dyDescent="0.2">
      <c r="A759" s="226" t="str">
        <f t="shared" si="422"/>
        <v>5Y -&gt; PM Y8 Tail</v>
      </c>
      <c r="B759" s="226">
        <f t="shared" si="423"/>
        <v>5</v>
      </c>
      <c r="C759" s="235">
        <f t="shared" si="424"/>
        <v>3</v>
      </c>
      <c r="D759" s="226">
        <f t="shared" si="425"/>
        <v>8</v>
      </c>
      <c r="E759" s="226" t="str">
        <f t="shared" si="426"/>
        <v>Tail</v>
      </c>
      <c r="F759" s="230">
        <f t="shared" si="427"/>
        <v>100000000</v>
      </c>
      <c r="G759" s="236">
        <f t="shared" si="428"/>
        <v>0.15</v>
      </c>
      <c r="H759" s="230">
        <f t="shared" si="429"/>
        <v>300000</v>
      </c>
      <c r="I759" s="236">
        <f t="shared" si="435"/>
        <v>0</v>
      </c>
      <c r="J759" s="234">
        <v>20</v>
      </c>
      <c r="K759" s="234">
        <f t="shared" si="436"/>
        <v>2045</v>
      </c>
      <c r="L759" s="230">
        <f>IF(J759=1,'Model Inputs'!$B$25*(13-'Model Inputs'!$B$23)/12,'Model Inputs'!$B$25)</f>
        <v>300000</v>
      </c>
      <c r="M759" s="230">
        <f>IF(J759=1,'Model Inputs'!$B$27*(13-'Model Inputs'!$B$23)/12,IF(J759=2,'Model Inputs'!$B$27,IF(J759&lt;=MAX(3,'Model Inputs'!$B$30+1),'Model Inputs'!$B$27*(1+'Model Inputs'!$B$28)^(J759-3),'Model Inputs'!$B$27*(1+'Model Inputs'!$B$28)^(MAX(3,'Model Inputs'!$B$30+1)-3)*(1+'Model Inputs'!$B$29)^(J759-MAX(3,'Model Inputs'!$B$30+1)))))</f>
        <v>34616139.762586243</v>
      </c>
      <c r="N759" s="236">
        <f>IF(J759&lt;=2,0,'Model Inputs'!$B$32*SIN(2*PI()*(J759-3+'Model Inputs'!$B$34)/MAX(1,'Model Inputs'!$B$33)))</f>
        <v>-0.10392304845413269</v>
      </c>
      <c r="O759" s="230">
        <f t="shared" si="437"/>
        <v>31018724.992743965</v>
      </c>
      <c r="P759" s="230">
        <f t="shared" si="434"/>
        <v>27909585.160209741</v>
      </c>
      <c r="Q759" s="230">
        <f>L759+P759+IF(J759=1,'Model Inputs'!$B$26,0)</f>
        <v>28209585.160209741</v>
      </c>
      <c r="R759" s="230">
        <f t="shared" si="438"/>
        <v>84628755.480629221</v>
      </c>
      <c r="S759" s="230">
        <f t="shared" si="439"/>
        <v>15300000</v>
      </c>
      <c r="T759" s="230">
        <f t="shared" si="440"/>
        <v>15300000</v>
      </c>
      <c r="U759" s="230">
        <f>MIN(T759,'Tax Assumptions'!$B$19)</f>
        <v>24500</v>
      </c>
      <c r="V759" s="230">
        <f>MAX(T759-U759-'Tax Assumptions'!$B$8,0)</f>
        <v>15259400</v>
      </c>
      <c r="W759" s="230">
        <f>MAX(T759-U759-'Tax Assumptions'!$B$9,0)</f>
        <v>15267500</v>
      </c>
      <c r="X759" s="230">
        <f>IF(V759=0,0,LOOKUP(V759,'Tax Assumptions'!$F$9:$F$15,'Tax Assumptions'!$I$9:$I$15)+(V759-LOOKUP(V759,'Tax Assumptions'!$F$9:$F$15,'Tax Assumptions'!$F$9:$F$15))*LOOKUP(V759,'Tax Assumptions'!$F$9:$F$15,'Tax Assumptions'!$H$9:$H$15))+MIN(MAX(T759,0),'Tax Assumptions'!$B$11)*'Tax Assumptions'!$B$10+MAX(T759,0)*'Tax Assumptions'!$B$12+MAX(MAX(T759,0)-'Tax Assumptions'!$B$14,0)*'Tax Assumptions'!$B$13+MIN(T759*'Tax Assumptions'!$B$15,'Tax Assumptions'!$B$16)+MIN(T759*'Tax Assumptions'!$B$17,'Tax Assumptions'!$B$18)+IF(W759=0,0,LOOKUP(W759,'Tax Assumptions'!$K$9:$K$17,'Tax Assumptions'!$N$9:$N$17)+(W759-LOOKUP(W759,'Tax Assumptions'!$K$9:$K$17,'Tax Assumptions'!$K$9:$K$17))*LOOKUP(W759,'Tax Assumptions'!$K$9:$K$17,'Tax Assumptions'!$M$9:$M$17))+IF(W759=0,0,LOOKUP(W759,'Tax Assumptions'!$P$9:$P$12,'Tax Assumptions'!$S$9:$S$12)+(W759-LOOKUP(W759,'Tax Assumptions'!$P$9:$P$12,'Tax Assumptions'!$P$9:$P$12))*LOOKUP(W759,'Tax Assumptions'!$P$9:$P$12,'Tax Assumptions'!$R$9:$R$12))</f>
        <v>8070480.54</v>
      </c>
      <c r="Y759" s="230">
        <f t="shared" si="441"/>
        <v>7205019.46</v>
      </c>
      <c r="Z759" s="230">
        <f>IF(J759&lt;=10,INDEX('Savings Projection'!$BL$19:$BL$28,J759),LOOKUP(2,1/('Savings Projection'!$BL$19:$BL$28&lt;&gt;""),'Savings Projection'!$BL$19:$BL$28))*(1+'Model Inputs'!$B$35)^(J759-1)+IF(J759&lt;=10,INDEX('Savings Projection'!$BM$19:$BM$28,J759),LOOKUP(2,1/('Savings Projection'!$BM$19:$BM$28&lt;&gt;""),'Savings Projection'!$BM$19:$BM$28))*(1+'Model Inputs'!$B$36)^(J759-1)</f>
        <v>227955.78690002306</v>
      </c>
      <c r="AA759" s="230">
        <f t="shared" si="442"/>
        <v>6977063.673099977</v>
      </c>
      <c r="AB759" s="230">
        <f>MIN(MAX(AA759,0),'Tax Assumptions'!$B$20)</f>
        <v>7500</v>
      </c>
      <c r="AC759" s="230">
        <f t="shared" si="443"/>
        <v>6969563.673099977</v>
      </c>
      <c r="AD759" s="230">
        <f>MAX(AD758*(1+'Model Inputs'!$B$13)+AC759,0)</f>
        <v>143202714.03227431</v>
      </c>
      <c r="AE759" s="230">
        <f>MAX(AE758*(1+'Model Inputs'!$B$13)+U759+AB759,0)</f>
        <v>1177138.9185135181</v>
      </c>
      <c r="AF759" s="230">
        <f t="shared" si="444"/>
        <v>144379852.95078781</v>
      </c>
      <c r="AG759" s="226" t="str">
        <f t="shared" si="430"/>
        <v/>
      </c>
      <c r="AH759" s="226" t="str">
        <f t="shared" si="431"/>
        <v/>
      </c>
      <c r="AI759" s="226" t="str">
        <f t="shared" si="432"/>
        <v/>
      </c>
      <c r="AJ759" s="226" t="str">
        <f t="shared" si="433"/>
        <v/>
      </c>
    </row>
    <row r="760" spans="1:36" ht="18" customHeight="1" x14ac:dyDescent="0.2">
      <c r="A760" s="226" t="str">
        <f t="shared" si="422"/>
        <v>5Y -&gt; PM Y8 Tail</v>
      </c>
      <c r="B760" s="226">
        <f t="shared" si="423"/>
        <v>5</v>
      </c>
      <c r="C760" s="235">
        <f t="shared" si="424"/>
        <v>3</v>
      </c>
      <c r="D760" s="226">
        <f t="shared" si="425"/>
        <v>8</v>
      </c>
      <c r="E760" s="226" t="str">
        <f t="shared" si="426"/>
        <v>Tail</v>
      </c>
      <c r="F760" s="230">
        <f t="shared" si="427"/>
        <v>100000000</v>
      </c>
      <c r="G760" s="236">
        <f t="shared" si="428"/>
        <v>0.15</v>
      </c>
      <c r="H760" s="230">
        <f t="shared" si="429"/>
        <v>300000</v>
      </c>
      <c r="I760" s="236">
        <f t="shared" si="435"/>
        <v>0</v>
      </c>
      <c r="J760" s="234">
        <v>21</v>
      </c>
      <c r="K760" s="234">
        <f t="shared" si="436"/>
        <v>2046</v>
      </c>
      <c r="L760" s="230">
        <f>IF(J760=1,'Model Inputs'!$B$25*(13-'Model Inputs'!$B$23)/12,'Model Inputs'!$B$25)</f>
        <v>300000</v>
      </c>
      <c r="M760" s="230">
        <f>IF(J760=1,'Model Inputs'!$B$27*(13-'Model Inputs'!$B$23)/12,IF(J760=2,'Model Inputs'!$B$27,IF(J760&lt;=MAX(3,'Model Inputs'!$B$30+1),'Model Inputs'!$B$27*(1+'Model Inputs'!$B$28)^(J760-3),'Model Inputs'!$B$27*(1+'Model Inputs'!$B$28)^(MAX(3,'Model Inputs'!$B$30+1)-3)*(1+'Model Inputs'!$B$29)^(J760-MAX(3,'Model Inputs'!$B$30+1)))))</f>
        <v>43992870.912849829</v>
      </c>
      <c r="N760" s="236">
        <f>IF(J760&lt;=2,0,'Model Inputs'!$B$32*SIN(2*PI()*(J760-3+'Model Inputs'!$B$34)/MAX(1,'Model Inputs'!$B$33)))</f>
        <v>-1.7634913907721884E-16</v>
      </c>
      <c r="O760" s="230">
        <f t="shared" si="437"/>
        <v>43992870.912849821</v>
      </c>
      <c r="P760" s="230">
        <f t="shared" si="434"/>
        <v>30781203.440388259</v>
      </c>
      <c r="Q760" s="230">
        <f>L760+P760+IF(J760=1,'Model Inputs'!$B$26,0)</f>
        <v>31081203.440388259</v>
      </c>
      <c r="R760" s="230">
        <f t="shared" si="438"/>
        <v>93243610.321164772</v>
      </c>
      <c r="S760" s="230">
        <f t="shared" si="439"/>
        <v>15300000</v>
      </c>
      <c r="T760" s="230">
        <f t="shared" si="440"/>
        <v>15300000</v>
      </c>
      <c r="U760" s="230">
        <f>MIN(T760,'Tax Assumptions'!$B$19)</f>
        <v>24500</v>
      </c>
      <c r="V760" s="230">
        <f>MAX(T760-U760-'Tax Assumptions'!$B$8,0)</f>
        <v>15259400</v>
      </c>
      <c r="W760" s="230">
        <f>MAX(T760-U760-'Tax Assumptions'!$B$9,0)</f>
        <v>15267500</v>
      </c>
      <c r="X760" s="230">
        <f>IF(V760=0,0,LOOKUP(V760,'Tax Assumptions'!$F$9:$F$15,'Tax Assumptions'!$I$9:$I$15)+(V760-LOOKUP(V760,'Tax Assumptions'!$F$9:$F$15,'Tax Assumptions'!$F$9:$F$15))*LOOKUP(V760,'Tax Assumptions'!$F$9:$F$15,'Tax Assumptions'!$H$9:$H$15))+MIN(MAX(T760,0),'Tax Assumptions'!$B$11)*'Tax Assumptions'!$B$10+MAX(T760,0)*'Tax Assumptions'!$B$12+MAX(MAX(T760,0)-'Tax Assumptions'!$B$14,0)*'Tax Assumptions'!$B$13+MIN(T760*'Tax Assumptions'!$B$15,'Tax Assumptions'!$B$16)+MIN(T760*'Tax Assumptions'!$B$17,'Tax Assumptions'!$B$18)+IF(W760=0,0,LOOKUP(W760,'Tax Assumptions'!$K$9:$K$17,'Tax Assumptions'!$N$9:$N$17)+(W760-LOOKUP(W760,'Tax Assumptions'!$K$9:$K$17,'Tax Assumptions'!$K$9:$K$17))*LOOKUP(W760,'Tax Assumptions'!$K$9:$K$17,'Tax Assumptions'!$M$9:$M$17))+IF(W760=0,0,LOOKUP(W760,'Tax Assumptions'!$P$9:$P$12,'Tax Assumptions'!$S$9:$S$12)+(W760-LOOKUP(W760,'Tax Assumptions'!$P$9:$P$12,'Tax Assumptions'!$P$9:$P$12))*LOOKUP(W760,'Tax Assumptions'!$P$9:$P$12,'Tax Assumptions'!$R$9:$R$12))</f>
        <v>8070480.54</v>
      </c>
      <c r="Y760" s="230">
        <f t="shared" si="441"/>
        <v>7205019.46</v>
      </c>
      <c r="Z760" s="230">
        <f>IF(J760&lt;=10,INDEX('Savings Projection'!$BL$19:$BL$28,J760),LOOKUP(2,1/('Savings Projection'!$BL$19:$BL$28&lt;&gt;""),'Savings Projection'!$BL$19:$BL$28))*(1+'Model Inputs'!$B$35)^(J760-1)+IF(J760&lt;=10,INDEX('Savings Projection'!$BM$19:$BM$28,J760),LOOKUP(2,1/('Savings Projection'!$BM$19:$BM$28&lt;&gt;""),'Savings Projection'!$BM$19:$BM$28))*(1+'Model Inputs'!$B$36)^(J760-1)</f>
        <v>234794.46050702373</v>
      </c>
      <c r="AA760" s="230">
        <f t="shared" si="442"/>
        <v>6970224.9994929759</v>
      </c>
      <c r="AB760" s="230">
        <f>MIN(MAX(AA760,0),'Tax Assumptions'!$B$20)</f>
        <v>7500</v>
      </c>
      <c r="AC760" s="230">
        <f t="shared" si="443"/>
        <v>6962724.9994929759</v>
      </c>
      <c r="AD760" s="230">
        <f>MAX(AD759*(1+'Model Inputs'!$B$13)+AC760,0)</f>
        <v>158757601.87370375</v>
      </c>
      <c r="AE760" s="230">
        <f>MAX(AE759*(1+'Model Inputs'!$B$13)+U760+AB760,0)</f>
        <v>1279767.2536243291</v>
      </c>
      <c r="AF760" s="230">
        <f t="shared" si="444"/>
        <v>160037369.12732807</v>
      </c>
      <c r="AG760" s="226" t="str">
        <f t="shared" si="430"/>
        <v/>
      </c>
      <c r="AH760" s="226" t="str">
        <f t="shared" si="431"/>
        <v/>
      </c>
      <c r="AI760" s="226" t="str">
        <f t="shared" si="432"/>
        <v/>
      </c>
      <c r="AJ760" s="226" t="str">
        <f t="shared" si="433"/>
        <v/>
      </c>
    </row>
    <row r="761" spans="1:36" ht="18" customHeight="1" x14ac:dyDescent="0.2">
      <c r="A761" s="226" t="str">
        <f t="shared" si="422"/>
        <v>5Y -&gt; PM Y8 Tail</v>
      </c>
      <c r="B761" s="226">
        <f t="shared" si="423"/>
        <v>5</v>
      </c>
      <c r="C761" s="235">
        <f t="shared" si="424"/>
        <v>3</v>
      </c>
      <c r="D761" s="226">
        <f t="shared" si="425"/>
        <v>8</v>
      </c>
      <c r="E761" s="226" t="str">
        <f t="shared" si="426"/>
        <v>Tail</v>
      </c>
      <c r="F761" s="230">
        <f t="shared" si="427"/>
        <v>100000000</v>
      </c>
      <c r="G761" s="236">
        <f t="shared" si="428"/>
        <v>0.15</v>
      </c>
      <c r="H761" s="230">
        <f t="shared" si="429"/>
        <v>300000</v>
      </c>
      <c r="I761" s="236">
        <f t="shared" si="435"/>
        <v>0</v>
      </c>
      <c r="J761" s="234">
        <v>22</v>
      </c>
      <c r="K761" s="234">
        <f t="shared" si="436"/>
        <v>2047</v>
      </c>
      <c r="L761" s="230">
        <f>IF(J761=1,'Model Inputs'!$B$25*(13-'Model Inputs'!$B$23)/12,'Model Inputs'!$B$25)</f>
        <v>300000</v>
      </c>
      <c r="M761" s="230">
        <f>IF(J761=1,'Model Inputs'!$B$27*(13-'Model Inputs'!$B$23)/12,IF(J761=2,'Model Inputs'!$B$27,IF(J761&lt;=MAX(3,'Model Inputs'!$B$30+1),'Model Inputs'!$B$27*(1+'Model Inputs'!$B$28)^(J761-3),'Model Inputs'!$B$27*(1+'Model Inputs'!$B$28)^(MAX(3,'Model Inputs'!$B$30+1)-3)*(1+'Model Inputs'!$B$29)^(J761-MAX(3,'Model Inputs'!$B$30+1)))))</f>
        <v>55909546.9462616</v>
      </c>
      <c r="N761" s="236">
        <f>IF(J761&lt;=2,0,'Model Inputs'!$B$32*SIN(2*PI()*(J761-3+'Model Inputs'!$B$34)/MAX(1,'Model Inputs'!$B$33)))</f>
        <v>0.10392304845413287</v>
      </c>
      <c r="O761" s="230">
        <f t="shared" si="437"/>
        <v>61719837.502606563</v>
      </c>
      <c r="P761" s="230">
        <f t="shared" si="434"/>
        <v>40749334.43282336</v>
      </c>
      <c r="Q761" s="230">
        <f>L761+P761+IF(J761=1,'Model Inputs'!$B$26,0)</f>
        <v>41049334.43282336</v>
      </c>
      <c r="R761" s="230">
        <f t="shared" si="438"/>
        <v>123148003.29847008</v>
      </c>
      <c r="S761" s="230">
        <f t="shared" si="439"/>
        <v>15300000</v>
      </c>
      <c r="T761" s="230">
        <f t="shared" si="440"/>
        <v>15300000</v>
      </c>
      <c r="U761" s="230">
        <f>MIN(T761,'Tax Assumptions'!$B$19)</f>
        <v>24500</v>
      </c>
      <c r="V761" s="230">
        <f>MAX(T761-U761-'Tax Assumptions'!$B$8,0)</f>
        <v>15259400</v>
      </c>
      <c r="W761" s="230">
        <f>MAX(T761-U761-'Tax Assumptions'!$B$9,0)</f>
        <v>15267500</v>
      </c>
      <c r="X761" s="230">
        <f>IF(V761=0,0,LOOKUP(V761,'Tax Assumptions'!$F$9:$F$15,'Tax Assumptions'!$I$9:$I$15)+(V761-LOOKUP(V761,'Tax Assumptions'!$F$9:$F$15,'Tax Assumptions'!$F$9:$F$15))*LOOKUP(V761,'Tax Assumptions'!$F$9:$F$15,'Tax Assumptions'!$H$9:$H$15))+MIN(MAX(T761,0),'Tax Assumptions'!$B$11)*'Tax Assumptions'!$B$10+MAX(T761,0)*'Tax Assumptions'!$B$12+MAX(MAX(T761,0)-'Tax Assumptions'!$B$14,0)*'Tax Assumptions'!$B$13+MIN(T761*'Tax Assumptions'!$B$15,'Tax Assumptions'!$B$16)+MIN(T761*'Tax Assumptions'!$B$17,'Tax Assumptions'!$B$18)+IF(W761=0,0,LOOKUP(W761,'Tax Assumptions'!$K$9:$K$17,'Tax Assumptions'!$N$9:$N$17)+(W761-LOOKUP(W761,'Tax Assumptions'!$K$9:$K$17,'Tax Assumptions'!$K$9:$K$17))*LOOKUP(W761,'Tax Assumptions'!$K$9:$K$17,'Tax Assumptions'!$M$9:$M$17))+IF(W761=0,0,LOOKUP(W761,'Tax Assumptions'!$P$9:$P$12,'Tax Assumptions'!$S$9:$S$12)+(W761-LOOKUP(W761,'Tax Assumptions'!$P$9:$P$12,'Tax Assumptions'!$P$9:$P$12))*LOOKUP(W761,'Tax Assumptions'!$P$9:$P$12,'Tax Assumptions'!$R$9:$R$12))</f>
        <v>8070480.54</v>
      </c>
      <c r="Y761" s="230">
        <f t="shared" si="441"/>
        <v>7205019.46</v>
      </c>
      <c r="Z761" s="230">
        <f>IF(J761&lt;=10,INDEX('Savings Projection'!$BL$19:$BL$28,J761),LOOKUP(2,1/('Savings Projection'!$BL$19:$BL$28&lt;&gt;""),'Savings Projection'!$BL$19:$BL$28))*(1+'Model Inputs'!$B$35)^(J761-1)+IF(J761&lt;=10,INDEX('Savings Projection'!$BM$19:$BM$28,J761),LOOKUP(2,1/('Savings Projection'!$BM$19:$BM$28&lt;&gt;""),'Savings Projection'!$BM$19:$BM$28))*(1+'Model Inputs'!$B$36)^(J761-1)</f>
        <v>241838.2943222344</v>
      </c>
      <c r="AA761" s="230">
        <f t="shared" si="442"/>
        <v>6963181.1656777654</v>
      </c>
      <c r="AB761" s="230">
        <f>MIN(MAX(AA761,0),'Tax Assumptions'!$B$20)</f>
        <v>7500</v>
      </c>
      <c r="AC761" s="230">
        <f t="shared" si="443"/>
        <v>6955681.1656777654</v>
      </c>
      <c r="AD761" s="230">
        <f>MAX(AD760*(1+'Model Inputs'!$B$13)+AC761,0)</f>
        <v>175238739.15180373</v>
      </c>
      <c r="AE761" s="230">
        <f>MAX(AE760*(1+'Model Inputs'!$B$13)+U761+AB761,0)</f>
        <v>1388553.2888417889</v>
      </c>
      <c r="AF761" s="230">
        <f t="shared" si="444"/>
        <v>176627292.44064552</v>
      </c>
      <c r="AG761" s="226" t="str">
        <f t="shared" si="430"/>
        <v/>
      </c>
      <c r="AH761" s="226" t="str">
        <f t="shared" si="431"/>
        <v/>
      </c>
      <c r="AI761" s="226" t="str">
        <f t="shared" si="432"/>
        <v/>
      </c>
      <c r="AJ761" s="226" t="str">
        <f t="shared" si="433"/>
        <v/>
      </c>
    </row>
    <row r="762" spans="1:36" ht="18" customHeight="1" x14ac:dyDescent="0.2">
      <c r="A762" s="226" t="str">
        <f t="shared" si="422"/>
        <v>5Y -&gt; PM Y8 Tail</v>
      </c>
      <c r="B762" s="226">
        <f t="shared" si="423"/>
        <v>5</v>
      </c>
      <c r="C762" s="235">
        <f t="shared" si="424"/>
        <v>3</v>
      </c>
      <c r="D762" s="226">
        <f t="shared" si="425"/>
        <v>8</v>
      </c>
      <c r="E762" s="226" t="str">
        <f t="shared" si="426"/>
        <v>Tail</v>
      </c>
      <c r="F762" s="230">
        <f t="shared" si="427"/>
        <v>100000000</v>
      </c>
      <c r="G762" s="236">
        <f t="shared" si="428"/>
        <v>0.15</v>
      </c>
      <c r="H762" s="230">
        <f t="shared" si="429"/>
        <v>300000</v>
      </c>
      <c r="I762" s="236">
        <f t="shared" si="435"/>
        <v>0</v>
      </c>
      <c r="J762" s="234">
        <v>23</v>
      </c>
      <c r="K762" s="234">
        <f t="shared" si="436"/>
        <v>2048</v>
      </c>
      <c r="L762" s="230">
        <f>IF(J762=1,'Model Inputs'!$B$25*(13-'Model Inputs'!$B$23)/12,'Model Inputs'!$B$25)</f>
        <v>300000</v>
      </c>
      <c r="M762" s="230">
        <f>IF(J762=1,'Model Inputs'!$B$27*(13-'Model Inputs'!$B$23)/12,IF(J762=2,'Model Inputs'!$B$27,IF(J762&lt;=MAX(3,'Model Inputs'!$B$30+1),'Model Inputs'!$B$27*(1+'Model Inputs'!$B$28)^(J762-3),'Model Inputs'!$B$27*(1+'Model Inputs'!$B$28)^(MAX(3,'Model Inputs'!$B$30+1)-3)*(1+'Model Inputs'!$B$29)^(J762-MAX(3,'Model Inputs'!$B$30+1)))))</f>
        <v>71054181.617940187</v>
      </c>
      <c r="N762" s="236">
        <f>IF(J762&lt;=2,0,'Model Inputs'!$B$32*SIN(2*PI()*(J762-3+'Model Inputs'!$B$34)/MAX(1,'Model Inputs'!$B$33)))</f>
        <v>-0.10392304845413268</v>
      </c>
      <c r="O762" s="230">
        <f t="shared" si="437"/>
        <v>63670014.458790243</v>
      </c>
      <c r="P762" s="230">
        <f t="shared" si="434"/>
        <v>57288095.855167374</v>
      </c>
      <c r="Q762" s="230">
        <f>L762+P762+IF(J762=1,'Model Inputs'!$B$26,0)</f>
        <v>57588095.855167374</v>
      </c>
      <c r="R762" s="230">
        <f t="shared" si="438"/>
        <v>172764287.56550211</v>
      </c>
      <c r="S762" s="230">
        <f t="shared" si="439"/>
        <v>15300000</v>
      </c>
      <c r="T762" s="230">
        <f t="shared" si="440"/>
        <v>15300000</v>
      </c>
      <c r="U762" s="230">
        <f>MIN(T762,'Tax Assumptions'!$B$19)</f>
        <v>24500</v>
      </c>
      <c r="V762" s="230">
        <f>MAX(T762-U762-'Tax Assumptions'!$B$8,0)</f>
        <v>15259400</v>
      </c>
      <c r="W762" s="230">
        <f>MAX(T762-U762-'Tax Assumptions'!$B$9,0)</f>
        <v>15267500</v>
      </c>
      <c r="X762" s="230">
        <f>IF(V762=0,0,LOOKUP(V762,'Tax Assumptions'!$F$9:$F$15,'Tax Assumptions'!$I$9:$I$15)+(V762-LOOKUP(V762,'Tax Assumptions'!$F$9:$F$15,'Tax Assumptions'!$F$9:$F$15))*LOOKUP(V762,'Tax Assumptions'!$F$9:$F$15,'Tax Assumptions'!$H$9:$H$15))+MIN(MAX(T762,0),'Tax Assumptions'!$B$11)*'Tax Assumptions'!$B$10+MAX(T762,0)*'Tax Assumptions'!$B$12+MAX(MAX(T762,0)-'Tax Assumptions'!$B$14,0)*'Tax Assumptions'!$B$13+MIN(T762*'Tax Assumptions'!$B$15,'Tax Assumptions'!$B$16)+MIN(T762*'Tax Assumptions'!$B$17,'Tax Assumptions'!$B$18)+IF(W762=0,0,LOOKUP(W762,'Tax Assumptions'!$K$9:$K$17,'Tax Assumptions'!$N$9:$N$17)+(W762-LOOKUP(W762,'Tax Assumptions'!$K$9:$K$17,'Tax Assumptions'!$K$9:$K$17))*LOOKUP(W762,'Tax Assumptions'!$K$9:$K$17,'Tax Assumptions'!$M$9:$M$17))+IF(W762=0,0,LOOKUP(W762,'Tax Assumptions'!$P$9:$P$12,'Tax Assumptions'!$S$9:$S$12)+(W762-LOOKUP(W762,'Tax Assumptions'!$P$9:$P$12,'Tax Assumptions'!$P$9:$P$12))*LOOKUP(W762,'Tax Assumptions'!$P$9:$P$12,'Tax Assumptions'!$R$9:$R$12))</f>
        <v>8070480.54</v>
      </c>
      <c r="Y762" s="230">
        <f t="shared" si="441"/>
        <v>7205019.46</v>
      </c>
      <c r="Z762" s="230">
        <f>IF(J762&lt;=10,INDEX('Savings Projection'!$BL$19:$BL$28,J762),LOOKUP(2,1/('Savings Projection'!$BL$19:$BL$28&lt;&gt;""),'Savings Projection'!$BL$19:$BL$28))*(1+'Model Inputs'!$B$35)^(J762-1)+IF(J762&lt;=10,INDEX('Savings Projection'!$BM$19:$BM$28,J762),LOOKUP(2,1/('Savings Projection'!$BM$19:$BM$28&lt;&gt;""),'Savings Projection'!$BM$19:$BM$28))*(1+'Model Inputs'!$B$36)^(J762-1)</f>
        <v>249093.44315190148</v>
      </c>
      <c r="AA762" s="230">
        <f t="shared" si="442"/>
        <v>6955926.0168480985</v>
      </c>
      <c r="AB762" s="230">
        <f>MIN(MAX(AA762,0),'Tax Assumptions'!$B$20)</f>
        <v>7500</v>
      </c>
      <c r="AC762" s="230">
        <f t="shared" si="443"/>
        <v>6948426.0168480985</v>
      </c>
      <c r="AD762" s="230">
        <f>MAX(AD761*(1+'Model Inputs'!$B$13)+AC762,0)</f>
        <v>192701489.51776004</v>
      </c>
      <c r="AE762" s="230">
        <f>MAX(AE761*(1+'Model Inputs'!$B$13)+U762+AB762,0)</f>
        <v>1503866.4861722963</v>
      </c>
      <c r="AF762" s="230">
        <f t="shared" si="444"/>
        <v>194205356.00393233</v>
      </c>
      <c r="AG762" s="226" t="str">
        <f t="shared" si="430"/>
        <v/>
      </c>
      <c r="AH762" s="226" t="str">
        <f t="shared" si="431"/>
        <v/>
      </c>
      <c r="AI762" s="226" t="str">
        <f t="shared" si="432"/>
        <v/>
      </c>
      <c r="AJ762" s="226" t="str">
        <f t="shared" si="433"/>
        <v/>
      </c>
    </row>
    <row r="763" spans="1:36" ht="18" customHeight="1" x14ac:dyDescent="0.2">
      <c r="A763" s="226" t="str">
        <f t="shared" si="422"/>
        <v>5Y -&gt; PM Y8 Tail</v>
      </c>
      <c r="B763" s="226">
        <f t="shared" si="423"/>
        <v>5</v>
      </c>
      <c r="C763" s="235">
        <f t="shared" si="424"/>
        <v>3</v>
      </c>
      <c r="D763" s="226">
        <f t="shared" si="425"/>
        <v>8</v>
      </c>
      <c r="E763" s="226" t="str">
        <f t="shared" si="426"/>
        <v>Tail</v>
      </c>
      <c r="F763" s="230">
        <f t="shared" si="427"/>
        <v>100000000</v>
      </c>
      <c r="G763" s="236">
        <f t="shared" si="428"/>
        <v>0.15</v>
      </c>
      <c r="H763" s="230">
        <f t="shared" si="429"/>
        <v>300000</v>
      </c>
      <c r="I763" s="236">
        <f t="shared" si="435"/>
        <v>0</v>
      </c>
      <c r="J763" s="234">
        <v>24</v>
      </c>
      <c r="K763" s="234">
        <f t="shared" si="436"/>
        <v>2049</v>
      </c>
      <c r="L763" s="230">
        <f>IF(J763=1,'Model Inputs'!$B$25*(13-'Model Inputs'!$B$23)/12,'Model Inputs'!$B$25)</f>
        <v>300000</v>
      </c>
      <c r="M763" s="230">
        <f>IF(J763=1,'Model Inputs'!$B$27*(13-'Model Inputs'!$B$23)/12,IF(J763=2,'Model Inputs'!$B$27,IF(J763&lt;=MAX(3,'Model Inputs'!$B$30+1),'Model Inputs'!$B$27*(1+'Model Inputs'!$B$28)^(J763-3),'Model Inputs'!$B$27*(1+'Model Inputs'!$B$28)^(MAX(3,'Model Inputs'!$B$30+1)-3)*(1+'Model Inputs'!$B$29)^(J763-MAX(3,'Model Inputs'!$B$30+1)))))</f>
        <v>90301156.084270701</v>
      </c>
      <c r="N763" s="236">
        <f>IF(J763&lt;=2,0,'Model Inputs'!$B$32*SIN(2*PI()*(J763-3+'Model Inputs'!$B$34)/MAX(1,'Model Inputs'!$B$33)))</f>
        <v>-2.0574066225675533E-16</v>
      </c>
      <c r="O763" s="230">
        <f t="shared" si="437"/>
        <v>90301156.084270686</v>
      </c>
      <c r="P763" s="230">
        <f t="shared" si="434"/>
        <v>63182470.219744325</v>
      </c>
      <c r="Q763" s="230">
        <f>L763+P763+IF(J763=1,'Model Inputs'!$B$26,0)</f>
        <v>63482470.219744325</v>
      </c>
      <c r="R763" s="230">
        <f t="shared" si="438"/>
        <v>190447410.65923297</v>
      </c>
      <c r="S763" s="230">
        <f t="shared" si="439"/>
        <v>15300000</v>
      </c>
      <c r="T763" s="230">
        <f t="shared" si="440"/>
        <v>15300000</v>
      </c>
      <c r="U763" s="230">
        <f>MIN(T763,'Tax Assumptions'!$B$19)</f>
        <v>24500</v>
      </c>
      <c r="V763" s="230">
        <f>MAX(T763-U763-'Tax Assumptions'!$B$8,0)</f>
        <v>15259400</v>
      </c>
      <c r="W763" s="230">
        <f>MAX(T763-U763-'Tax Assumptions'!$B$9,0)</f>
        <v>15267500</v>
      </c>
      <c r="X763" s="230">
        <f>IF(V763=0,0,LOOKUP(V763,'Tax Assumptions'!$F$9:$F$15,'Tax Assumptions'!$I$9:$I$15)+(V763-LOOKUP(V763,'Tax Assumptions'!$F$9:$F$15,'Tax Assumptions'!$F$9:$F$15))*LOOKUP(V763,'Tax Assumptions'!$F$9:$F$15,'Tax Assumptions'!$H$9:$H$15))+MIN(MAX(T763,0),'Tax Assumptions'!$B$11)*'Tax Assumptions'!$B$10+MAX(T763,0)*'Tax Assumptions'!$B$12+MAX(MAX(T763,0)-'Tax Assumptions'!$B$14,0)*'Tax Assumptions'!$B$13+MIN(T763*'Tax Assumptions'!$B$15,'Tax Assumptions'!$B$16)+MIN(T763*'Tax Assumptions'!$B$17,'Tax Assumptions'!$B$18)+IF(W763=0,0,LOOKUP(W763,'Tax Assumptions'!$K$9:$K$17,'Tax Assumptions'!$N$9:$N$17)+(W763-LOOKUP(W763,'Tax Assumptions'!$K$9:$K$17,'Tax Assumptions'!$K$9:$K$17))*LOOKUP(W763,'Tax Assumptions'!$K$9:$K$17,'Tax Assumptions'!$M$9:$M$17))+IF(W763=0,0,LOOKUP(W763,'Tax Assumptions'!$P$9:$P$12,'Tax Assumptions'!$S$9:$S$12)+(W763-LOOKUP(W763,'Tax Assumptions'!$P$9:$P$12,'Tax Assumptions'!$P$9:$P$12))*LOOKUP(W763,'Tax Assumptions'!$P$9:$P$12,'Tax Assumptions'!$R$9:$R$12))</f>
        <v>8070480.54</v>
      </c>
      <c r="Y763" s="230">
        <f t="shared" si="441"/>
        <v>7205019.46</v>
      </c>
      <c r="Z763" s="230">
        <f>IF(J763&lt;=10,INDEX('Savings Projection'!$BL$19:$BL$28,J763),LOOKUP(2,1/('Savings Projection'!$BL$19:$BL$28&lt;&gt;""),'Savings Projection'!$BL$19:$BL$28))*(1+'Model Inputs'!$B$35)^(J763-1)+IF(J763&lt;=10,INDEX('Savings Projection'!$BM$19:$BM$28,J763),LOOKUP(2,1/('Savings Projection'!$BM$19:$BM$28&lt;&gt;""),'Savings Projection'!$BM$19:$BM$28))*(1+'Model Inputs'!$B$36)^(J763-1)</f>
        <v>256566.24644645851</v>
      </c>
      <c r="AA763" s="230">
        <f t="shared" si="442"/>
        <v>6948453.2135535413</v>
      </c>
      <c r="AB763" s="230">
        <f>MIN(MAX(AA763,0),'Tax Assumptions'!$B$20)</f>
        <v>7500</v>
      </c>
      <c r="AC763" s="230">
        <f t="shared" si="443"/>
        <v>6940953.2135535413</v>
      </c>
      <c r="AD763" s="230">
        <f>MAX(AD762*(1+'Model Inputs'!$B$13)+AC763,0)</f>
        <v>211204532.1023792</v>
      </c>
      <c r="AE763" s="230">
        <f>MAX(AE762*(1+'Model Inputs'!$B$13)+U763+AB763,0)</f>
        <v>1626098.4753426341</v>
      </c>
      <c r="AF763" s="230">
        <f t="shared" si="444"/>
        <v>212830630.57772183</v>
      </c>
      <c r="AG763" s="226" t="str">
        <f t="shared" si="430"/>
        <v/>
      </c>
      <c r="AH763" s="226" t="str">
        <f t="shared" si="431"/>
        <v/>
      </c>
      <c r="AI763" s="226" t="str">
        <f t="shared" si="432"/>
        <v/>
      </c>
      <c r="AJ763" s="226" t="str">
        <f t="shared" si="433"/>
        <v/>
      </c>
    </row>
    <row r="764" spans="1:36" ht="18" customHeight="1" x14ac:dyDescent="0.2">
      <c r="A764" s="226" t="str">
        <f t="shared" si="422"/>
        <v>5Y -&gt; PM Y8 Tail</v>
      </c>
      <c r="B764" s="226">
        <f t="shared" si="423"/>
        <v>5</v>
      </c>
      <c r="C764" s="235">
        <f t="shared" si="424"/>
        <v>3</v>
      </c>
      <c r="D764" s="226">
        <f t="shared" si="425"/>
        <v>8</v>
      </c>
      <c r="E764" s="226" t="str">
        <f t="shared" si="426"/>
        <v>Tail</v>
      </c>
      <c r="F764" s="230">
        <f t="shared" si="427"/>
        <v>100000000</v>
      </c>
      <c r="G764" s="236">
        <f t="shared" si="428"/>
        <v>0.15</v>
      </c>
      <c r="H764" s="230">
        <f t="shared" si="429"/>
        <v>300000</v>
      </c>
      <c r="I764" s="236">
        <f t="shared" si="435"/>
        <v>0</v>
      </c>
      <c r="J764" s="234">
        <v>25</v>
      </c>
      <c r="K764" s="234">
        <f t="shared" si="436"/>
        <v>2050</v>
      </c>
      <c r="L764" s="230">
        <f>IF(J764=1,'Model Inputs'!$B$25*(13-'Model Inputs'!$B$23)/12,'Model Inputs'!$B$25)</f>
        <v>300000</v>
      </c>
      <c r="M764" s="230">
        <f>IF(J764=1,'Model Inputs'!$B$27*(13-'Model Inputs'!$B$23)/12,IF(J764=2,'Model Inputs'!$B$27,IF(J764&lt;=MAX(3,'Model Inputs'!$B$30+1),'Model Inputs'!$B$27*(1+'Model Inputs'!$B$28)^(J764-3),'Model Inputs'!$B$27*(1+'Model Inputs'!$B$28)^(MAX(3,'Model Inputs'!$B$30+1)-3)*(1+'Model Inputs'!$B$29)^(J764-MAX(3,'Model Inputs'!$B$30+1)))))</f>
        <v>114761701.62653697</v>
      </c>
      <c r="N764" s="236">
        <f>IF(J764&lt;=2,0,'Model Inputs'!$B$32*SIN(2*PI()*(J764-3+'Model Inputs'!$B$34)/MAX(1,'Model Inputs'!$B$33)))</f>
        <v>0.10392304845413287</v>
      </c>
      <c r="O764" s="230">
        <f t="shared" si="437"/>
        <v>126688087.50535031</v>
      </c>
      <c r="P764" s="230">
        <f t="shared" si="434"/>
        <v>83643370.677900568</v>
      </c>
      <c r="Q764" s="230">
        <f>L764+P764+IF(J764=1,'Model Inputs'!$B$26,0)</f>
        <v>83943370.677900568</v>
      </c>
      <c r="R764" s="230">
        <f t="shared" si="438"/>
        <v>251830112.03370172</v>
      </c>
      <c r="S764" s="230">
        <f t="shared" si="439"/>
        <v>15300000</v>
      </c>
      <c r="T764" s="230">
        <f t="shared" si="440"/>
        <v>15300000</v>
      </c>
      <c r="U764" s="230">
        <f>MIN(T764,'Tax Assumptions'!$B$19)</f>
        <v>24500</v>
      </c>
      <c r="V764" s="230">
        <f>MAX(T764-U764-'Tax Assumptions'!$B$8,0)</f>
        <v>15259400</v>
      </c>
      <c r="W764" s="230">
        <f>MAX(T764-U764-'Tax Assumptions'!$B$9,0)</f>
        <v>15267500</v>
      </c>
      <c r="X764" s="230">
        <f>IF(V764=0,0,LOOKUP(V764,'Tax Assumptions'!$F$9:$F$15,'Tax Assumptions'!$I$9:$I$15)+(V764-LOOKUP(V764,'Tax Assumptions'!$F$9:$F$15,'Tax Assumptions'!$F$9:$F$15))*LOOKUP(V764,'Tax Assumptions'!$F$9:$F$15,'Tax Assumptions'!$H$9:$H$15))+MIN(MAX(T764,0),'Tax Assumptions'!$B$11)*'Tax Assumptions'!$B$10+MAX(T764,0)*'Tax Assumptions'!$B$12+MAX(MAX(T764,0)-'Tax Assumptions'!$B$14,0)*'Tax Assumptions'!$B$13+MIN(T764*'Tax Assumptions'!$B$15,'Tax Assumptions'!$B$16)+MIN(T764*'Tax Assumptions'!$B$17,'Tax Assumptions'!$B$18)+IF(W764=0,0,LOOKUP(W764,'Tax Assumptions'!$K$9:$K$17,'Tax Assumptions'!$N$9:$N$17)+(W764-LOOKUP(W764,'Tax Assumptions'!$K$9:$K$17,'Tax Assumptions'!$K$9:$K$17))*LOOKUP(W764,'Tax Assumptions'!$K$9:$K$17,'Tax Assumptions'!$M$9:$M$17))+IF(W764=0,0,LOOKUP(W764,'Tax Assumptions'!$P$9:$P$12,'Tax Assumptions'!$S$9:$S$12)+(W764-LOOKUP(W764,'Tax Assumptions'!$P$9:$P$12,'Tax Assumptions'!$P$9:$P$12))*LOOKUP(W764,'Tax Assumptions'!$P$9:$P$12,'Tax Assumptions'!$R$9:$R$12))</f>
        <v>8070480.54</v>
      </c>
      <c r="Y764" s="230">
        <f t="shared" si="441"/>
        <v>7205019.46</v>
      </c>
      <c r="Z764" s="230">
        <f>IF(J764&lt;=10,INDEX('Savings Projection'!$BL$19:$BL$28,J764),LOOKUP(2,1/('Savings Projection'!$BL$19:$BL$28&lt;&gt;""),'Savings Projection'!$BL$19:$BL$28))*(1+'Model Inputs'!$B$35)^(J764-1)+IF(J764&lt;=10,INDEX('Savings Projection'!$BM$19:$BM$28,J764),LOOKUP(2,1/('Savings Projection'!$BM$19:$BM$28&lt;&gt;""),'Savings Projection'!$BM$19:$BM$28))*(1+'Model Inputs'!$B$36)^(J764-1)</f>
        <v>264263.23383985227</v>
      </c>
      <c r="AA764" s="230">
        <f t="shared" si="442"/>
        <v>6940756.2261601482</v>
      </c>
      <c r="AB764" s="230">
        <f>MIN(MAX(AA764,0),'Tax Assumptions'!$B$20)</f>
        <v>7500</v>
      </c>
      <c r="AC764" s="230">
        <f t="shared" si="443"/>
        <v>6933256.2261601482</v>
      </c>
      <c r="AD764" s="230">
        <f>MAX(AD763*(1+'Model Inputs'!$B$13)+AC764,0)</f>
        <v>230810060.25468209</v>
      </c>
      <c r="AE764" s="230">
        <f>MAX(AE763*(1+'Model Inputs'!$B$13)+U764+AB764,0)</f>
        <v>1755664.3838631923</v>
      </c>
      <c r="AF764" s="230">
        <f t="shared" si="444"/>
        <v>232565724.63854527</v>
      </c>
      <c r="AG764" s="226" t="str">
        <f t="shared" si="430"/>
        <v/>
      </c>
      <c r="AH764" s="226" t="str">
        <f t="shared" si="431"/>
        <v/>
      </c>
      <c r="AI764" s="226" t="str">
        <f t="shared" si="432"/>
        <v/>
      </c>
      <c r="AJ764" s="226" t="str">
        <f t="shared" si="433"/>
        <v/>
      </c>
    </row>
    <row r="765" spans="1:36" ht="18" customHeight="1" x14ac:dyDescent="0.2">
      <c r="A765" s="226" t="str">
        <f t="shared" si="422"/>
        <v>5Y -&gt; PM Y8 Tail</v>
      </c>
      <c r="B765" s="226">
        <f t="shared" si="423"/>
        <v>5</v>
      </c>
      <c r="C765" s="235">
        <f t="shared" si="424"/>
        <v>3</v>
      </c>
      <c r="D765" s="226">
        <f t="shared" si="425"/>
        <v>8</v>
      </c>
      <c r="E765" s="226" t="str">
        <f t="shared" si="426"/>
        <v>Tail</v>
      </c>
      <c r="F765" s="230">
        <f t="shared" si="427"/>
        <v>100000000</v>
      </c>
      <c r="G765" s="236">
        <f t="shared" si="428"/>
        <v>0.15</v>
      </c>
      <c r="H765" s="230">
        <f t="shared" si="429"/>
        <v>300000</v>
      </c>
      <c r="I765" s="236">
        <f t="shared" si="435"/>
        <v>0</v>
      </c>
      <c r="J765" s="234">
        <v>26</v>
      </c>
      <c r="K765" s="234">
        <f t="shared" si="436"/>
        <v>2051</v>
      </c>
      <c r="L765" s="230">
        <f>IF(J765=1,'Model Inputs'!$B$25*(13-'Model Inputs'!$B$23)/12,'Model Inputs'!$B$25)</f>
        <v>300000</v>
      </c>
      <c r="M765" s="230">
        <f>IF(J765=1,'Model Inputs'!$B$27*(13-'Model Inputs'!$B$23)/12,IF(J765=2,'Model Inputs'!$B$27,IF(J765&lt;=MAX(3,'Model Inputs'!$B$30+1),'Model Inputs'!$B$27*(1+'Model Inputs'!$B$28)^(J765-3),'Model Inputs'!$B$27*(1+'Model Inputs'!$B$28)^(MAX(3,'Model Inputs'!$B$30+1)-3)*(1+'Model Inputs'!$B$29)^(J765-MAX(3,'Model Inputs'!$B$30+1)))))</f>
        <v>145848057.00524563</v>
      </c>
      <c r="N765" s="236">
        <f>IF(J765&lt;=2,0,'Model Inputs'!$B$32*SIN(2*PI()*(J765-3+'Model Inputs'!$B$34)/MAX(1,'Model Inputs'!$B$33)))</f>
        <v>-0.10392304845413224</v>
      </c>
      <c r="O765" s="230">
        <f t="shared" si="437"/>
        <v>130691082.31014845</v>
      </c>
      <c r="P765" s="230">
        <f t="shared" si="434"/>
        <v>117591354.65008041</v>
      </c>
      <c r="Q765" s="230">
        <f>L765+P765+IF(J765=1,'Model Inputs'!$B$26,0)</f>
        <v>117891354.65008041</v>
      </c>
      <c r="R765" s="230">
        <f t="shared" si="438"/>
        <v>353674063.95024121</v>
      </c>
      <c r="S765" s="230">
        <f t="shared" si="439"/>
        <v>15300000</v>
      </c>
      <c r="T765" s="230">
        <f t="shared" si="440"/>
        <v>15300000</v>
      </c>
      <c r="U765" s="230">
        <f>MIN(T765,'Tax Assumptions'!$B$19)</f>
        <v>24500</v>
      </c>
      <c r="V765" s="230">
        <f>MAX(T765-U765-'Tax Assumptions'!$B$8,0)</f>
        <v>15259400</v>
      </c>
      <c r="W765" s="230">
        <f>MAX(T765-U765-'Tax Assumptions'!$B$9,0)</f>
        <v>15267500</v>
      </c>
      <c r="X765" s="230">
        <f>IF(V765=0,0,LOOKUP(V765,'Tax Assumptions'!$F$9:$F$15,'Tax Assumptions'!$I$9:$I$15)+(V765-LOOKUP(V765,'Tax Assumptions'!$F$9:$F$15,'Tax Assumptions'!$F$9:$F$15))*LOOKUP(V765,'Tax Assumptions'!$F$9:$F$15,'Tax Assumptions'!$H$9:$H$15))+MIN(MAX(T765,0),'Tax Assumptions'!$B$11)*'Tax Assumptions'!$B$10+MAX(T765,0)*'Tax Assumptions'!$B$12+MAX(MAX(T765,0)-'Tax Assumptions'!$B$14,0)*'Tax Assumptions'!$B$13+MIN(T765*'Tax Assumptions'!$B$15,'Tax Assumptions'!$B$16)+MIN(T765*'Tax Assumptions'!$B$17,'Tax Assumptions'!$B$18)+IF(W765=0,0,LOOKUP(W765,'Tax Assumptions'!$K$9:$K$17,'Tax Assumptions'!$N$9:$N$17)+(W765-LOOKUP(W765,'Tax Assumptions'!$K$9:$K$17,'Tax Assumptions'!$K$9:$K$17))*LOOKUP(W765,'Tax Assumptions'!$K$9:$K$17,'Tax Assumptions'!$M$9:$M$17))+IF(W765=0,0,LOOKUP(W765,'Tax Assumptions'!$P$9:$P$12,'Tax Assumptions'!$S$9:$S$12)+(W765-LOOKUP(W765,'Tax Assumptions'!$P$9:$P$12,'Tax Assumptions'!$P$9:$P$12))*LOOKUP(W765,'Tax Assumptions'!$P$9:$P$12,'Tax Assumptions'!$R$9:$R$12))</f>
        <v>8070480.54</v>
      </c>
      <c r="Y765" s="230">
        <f t="shared" si="441"/>
        <v>7205019.46</v>
      </c>
      <c r="Z765" s="230">
        <f>IF(J765&lt;=10,INDEX('Savings Projection'!$BL$19:$BL$28,J765),LOOKUP(2,1/('Savings Projection'!$BL$19:$BL$28&lt;&gt;""),'Savings Projection'!$BL$19:$BL$28))*(1+'Model Inputs'!$B$35)^(J765-1)+IF(J765&lt;=10,INDEX('Savings Projection'!$BM$19:$BM$28,J765),LOOKUP(2,1/('Savings Projection'!$BM$19:$BM$28&lt;&gt;""),'Savings Projection'!$BM$19:$BM$28))*(1+'Model Inputs'!$B$36)^(J765-1)</f>
        <v>272191.13085504784</v>
      </c>
      <c r="AA765" s="230">
        <f t="shared" si="442"/>
        <v>6932828.3291449519</v>
      </c>
      <c r="AB765" s="230">
        <f>MIN(MAX(AA765,0),'Tax Assumptions'!$B$20)</f>
        <v>7500</v>
      </c>
      <c r="AC765" s="230">
        <f t="shared" si="443"/>
        <v>6925328.3291449519</v>
      </c>
      <c r="AD765" s="230">
        <f>MAX(AD764*(1+'Model Inputs'!$B$13)+AC765,0)</f>
        <v>251583992.19910797</v>
      </c>
      <c r="AE765" s="230">
        <f>MAX(AE764*(1+'Model Inputs'!$B$13)+U765+AB765,0)</f>
        <v>1893004.2468949838</v>
      </c>
      <c r="AF765" s="230">
        <f t="shared" si="444"/>
        <v>253476996.44600296</v>
      </c>
      <c r="AG765" s="226" t="str">
        <f t="shared" si="430"/>
        <v/>
      </c>
      <c r="AH765" s="226" t="str">
        <f t="shared" si="431"/>
        <v/>
      </c>
      <c r="AI765" s="226" t="str">
        <f t="shared" si="432"/>
        <v/>
      </c>
      <c r="AJ765" s="226" t="str">
        <f t="shared" si="433"/>
        <v/>
      </c>
    </row>
    <row r="766" spans="1:36" ht="18" customHeight="1" x14ac:dyDescent="0.2">
      <c r="A766" s="226" t="str">
        <f t="shared" si="422"/>
        <v>5Y -&gt; PM Y8 Tail</v>
      </c>
      <c r="B766" s="226">
        <f t="shared" si="423"/>
        <v>5</v>
      </c>
      <c r="C766" s="235">
        <f t="shared" si="424"/>
        <v>3</v>
      </c>
      <c r="D766" s="226">
        <f t="shared" si="425"/>
        <v>8</v>
      </c>
      <c r="E766" s="226" t="str">
        <f t="shared" si="426"/>
        <v>Tail</v>
      </c>
      <c r="F766" s="230">
        <f t="shared" si="427"/>
        <v>100000000</v>
      </c>
      <c r="G766" s="236">
        <f t="shared" si="428"/>
        <v>0.15</v>
      </c>
      <c r="H766" s="230">
        <f t="shared" si="429"/>
        <v>300000</v>
      </c>
      <c r="I766" s="236">
        <f t="shared" si="435"/>
        <v>0</v>
      </c>
      <c r="J766" s="234">
        <v>27</v>
      </c>
      <c r="K766" s="234">
        <f t="shared" si="436"/>
        <v>2052</v>
      </c>
      <c r="L766" s="230">
        <f>IF(J766=1,'Model Inputs'!$B$25*(13-'Model Inputs'!$B$23)/12,'Model Inputs'!$B$25)</f>
        <v>300000</v>
      </c>
      <c r="M766" s="230">
        <f>IF(J766=1,'Model Inputs'!$B$27*(13-'Model Inputs'!$B$23)/12,IF(J766=2,'Model Inputs'!$B$27,IF(J766&lt;=MAX(3,'Model Inputs'!$B$30+1),'Model Inputs'!$B$27*(1+'Model Inputs'!$B$28)^(J766-3),'Model Inputs'!$B$27*(1+'Model Inputs'!$B$28)^(MAX(3,'Model Inputs'!$B$30+1)-3)*(1+'Model Inputs'!$B$29)^(J766-MAX(3,'Model Inputs'!$B$30+1)))))</f>
        <v>185355004.59402937</v>
      </c>
      <c r="N766" s="236">
        <f>IF(J766&lt;=2,0,'Model Inputs'!$B$32*SIN(2*PI()*(J766-3+'Model Inputs'!$B$34)/MAX(1,'Model Inputs'!$B$33)))</f>
        <v>-2.3513218543629179E-16</v>
      </c>
      <c r="O766" s="230">
        <f t="shared" si="437"/>
        <v>185355004.59402934</v>
      </c>
      <c r="P766" s="230">
        <f t="shared" si="434"/>
        <v>129690333.6089489</v>
      </c>
      <c r="Q766" s="230">
        <f>L766+P766+IF(J766=1,'Model Inputs'!$B$26,0)</f>
        <v>129990333.6089489</v>
      </c>
      <c r="R766" s="230">
        <f t="shared" si="438"/>
        <v>389971000.82684672</v>
      </c>
      <c r="S766" s="230">
        <f t="shared" si="439"/>
        <v>15300000</v>
      </c>
      <c r="T766" s="230">
        <f t="shared" si="440"/>
        <v>15300000</v>
      </c>
      <c r="U766" s="230">
        <f>MIN(T766,'Tax Assumptions'!$B$19)</f>
        <v>24500</v>
      </c>
      <c r="V766" s="230">
        <f>MAX(T766-U766-'Tax Assumptions'!$B$8,0)</f>
        <v>15259400</v>
      </c>
      <c r="W766" s="230">
        <f>MAX(T766-U766-'Tax Assumptions'!$B$9,0)</f>
        <v>15267500</v>
      </c>
      <c r="X766" s="230">
        <f>IF(V766=0,0,LOOKUP(V766,'Tax Assumptions'!$F$9:$F$15,'Tax Assumptions'!$I$9:$I$15)+(V766-LOOKUP(V766,'Tax Assumptions'!$F$9:$F$15,'Tax Assumptions'!$F$9:$F$15))*LOOKUP(V766,'Tax Assumptions'!$F$9:$F$15,'Tax Assumptions'!$H$9:$H$15))+MIN(MAX(T766,0),'Tax Assumptions'!$B$11)*'Tax Assumptions'!$B$10+MAX(T766,0)*'Tax Assumptions'!$B$12+MAX(MAX(T766,0)-'Tax Assumptions'!$B$14,0)*'Tax Assumptions'!$B$13+MIN(T766*'Tax Assumptions'!$B$15,'Tax Assumptions'!$B$16)+MIN(T766*'Tax Assumptions'!$B$17,'Tax Assumptions'!$B$18)+IF(W766=0,0,LOOKUP(W766,'Tax Assumptions'!$K$9:$K$17,'Tax Assumptions'!$N$9:$N$17)+(W766-LOOKUP(W766,'Tax Assumptions'!$K$9:$K$17,'Tax Assumptions'!$K$9:$K$17))*LOOKUP(W766,'Tax Assumptions'!$K$9:$K$17,'Tax Assumptions'!$M$9:$M$17))+IF(W766=0,0,LOOKUP(W766,'Tax Assumptions'!$P$9:$P$12,'Tax Assumptions'!$S$9:$S$12)+(W766-LOOKUP(W766,'Tax Assumptions'!$P$9:$P$12,'Tax Assumptions'!$P$9:$P$12))*LOOKUP(W766,'Tax Assumptions'!$P$9:$P$12,'Tax Assumptions'!$R$9:$R$12))</f>
        <v>8070480.54</v>
      </c>
      <c r="Y766" s="230">
        <f t="shared" si="441"/>
        <v>7205019.46</v>
      </c>
      <c r="Z766" s="230">
        <f>IF(J766&lt;=10,INDEX('Savings Projection'!$BL$19:$BL$28,J766),LOOKUP(2,1/('Savings Projection'!$BL$19:$BL$28&lt;&gt;""),'Savings Projection'!$BL$19:$BL$28))*(1+'Model Inputs'!$B$35)^(J766-1)+IF(J766&lt;=10,INDEX('Savings Projection'!$BM$19:$BM$28,J766),LOOKUP(2,1/('Savings Projection'!$BM$19:$BM$28&lt;&gt;""),'Savings Projection'!$BM$19:$BM$28))*(1+'Model Inputs'!$B$36)^(J766-1)</f>
        <v>280356.86478069925</v>
      </c>
      <c r="AA766" s="230">
        <f t="shared" si="442"/>
        <v>6924662.5952193011</v>
      </c>
      <c r="AB766" s="230">
        <f>MIN(MAX(AA766,0),'Tax Assumptions'!$B$20)</f>
        <v>7500</v>
      </c>
      <c r="AC766" s="230">
        <f t="shared" si="443"/>
        <v>6917162.5952193011</v>
      </c>
      <c r="AD766" s="230">
        <f>MAX(AD765*(1+'Model Inputs'!$B$13)+AC766,0)</f>
        <v>273596194.32627374</v>
      </c>
      <c r="AE766" s="230">
        <f>MAX(AE765*(1+'Model Inputs'!$B$13)+U766+AB766,0)</f>
        <v>2038584.5017086829</v>
      </c>
      <c r="AF766" s="230">
        <f t="shared" si="444"/>
        <v>275634778.82798243</v>
      </c>
      <c r="AG766" s="226" t="str">
        <f t="shared" si="430"/>
        <v/>
      </c>
      <c r="AH766" s="226" t="str">
        <f t="shared" si="431"/>
        <v/>
      </c>
      <c r="AI766" s="226" t="str">
        <f t="shared" si="432"/>
        <v/>
      </c>
      <c r="AJ766" s="226" t="str">
        <f t="shared" si="433"/>
        <v/>
      </c>
    </row>
    <row r="767" spans="1:36" ht="18" customHeight="1" x14ac:dyDescent="0.2">
      <c r="A767" s="226" t="str">
        <f t="shared" si="422"/>
        <v>5Y -&gt; PM Y8 Tail</v>
      </c>
      <c r="B767" s="226">
        <f t="shared" si="423"/>
        <v>5</v>
      </c>
      <c r="C767" s="235">
        <f t="shared" si="424"/>
        <v>3</v>
      </c>
      <c r="D767" s="226">
        <f t="shared" si="425"/>
        <v>8</v>
      </c>
      <c r="E767" s="226" t="str">
        <f t="shared" si="426"/>
        <v>Tail</v>
      </c>
      <c r="F767" s="230">
        <f t="shared" si="427"/>
        <v>100000000</v>
      </c>
      <c r="G767" s="236">
        <f t="shared" si="428"/>
        <v>0.15</v>
      </c>
      <c r="H767" s="230">
        <f t="shared" si="429"/>
        <v>300000</v>
      </c>
      <c r="I767" s="236">
        <f t="shared" si="435"/>
        <v>0</v>
      </c>
      <c r="J767" s="234">
        <v>28</v>
      </c>
      <c r="K767" s="234">
        <f t="shared" si="436"/>
        <v>2053</v>
      </c>
      <c r="L767" s="230">
        <f>IF(J767=1,'Model Inputs'!$B$25*(13-'Model Inputs'!$B$23)/12,'Model Inputs'!$B$25)</f>
        <v>300000</v>
      </c>
      <c r="M767" s="230">
        <f>IF(J767=1,'Model Inputs'!$B$27*(13-'Model Inputs'!$B$23)/12,IF(J767=2,'Model Inputs'!$B$27,IF(J767&lt;=MAX(3,'Model Inputs'!$B$30+1),'Model Inputs'!$B$27*(1+'Model Inputs'!$B$28)^(J767-3),'Model Inputs'!$B$27*(1+'Model Inputs'!$B$28)^(MAX(3,'Model Inputs'!$B$30+1)-3)*(1+'Model Inputs'!$B$29)^(J767-MAX(3,'Model Inputs'!$B$30+1)))))</f>
        <v>235563492.81236541</v>
      </c>
      <c r="N767" s="236">
        <f>IF(J767&lt;=2,0,'Model Inputs'!$B$32*SIN(2*PI()*(J767-3+'Model Inputs'!$B$34)/MAX(1,'Model Inputs'!$B$33)))</f>
        <v>0.10392304845413247</v>
      </c>
      <c r="O767" s="230">
        <f t="shared" si="437"/>
        <v>260043969.08992955</v>
      </c>
      <c r="P767" s="230">
        <f t="shared" si="434"/>
        <v>171689024.02305913</v>
      </c>
      <c r="Q767" s="230">
        <f>L767+P767+IF(J767=1,'Model Inputs'!$B$26,0)</f>
        <v>171989024.02305913</v>
      </c>
      <c r="R767" s="230">
        <f t="shared" si="438"/>
        <v>515967072.06917739</v>
      </c>
      <c r="S767" s="230">
        <f t="shared" si="439"/>
        <v>15300000</v>
      </c>
      <c r="T767" s="230">
        <f t="shared" si="440"/>
        <v>15300000</v>
      </c>
      <c r="U767" s="230">
        <f>MIN(T767,'Tax Assumptions'!$B$19)</f>
        <v>24500</v>
      </c>
      <c r="V767" s="230">
        <f>MAX(T767-U767-'Tax Assumptions'!$B$8,0)</f>
        <v>15259400</v>
      </c>
      <c r="W767" s="230">
        <f>MAX(T767-U767-'Tax Assumptions'!$B$9,0)</f>
        <v>15267500</v>
      </c>
      <c r="X767" s="230">
        <f>IF(V767=0,0,LOOKUP(V767,'Tax Assumptions'!$F$9:$F$15,'Tax Assumptions'!$I$9:$I$15)+(V767-LOOKUP(V767,'Tax Assumptions'!$F$9:$F$15,'Tax Assumptions'!$F$9:$F$15))*LOOKUP(V767,'Tax Assumptions'!$F$9:$F$15,'Tax Assumptions'!$H$9:$H$15))+MIN(MAX(T767,0),'Tax Assumptions'!$B$11)*'Tax Assumptions'!$B$10+MAX(T767,0)*'Tax Assumptions'!$B$12+MAX(MAX(T767,0)-'Tax Assumptions'!$B$14,0)*'Tax Assumptions'!$B$13+MIN(T767*'Tax Assumptions'!$B$15,'Tax Assumptions'!$B$16)+MIN(T767*'Tax Assumptions'!$B$17,'Tax Assumptions'!$B$18)+IF(W767=0,0,LOOKUP(W767,'Tax Assumptions'!$K$9:$K$17,'Tax Assumptions'!$N$9:$N$17)+(W767-LOOKUP(W767,'Tax Assumptions'!$K$9:$K$17,'Tax Assumptions'!$K$9:$K$17))*LOOKUP(W767,'Tax Assumptions'!$K$9:$K$17,'Tax Assumptions'!$M$9:$M$17))+IF(W767=0,0,LOOKUP(W767,'Tax Assumptions'!$P$9:$P$12,'Tax Assumptions'!$S$9:$S$12)+(W767-LOOKUP(W767,'Tax Assumptions'!$P$9:$P$12,'Tax Assumptions'!$P$9:$P$12))*LOOKUP(W767,'Tax Assumptions'!$P$9:$P$12,'Tax Assumptions'!$R$9:$R$12))</f>
        <v>8070480.54</v>
      </c>
      <c r="Y767" s="230">
        <f t="shared" si="441"/>
        <v>7205019.46</v>
      </c>
      <c r="Z767" s="230">
        <f>IF(J767&lt;=10,INDEX('Savings Projection'!$BL$19:$BL$28,J767),LOOKUP(2,1/('Savings Projection'!$BL$19:$BL$28&lt;&gt;""),'Savings Projection'!$BL$19:$BL$28))*(1+'Model Inputs'!$B$35)^(J767-1)+IF(J767&lt;=10,INDEX('Savings Projection'!$BM$19:$BM$28,J767),LOOKUP(2,1/('Savings Projection'!$BM$19:$BM$28&lt;&gt;""),'Savings Projection'!$BM$19:$BM$28))*(1+'Model Inputs'!$B$36)^(J767-1)</f>
        <v>288767.57072412025</v>
      </c>
      <c r="AA767" s="230">
        <f t="shared" si="442"/>
        <v>6916251.8892758796</v>
      </c>
      <c r="AB767" s="230">
        <f>MIN(MAX(AA767,0),'Tax Assumptions'!$B$20)</f>
        <v>7500</v>
      </c>
      <c r="AC767" s="230">
        <f t="shared" si="443"/>
        <v>6908751.8892758796</v>
      </c>
      <c r="AD767" s="230">
        <f>MAX(AD766*(1+'Model Inputs'!$B$13)+AC767,0)</f>
        <v>296920717.87512606</v>
      </c>
      <c r="AE767" s="230">
        <f>MAX(AE766*(1+'Model Inputs'!$B$13)+U767+AB767,0)</f>
        <v>2192899.5718112038</v>
      </c>
      <c r="AF767" s="230">
        <f t="shared" si="444"/>
        <v>299113617.44693726</v>
      </c>
      <c r="AG767" s="226" t="str">
        <f t="shared" si="430"/>
        <v/>
      </c>
      <c r="AH767" s="226" t="str">
        <f t="shared" si="431"/>
        <v/>
      </c>
      <c r="AI767" s="226" t="str">
        <f t="shared" si="432"/>
        <v/>
      </c>
      <c r="AJ767" s="226" t="str">
        <f t="shared" si="433"/>
        <v/>
      </c>
    </row>
    <row r="768" spans="1:36" ht="18" customHeight="1" x14ac:dyDescent="0.2">
      <c r="A768" s="226" t="str">
        <f t="shared" si="422"/>
        <v>5Y -&gt; PM Y8 Tail</v>
      </c>
      <c r="B768" s="226">
        <f t="shared" si="423"/>
        <v>5</v>
      </c>
      <c r="C768" s="235">
        <f t="shared" si="424"/>
        <v>3</v>
      </c>
      <c r="D768" s="226">
        <f t="shared" si="425"/>
        <v>8</v>
      </c>
      <c r="E768" s="226" t="str">
        <f t="shared" si="426"/>
        <v>Tail</v>
      </c>
      <c r="F768" s="230">
        <f t="shared" si="427"/>
        <v>100000000</v>
      </c>
      <c r="G768" s="236">
        <f t="shared" si="428"/>
        <v>0.15</v>
      </c>
      <c r="H768" s="230">
        <f t="shared" si="429"/>
        <v>300000</v>
      </c>
      <c r="I768" s="236">
        <f t="shared" si="435"/>
        <v>0</v>
      </c>
      <c r="J768" s="234">
        <v>29</v>
      </c>
      <c r="K768" s="234">
        <f t="shared" si="436"/>
        <v>2054</v>
      </c>
      <c r="L768" s="230">
        <f>IF(J768=1,'Model Inputs'!$B$25*(13-'Model Inputs'!$B$23)/12,'Model Inputs'!$B$25)</f>
        <v>300000</v>
      </c>
      <c r="M768" s="230">
        <f>IF(J768=1,'Model Inputs'!$B$27*(13-'Model Inputs'!$B$23)/12,IF(J768=2,'Model Inputs'!$B$27,IF(J768&lt;=MAX(3,'Model Inputs'!$B$30+1),'Model Inputs'!$B$27*(1+'Model Inputs'!$B$28)^(J768-3),'Model Inputs'!$B$27*(1+'Model Inputs'!$B$28)^(MAX(3,'Model Inputs'!$B$30+1)-3)*(1+'Model Inputs'!$B$29)^(J768-MAX(3,'Model Inputs'!$B$30+1)))))</f>
        <v>299372327.53708321</v>
      </c>
      <c r="N768" s="236">
        <f>IF(J768&lt;=2,0,'Model Inputs'!$B$32*SIN(2*PI()*(J768-3+'Model Inputs'!$B$34)/MAX(1,'Model Inputs'!$B$33)))</f>
        <v>-0.10392304845413265</v>
      </c>
      <c r="O768" s="230">
        <f t="shared" si="437"/>
        <v>268260642.63662043</v>
      </c>
      <c r="P768" s="230">
        <f t="shared" si="434"/>
        <v>241371727.96595448</v>
      </c>
      <c r="Q768" s="230">
        <f>L768+P768+IF(J768=1,'Model Inputs'!$B$26,0)</f>
        <v>241671727.96595448</v>
      </c>
      <c r="R768" s="230">
        <f t="shared" si="438"/>
        <v>725015183.89786339</v>
      </c>
      <c r="S768" s="230">
        <f t="shared" si="439"/>
        <v>15300000</v>
      </c>
      <c r="T768" s="230">
        <f t="shared" si="440"/>
        <v>15300000</v>
      </c>
      <c r="U768" s="230">
        <f>MIN(T768,'Tax Assumptions'!$B$19)</f>
        <v>24500</v>
      </c>
      <c r="V768" s="230">
        <f>MAX(T768-U768-'Tax Assumptions'!$B$8,0)</f>
        <v>15259400</v>
      </c>
      <c r="W768" s="230">
        <f>MAX(T768-U768-'Tax Assumptions'!$B$9,0)</f>
        <v>15267500</v>
      </c>
      <c r="X768" s="230">
        <f>IF(V768=0,0,LOOKUP(V768,'Tax Assumptions'!$F$9:$F$15,'Tax Assumptions'!$I$9:$I$15)+(V768-LOOKUP(V768,'Tax Assumptions'!$F$9:$F$15,'Tax Assumptions'!$F$9:$F$15))*LOOKUP(V768,'Tax Assumptions'!$F$9:$F$15,'Tax Assumptions'!$H$9:$H$15))+MIN(MAX(T768,0),'Tax Assumptions'!$B$11)*'Tax Assumptions'!$B$10+MAX(T768,0)*'Tax Assumptions'!$B$12+MAX(MAX(T768,0)-'Tax Assumptions'!$B$14,0)*'Tax Assumptions'!$B$13+MIN(T768*'Tax Assumptions'!$B$15,'Tax Assumptions'!$B$16)+MIN(T768*'Tax Assumptions'!$B$17,'Tax Assumptions'!$B$18)+IF(W768=0,0,LOOKUP(W768,'Tax Assumptions'!$K$9:$K$17,'Tax Assumptions'!$N$9:$N$17)+(W768-LOOKUP(W768,'Tax Assumptions'!$K$9:$K$17,'Tax Assumptions'!$K$9:$K$17))*LOOKUP(W768,'Tax Assumptions'!$K$9:$K$17,'Tax Assumptions'!$M$9:$M$17))+IF(W768=0,0,LOOKUP(W768,'Tax Assumptions'!$P$9:$P$12,'Tax Assumptions'!$S$9:$S$12)+(W768-LOOKUP(W768,'Tax Assumptions'!$P$9:$P$12,'Tax Assumptions'!$P$9:$P$12))*LOOKUP(W768,'Tax Assumptions'!$P$9:$P$12,'Tax Assumptions'!$R$9:$R$12))</f>
        <v>8070480.54</v>
      </c>
      <c r="Y768" s="230">
        <f t="shared" si="441"/>
        <v>7205019.46</v>
      </c>
      <c r="Z768" s="230">
        <f>IF(J768&lt;=10,INDEX('Savings Projection'!$BL$19:$BL$28,J768),LOOKUP(2,1/('Savings Projection'!$BL$19:$BL$28&lt;&gt;""),'Savings Projection'!$BL$19:$BL$28))*(1+'Model Inputs'!$B$35)^(J768-1)+IF(J768&lt;=10,INDEX('Savings Projection'!$BM$19:$BM$28,J768),LOOKUP(2,1/('Savings Projection'!$BM$19:$BM$28&lt;&gt;""),'Savings Projection'!$BM$19:$BM$28))*(1+'Model Inputs'!$B$36)^(J768-1)</f>
        <v>297430.59784584382</v>
      </c>
      <c r="AA768" s="230">
        <f t="shared" si="442"/>
        <v>6907588.862154156</v>
      </c>
      <c r="AB768" s="230">
        <f>MIN(MAX(AA768,0),'Tax Assumptions'!$B$20)</f>
        <v>7500</v>
      </c>
      <c r="AC768" s="230">
        <f t="shared" si="443"/>
        <v>6900088.862154156</v>
      </c>
      <c r="AD768" s="230">
        <f>MAX(AD767*(1+'Model Inputs'!$B$13)+AC768,0)</f>
        <v>321636049.80978775</v>
      </c>
      <c r="AE768" s="230">
        <f>MAX(AE767*(1+'Model Inputs'!$B$13)+U768+AB768,0)</f>
        <v>2356473.5461198762</v>
      </c>
      <c r="AF768" s="230">
        <f t="shared" si="444"/>
        <v>323992523.35590762</v>
      </c>
      <c r="AG768" s="226" t="str">
        <f t="shared" si="430"/>
        <v/>
      </c>
      <c r="AH768" s="226" t="str">
        <f t="shared" si="431"/>
        <v/>
      </c>
      <c r="AI768" s="226" t="str">
        <f t="shared" si="432"/>
        <v/>
      </c>
      <c r="AJ768" s="226" t="str">
        <f t="shared" si="433"/>
        <v/>
      </c>
    </row>
    <row r="769" spans="1:36" ht="18" customHeight="1" x14ac:dyDescent="0.2">
      <c r="A769" s="226" t="str">
        <f t="shared" si="422"/>
        <v>5Y -&gt; PM Y8 Tail</v>
      </c>
      <c r="B769" s="226">
        <f t="shared" si="423"/>
        <v>5</v>
      </c>
      <c r="C769" s="235">
        <f t="shared" si="424"/>
        <v>3</v>
      </c>
      <c r="D769" s="226">
        <f t="shared" si="425"/>
        <v>8</v>
      </c>
      <c r="E769" s="226" t="str">
        <f t="shared" si="426"/>
        <v>Tail</v>
      </c>
      <c r="F769" s="230">
        <f t="shared" si="427"/>
        <v>100000000</v>
      </c>
      <c r="G769" s="236">
        <f t="shared" si="428"/>
        <v>0.15</v>
      </c>
      <c r="H769" s="230">
        <f t="shared" si="429"/>
        <v>300000</v>
      </c>
      <c r="I769" s="236">
        <f t="shared" si="435"/>
        <v>0</v>
      </c>
      <c r="J769" s="234">
        <v>30</v>
      </c>
      <c r="K769" s="234">
        <f t="shared" si="436"/>
        <v>2055</v>
      </c>
      <c r="L769" s="230">
        <f>IF(J769=1,'Model Inputs'!$B$25*(13-'Model Inputs'!$B$23)/12,'Model Inputs'!$B$25)</f>
        <v>300000</v>
      </c>
      <c r="M769" s="230">
        <f>IF(J769=1,'Model Inputs'!$B$27*(13-'Model Inputs'!$B$23)/12,IF(J769=2,'Model Inputs'!$B$27,IF(J769&lt;=MAX(3,'Model Inputs'!$B$30+1),'Model Inputs'!$B$27*(1+'Model Inputs'!$B$28)^(J769-3),'Model Inputs'!$B$27*(1+'Model Inputs'!$B$28)^(MAX(3,'Model Inputs'!$B$30+1)-3)*(1+'Model Inputs'!$B$29)^(J769-MAX(3,'Model Inputs'!$B$30+1)))))</f>
        <v>380465535.74563926</v>
      </c>
      <c r="N769" s="236">
        <f>IF(J769&lt;=2,0,'Model Inputs'!$B$32*SIN(2*PI()*(J769-3+'Model Inputs'!$B$34)/MAX(1,'Model Inputs'!$B$33)))</f>
        <v>-2.645237086158283E-16</v>
      </c>
      <c r="O769" s="230">
        <f t="shared" si="437"/>
        <v>380465535.7456392</v>
      </c>
      <c r="P769" s="230">
        <f t="shared" si="434"/>
        <v>266206474.24994773</v>
      </c>
      <c r="Q769" s="230">
        <f>L769+P769+IF(J769=1,'Model Inputs'!$B$26,0)</f>
        <v>266506474.24994773</v>
      </c>
      <c r="R769" s="230">
        <f t="shared" si="438"/>
        <v>799519422.74984312</v>
      </c>
      <c r="S769" s="230">
        <f t="shared" si="439"/>
        <v>15300000</v>
      </c>
      <c r="T769" s="230">
        <f t="shared" si="440"/>
        <v>15300000</v>
      </c>
      <c r="U769" s="230">
        <f>MIN(T769,'Tax Assumptions'!$B$19)</f>
        <v>24500</v>
      </c>
      <c r="V769" s="230">
        <f>MAX(T769-U769-'Tax Assumptions'!$B$8,0)</f>
        <v>15259400</v>
      </c>
      <c r="W769" s="230">
        <f>MAX(T769-U769-'Tax Assumptions'!$B$9,0)</f>
        <v>15267500</v>
      </c>
      <c r="X769" s="230">
        <f>IF(V769=0,0,LOOKUP(V769,'Tax Assumptions'!$F$9:$F$15,'Tax Assumptions'!$I$9:$I$15)+(V769-LOOKUP(V769,'Tax Assumptions'!$F$9:$F$15,'Tax Assumptions'!$F$9:$F$15))*LOOKUP(V769,'Tax Assumptions'!$F$9:$F$15,'Tax Assumptions'!$H$9:$H$15))+MIN(MAX(T769,0),'Tax Assumptions'!$B$11)*'Tax Assumptions'!$B$10+MAX(T769,0)*'Tax Assumptions'!$B$12+MAX(MAX(T769,0)-'Tax Assumptions'!$B$14,0)*'Tax Assumptions'!$B$13+MIN(T769*'Tax Assumptions'!$B$15,'Tax Assumptions'!$B$16)+MIN(T769*'Tax Assumptions'!$B$17,'Tax Assumptions'!$B$18)+IF(W769=0,0,LOOKUP(W769,'Tax Assumptions'!$K$9:$K$17,'Tax Assumptions'!$N$9:$N$17)+(W769-LOOKUP(W769,'Tax Assumptions'!$K$9:$K$17,'Tax Assumptions'!$K$9:$K$17))*LOOKUP(W769,'Tax Assumptions'!$K$9:$K$17,'Tax Assumptions'!$M$9:$M$17))+IF(W769=0,0,LOOKUP(W769,'Tax Assumptions'!$P$9:$P$12,'Tax Assumptions'!$S$9:$S$12)+(W769-LOOKUP(W769,'Tax Assumptions'!$P$9:$P$12,'Tax Assumptions'!$P$9:$P$12))*LOOKUP(W769,'Tax Assumptions'!$P$9:$P$12,'Tax Assumptions'!$R$9:$R$12))</f>
        <v>8070480.54</v>
      </c>
      <c r="Y769" s="230">
        <f t="shared" si="441"/>
        <v>7205019.46</v>
      </c>
      <c r="Z769" s="230">
        <f>IF(J769&lt;=10,INDEX('Savings Projection'!$BL$19:$BL$28,J769),LOOKUP(2,1/('Savings Projection'!$BL$19:$BL$28&lt;&gt;""),'Savings Projection'!$BL$19:$BL$28))*(1+'Model Inputs'!$B$35)^(J769-1)+IF(J769&lt;=10,INDEX('Savings Projection'!$BM$19:$BM$28,J769),LOOKUP(2,1/('Savings Projection'!$BM$19:$BM$28&lt;&gt;""),'Savings Projection'!$BM$19:$BM$28))*(1+'Model Inputs'!$B$36)^(J769-1)</f>
        <v>306353.51578121912</v>
      </c>
      <c r="AA769" s="230">
        <f t="shared" si="442"/>
        <v>6898665.9442187808</v>
      </c>
      <c r="AB769" s="230">
        <f>MIN(MAX(AA769,0),'Tax Assumptions'!$B$20)</f>
        <v>7500</v>
      </c>
      <c r="AC769" s="230">
        <f t="shared" si="443"/>
        <v>6891165.9442187808</v>
      </c>
      <c r="AD769" s="230">
        <f>MAX(AD768*(1+'Model Inputs'!$B$13)+AC769,0)</f>
        <v>347825378.74259377</v>
      </c>
      <c r="AE769" s="230">
        <f>MAX(AE768*(1+'Model Inputs'!$B$13)+U769+AB769,0)</f>
        <v>2529861.958887069</v>
      </c>
      <c r="AF769" s="230">
        <f t="shared" si="444"/>
        <v>350355240.70148081</v>
      </c>
      <c r="AG769" s="226" t="str">
        <f t="shared" si="430"/>
        <v/>
      </c>
      <c r="AH769" s="226" t="str">
        <f t="shared" si="431"/>
        <v/>
      </c>
      <c r="AI769" s="226" t="str">
        <f t="shared" si="432"/>
        <v/>
      </c>
      <c r="AJ769" s="226" t="str">
        <f t="shared" si="433"/>
        <v/>
      </c>
    </row>
  </sheetData>
  <mergeCells count="13">
    <mergeCell ref="A48:AF48"/>
    <mergeCell ref="B10:U10"/>
    <mergeCell ref="A1:U1"/>
    <mergeCell ref="B5:U5"/>
    <mergeCell ref="A49:AF49"/>
    <mergeCell ref="A4:U4"/>
    <mergeCell ref="B8:U8"/>
    <mergeCell ref="A20:U20"/>
    <mergeCell ref="A2:U2"/>
    <mergeCell ref="B9:U9"/>
    <mergeCell ref="A12:G12"/>
    <mergeCell ref="B7:U7"/>
    <mergeCell ref="B6:U6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834A"/>
  </sheetPr>
  <dimension ref="A1:S27"/>
  <sheetViews>
    <sheetView showGridLines="0" zoomScale="95" workbookViewId="0">
      <pane ySplit="6" topLeftCell="A7" activePane="bottomLeft" state="frozen"/>
      <selection pane="bottomLeft" activeCell="F60" sqref="F60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4" width="12" customWidth="1"/>
    <col min="6" max="7" width="16" customWidth="1"/>
    <col min="8" max="8" width="12" customWidth="1"/>
    <col min="9" max="9" width="14" customWidth="1"/>
    <col min="11" max="12" width="16" customWidth="1"/>
    <col min="13" max="13" width="12" customWidth="1"/>
    <col min="14" max="14" width="14" customWidth="1"/>
    <col min="16" max="17" width="16" customWidth="1"/>
    <col min="18" max="18" width="12" customWidth="1"/>
    <col min="19" max="19" width="14" customWidth="1"/>
  </cols>
  <sheetData>
    <row r="1" spans="1:19" ht="27" customHeight="1" x14ac:dyDescent="0.2">
      <c r="A1" s="332" t="s">
        <v>427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</row>
    <row r="2" spans="1:19" ht="20" customHeight="1" x14ac:dyDescent="0.2">
      <c r="A2" s="330" t="s">
        <v>428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</row>
    <row r="3" spans="1:19" ht="20" customHeight="1" x14ac:dyDescent="0.2">
      <c r="A3" s="330" t="s">
        <v>429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</row>
    <row r="4" spans="1:19" ht="20" customHeight="1" x14ac:dyDescent="0.2">
      <c r="A4" s="330" t="s">
        <v>430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</row>
    <row r="5" spans="1:19" ht="20" customHeight="1" x14ac:dyDescent="0.2">
      <c r="A5" s="330" t="s">
        <v>431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</row>
    <row r="7" spans="1:19" x14ac:dyDescent="0.2">
      <c r="A7" s="34" t="s">
        <v>432</v>
      </c>
      <c r="B7" s="1"/>
      <c r="C7" s="1"/>
      <c r="D7" s="2"/>
      <c r="F7" s="331" t="s">
        <v>433</v>
      </c>
      <c r="G7" s="250"/>
      <c r="H7" s="250"/>
      <c r="I7" s="251"/>
      <c r="K7" s="334" t="s">
        <v>434</v>
      </c>
      <c r="L7" s="250"/>
      <c r="M7" s="250"/>
      <c r="N7" s="251"/>
      <c r="P7" s="333" t="s">
        <v>435</v>
      </c>
      <c r="Q7" s="250"/>
      <c r="R7" s="250"/>
      <c r="S7" s="251"/>
    </row>
    <row r="8" spans="1:19" x14ac:dyDescent="0.2">
      <c r="A8" s="57" t="s">
        <v>436</v>
      </c>
      <c r="B8" s="180">
        <v>16100</v>
      </c>
      <c r="C8" s="6"/>
      <c r="D8" s="12"/>
      <c r="F8" s="79" t="s">
        <v>437</v>
      </c>
      <c r="G8" s="81" t="s">
        <v>438</v>
      </c>
      <c r="H8" s="81" t="s">
        <v>439</v>
      </c>
      <c r="I8" s="181" t="s">
        <v>440</v>
      </c>
      <c r="K8" s="79" t="s">
        <v>437</v>
      </c>
      <c r="L8" s="81" t="s">
        <v>438</v>
      </c>
      <c r="M8" s="81" t="s">
        <v>439</v>
      </c>
      <c r="N8" s="181" t="s">
        <v>440</v>
      </c>
      <c r="P8" s="79" t="s">
        <v>437</v>
      </c>
      <c r="Q8" s="81" t="s">
        <v>438</v>
      </c>
      <c r="R8" s="81" t="s">
        <v>439</v>
      </c>
      <c r="S8" s="181" t="s">
        <v>440</v>
      </c>
    </row>
    <row r="9" spans="1:19" x14ac:dyDescent="0.2">
      <c r="A9" s="57" t="s">
        <v>441</v>
      </c>
      <c r="B9" s="180">
        <v>8000</v>
      </c>
      <c r="C9" s="6"/>
      <c r="D9" s="12"/>
      <c r="F9" s="182">
        <v>0</v>
      </c>
      <c r="G9" s="180">
        <v>12400</v>
      </c>
      <c r="H9" s="183">
        <v>0.1</v>
      </c>
      <c r="I9" s="184">
        <v>0</v>
      </c>
      <c r="K9" s="182">
        <v>0</v>
      </c>
      <c r="L9" s="180">
        <v>8500</v>
      </c>
      <c r="M9" s="183">
        <v>3.9E-2</v>
      </c>
      <c r="N9" s="184">
        <v>0</v>
      </c>
      <c r="P9" s="182">
        <v>0</v>
      </c>
      <c r="Q9" s="180">
        <v>12000</v>
      </c>
      <c r="R9" s="183">
        <v>3.0779999999999998E-2</v>
      </c>
      <c r="S9" s="184">
        <v>0</v>
      </c>
    </row>
    <row r="10" spans="1:19" x14ac:dyDescent="0.2">
      <c r="A10" s="57" t="s">
        <v>442</v>
      </c>
      <c r="B10" s="185">
        <v>6.2E-2</v>
      </c>
      <c r="C10" s="6"/>
      <c r="D10" s="12"/>
      <c r="F10" s="186">
        <v>12400</v>
      </c>
      <c r="G10" s="101">
        <v>50400</v>
      </c>
      <c r="H10" s="187">
        <v>0.12</v>
      </c>
      <c r="I10" s="188">
        <v>1240</v>
      </c>
      <c r="K10" s="186">
        <v>8500</v>
      </c>
      <c r="L10" s="101">
        <v>11700</v>
      </c>
      <c r="M10" s="187">
        <v>4.3999999999999997E-2</v>
      </c>
      <c r="N10" s="188">
        <v>332</v>
      </c>
      <c r="P10" s="186">
        <v>12000</v>
      </c>
      <c r="Q10" s="101">
        <v>25000</v>
      </c>
      <c r="R10" s="187">
        <v>3.7620000000000001E-2</v>
      </c>
      <c r="S10" s="188">
        <v>369.36</v>
      </c>
    </row>
    <row r="11" spans="1:19" x14ac:dyDescent="0.2">
      <c r="A11" s="57" t="s">
        <v>443</v>
      </c>
      <c r="B11" s="180">
        <v>184500</v>
      </c>
      <c r="C11" s="6"/>
      <c r="D11" s="12"/>
      <c r="F11" s="182">
        <v>50400</v>
      </c>
      <c r="G11" s="180">
        <v>105700</v>
      </c>
      <c r="H11" s="183">
        <v>0.22</v>
      </c>
      <c r="I11" s="184">
        <v>5800</v>
      </c>
      <c r="K11" s="182">
        <v>11700</v>
      </c>
      <c r="L11" s="180">
        <v>13900</v>
      </c>
      <c r="M11" s="183">
        <v>5.1499999999999997E-2</v>
      </c>
      <c r="N11" s="184">
        <v>472.8</v>
      </c>
      <c r="P11" s="182">
        <v>25000</v>
      </c>
      <c r="Q11" s="180">
        <v>50000</v>
      </c>
      <c r="R11" s="183">
        <v>3.8190000000000002E-2</v>
      </c>
      <c r="S11" s="184">
        <v>858.42</v>
      </c>
    </row>
    <row r="12" spans="1:19" x14ac:dyDescent="0.2">
      <c r="A12" s="57" t="s">
        <v>444</v>
      </c>
      <c r="B12" s="183">
        <v>1.4500000000000001E-2</v>
      </c>
      <c r="C12" s="6"/>
      <c r="D12" s="12"/>
      <c r="F12" s="186">
        <v>105700</v>
      </c>
      <c r="G12" s="101">
        <v>201775</v>
      </c>
      <c r="H12" s="187">
        <v>0.24</v>
      </c>
      <c r="I12" s="188">
        <v>17966</v>
      </c>
      <c r="K12" s="186">
        <v>13900</v>
      </c>
      <c r="L12" s="101">
        <v>80650</v>
      </c>
      <c r="M12" s="187">
        <v>5.3999999999999999E-2</v>
      </c>
      <c r="N12" s="188">
        <v>586.1</v>
      </c>
      <c r="P12" s="189">
        <v>50000</v>
      </c>
      <c r="Q12" s="190">
        <v>1000000000000</v>
      </c>
      <c r="R12" s="191">
        <v>3.8760000000000003E-2</v>
      </c>
      <c r="S12" s="192">
        <v>1813.17</v>
      </c>
    </row>
    <row r="13" spans="1:19" x14ac:dyDescent="0.2">
      <c r="A13" s="57" t="s">
        <v>445</v>
      </c>
      <c r="B13" s="183">
        <v>8.9999999999999993E-3</v>
      </c>
      <c r="C13" s="6"/>
      <c r="D13" s="12"/>
      <c r="F13" s="182">
        <v>201775</v>
      </c>
      <c r="G13" s="180">
        <v>256225</v>
      </c>
      <c r="H13" s="183">
        <v>0.32</v>
      </c>
      <c r="I13" s="184">
        <v>41024</v>
      </c>
      <c r="K13" s="182">
        <v>80650</v>
      </c>
      <c r="L13" s="180">
        <v>215400</v>
      </c>
      <c r="M13" s="183">
        <v>5.8999999999999997E-2</v>
      </c>
      <c r="N13" s="184">
        <v>4190.6000000000004</v>
      </c>
    </row>
    <row r="14" spans="1:19" x14ac:dyDescent="0.2">
      <c r="A14" s="57" t="s">
        <v>446</v>
      </c>
      <c r="B14" s="180">
        <v>200000</v>
      </c>
      <c r="C14" s="6"/>
      <c r="D14" s="12"/>
      <c r="F14" s="186">
        <v>256225</v>
      </c>
      <c r="G14" s="101">
        <v>640600</v>
      </c>
      <c r="H14" s="187">
        <v>0.35</v>
      </c>
      <c r="I14" s="188">
        <v>58448</v>
      </c>
      <c r="K14" s="186">
        <v>215400</v>
      </c>
      <c r="L14" s="101">
        <v>1077550</v>
      </c>
      <c r="M14" s="187">
        <v>6.8500000000000005E-2</v>
      </c>
      <c r="N14" s="188">
        <v>12140.85</v>
      </c>
    </row>
    <row r="15" spans="1:19" x14ac:dyDescent="0.2">
      <c r="A15" s="57" t="s">
        <v>447</v>
      </c>
      <c r="B15" s="193">
        <v>4.3200000000000001E-3</v>
      </c>
      <c r="C15" s="6"/>
      <c r="D15" s="12"/>
      <c r="F15" s="194">
        <v>640600</v>
      </c>
      <c r="G15" s="195">
        <v>1000000000000</v>
      </c>
      <c r="H15" s="196">
        <v>0.37</v>
      </c>
      <c r="I15" s="197">
        <v>192979.25</v>
      </c>
      <c r="K15" s="182">
        <v>1077550</v>
      </c>
      <c r="L15" s="180">
        <v>5000000</v>
      </c>
      <c r="M15" s="183">
        <v>9.6500000000000002E-2</v>
      </c>
      <c r="N15" s="184">
        <v>71197.63</v>
      </c>
    </row>
    <row r="16" spans="1:19" x14ac:dyDescent="0.2">
      <c r="A16" s="57" t="s">
        <v>448</v>
      </c>
      <c r="B16" s="198">
        <v>411.91</v>
      </c>
      <c r="C16" s="6"/>
      <c r="D16" s="12"/>
      <c r="K16" s="186">
        <v>5000000</v>
      </c>
      <c r="L16" s="101">
        <v>25000000</v>
      </c>
      <c r="M16" s="187">
        <v>0.10299999999999999</v>
      </c>
      <c r="N16" s="188">
        <v>449717.21</v>
      </c>
    </row>
    <row r="17" spans="1:14" x14ac:dyDescent="0.2">
      <c r="A17" s="57" t="s">
        <v>449</v>
      </c>
      <c r="B17" s="185">
        <v>5.0000000000000001E-3</v>
      </c>
      <c r="C17" s="6"/>
      <c r="D17" s="12"/>
      <c r="K17" s="194">
        <v>25000000</v>
      </c>
      <c r="L17" s="195">
        <v>1000000000000</v>
      </c>
      <c r="M17" s="196">
        <v>0.109</v>
      </c>
      <c r="N17" s="197">
        <v>2509717.21</v>
      </c>
    </row>
    <row r="18" spans="1:14" x14ac:dyDescent="0.2">
      <c r="A18" s="57" t="s">
        <v>450</v>
      </c>
      <c r="B18" s="198">
        <v>31.2</v>
      </c>
      <c r="C18" s="6"/>
      <c r="D18" s="12"/>
      <c r="F18" s="56" t="s">
        <v>451</v>
      </c>
      <c r="G18" s="1"/>
      <c r="H18" s="1"/>
      <c r="I18" s="2"/>
    </row>
    <row r="19" spans="1:14" ht="16" customHeight="1" x14ac:dyDescent="0.2">
      <c r="A19" s="57" t="s">
        <v>452</v>
      </c>
      <c r="B19" s="180">
        <v>24500</v>
      </c>
      <c r="C19" s="6"/>
      <c r="D19" s="12"/>
      <c r="F19" s="199" t="s">
        <v>453</v>
      </c>
      <c r="G19" s="200" t="s">
        <v>454</v>
      </c>
      <c r="H19" s="6"/>
      <c r="I19" s="12"/>
    </row>
    <row r="20" spans="1:14" x14ac:dyDescent="0.2">
      <c r="A20" s="57" t="s">
        <v>455</v>
      </c>
      <c r="B20" s="180">
        <v>7500</v>
      </c>
      <c r="C20" s="6"/>
      <c r="D20" s="12"/>
      <c r="F20" s="57" t="s">
        <v>456</v>
      </c>
      <c r="G20" s="180">
        <v>1200000</v>
      </c>
      <c r="H20" s="6"/>
      <c r="I20" s="12"/>
    </row>
    <row r="21" spans="1:14" x14ac:dyDescent="0.2">
      <c r="A21" s="57" t="s">
        <v>457</v>
      </c>
      <c r="B21" s="180">
        <v>153000</v>
      </c>
      <c r="C21" s="6"/>
      <c r="D21" s="12"/>
      <c r="F21" s="199" t="s">
        <v>458</v>
      </c>
      <c r="G21" s="101">
        <v>525367</v>
      </c>
      <c r="H21" s="6"/>
      <c r="I21" s="12"/>
    </row>
    <row r="22" spans="1:14" x14ac:dyDescent="0.2">
      <c r="A22" s="62" t="s">
        <v>459</v>
      </c>
      <c r="B22" s="195">
        <v>168000</v>
      </c>
      <c r="C22" s="3"/>
      <c r="D22" s="4"/>
      <c r="F22" s="57" t="s">
        <v>460</v>
      </c>
      <c r="G22" s="180">
        <v>674633</v>
      </c>
      <c r="H22" s="6"/>
      <c r="I22" s="12"/>
    </row>
    <row r="23" spans="1:14" x14ac:dyDescent="0.2">
      <c r="F23" s="199" t="s">
        <v>461</v>
      </c>
      <c r="G23" s="101">
        <v>9114</v>
      </c>
      <c r="H23" s="6"/>
      <c r="I23" s="12"/>
    </row>
    <row r="24" spans="1:14" x14ac:dyDescent="0.2">
      <c r="F24" s="57" t="s">
        <v>462</v>
      </c>
      <c r="G24" s="180">
        <v>26400</v>
      </c>
      <c r="H24" s="6"/>
      <c r="I24" s="12"/>
    </row>
    <row r="25" spans="1:14" x14ac:dyDescent="0.2">
      <c r="F25" s="199" t="s">
        <v>463</v>
      </c>
      <c r="G25" s="101">
        <v>87234</v>
      </c>
      <c r="H25" s="6"/>
      <c r="I25" s="12"/>
    </row>
    <row r="26" spans="1:14" x14ac:dyDescent="0.2">
      <c r="F26" s="57" t="s">
        <v>464</v>
      </c>
      <c r="G26" s="180">
        <v>402164</v>
      </c>
      <c r="H26" s="6"/>
      <c r="I26" s="12"/>
    </row>
    <row r="27" spans="1:14" ht="96" customHeight="1" x14ac:dyDescent="0.2">
      <c r="F27" s="201" t="s">
        <v>465</v>
      </c>
      <c r="G27" s="202" t="s">
        <v>466</v>
      </c>
      <c r="H27" s="3"/>
      <c r="I27" s="4"/>
    </row>
  </sheetData>
  <mergeCells count="8">
    <mergeCell ref="A5:S5"/>
    <mergeCell ref="F7:I7"/>
    <mergeCell ref="A1:S1"/>
    <mergeCell ref="P7:S7"/>
    <mergeCell ref="A3:S3"/>
    <mergeCell ref="K7:N7"/>
    <mergeCell ref="A4:S4"/>
    <mergeCell ref="A2:S2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 Dashboard</vt:lpstr>
      <vt:lpstr>Model Inputs</vt:lpstr>
      <vt:lpstr>Savings Projection</vt:lpstr>
      <vt:lpstr>Scenario Lab</vt:lpstr>
      <vt:lpstr>IC Switch Scenarios</vt:lpstr>
      <vt:lpstr>PM After Switch</vt:lpstr>
      <vt:lpstr>Tax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Shih</cp:lastModifiedBy>
  <dcterms:created xsi:type="dcterms:W3CDTF">2026-04-06T04:34:49Z</dcterms:created>
  <dcterms:modified xsi:type="dcterms:W3CDTF">2026-04-12T01:31:12Z</dcterms:modified>
</cp:coreProperties>
</file>